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Lab-Knepper\Knepper_Lab\Depot - Antibody Design and Validation Review\Web\"/>
    </mc:Choice>
  </mc:AlternateContent>
  <xr:revisionPtr revIDLastSave="0" documentId="8_{409D6712-AA91-46B4-BACC-C65684E996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12" i="1" l="1"/>
  <c r="F8612" i="1"/>
  <c r="D8612" i="1"/>
  <c r="C8612" i="1"/>
  <c r="H8611" i="1"/>
  <c r="F8611" i="1"/>
  <c r="D8611" i="1"/>
  <c r="C8611" i="1"/>
  <c r="H8610" i="1"/>
  <c r="F8610" i="1"/>
  <c r="D8610" i="1"/>
  <c r="C8610" i="1"/>
  <c r="H8609" i="1"/>
  <c r="F8609" i="1"/>
  <c r="D8609" i="1"/>
  <c r="C8609" i="1"/>
  <c r="H8608" i="1"/>
  <c r="F8608" i="1"/>
  <c r="D8608" i="1"/>
  <c r="C8608" i="1"/>
  <c r="H8607" i="1"/>
  <c r="F8607" i="1"/>
  <c r="D8607" i="1"/>
  <c r="C8607" i="1"/>
  <c r="H8606" i="1"/>
  <c r="F8606" i="1"/>
  <c r="D8606" i="1"/>
  <c r="C8606" i="1"/>
  <c r="H8605" i="1"/>
  <c r="F8605" i="1"/>
  <c r="D8605" i="1"/>
  <c r="C8605" i="1"/>
  <c r="H8604" i="1"/>
  <c r="F8604" i="1"/>
  <c r="D8604" i="1"/>
  <c r="C8604" i="1"/>
  <c r="H8603" i="1"/>
  <c r="F8603" i="1"/>
  <c r="D8603" i="1"/>
  <c r="C8603" i="1"/>
  <c r="H8602" i="1"/>
  <c r="F8602" i="1"/>
  <c r="D8602" i="1"/>
  <c r="C8602" i="1"/>
  <c r="H8601" i="1"/>
  <c r="F8601" i="1"/>
  <c r="D8601" i="1"/>
  <c r="C8601" i="1"/>
  <c r="H8600" i="1"/>
  <c r="F8600" i="1"/>
  <c r="D8600" i="1"/>
  <c r="C8600" i="1"/>
  <c r="H8599" i="1"/>
  <c r="F8599" i="1"/>
  <c r="D8599" i="1"/>
  <c r="C8599" i="1"/>
  <c r="H8598" i="1"/>
  <c r="F8598" i="1"/>
  <c r="D8598" i="1"/>
  <c r="C8598" i="1"/>
  <c r="H8597" i="1"/>
  <c r="F8597" i="1"/>
  <c r="D8597" i="1"/>
  <c r="C8597" i="1"/>
  <c r="H8596" i="1"/>
  <c r="F8596" i="1"/>
  <c r="D8596" i="1"/>
  <c r="C8596" i="1"/>
  <c r="H8595" i="1"/>
  <c r="F8595" i="1"/>
  <c r="D8595" i="1"/>
  <c r="C8595" i="1"/>
  <c r="H8594" i="1"/>
  <c r="F8594" i="1"/>
  <c r="D8594" i="1"/>
  <c r="C8594" i="1"/>
  <c r="H8593" i="1"/>
  <c r="F8593" i="1"/>
  <c r="D8593" i="1"/>
  <c r="C8593" i="1"/>
  <c r="H8592" i="1"/>
  <c r="F8592" i="1"/>
  <c r="D8592" i="1"/>
  <c r="C8592" i="1"/>
  <c r="H8591" i="1"/>
  <c r="F8591" i="1"/>
  <c r="D8591" i="1"/>
  <c r="C8591" i="1"/>
  <c r="H8590" i="1"/>
  <c r="F8590" i="1"/>
  <c r="D8590" i="1"/>
  <c r="C8590" i="1"/>
  <c r="H8589" i="1"/>
  <c r="F8589" i="1"/>
  <c r="D8589" i="1"/>
  <c r="C8589" i="1"/>
  <c r="H8588" i="1"/>
  <c r="F8588" i="1"/>
  <c r="D8588" i="1"/>
  <c r="C8588" i="1"/>
  <c r="H8587" i="1"/>
  <c r="F8587" i="1"/>
  <c r="D8587" i="1"/>
  <c r="C8587" i="1"/>
  <c r="H8586" i="1"/>
  <c r="F8586" i="1"/>
  <c r="D8586" i="1"/>
  <c r="C8586" i="1"/>
  <c r="H8585" i="1"/>
  <c r="F8585" i="1"/>
  <c r="D8585" i="1"/>
  <c r="C8585" i="1"/>
  <c r="H8584" i="1"/>
  <c r="F8584" i="1"/>
  <c r="D8584" i="1"/>
  <c r="C8584" i="1"/>
  <c r="H8583" i="1"/>
  <c r="F8583" i="1"/>
  <c r="D8583" i="1"/>
  <c r="C8583" i="1"/>
  <c r="H8582" i="1"/>
  <c r="F8582" i="1"/>
  <c r="D8582" i="1"/>
  <c r="C8582" i="1"/>
  <c r="H8581" i="1"/>
  <c r="F8581" i="1"/>
  <c r="D8581" i="1"/>
  <c r="C8581" i="1"/>
  <c r="H8580" i="1"/>
  <c r="F8580" i="1"/>
  <c r="D8580" i="1"/>
  <c r="C8580" i="1"/>
  <c r="H8579" i="1"/>
  <c r="F8579" i="1"/>
  <c r="D8579" i="1"/>
  <c r="C8579" i="1"/>
  <c r="H8578" i="1"/>
  <c r="F8578" i="1"/>
  <c r="D8578" i="1"/>
  <c r="C8578" i="1"/>
  <c r="H8577" i="1"/>
  <c r="F8577" i="1"/>
  <c r="D8577" i="1"/>
  <c r="C8577" i="1"/>
  <c r="H8576" i="1"/>
  <c r="F8576" i="1"/>
  <c r="D8576" i="1"/>
  <c r="C8576" i="1"/>
  <c r="H8575" i="1"/>
  <c r="F8575" i="1"/>
  <c r="D8575" i="1"/>
  <c r="C8575" i="1"/>
  <c r="H8574" i="1"/>
  <c r="F8574" i="1"/>
  <c r="D8574" i="1"/>
  <c r="C8574" i="1"/>
  <c r="H8573" i="1"/>
  <c r="F8573" i="1"/>
  <c r="D8573" i="1"/>
  <c r="C8573" i="1"/>
  <c r="H8572" i="1"/>
  <c r="F8572" i="1"/>
  <c r="D8572" i="1"/>
  <c r="C8572" i="1"/>
  <c r="H8571" i="1"/>
  <c r="F8571" i="1"/>
  <c r="D8571" i="1"/>
  <c r="C8571" i="1"/>
  <c r="H8570" i="1"/>
  <c r="F8570" i="1"/>
  <c r="D8570" i="1"/>
  <c r="C8570" i="1"/>
  <c r="H8569" i="1"/>
  <c r="F8569" i="1"/>
  <c r="D8569" i="1"/>
  <c r="C8569" i="1"/>
  <c r="H8568" i="1"/>
  <c r="F8568" i="1"/>
  <c r="D8568" i="1"/>
  <c r="C8568" i="1"/>
  <c r="H8567" i="1"/>
  <c r="F8567" i="1"/>
  <c r="D8567" i="1"/>
  <c r="C8567" i="1"/>
  <c r="H8566" i="1"/>
  <c r="F8566" i="1"/>
  <c r="D8566" i="1"/>
  <c r="C8566" i="1"/>
  <c r="H8565" i="1"/>
  <c r="F8565" i="1"/>
  <c r="D8565" i="1"/>
  <c r="C8565" i="1"/>
  <c r="H8564" i="1"/>
  <c r="F8564" i="1"/>
  <c r="D8564" i="1"/>
  <c r="C8564" i="1"/>
  <c r="H8563" i="1"/>
  <c r="F8563" i="1"/>
  <c r="D8563" i="1"/>
  <c r="C8563" i="1"/>
  <c r="H8562" i="1"/>
  <c r="F8562" i="1"/>
  <c r="D8562" i="1"/>
  <c r="C8562" i="1"/>
  <c r="H8561" i="1"/>
  <c r="F8561" i="1"/>
  <c r="D8561" i="1"/>
  <c r="C8561" i="1"/>
  <c r="H8560" i="1"/>
  <c r="F8560" i="1"/>
  <c r="D8560" i="1"/>
  <c r="C8560" i="1"/>
  <c r="H8559" i="1"/>
  <c r="F8559" i="1"/>
  <c r="D8559" i="1"/>
  <c r="C8559" i="1"/>
  <c r="H8558" i="1"/>
  <c r="F8558" i="1"/>
  <c r="D8558" i="1"/>
  <c r="C8558" i="1"/>
  <c r="H8557" i="1"/>
  <c r="F8557" i="1"/>
  <c r="D8557" i="1"/>
  <c r="C8557" i="1"/>
  <c r="H8556" i="1"/>
  <c r="F8556" i="1"/>
  <c r="D8556" i="1"/>
  <c r="C8556" i="1"/>
  <c r="H8555" i="1"/>
  <c r="F8555" i="1"/>
  <c r="D8555" i="1"/>
  <c r="C8555" i="1"/>
  <c r="H8554" i="1"/>
  <c r="F8554" i="1"/>
  <c r="D8554" i="1"/>
  <c r="C8554" i="1"/>
  <c r="H8553" i="1"/>
  <c r="F8553" i="1"/>
  <c r="D8553" i="1"/>
  <c r="C8553" i="1"/>
  <c r="H8552" i="1"/>
  <c r="F8552" i="1"/>
  <c r="D8552" i="1"/>
  <c r="C8552" i="1"/>
  <c r="H8551" i="1"/>
  <c r="F8551" i="1"/>
  <c r="D8551" i="1"/>
  <c r="C8551" i="1"/>
  <c r="H8550" i="1"/>
  <c r="F8550" i="1"/>
  <c r="D8550" i="1"/>
  <c r="C8550" i="1"/>
  <c r="H8549" i="1"/>
  <c r="F8549" i="1"/>
  <c r="D8549" i="1"/>
  <c r="C8549" i="1"/>
  <c r="H8548" i="1"/>
  <c r="F8548" i="1"/>
  <c r="D8548" i="1"/>
  <c r="C8548" i="1"/>
  <c r="H8547" i="1"/>
  <c r="F8547" i="1"/>
  <c r="D8547" i="1"/>
  <c r="C8547" i="1"/>
  <c r="H8546" i="1"/>
  <c r="F8546" i="1"/>
  <c r="D8546" i="1"/>
  <c r="C8546" i="1"/>
  <c r="H8545" i="1"/>
  <c r="F8545" i="1"/>
  <c r="D8545" i="1"/>
  <c r="C8545" i="1"/>
  <c r="H8544" i="1"/>
  <c r="F8544" i="1"/>
  <c r="D8544" i="1"/>
  <c r="C8544" i="1"/>
  <c r="H8543" i="1"/>
  <c r="F8543" i="1"/>
  <c r="D8543" i="1"/>
  <c r="C8543" i="1"/>
  <c r="H8542" i="1"/>
  <c r="F8542" i="1"/>
  <c r="D8542" i="1"/>
  <c r="C8542" i="1"/>
  <c r="H8541" i="1"/>
  <c r="F8541" i="1"/>
  <c r="D8541" i="1"/>
  <c r="C8541" i="1"/>
  <c r="H8540" i="1"/>
  <c r="F8540" i="1"/>
  <c r="D8540" i="1"/>
  <c r="C8540" i="1"/>
  <c r="H8539" i="1"/>
  <c r="F8539" i="1"/>
  <c r="D8539" i="1"/>
  <c r="C8539" i="1"/>
  <c r="H8538" i="1"/>
  <c r="F8538" i="1"/>
  <c r="D8538" i="1"/>
  <c r="C8538" i="1"/>
  <c r="H8537" i="1"/>
  <c r="F8537" i="1"/>
  <c r="D8537" i="1"/>
  <c r="C8537" i="1"/>
  <c r="H8536" i="1"/>
  <c r="F8536" i="1"/>
  <c r="D8536" i="1"/>
  <c r="C8536" i="1"/>
  <c r="H8535" i="1"/>
  <c r="F8535" i="1"/>
  <c r="D8535" i="1"/>
  <c r="C8535" i="1"/>
  <c r="H8534" i="1"/>
  <c r="F8534" i="1"/>
  <c r="D8534" i="1"/>
  <c r="C8534" i="1"/>
  <c r="H8533" i="1"/>
  <c r="F8533" i="1"/>
  <c r="D8533" i="1"/>
  <c r="C8533" i="1"/>
  <c r="H8532" i="1"/>
  <c r="F8532" i="1"/>
  <c r="D8532" i="1"/>
  <c r="C8532" i="1"/>
  <c r="H8531" i="1"/>
  <c r="F8531" i="1"/>
  <c r="D8531" i="1"/>
  <c r="C8531" i="1"/>
  <c r="H8530" i="1"/>
  <c r="F8530" i="1"/>
  <c r="D8530" i="1"/>
  <c r="C8530" i="1"/>
  <c r="H8529" i="1"/>
  <c r="F8529" i="1"/>
  <c r="D8529" i="1"/>
  <c r="C8529" i="1"/>
  <c r="H8528" i="1"/>
  <c r="F8528" i="1"/>
  <c r="D8528" i="1"/>
  <c r="C8528" i="1"/>
  <c r="H8527" i="1"/>
  <c r="F8527" i="1"/>
  <c r="D8527" i="1"/>
  <c r="C8527" i="1"/>
  <c r="H8526" i="1"/>
  <c r="F8526" i="1"/>
  <c r="D8526" i="1"/>
  <c r="C8526" i="1"/>
  <c r="H8525" i="1"/>
  <c r="F8525" i="1"/>
  <c r="D8525" i="1"/>
  <c r="C8525" i="1"/>
  <c r="H8524" i="1"/>
  <c r="F8524" i="1"/>
  <c r="D8524" i="1"/>
  <c r="C8524" i="1"/>
  <c r="H8523" i="1"/>
  <c r="F8523" i="1"/>
  <c r="D8523" i="1"/>
  <c r="C8523" i="1"/>
  <c r="H8522" i="1"/>
  <c r="F8522" i="1"/>
  <c r="D8522" i="1"/>
  <c r="C8522" i="1"/>
  <c r="H8521" i="1"/>
  <c r="F8521" i="1"/>
  <c r="D8521" i="1"/>
  <c r="C8521" i="1"/>
  <c r="H8520" i="1"/>
  <c r="F8520" i="1"/>
  <c r="D8520" i="1"/>
  <c r="C8520" i="1"/>
  <c r="H8519" i="1"/>
  <c r="F8519" i="1"/>
  <c r="D8519" i="1"/>
  <c r="C8519" i="1"/>
  <c r="H8518" i="1"/>
  <c r="F8518" i="1"/>
  <c r="D8518" i="1"/>
  <c r="C8518" i="1"/>
  <c r="H8517" i="1"/>
  <c r="F8517" i="1"/>
  <c r="D8517" i="1"/>
  <c r="C8517" i="1"/>
  <c r="H8516" i="1"/>
  <c r="F8516" i="1"/>
  <c r="D8516" i="1"/>
  <c r="C8516" i="1"/>
  <c r="H8515" i="1"/>
  <c r="F8515" i="1"/>
  <c r="D8515" i="1"/>
  <c r="C8515" i="1"/>
  <c r="H8514" i="1"/>
  <c r="F8514" i="1"/>
  <c r="D8514" i="1"/>
  <c r="C8514" i="1"/>
  <c r="H8513" i="1"/>
  <c r="F8513" i="1"/>
  <c r="D8513" i="1"/>
  <c r="C8513" i="1"/>
  <c r="H8512" i="1"/>
  <c r="F8512" i="1"/>
  <c r="D8512" i="1"/>
  <c r="C8512" i="1"/>
  <c r="H8511" i="1"/>
  <c r="F8511" i="1"/>
  <c r="D8511" i="1"/>
  <c r="C8511" i="1"/>
  <c r="H8510" i="1"/>
  <c r="F8510" i="1"/>
  <c r="D8510" i="1"/>
  <c r="C8510" i="1"/>
  <c r="H8509" i="1"/>
  <c r="F8509" i="1"/>
  <c r="D8509" i="1"/>
  <c r="C8509" i="1"/>
  <c r="H8508" i="1"/>
  <c r="F8508" i="1"/>
  <c r="D8508" i="1"/>
  <c r="C8508" i="1"/>
  <c r="H8507" i="1"/>
  <c r="F8507" i="1"/>
  <c r="D8507" i="1"/>
  <c r="C8507" i="1"/>
  <c r="H8506" i="1"/>
  <c r="F8506" i="1"/>
  <c r="D8506" i="1"/>
  <c r="C8506" i="1"/>
  <c r="H8505" i="1"/>
  <c r="F8505" i="1"/>
  <c r="D8505" i="1"/>
  <c r="C8505" i="1"/>
  <c r="H8504" i="1"/>
  <c r="F8504" i="1"/>
  <c r="D8504" i="1"/>
  <c r="C8504" i="1"/>
  <c r="H8503" i="1"/>
  <c r="F8503" i="1"/>
  <c r="D8503" i="1"/>
  <c r="C8503" i="1"/>
  <c r="H8502" i="1"/>
  <c r="F8502" i="1"/>
  <c r="D8502" i="1"/>
  <c r="C8502" i="1"/>
  <c r="H8501" i="1"/>
  <c r="F8501" i="1"/>
  <c r="D8501" i="1"/>
  <c r="C8501" i="1"/>
  <c r="H8500" i="1"/>
  <c r="F8500" i="1"/>
  <c r="D8500" i="1"/>
  <c r="C8500" i="1"/>
  <c r="H8499" i="1"/>
  <c r="F8499" i="1"/>
  <c r="D8499" i="1"/>
  <c r="C8499" i="1"/>
  <c r="H8498" i="1"/>
  <c r="F8498" i="1"/>
  <c r="D8498" i="1"/>
  <c r="C8498" i="1"/>
  <c r="H8497" i="1"/>
  <c r="F8497" i="1"/>
  <c r="D8497" i="1"/>
  <c r="C8497" i="1"/>
  <c r="H8496" i="1"/>
  <c r="F8496" i="1"/>
  <c r="D8496" i="1"/>
  <c r="C8496" i="1"/>
  <c r="H8495" i="1"/>
  <c r="F8495" i="1"/>
  <c r="D8495" i="1"/>
  <c r="C8495" i="1"/>
  <c r="H8494" i="1"/>
  <c r="F8494" i="1"/>
  <c r="D8494" i="1"/>
  <c r="C8494" i="1"/>
  <c r="H8493" i="1"/>
  <c r="F8493" i="1"/>
  <c r="D8493" i="1"/>
  <c r="C8493" i="1"/>
  <c r="H8492" i="1"/>
  <c r="F8492" i="1"/>
  <c r="D8492" i="1"/>
  <c r="C8492" i="1"/>
  <c r="H8491" i="1"/>
  <c r="F8491" i="1"/>
  <c r="D8491" i="1"/>
  <c r="C8491" i="1"/>
  <c r="H8490" i="1"/>
  <c r="F8490" i="1"/>
  <c r="D8490" i="1"/>
  <c r="C8490" i="1"/>
  <c r="H8489" i="1"/>
  <c r="F8489" i="1"/>
  <c r="D8489" i="1"/>
  <c r="C8489" i="1"/>
  <c r="H8488" i="1"/>
  <c r="F8488" i="1"/>
  <c r="D8488" i="1"/>
  <c r="C8488" i="1"/>
  <c r="H8487" i="1"/>
  <c r="F8487" i="1"/>
  <c r="D8487" i="1"/>
  <c r="C8487" i="1"/>
  <c r="H8486" i="1"/>
  <c r="F8486" i="1"/>
  <c r="D8486" i="1"/>
  <c r="C8486" i="1"/>
  <c r="H8485" i="1"/>
  <c r="F8485" i="1"/>
  <c r="D8485" i="1"/>
  <c r="C8485" i="1"/>
  <c r="H8484" i="1"/>
  <c r="F8484" i="1"/>
  <c r="D8484" i="1"/>
  <c r="C8484" i="1"/>
  <c r="H8483" i="1"/>
  <c r="F8483" i="1"/>
  <c r="D8483" i="1"/>
  <c r="C8483" i="1"/>
  <c r="H8482" i="1"/>
  <c r="F8482" i="1"/>
  <c r="D8482" i="1"/>
  <c r="C8482" i="1"/>
  <c r="H8481" i="1"/>
  <c r="F8481" i="1"/>
  <c r="D8481" i="1"/>
  <c r="C8481" i="1"/>
  <c r="H8480" i="1"/>
  <c r="F8480" i="1"/>
  <c r="D8480" i="1"/>
  <c r="C8480" i="1"/>
  <c r="H8479" i="1"/>
  <c r="F8479" i="1"/>
  <c r="D8479" i="1"/>
  <c r="C8479" i="1"/>
  <c r="H8478" i="1"/>
  <c r="F8478" i="1"/>
  <c r="D8478" i="1"/>
  <c r="C8478" i="1"/>
  <c r="H8477" i="1"/>
  <c r="F8477" i="1"/>
  <c r="D8477" i="1"/>
  <c r="C8477" i="1"/>
  <c r="H8476" i="1"/>
  <c r="F8476" i="1"/>
  <c r="D8476" i="1"/>
  <c r="C8476" i="1"/>
  <c r="H8475" i="1"/>
  <c r="F8475" i="1"/>
  <c r="D8475" i="1"/>
  <c r="C8475" i="1"/>
  <c r="H8474" i="1"/>
  <c r="F8474" i="1"/>
  <c r="D8474" i="1"/>
  <c r="C8474" i="1"/>
  <c r="H8473" i="1"/>
  <c r="F8473" i="1"/>
  <c r="D8473" i="1"/>
  <c r="C8473" i="1"/>
  <c r="H8472" i="1"/>
  <c r="F8472" i="1"/>
  <c r="D8472" i="1"/>
  <c r="C8472" i="1"/>
  <c r="H8471" i="1"/>
  <c r="F8471" i="1"/>
  <c r="D8471" i="1"/>
  <c r="C8471" i="1"/>
  <c r="H8470" i="1"/>
  <c r="F8470" i="1"/>
  <c r="D8470" i="1"/>
  <c r="C8470" i="1"/>
  <c r="H8469" i="1"/>
  <c r="F8469" i="1"/>
  <c r="D8469" i="1"/>
  <c r="C8469" i="1"/>
  <c r="H8468" i="1"/>
  <c r="F8468" i="1"/>
  <c r="D8468" i="1"/>
  <c r="C8468" i="1"/>
  <c r="H8467" i="1"/>
  <c r="F8467" i="1"/>
  <c r="D8467" i="1"/>
  <c r="C8467" i="1"/>
  <c r="H8466" i="1"/>
  <c r="F8466" i="1"/>
  <c r="D8466" i="1"/>
  <c r="C8466" i="1"/>
  <c r="H8465" i="1"/>
  <c r="F8465" i="1"/>
  <c r="D8465" i="1"/>
  <c r="C8465" i="1"/>
  <c r="H8464" i="1"/>
  <c r="F8464" i="1"/>
  <c r="D8464" i="1"/>
  <c r="C8464" i="1"/>
  <c r="H8463" i="1"/>
  <c r="F8463" i="1"/>
  <c r="D8463" i="1"/>
  <c r="C8463" i="1"/>
  <c r="H8462" i="1"/>
  <c r="F8462" i="1"/>
  <c r="D8462" i="1"/>
  <c r="C8462" i="1"/>
  <c r="H8461" i="1"/>
  <c r="F8461" i="1"/>
  <c r="D8461" i="1"/>
  <c r="C8461" i="1"/>
  <c r="H8460" i="1"/>
  <c r="F8460" i="1"/>
  <c r="D8460" i="1"/>
  <c r="C8460" i="1"/>
  <c r="H8459" i="1"/>
  <c r="F8459" i="1"/>
  <c r="D8459" i="1"/>
  <c r="C8459" i="1"/>
  <c r="H8458" i="1"/>
  <c r="F8458" i="1"/>
  <c r="D8458" i="1"/>
  <c r="C8458" i="1"/>
  <c r="H8457" i="1"/>
  <c r="F8457" i="1"/>
  <c r="D8457" i="1"/>
  <c r="C8457" i="1"/>
  <c r="H8456" i="1"/>
  <c r="F8456" i="1"/>
  <c r="D8456" i="1"/>
  <c r="C8456" i="1"/>
  <c r="H8455" i="1"/>
  <c r="F8455" i="1"/>
  <c r="D8455" i="1"/>
  <c r="C8455" i="1"/>
  <c r="H8454" i="1"/>
  <c r="F8454" i="1"/>
  <c r="D8454" i="1"/>
  <c r="C8454" i="1"/>
  <c r="H8453" i="1"/>
  <c r="F8453" i="1"/>
  <c r="D8453" i="1"/>
  <c r="C8453" i="1"/>
  <c r="H8452" i="1"/>
  <c r="F8452" i="1"/>
  <c r="D8452" i="1"/>
  <c r="C8452" i="1"/>
  <c r="H8451" i="1"/>
  <c r="F8451" i="1"/>
  <c r="D8451" i="1"/>
  <c r="C8451" i="1"/>
  <c r="H8450" i="1"/>
  <c r="F8450" i="1"/>
  <c r="D8450" i="1"/>
  <c r="C8450" i="1"/>
  <c r="H8449" i="1"/>
  <c r="F8449" i="1"/>
  <c r="D8449" i="1"/>
  <c r="C8449" i="1"/>
  <c r="H8448" i="1"/>
  <c r="F8448" i="1"/>
  <c r="D8448" i="1"/>
  <c r="C8448" i="1"/>
  <c r="H8447" i="1"/>
  <c r="F8447" i="1"/>
  <c r="D8447" i="1"/>
  <c r="C8447" i="1"/>
  <c r="H8446" i="1"/>
  <c r="F8446" i="1"/>
  <c r="D8446" i="1"/>
  <c r="C8446" i="1"/>
  <c r="H8445" i="1"/>
  <c r="F8445" i="1"/>
  <c r="D8445" i="1"/>
  <c r="C8445" i="1"/>
  <c r="H8444" i="1"/>
  <c r="F8444" i="1"/>
  <c r="D8444" i="1"/>
  <c r="C8444" i="1"/>
  <c r="H8443" i="1"/>
  <c r="F8443" i="1"/>
  <c r="D8443" i="1"/>
  <c r="C8443" i="1"/>
  <c r="H8442" i="1"/>
  <c r="F8442" i="1"/>
  <c r="D8442" i="1"/>
  <c r="C8442" i="1"/>
  <c r="H8441" i="1"/>
  <c r="F8441" i="1"/>
  <c r="D8441" i="1"/>
  <c r="C8441" i="1"/>
  <c r="H8440" i="1"/>
  <c r="F8440" i="1"/>
  <c r="D8440" i="1"/>
  <c r="C8440" i="1"/>
  <c r="H8439" i="1"/>
  <c r="F8439" i="1"/>
  <c r="D8439" i="1"/>
  <c r="C8439" i="1"/>
  <c r="H8438" i="1"/>
  <c r="F8438" i="1"/>
  <c r="D8438" i="1"/>
  <c r="C8438" i="1"/>
  <c r="H8437" i="1"/>
  <c r="F8437" i="1"/>
  <c r="D8437" i="1"/>
  <c r="C8437" i="1"/>
  <c r="H8436" i="1"/>
  <c r="F8436" i="1"/>
  <c r="D8436" i="1"/>
  <c r="C8436" i="1"/>
  <c r="H8435" i="1"/>
  <c r="F8435" i="1"/>
  <c r="D8435" i="1"/>
  <c r="C8435" i="1"/>
  <c r="H8434" i="1"/>
  <c r="F8434" i="1"/>
  <c r="D8434" i="1"/>
  <c r="C8434" i="1"/>
  <c r="H8433" i="1"/>
  <c r="F8433" i="1"/>
  <c r="D8433" i="1"/>
  <c r="C8433" i="1"/>
  <c r="H8432" i="1"/>
  <c r="F8432" i="1"/>
  <c r="D8432" i="1"/>
  <c r="C8432" i="1"/>
  <c r="H8431" i="1"/>
  <c r="F8431" i="1"/>
  <c r="D8431" i="1"/>
  <c r="C8431" i="1"/>
  <c r="H8430" i="1"/>
  <c r="F8430" i="1"/>
  <c r="D8430" i="1"/>
  <c r="C8430" i="1"/>
  <c r="H8429" i="1"/>
  <c r="F8429" i="1"/>
  <c r="D8429" i="1"/>
  <c r="C8429" i="1"/>
  <c r="H8428" i="1"/>
  <c r="F8428" i="1"/>
  <c r="D8428" i="1"/>
  <c r="C8428" i="1"/>
  <c r="H8427" i="1"/>
  <c r="F8427" i="1"/>
  <c r="D8427" i="1"/>
  <c r="C8427" i="1"/>
  <c r="H8426" i="1"/>
  <c r="F8426" i="1"/>
  <c r="D8426" i="1"/>
  <c r="C8426" i="1"/>
  <c r="H8425" i="1"/>
  <c r="F8425" i="1"/>
  <c r="D8425" i="1"/>
  <c r="C8425" i="1"/>
  <c r="H8424" i="1"/>
  <c r="F8424" i="1"/>
  <c r="D8424" i="1"/>
  <c r="C8424" i="1"/>
  <c r="H8423" i="1"/>
  <c r="F8423" i="1"/>
  <c r="D8423" i="1"/>
  <c r="C8423" i="1"/>
  <c r="H8422" i="1"/>
  <c r="F8422" i="1"/>
  <c r="D8422" i="1"/>
  <c r="C8422" i="1"/>
  <c r="H8421" i="1"/>
  <c r="F8421" i="1"/>
  <c r="D8421" i="1"/>
  <c r="C8421" i="1"/>
  <c r="H8420" i="1"/>
  <c r="F8420" i="1"/>
  <c r="D8420" i="1"/>
  <c r="C8420" i="1"/>
  <c r="H8419" i="1"/>
  <c r="F8419" i="1"/>
  <c r="D8419" i="1"/>
  <c r="C8419" i="1"/>
  <c r="H8418" i="1"/>
  <c r="F8418" i="1"/>
  <c r="D8418" i="1"/>
  <c r="C8418" i="1"/>
  <c r="H8417" i="1"/>
  <c r="F8417" i="1"/>
  <c r="D8417" i="1"/>
  <c r="C8417" i="1"/>
  <c r="H8416" i="1"/>
  <c r="F8416" i="1"/>
  <c r="D8416" i="1"/>
  <c r="C8416" i="1"/>
  <c r="H8415" i="1"/>
  <c r="F8415" i="1"/>
  <c r="D8415" i="1"/>
  <c r="C8415" i="1"/>
  <c r="H8414" i="1"/>
  <c r="F8414" i="1"/>
  <c r="D8414" i="1"/>
  <c r="C8414" i="1"/>
  <c r="H8413" i="1"/>
  <c r="F8413" i="1"/>
  <c r="D8413" i="1"/>
  <c r="C8413" i="1"/>
  <c r="H8412" i="1"/>
  <c r="F8412" i="1"/>
  <c r="D8412" i="1"/>
  <c r="C8412" i="1"/>
  <c r="H8411" i="1"/>
  <c r="F8411" i="1"/>
  <c r="D8411" i="1"/>
  <c r="C8411" i="1"/>
  <c r="H8410" i="1"/>
  <c r="F8410" i="1"/>
  <c r="D8410" i="1"/>
  <c r="C8410" i="1"/>
  <c r="H8409" i="1"/>
  <c r="F8409" i="1"/>
  <c r="D8409" i="1"/>
  <c r="C8409" i="1"/>
  <c r="H8408" i="1"/>
  <c r="F8408" i="1"/>
  <c r="D8408" i="1"/>
  <c r="C8408" i="1"/>
  <c r="H8407" i="1"/>
  <c r="F8407" i="1"/>
  <c r="D8407" i="1"/>
  <c r="C8407" i="1"/>
  <c r="H8406" i="1"/>
  <c r="F8406" i="1"/>
  <c r="D8406" i="1"/>
  <c r="C8406" i="1"/>
  <c r="H8405" i="1"/>
  <c r="F8405" i="1"/>
  <c r="D8405" i="1"/>
  <c r="C8405" i="1"/>
  <c r="H8404" i="1"/>
  <c r="F8404" i="1"/>
  <c r="D8404" i="1"/>
  <c r="C8404" i="1"/>
  <c r="H8403" i="1"/>
  <c r="F8403" i="1"/>
  <c r="D8403" i="1"/>
  <c r="C8403" i="1"/>
  <c r="H8402" i="1"/>
  <c r="F8402" i="1"/>
  <c r="D8402" i="1"/>
  <c r="C8402" i="1"/>
  <c r="H8401" i="1"/>
  <c r="F8401" i="1"/>
  <c r="D8401" i="1"/>
  <c r="C8401" i="1"/>
  <c r="H8400" i="1"/>
  <c r="F8400" i="1"/>
  <c r="D8400" i="1"/>
  <c r="C8400" i="1"/>
  <c r="H8399" i="1"/>
  <c r="F8399" i="1"/>
  <c r="D8399" i="1"/>
  <c r="C8399" i="1"/>
  <c r="H8398" i="1"/>
  <c r="F8398" i="1"/>
  <c r="D8398" i="1"/>
  <c r="C8398" i="1"/>
  <c r="H8397" i="1"/>
  <c r="F8397" i="1"/>
  <c r="D8397" i="1"/>
  <c r="C8397" i="1"/>
  <c r="H8396" i="1"/>
  <c r="F8396" i="1"/>
  <c r="D8396" i="1"/>
  <c r="C8396" i="1"/>
  <c r="H8395" i="1"/>
  <c r="F8395" i="1"/>
  <c r="D8395" i="1"/>
  <c r="C8395" i="1"/>
  <c r="H8394" i="1"/>
  <c r="F8394" i="1"/>
  <c r="D8394" i="1"/>
  <c r="C8394" i="1"/>
  <c r="H8393" i="1"/>
  <c r="F8393" i="1"/>
  <c r="D8393" i="1"/>
  <c r="C8393" i="1"/>
  <c r="H8392" i="1"/>
  <c r="F8392" i="1"/>
  <c r="D8392" i="1"/>
  <c r="C8392" i="1"/>
  <c r="H8391" i="1"/>
  <c r="F8391" i="1"/>
  <c r="D8391" i="1"/>
  <c r="C8391" i="1"/>
  <c r="H8390" i="1"/>
  <c r="F8390" i="1"/>
  <c r="D8390" i="1"/>
  <c r="C8390" i="1"/>
  <c r="H8389" i="1"/>
  <c r="F8389" i="1"/>
  <c r="D8389" i="1"/>
  <c r="C8389" i="1"/>
  <c r="H8388" i="1"/>
  <c r="F8388" i="1"/>
  <c r="D8388" i="1"/>
  <c r="C8388" i="1"/>
  <c r="H8387" i="1"/>
  <c r="F8387" i="1"/>
  <c r="D8387" i="1"/>
  <c r="C8387" i="1"/>
  <c r="H8386" i="1"/>
  <c r="F8386" i="1"/>
  <c r="D8386" i="1"/>
  <c r="C8386" i="1"/>
  <c r="H8385" i="1"/>
  <c r="F8385" i="1"/>
  <c r="D8385" i="1"/>
  <c r="C8385" i="1"/>
  <c r="H8384" i="1"/>
  <c r="F8384" i="1"/>
  <c r="D8384" i="1"/>
  <c r="C8384" i="1"/>
  <c r="H8383" i="1"/>
  <c r="F8383" i="1"/>
  <c r="D8383" i="1"/>
  <c r="C8383" i="1"/>
  <c r="H8382" i="1"/>
  <c r="F8382" i="1"/>
  <c r="D8382" i="1"/>
  <c r="C8382" i="1"/>
  <c r="H8381" i="1"/>
  <c r="F8381" i="1"/>
  <c r="D8381" i="1"/>
  <c r="C8381" i="1"/>
  <c r="H8380" i="1"/>
  <c r="F8380" i="1"/>
  <c r="D8380" i="1"/>
  <c r="C8380" i="1"/>
  <c r="H8379" i="1"/>
  <c r="F8379" i="1"/>
  <c r="D8379" i="1"/>
  <c r="C8379" i="1"/>
  <c r="H8378" i="1"/>
  <c r="F8378" i="1"/>
  <c r="D8378" i="1"/>
  <c r="C8378" i="1"/>
  <c r="H8377" i="1"/>
  <c r="F8377" i="1"/>
  <c r="D8377" i="1"/>
  <c r="C8377" i="1"/>
  <c r="H8376" i="1"/>
  <c r="F8376" i="1"/>
  <c r="D8376" i="1"/>
  <c r="C8376" i="1"/>
  <c r="H8375" i="1"/>
  <c r="F8375" i="1"/>
  <c r="D8375" i="1"/>
  <c r="C8375" i="1"/>
  <c r="H8374" i="1"/>
  <c r="F8374" i="1"/>
  <c r="D8374" i="1"/>
  <c r="C8374" i="1"/>
  <c r="H8373" i="1"/>
  <c r="F8373" i="1"/>
  <c r="D8373" i="1"/>
  <c r="C8373" i="1"/>
  <c r="H8372" i="1"/>
  <c r="F8372" i="1"/>
  <c r="D8372" i="1"/>
  <c r="C8372" i="1"/>
  <c r="H8371" i="1"/>
  <c r="F8371" i="1"/>
  <c r="D8371" i="1"/>
  <c r="C8371" i="1"/>
  <c r="H8370" i="1"/>
  <c r="F8370" i="1"/>
  <c r="D8370" i="1"/>
  <c r="C8370" i="1"/>
  <c r="H8369" i="1"/>
  <c r="F8369" i="1"/>
  <c r="D8369" i="1"/>
  <c r="C8369" i="1"/>
  <c r="H8368" i="1"/>
  <c r="F8368" i="1"/>
  <c r="D8368" i="1"/>
  <c r="C8368" i="1"/>
  <c r="H8367" i="1"/>
  <c r="F8367" i="1"/>
  <c r="D8367" i="1"/>
  <c r="C8367" i="1"/>
  <c r="H8366" i="1"/>
  <c r="F8366" i="1"/>
  <c r="D8366" i="1"/>
  <c r="C8366" i="1"/>
  <c r="H8365" i="1"/>
  <c r="F8365" i="1"/>
  <c r="D8365" i="1"/>
  <c r="C8365" i="1"/>
  <c r="H8364" i="1"/>
  <c r="F8364" i="1"/>
  <c r="D8364" i="1"/>
  <c r="C8364" i="1"/>
  <c r="H8363" i="1"/>
  <c r="F8363" i="1"/>
  <c r="D8363" i="1"/>
  <c r="C8363" i="1"/>
  <c r="H8362" i="1"/>
  <c r="F8362" i="1"/>
  <c r="D8362" i="1"/>
  <c r="C8362" i="1"/>
  <c r="H8361" i="1"/>
  <c r="F8361" i="1"/>
  <c r="D8361" i="1"/>
  <c r="C8361" i="1"/>
  <c r="H8360" i="1"/>
  <c r="F8360" i="1"/>
  <c r="D8360" i="1"/>
  <c r="C8360" i="1"/>
  <c r="H8359" i="1"/>
  <c r="F8359" i="1"/>
  <c r="D8359" i="1"/>
  <c r="C8359" i="1"/>
  <c r="H8358" i="1"/>
  <c r="F8358" i="1"/>
  <c r="D8358" i="1"/>
  <c r="C8358" i="1"/>
  <c r="H8357" i="1"/>
  <c r="F8357" i="1"/>
  <c r="D8357" i="1"/>
  <c r="C8357" i="1"/>
  <c r="H8356" i="1"/>
  <c r="F8356" i="1"/>
  <c r="D8356" i="1"/>
  <c r="C8356" i="1"/>
  <c r="H8355" i="1"/>
  <c r="F8355" i="1"/>
  <c r="D8355" i="1"/>
  <c r="C8355" i="1"/>
  <c r="H8354" i="1"/>
  <c r="F8354" i="1"/>
  <c r="D8354" i="1"/>
  <c r="C8354" i="1"/>
  <c r="H8353" i="1"/>
  <c r="F8353" i="1"/>
  <c r="D8353" i="1"/>
  <c r="C8353" i="1"/>
  <c r="H8352" i="1"/>
  <c r="F8352" i="1"/>
  <c r="D8352" i="1"/>
  <c r="C8352" i="1"/>
  <c r="H8351" i="1"/>
  <c r="F8351" i="1"/>
  <c r="D8351" i="1"/>
  <c r="C8351" i="1"/>
  <c r="H8350" i="1"/>
  <c r="F8350" i="1"/>
  <c r="D8350" i="1"/>
  <c r="C8350" i="1"/>
  <c r="H8349" i="1"/>
  <c r="F8349" i="1"/>
  <c r="D8349" i="1"/>
  <c r="C8349" i="1"/>
  <c r="H8348" i="1"/>
  <c r="F8348" i="1"/>
  <c r="D8348" i="1"/>
  <c r="C8348" i="1"/>
  <c r="H8347" i="1"/>
  <c r="F8347" i="1"/>
  <c r="D8347" i="1"/>
  <c r="C8347" i="1"/>
  <c r="H8346" i="1"/>
  <c r="F8346" i="1"/>
  <c r="D8346" i="1"/>
  <c r="C8346" i="1"/>
  <c r="H8345" i="1"/>
  <c r="F8345" i="1"/>
  <c r="D8345" i="1"/>
  <c r="C8345" i="1"/>
  <c r="H8344" i="1"/>
  <c r="F8344" i="1"/>
  <c r="D8344" i="1"/>
  <c r="C8344" i="1"/>
  <c r="H8343" i="1"/>
  <c r="F8343" i="1"/>
  <c r="D8343" i="1"/>
  <c r="C8343" i="1"/>
  <c r="H8342" i="1"/>
  <c r="F8342" i="1"/>
  <c r="D8342" i="1"/>
  <c r="C8342" i="1"/>
  <c r="H8341" i="1"/>
  <c r="F8341" i="1"/>
  <c r="D8341" i="1"/>
  <c r="C8341" i="1"/>
  <c r="H8340" i="1"/>
  <c r="F8340" i="1"/>
  <c r="D8340" i="1"/>
  <c r="C8340" i="1"/>
  <c r="H8339" i="1"/>
  <c r="F8339" i="1"/>
  <c r="D8339" i="1"/>
  <c r="C8339" i="1"/>
  <c r="H8338" i="1"/>
  <c r="F8338" i="1"/>
  <c r="D8338" i="1"/>
  <c r="C8338" i="1"/>
  <c r="H8337" i="1"/>
  <c r="F8337" i="1"/>
  <c r="D8337" i="1"/>
  <c r="C8337" i="1"/>
  <c r="H8336" i="1"/>
  <c r="F8336" i="1"/>
  <c r="D8336" i="1"/>
  <c r="C8336" i="1"/>
  <c r="H8335" i="1"/>
  <c r="F8335" i="1"/>
  <c r="D8335" i="1"/>
  <c r="C8335" i="1"/>
  <c r="H8334" i="1"/>
  <c r="F8334" i="1"/>
  <c r="D8334" i="1"/>
  <c r="C8334" i="1"/>
  <c r="H8333" i="1"/>
  <c r="F8333" i="1"/>
  <c r="D8333" i="1"/>
  <c r="C8333" i="1"/>
  <c r="H8332" i="1"/>
  <c r="F8332" i="1"/>
  <c r="D8332" i="1"/>
  <c r="C8332" i="1"/>
  <c r="H8331" i="1"/>
  <c r="F8331" i="1"/>
  <c r="D8331" i="1"/>
  <c r="C8331" i="1"/>
  <c r="H8330" i="1"/>
  <c r="F8330" i="1"/>
  <c r="D8330" i="1"/>
  <c r="C8330" i="1"/>
  <c r="H8329" i="1"/>
  <c r="F8329" i="1"/>
  <c r="D8329" i="1"/>
  <c r="C8329" i="1"/>
  <c r="H8328" i="1"/>
  <c r="F8328" i="1"/>
  <c r="D8328" i="1"/>
  <c r="C8328" i="1"/>
  <c r="H8327" i="1"/>
  <c r="F8327" i="1"/>
  <c r="D8327" i="1"/>
  <c r="C8327" i="1"/>
  <c r="H8326" i="1"/>
  <c r="F8326" i="1"/>
  <c r="D8326" i="1"/>
  <c r="C8326" i="1"/>
  <c r="H8325" i="1"/>
  <c r="F8325" i="1"/>
  <c r="D8325" i="1"/>
  <c r="C8325" i="1"/>
  <c r="H8324" i="1"/>
  <c r="F8324" i="1"/>
  <c r="D8324" i="1"/>
  <c r="C8324" i="1"/>
  <c r="H8323" i="1"/>
  <c r="F8323" i="1"/>
  <c r="D8323" i="1"/>
  <c r="C8323" i="1"/>
  <c r="H8322" i="1"/>
  <c r="F8322" i="1"/>
  <c r="D8322" i="1"/>
  <c r="C8322" i="1"/>
  <c r="H8321" i="1"/>
  <c r="F8321" i="1"/>
  <c r="D8321" i="1"/>
  <c r="C8321" i="1"/>
  <c r="H8320" i="1"/>
  <c r="F8320" i="1"/>
  <c r="D8320" i="1"/>
  <c r="C8320" i="1"/>
  <c r="H8319" i="1"/>
  <c r="F8319" i="1"/>
  <c r="D8319" i="1"/>
  <c r="C8319" i="1"/>
  <c r="H8318" i="1"/>
  <c r="F8318" i="1"/>
  <c r="D8318" i="1"/>
  <c r="C8318" i="1"/>
  <c r="H8317" i="1"/>
  <c r="F8317" i="1"/>
  <c r="D8317" i="1"/>
  <c r="C8317" i="1"/>
  <c r="H8316" i="1"/>
  <c r="F8316" i="1"/>
  <c r="D8316" i="1"/>
  <c r="C8316" i="1"/>
  <c r="H8315" i="1"/>
  <c r="F8315" i="1"/>
  <c r="D8315" i="1"/>
  <c r="C8315" i="1"/>
  <c r="H8314" i="1"/>
  <c r="F8314" i="1"/>
  <c r="D8314" i="1"/>
  <c r="C8314" i="1"/>
  <c r="H8313" i="1"/>
  <c r="F8313" i="1"/>
  <c r="D8313" i="1"/>
  <c r="C8313" i="1"/>
  <c r="H8312" i="1"/>
  <c r="F8312" i="1"/>
  <c r="D8312" i="1"/>
  <c r="C8312" i="1"/>
  <c r="H8311" i="1"/>
  <c r="F8311" i="1"/>
  <c r="D8311" i="1"/>
  <c r="C8311" i="1"/>
  <c r="H8310" i="1"/>
  <c r="F8310" i="1"/>
  <c r="D8310" i="1"/>
  <c r="C8310" i="1"/>
  <c r="H8309" i="1"/>
  <c r="F8309" i="1"/>
  <c r="D8309" i="1"/>
  <c r="C8309" i="1"/>
  <c r="H8308" i="1"/>
  <c r="F8308" i="1"/>
  <c r="D8308" i="1"/>
  <c r="C8308" i="1"/>
  <c r="H8307" i="1"/>
  <c r="F8307" i="1"/>
  <c r="D8307" i="1"/>
  <c r="C8307" i="1"/>
  <c r="H8306" i="1"/>
  <c r="F8306" i="1"/>
  <c r="D8306" i="1"/>
  <c r="C8306" i="1"/>
  <c r="H8305" i="1"/>
  <c r="F8305" i="1"/>
  <c r="D8305" i="1"/>
  <c r="C8305" i="1"/>
  <c r="H8304" i="1"/>
  <c r="F8304" i="1"/>
  <c r="D8304" i="1"/>
  <c r="C8304" i="1"/>
  <c r="H8303" i="1"/>
  <c r="F8303" i="1"/>
  <c r="D8303" i="1"/>
  <c r="C8303" i="1"/>
  <c r="H8302" i="1"/>
  <c r="F8302" i="1"/>
  <c r="D8302" i="1"/>
  <c r="C8302" i="1"/>
  <c r="H8301" i="1"/>
  <c r="F8301" i="1"/>
  <c r="D8301" i="1"/>
  <c r="C8301" i="1"/>
  <c r="H8300" i="1"/>
  <c r="F8300" i="1"/>
  <c r="D8300" i="1"/>
  <c r="C8300" i="1"/>
  <c r="H8299" i="1"/>
  <c r="F8299" i="1"/>
  <c r="D8299" i="1"/>
  <c r="C8299" i="1"/>
  <c r="H8298" i="1"/>
  <c r="F8298" i="1"/>
  <c r="D8298" i="1"/>
  <c r="C8298" i="1"/>
  <c r="H8297" i="1"/>
  <c r="F8297" i="1"/>
  <c r="D8297" i="1"/>
  <c r="C8297" i="1"/>
  <c r="H8296" i="1"/>
  <c r="F8296" i="1"/>
  <c r="D8296" i="1"/>
  <c r="C8296" i="1"/>
  <c r="H8295" i="1"/>
  <c r="F8295" i="1"/>
  <c r="D8295" i="1"/>
  <c r="C8295" i="1"/>
  <c r="H8294" i="1"/>
  <c r="F8294" i="1"/>
  <c r="D8294" i="1"/>
  <c r="C8294" i="1"/>
  <c r="H8293" i="1"/>
  <c r="F8293" i="1"/>
  <c r="D8293" i="1"/>
  <c r="C8293" i="1"/>
  <c r="H8292" i="1"/>
  <c r="F8292" i="1"/>
  <c r="D8292" i="1"/>
  <c r="C8292" i="1"/>
  <c r="H8291" i="1"/>
  <c r="F8291" i="1"/>
  <c r="D8291" i="1"/>
  <c r="C8291" i="1"/>
  <c r="H8290" i="1"/>
  <c r="F8290" i="1"/>
  <c r="D8290" i="1"/>
  <c r="C8290" i="1"/>
  <c r="H8289" i="1"/>
  <c r="F8289" i="1"/>
  <c r="D8289" i="1"/>
  <c r="C8289" i="1"/>
  <c r="H8288" i="1"/>
  <c r="F8288" i="1"/>
  <c r="D8288" i="1"/>
  <c r="C8288" i="1"/>
  <c r="H8287" i="1"/>
  <c r="F8287" i="1"/>
  <c r="D8287" i="1"/>
  <c r="C8287" i="1"/>
  <c r="H8286" i="1"/>
  <c r="F8286" i="1"/>
  <c r="D8286" i="1"/>
  <c r="C8286" i="1"/>
  <c r="H8285" i="1"/>
  <c r="F8285" i="1"/>
  <c r="D8285" i="1"/>
  <c r="C8285" i="1"/>
  <c r="H8284" i="1"/>
  <c r="F8284" i="1"/>
  <c r="D8284" i="1"/>
  <c r="C8284" i="1"/>
  <c r="H8283" i="1"/>
  <c r="F8283" i="1"/>
  <c r="D8283" i="1"/>
  <c r="C8283" i="1"/>
  <c r="H8282" i="1"/>
  <c r="F8282" i="1"/>
  <c r="D8282" i="1"/>
  <c r="C8282" i="1"/>
  <c r="H8281" i="1"/>
  <c r="F8281" i="1"/>
  <c r="D8281" i="1"/>
  <c r="C8281" i="1"/>
  <c r="H8280" i="1"/>
  <c r="F8280" i="1"/>
  <c r="D8280" i="1"/>
  <c r="C8280" i="1"/>
  <c r="H8279" i="1"/>
  <c r="F8279" i="1"/>
  <c r="D8279" i="1"/>
  <c r="C8279" i="1"/>
  <c r="H8278" i="1"/>
  <c r="F8278" i="1"/>
  <c r="D8278" i="1"/>
  <c r="C8278" i="1"/>
  <c r="H8277" i="1"/>
  <c r="F8277" i="1"/>
  <c r="D8277" i="1"/>
  <c r="C8277" i="1"/>
  <c r="H8276" i="1"/>
  <c r="F8276" i="1"/>
  <c r="D8276" i="1"/>
  <c r="C8276" i="1"/>
  <c r="H8275" i="1"/>
  <c r="F8275" i="1"/>
  <c r="D8275" i="1"/>
  <c r="C8275" i="1"/>
  <c r="H8274" i="1"/>
  <c r="F8274" i="1"/>
  <c r="D8274" i="1"/>
  <c r="C8274" i="1"/>
  <c r="H8273" i="1"/>
  <c r="F8273" i="1"/>
  <c r="D8273" i="1"/>
  <c r="C8273" i="1"/>
  <c r="H8272" i="1"/>
  <c r="F8272" i="1"/>
  <c r="D8272" i="1"/>
  <c r="C8272" i="1"/>
  <c r="H8271" i="1"/>
  <c r="F8271" i="1"/>
  <c r="D8271" i="1"/>
  <c r="C8271" i="1"/>
  <c r="H8270" i="1"/>
  <c r="F8270" i="1"/>
  <c r="D8270" i="1"/>
  <c r="C8270" i="1"/>
  <c r="H8269" i="1"/>
  <c r="F8269" i="1"/>
  <c r="D8269" i="1"/>
  <c r="C8269" i="1"/>
  <c r="H8268" i="1"/>
  <c r="F8268" i="1"/>
  <c r="D8268" i="1"/>
  <c r="C8268" i="1"/>
  <c r="H8267" i="1"/>
  <c r="F8267" i="1"/>
  <c r="D8267" i="1"/>
  <c r="C8267" i="1"/>
  <c r="H8266" i="1"/>
  <c r="F8266" i="1"/>
  <c r="D8266" i="1"/>
  <c r="C8266" i="1"/>
  <c r="H8265" i="1"/>
  <c r="F8265" i="1"/>
  <c r="D8265" i="1"/>
  <c r="C8265" i="1"/>
  <c r="H8264" i="1"/>
  <c r="F8264" i="1"/>
  <c r="D8264" i="1"/>
  <c r="C8264" i="1"/>
  <c r="H8263" i="1"/>
  <c r="F8263" i="1"/>
  <c r="D8263" i="1"/>
  <c r="C8263" i="1"/>
  <c r="H8262" i="1"/>
  <c r="F8262" i="1"/>
  <c r="D8262" i="1"/>
  <c r="C8262" i="1"/>
  <c r="H8261" i="1"/>
  <c r="F8261" i="1"/>
  <c r="D8261" i="1"/>
  <c r="C8261" i="1"/>
  <c r="H8260" i="1"/>
  <c r="F8260" i="1"/>
  <c r="D8260" i="1"/>
  <c r="C8260" i="1"/>
  <c r="H8259" i="1"/>
  <c r="F8259" i="1"/>
  <c r="D8259" i="1"/>
  <c r="C8259" i="1"/>
  <c r="H8258" i="1"/>
  <c r="F8258" i="1"/>
  <c r="D8258" i="1"/>
  <c r="C8258" i="1"/>
  <c r="H8257" i="1"/>
  <c r="F8257" i="1"/>
  <c r="D8257" i="1"/>
  <c r="C8257" i="1"/>
  <c r="H8256" i="1"/>
  <c r="F8256" i="1"/>
  <c r="D8256" i="1"/>
  <c r="C8256" i="1"/>
  <c r="H8255" i="1"/>
  <c r="F8255" i="1"/>
  <c r="D8255" i="1"/>
  <c r="C8255" i="1"/>
  <c r="H8254" i="1"/>
  <c r="F8254" i="1"/>
  <c r="D8254" i="1"/>
  <c r="C8254" i="1"/>
  <c r="H8253" i="1"/>
  <c r="F8253" i="1"/>
  <c r="D8253" i="1"/>
  <c r="C8253" i="1"/>
  <c r="H8252" i="1"/>
  <c r="F8252" i="1"/>
  <c r="D8252" i="1"/>
  <c r="C8252" i="1"/>
  <c r="H8251" i="1"/>
  <c r="F8251" i="1"/>
  <c r="D8251" i="1"/>
  <c r="C8251" i="1"/>
  <c r="H8250" i="1"/>
  <c r="F8250" i="1"/>
  <c r="D8250" i="1"/>
  <c r="C8250" i="1"/>
  <c r="H8249" i="1"/>
  <c r="F8249" i="1"/>
  <c r="D8249" i="1"/>
  <c r="C8249" i="1"/>
  <c r="H8248" i="1"/>
  <c r="F8248" i="1"/>
  <c r="D8248" i="1"/>
  <c r="C8248" i="1"/>
  <c r="H8247" i="1"/>
  <c r="F8247" i="1"/>
  <c r="D8247" i="1"/>
  <c r="C8247" i="1"/>
  <c r="H8246" i="1"/>
  <c r="F8246" i="1"/>
  <c r="D8246" i="1"/>
  <c r="C8246" i="1"/>
  <c r="H8245" i="1"/>
  <c r="F8245" i="1"/>
  <c r="D8245" i="1"/>
  <c r="C8245" i="1"/>
  <c r="H8244" i="1"/>
  <c r="F8244" i="1"/>
  <c r="D8244" i="1"/>
  <c r="C8244" i="1"/>
  <c r="H8243" i="1"/>
  <c r="F8243" i="1"/>
  <c r="D8243" i="1"/>
  <c r="C8243" i="1"/>
  <c r="H8242" i="1"/>
  <c r="F8242" i="1"/>
  <c r="D8242" i="1"/>
  <c r="C8242" i="1"/>
  <c r="H8241" i="1"/>
  <c r="F8241" i="1"/>
  <c r="D8241" i="1"/>
  <c r="C8241" i="1"/>
  <c r="H8240" i="1"/>
  <c r="F8240" i="1"/>
  <c r="D8240" i="1"/>
  <c r="C8240" i="1"/>
  <c r="H8239" i="1"/>
  <c r="F8239" i="1"/>
  <c r="D8239" i="1"/>
  <c r="C8239" i="1"/>
  <c r="H8238" i="1"/>
  <c r="F8238" i="1"/>
  <c r="D8238" i="1"/>
  <c r="C8238" i="1"/>
  <c r="H8237" i="1"/>
  <c r="F8237" i="1"/>
  <c r="D8237" i="1"/>
  <c r="C8237" i="1"/>
  <c r="H8236" i="1"/>
  <c r="F8236" i="1"/>
  <c r="D8236" i="1"/>
  <c r="C8236" i="1"/>
  <c r="H8235" i="1"/>
  <c r="F8235" i="1"/>
  <c r="D8235" i="1"/>
  <c r="C8235" i="1"/>
  <c r="H8234" i="1"/>
  <c r="F8234" i="1"/>
  <c r="D8234" i="1"/>
  <c r="C8234" i="1"/>
  <c r="H8233" i="1"/>
  <c r="F8233" i="1"/>
  <c r="D8233" i="1"/>
  <c r="C8233" i="1"/>
  <c r="H8232" i="1"/>
  <c r="F8232" i="1"/>
  <c r="D8232" i="1"/>
  <c r="C8232" i="1"/>
  <c r="H8231" i="1"/>
  <c r="F8231" i="1"/>
  <c r="D8231" i="1"/>
  <c r="C8231" i="1"/>
  <c r="H8230" i="1"/>
  <c r="F8230" i="1"/>
  <c r="D8230" i="1"/>
  <c r="C8230" i="1"/>
  <c r="H8229" i="1"/>
  <c r="F8229" i="1"/>
  <c r="D8229" i="1"/>
  <c r="C8229" i="1"/>
  <c r="H8228" i="1"/>
  <c r="F8228" i="1"/>
  <c r="D8228" i="1"/>
  <c r="C8228" i="1"/>
  <c r="H8227" i="1"/>
  <c r="F8227" i="1"/>
  <c r="D8227" i="1"/>
  <c r="C8227" i="1"/>
  <c r="H8226" i="1"/>
  <c r="F8226" i="1"/>
  <c r="D8226" i="1"/>
  <c r="C8226" i="1"/>
  <c r="H8225" i="1"/>
  <c r="F8225" i="1"/>
  <c r="D8225" i="1"/>
  <c r="C8225" i="1"/>
  <c r="H8224" i="1"/>
  <c r="F8224" i="1"/>
  <c r="D8224" i="1"/>
  <c r="C8224" i="1"/>
  <c r="H8223" i="1"/>
  <c r="F8223" i="1"/>
  <c r="D8223" i="1"/>
  <c r="C8223" i="1"/>
  <c r="H8222" i="1"/>
  <c r="F8222" i="1"/>
  <c r="D8222" i="1"/>
  <c r="C8222" i="1"/>
  <c r="H8221" i="1"/>
  <c r="F8221" i="1"/>
  <c r="D8221" i="1"/>
  <c r="C8221" i="1"/>
  <c r="H8220" i="1"/>
  <c r="F8220" i="1"/>
  <c r="D8220" i="1"/>
  <c r="C8220" i="1"/>
  <c r="H8219" i="1"/>
  <c r="F8219" i="1"/>
  <c r="D8219" i="1"/>
  <c r="C8219" i="1"/>
  <c r="H8218" i="1"/>
  <c r="F8218" i="1"/>
  <c r="D8218" i="1"/>
  <c r="C8218" i="1"/>
  <c r="H8217" i="1"/>
  <c r="F8217" i="1"/>
  <c r="D8217" i="1"/>
  <c r="C8217" i="1"/>
  <c r="H8216" i="1"/>
  <c r="F8216" i="1"/>
  <c r="D8216" i="1"/>
  <c r="C8216" i="1"/>
  <c r="H8215" i="1"/>
  <c r="F8215" i="1"/>
  <c r="D8215" i="1"/>
  <c r="C8215" i="1"/>
  <c r="H8214" i="1"/>
  <c r="F8214" i="1"/>
  <c r="D8214" i="1"/>
  <c r="C8214" i="1"/>
  <c r="H8213" i="1"/>
  <c r="F8213" i="1"/>
  <c r="D8213" i="1"/>
  <c r="C8213" i="1"/>
  <c r="H8212" i="1"/>
  <c r="F8212" i="1"/>
  <c r="D8212" i="1"/>
  <c r="C8212" i="1"/>
  <c r="H8211" i="1"/>
  <c r="F8211" i="1"/>
  <c r="D8211" i="1"/>
  <c r="C8211" i="1"/>
  <c r="H8210" i="1"/>
  <c r="F8210" i="1"/>
  <c r="D8210" i="1"/>
  <c r="C8210" i="1"/>
  <c r="H8209" i="1"/>
  <c r="F8209" i="1"/>
  <c r="D8209" i="1"/>
  <c r="C8209" i="1"/>
  <c r="H8208" i="1"/>
  <c r="F8208" i="1"/>
  <c r="D8208" i="1"/>
  <c r="C8208" i="1"/>
  <c r="H8207" i="1"/>
  <c r="F8207" i="1"/>
  <c r="D8207" i="1"/>
  <c r="C8207" i="1"/>
  <c r="H8206" i="1"/>
  <c r="F8206" i="1"/>
  <c r="D8206" i="1"/>
  <c r="C8206" i="1"/>
  <c r="H8205" i="1"/>
  <c r="F8205" i="1"/>
  <c r="D8205" i="1"/>
  <c r="C8205" i="1"/>
  <c r="H8204" i="1"/>
  <c r="F8204" i="1"/>
  <c r="D8204" i="1"/>
  <c r="C8204" i="1"/>
  <c r="H8203" i="1"/>
  <c r="F8203" i="1"/>
  <c r="D8203" i="1"/>
  <c r="C8203" i="1"/>
  <c r="H8202" i="1"/>
  <c r="F8202" i="1"/>
  <c r="D8202" i="1"/>
  <c r="C8202" i="1"/>
  <c r="H8201" i="1"/>
  <c r="F8201" i="1"/>
  <c r="D8201" i="1"/>
  <c r="C8201" i="1"/>
  <c r="H8200" i="1"/>
  <c r="F8200" i="1"/>
  <c r="D8200" i="1"/>
  <c r="C8200" i="1"/>
  <c r="H8199" i="1"/>
  <c r="F8199" i="1"/>
  <c r="D8199" i="1"/>
  <c r="C8199" i="1"/>
  <c r="H8198" i="1"/>
  <c r="F8198" i="1"/>
  <c r="D8198" i="1"/>
  <c r="C8198" i="1"/>
  <c r="H8197" i="1"/>
  <c r="F8197" i="1"/>
  <c r="D8197" i="1"/>
  <c r="C8197" i="1"/>
  <c r="H8196" i="1"/>
  <c r="F8196" i="1"/>
  <c r="D8196" i="1"/>
  <c r="C8196" i="1"/>
  <c r="H8195" i="1"/>
  <c r="F8195" i="1"/>
  <c r="D8195" i="1"/>
  <c r="C8195" i="1"/>
  <c r="H8194" i="1"/>
  <c r="F8194" i="1"/>
  <c r="D8194" i="1"/>
  <c r="C8194" i="1"/>
  <c r="H8193" i="1"/>
  <c r="F8193" i="1"/>
  <c r="D8193" i="1"/>
  <c r="C8193" i="1"/>
  <c r="H8192" i="1"/>
  <c r="F8192" i="1"/>
  <c r="D8192" i="1"/>
  <c r="C8192" i="1"/>
  <c r="H8191" i="1"/>
  <c r="F8191" i="1"/>
  <c r="D8191" i="1"/>
  <c r="C8191" i="1"/>
  <c r="H8190" i="1"/>
  <c r="F8190" i="1"/>
  <c r="D8190" i="1"/>
  <c r="C8190" i="1"/>
  <c r="H8189" i="1"/>
  <c r="F8189" i="1"/>
  <c r="D8189" i="1"/>
  <c r="C8189" i="1"/>
  <c r="H8188" i="1"/>
  <c r="F8188" i="1"/>
  <c r="D8188" i="1"/>
  <c r="C8188" i="1"/>
  <c r="H8187" i="1"/>
  <c r="F8187" i="1"/>
  <c r="D8187" i="1"/>
  <c r="C8187" i="1"/>
  <c r="H8186" i="1"/>
  <c r="F8186" i="1"/>
  <c r="D8186" i="1"/>
  <c r="C8186" i="1"/>
  <c r="H8185" i="1"/>
  <c r="F8185" i="1"/>
  <c r="D8185" i="1"/>
  <c r="C8185" i="1"/>
  <c r="H8184" i="1"/>
  <c r="F8184" i="1"/>
  <c r="D8184" i="1"/>
  <c r="C8184" i="1"/>
  <c r="H8183" i="1"/>
  <c r="F8183" i="1"/>
  <c r="D8183" i="1"/>
  <c r="C8183" i="1"/>
  <c r="H8182" i="1"/>
  <c r="F8182" i="1"/>
  <c r="D8182" i="1"/>
  <c r="C8182" i="1"/>
  <c r="H8181" i="1"/>
  <c r="F8181" i="1"/>
  <c r="D8181" i="1"/>
  <c r="C8181" i="1"/>
  <c r="H8180" i="1"/>
  <c r="F8180" i="1"/>
  <c r="D8180" i="1"/>
  <c r="C8180" i="1"/>
  <c r="H8179" i="1"/>
  <c r="F8179" i="1"/>
  <c r="D8179" i="1"/>
  <c r="C8179" i="1"/>
  <c r="H8178" i="1"/>
  <c r="F8178" i="1"/>
  <c r="D8178" i="1"/>
  <c r="C8178" i="1"/>
  <c r="H8177" i="1"/>
  <c r="F8177" i="1"/>
  <c r="D8177" i="1"/>
  <c r="C8177" i="1"/>
  <c r="H8176" i="1"/>
  <c r="F8176" i="1"/>
  <c r="D8176" i="1"/>
  <c r="C8176" i="1"/>
  <c r="H8175" i="1"/>
  <c r="F8175" i="1"/>
  <c r="D8175" i="1"/>
  <c r="C8175" i="1"/>
  <c r="H8174" i="1"/>
  <c r="F8174" i="1"/>
  <c r="D8174" i="1"/>
  <c r="C8174" i="1"/>
  <c r="H8173" i="1"/>
  <c r="F8173" i="1"/>
  <c r="D8173" i="1"/>
  <c r="C8173" i="1"/>
  <c r="H8172" i="1"/>
  <c r="F8172" i="1"/>
  <c r="D8172" i="1"/>
  <c r="C8172" i="1"/>
  <c r="H8171" i="1"/>
  <c r="F8171" i="1"/>
  <c r="D8171" i="1"/>
  <c r="C8171" i="1"/>
  <c r="H8170" i="1"/>
  <c r="F8170" i="1"/>
  <c r="D8170" i="1"/>
  <c r="C8170" i="1"/>
  <c r="H8169" i="1"/>
  <c r="F8169" i="1"/>
  <c r="D8169" i="1"/>
  <c r="C8169" i="1"/>
  <c r="H8168" i="1"/>
  <c r="F8168" i="1"/>
  <c r="D8168" i="1"/>
  <c r="C8168" i="1"/>
  <c r="H8167" i="1"/>
  <c r="F8167" i="1"/>
  <c r="D8167" i="1"/>
  <c r="C8167" i="1"/>
  <c r="H8166" i="1"/>
  <c r="F8166" i="1"/>
  <c r="D8166" i="1"/>
  <c r="C8166" i="1"/>
  <c r="H8165" i="1"/>
  <c r="F8165" i="1"/>
  <c r="D8165" i="1"/>
  <c r="C8165" i="1"/>
  <c r="H8164" i="1"/>
  <c r="F8164" i="1"/>
  <c r="D8164" i="1"/>
  <c r="C8164" i="1"/>
  <c r="H8163" i="1"/>
  <c r="F8163" i="1"/>
  <c r="D8163" i="1"/>
  <c r="C8163" i="1"/>
  <c r="H8162" i="1"/>
  <c r="F8162" i="1"/>
  <c r="D8162" i="1"/>
  <c r="C8162" i="1"/>
  <c r="H8161" i="1"/>
  <c r="F8161" i="1"/>
  <c r="D8161" i="1"/>
  <c r="C8161" i="1"/>
  <c r="H8160" i="1"/>
  <c r="F8160" i="1"/>
  <c r="D8160" i="1"/>
  <c r="C8160" i="1"/>
  <c r="H8159" i="1"/>
  <c r="F8159" i="1"/>
  <c r="D8159" i="1"/>
  <c r="C8159" i="1"/>
  <c r="H8158" i="1"/>
  <c r="F8158" i="1"/>
  <c r="D8158" i="1"/>
  <c r="C8158" i="1"/>
  <c r="H8157" i="1"/>
  <c r="F8157" i="1"/>
  <c r="D8157" i="1"/>
  <c r="C8157" i="1"/>
  <c r="H8156" i="1"/>
  <c r="F8156" i="1"/>
  <c r="D8156" i="1"/>
  <c r="C8156" i="1"/>
  <c r="H8155" i="1"/>
  <c r="F8155" i="1"/>
  <c r="D8155" i="1"/>
  <c r="C8155" i="1"/>
  <c r="H8154" i="1"/>
  <c r="F8154" i="1"/>
  <c r="D8154" i="1"/>
  <c r="C8154" i="1"/>
  <c r="H8153" i="1"/>
  <c r="F8153" i="1"/>
  <c r="D8153" i="1"/>
  <c r="C8153" i="1"/>
  <c r="H8152" i="1"/>
  <c r="F8152" i="1"/>
  <c r="D8152" i="1"/>
  <c r="C8152" i="1"/>
  <c r="H8151" i="1"/>
  <c r="F8151" i="1"/>
  <c r="D8151" i="1"/>
  <c r="C8151" i="1"/>
  <c r="H8150" i="1"/>
  <c r="F8150" i="1"/>
  <c r="D8150" i="1"/>
  <c r="C8150" i="1"/>
  <c r="H8149" i="1"/>
  <c r="F8149" i="1"/>
  <c r="D8149" i="1"/>
  <c r="C8149" i="1"/>
  <c r="H8148" i="1"/>
  <c r="F8148" i="1"/>
  <c r="D8148" i="1"/>
  <c r="C8148" i="1"/>
  <c r="H8147" i="1"/>
  <c r="F8147" i="1"/>
  <c r="D8147" i="1"/>
  <c r="C8147" i="1"/>
  <c r="H8146" i="1"/>
  <c r="F8146" i="1"/>
  <c r="D8146" i="1"/>
  <c r="C8146" i="1"/>
  <c r="H8145" i="1"/>
  <c r="F8145" i="1"/>
  <c r="D8145" i="1"/>
  <c r="C8145" i="1"/>
  <c r="H8144" i="1"/>
  <c r="F8144" i="1"/>
  <c r="D8144" i="1"/>
  <c r="C8144" i="1"/>
  <c r="H8143" i="1"/>
  <c r="F8143" i="1"/>
  <c r="D8143" i="1"/>
  <c r="C8143" i="1"/>
  <c r="H8142" i="1"/>
  <c r="F8142" i="1"/>
  <c r="D8142" i="1"/>
  <c r="C8142" i="1"/>
  <c r="H8141" i="1"/>
  <c r="F8141" i="1"/>
  <c r="D8141" i="1"/>
  <c r="C8141" i="1"/>
  <c r="H8140" i="1"/>
  <c r="F8140" i="1"/>
  <c r="D8140" i="1"/>
  <c r="C8140" i="1"/>
  <c r="H8139" i="1"/>
  <c r="F8139" i="1"/>
  <c r="D8139" i="1"/>
  <c r="C8139" i="1"/>
  <c r="H8138" i="1"/>
  <c r="F8138" i="1"/>
  <c r="D8138" i="1"/>
  <c r="C8138" i="1"/>
  <c r="H8137" i="1"/>
  <c r="F8137" i="1"/>
  <c r="D8137" i="1"/>
  <c r="C8137" i="1"/>
  <c r="H8136" i="1"/>
  <c r="F8136" i="1"/>
  <c r="D8136" i="1"/>
  <c r="C8136" i="1"/>
  <c r="H8135" i="1"/>
  <c r="F8135" i="1"/>
  <c r="D8135" i="1"/>
  <c r="C8135" i="1"/>
  <c r="H8134" i="1"/>
  <c r="F8134" i="1"/>
  <c r="D8134" i="1"/>
  <c r="C8134" i="1"/>
  <c r="H8133" i="1"/>
  <c r="F8133" i="1"/>
  <c r="D8133" i="1"/>
  <c r="C8133" i="1"/>
  <c r="H8132" i="1"/>
  <c r="F8132" i="1"/>
  <c r="D8132" i="1"/>
  <c r="C8132" i="1"/>
  <c r="H8131" i="1"/>
  <c r="F8131" i="1"/>
  <c r="D8131" i="1"/>
  <c r="C8131" i="1"/>
  <c r="H8130" i="1"/>
  <c r="F8130" i="1"/>
  <c r="D8130" i="1"/>
  <c r="C8130" i="1"/>
  <c r="H8129" i="1"/>
  <c r="F8129" i="1"/>
  <c r="D8129" i="1"/>
  <c r="C8129" i="1"/>
  <c r="H8128" i="1"/>
  <c r="F8128" i="1"/>
  <c r="D8128" i="1"/>
  <c r="C8128" i="1"/>
  <c r="H8127" i="1"/>
  <c r="F8127" i="1"/>
  <c r="D8127" i="1"/>
  <c r="C8127" i="1"/>
  <c r="H8126" i="1"/>
  <c r="F8126" i="1"/>
  <c r="D8126" i="1"/>
  <c r="C8126" i="1"/>
  <c r="H8125" i="1"/>
  <c r="F8125" i="1"/>
  <c r="D8125" i="1"/>
  <c r="C8125" i="1"/>
  <c r="H8124" i="1"/>
  <c r="F8124" i="1"/>
  <c r="D8124" i="1"/>
  <c r="C8124" i="1"/>
  <c r="H8123" i="1"/>
  <c r="F8123" i="1"/>
  <c r="D8123" i="1"/>
  <c r="C8123" i="1"/>
  <c r="H8122" i="1"/>
  <c r="F8122" i="1"/>
  <c r="D8122" i="1"/>
  <c r="C8122" i="1"/>
  <c r="H8121" i="1"/>
  <c r="F8121" i="1"/>
  <c r="D8121" i="1"/>
  <c r="C8121" i="1"/>
  <c r="H8120" i="1"/>
  <c r="F8120" i="1"/>
  <c r="D8120" i="1"/>
  <c r="C8120" i="1"/>
  <c r="H8119" i="1"/>
  <c r="F8119" i="1"/>
  <c r="D8119" i="1"/>
  <c r="C8119" i="1"/>
  <c r="H8118" i="1"/>
  <c r="F8118" i="1"/>
  <c r="D8118" i="1"/>
  <c r="C8118" i="1"/>
  <c r="H8117" i="1"/>
  <c r="F8117" i="1"/>
  <c r="D8117" i="1"/>
  <c r="C8117" i="1"/>
  <c r="H8116" i="1"/>
  <c r="F8116" i="1"/>
  <c r="D8116" i="1"/>
  <c r="C8116" i="1"/>
  <c r="H8115" i="1"/>
  <c r="F8115" i="1"/>
  <c r="D8115" i="1"/>
  <c r="C8115" i="1"/>
  <c r="H8114" i="1"/>
  <c r="F8114" i="1"/>
  <c r="D8114" i="1"/>
  <c r="C8114" i="1"/>
  <c r="H8113" i="1"/>
  <c r="F8113" i="1"/>
  <c r="D8113" i="1"/>
  <c r="C8113" i="1"/>
  <c r="H8112" i="1"/>
  <c r="F8112" i="1"/>
  <c r="D8112" i="1"/>
  <c r="C8112" i="1"/>
  <c r="H8111" i="1"/>
  <c r="F8111" i="1"/>
  <c r="D8111" i="1"/>
  <c r="C8111" i="1"/>
  <c r="H8110" i="1"/>
  <c r="F8110" i="1"/>
  <c r="D8110" i="1"/>
  <c r="C8110" i="1"/>
  <c r="H8109" i="1"/>
  <c r="F8109" i="1"/>
  <c r="D8109" i="1"/>
  <c r="C8109" i="1"/>
  <c r="H8108" i="1"/>
  <c r="F8108" i="1"/>
  <c r="D8108" i="1"/>
  <c r="C8108" i="1"/>
  <c r="H8107" i="1"/>
  <c r="F8107" i="1"/>
  <c r="D8107" i="1"/>
  <c r="C8107" i="1"/>
  <c r="H8106" i="1"/>
  <c r="F8106" i="1"/>
  <c r="D8106" i="1"/>
  <c r="C8106" i="1"/>
  <c r="H8105" i="1"/>
  <c r="F8105" i="1"/>
  <c r="D8105" i="1"/>
  <c r="C8105" i="1"/>
  <c r="H8104" i="1"/>
  <c r="F8104" i="1"/>
  <c r="D8104" i="1"/>
  <c r="C8104" i="1"/>
  <c r="H8103" i="1"/>
  <c r="F8103" i="1"/>
  <c r="D8103" i="1"/>
  <c r="C8103" i="1"/>
  <c r="H8102" i="1"/>
  <c r="F8102" i="1"/>
  <c r="D8102" i="1"/>
  <c r="C8102" i="1"/>
  <c r="H8101" i="1"/>
  <c r="F8101" i="1"/>
  <c r="D8101" i="1"/>
  <c r="C8101" i="1"/>
  <c r="H8100" i="1"/>
  <c r="F8100" i="1"/>
  <c r="D8100" i="1"/>
  <c r="C8100" i="1"/>
  <c r="H8099" i="1"/>
  <c r="F8099" i="1"/>
  <c r="D8099" i="1"/>
  <c r="C8099" i="1"/>
  <c r="H8098" i="1"/>
  <c r="F8098" i="1"/>
  <c r="D8098" i="1"/>
  <c r="C8098" i="1"/>
  <c r="H8097" i="1"/>
  <c r="F8097" i="1"/>
  <c r="D8097" i="1"/>
  <c r="C8097" i="1"/>
  <c r="H8096" i="1"/>
  <c r="F8096" i="1"/>
  <c r="D8096" i="1"/>
  <c r="C8096" i="1"/>
  <c r="H8095" i="1"/>
  <c r="F8095" i="1"/>
  <c r="D8095" i="1"/>
  <c r="C8095" i="1"/>
  <c r="H8094" i="1"/>
  <c r="F8094" i="1"/>
  <c r="D8094" i="1"/>
  <c r="C8094" i="1"/>
  <c r="H8093" i="1"/>
  <c r="F8093" i="1"/>
  <c r="D8093" i="1"/>
  <c r="C8093" i="1"/>
  <c r="H8092" i="1"/>
  <c r="F8092" i="1"/>
  <c r="D8092" i="1"/>
  <c r="C8092" i="1"/>
  <c r="H8091" i="1"/>
  <c r="F8091" i="1"/>
  <c r="D8091" i="1"/>
  <c r="C8091" i="1"/>
  <c r="H8090" i="1"/>
  <c r="F8090" i="1"/>
  <c r="D8090" i="1"/>
  <c r="C8090" i="1"/>
  <c r="H8089" i="1"/>
  <c r="F8089" i="1"/>
  <c r="D8089" i="1"/>
  <c r="C8089" i="1"/>
  <c r="H8088" i="1"/>
  <c r="F8088" i="1"/>
  <c r="D8088" i="1"/>
  <c r="C8088" i="1"/>
  <c r="H8087" i="1"/>
  <c r="F8087" i="1"/>
  <c r="D8087" i="1"/>
  <c r="C8087" i="1"/>
  <c r="H8086" i="1"/>
  <c r="F8086" i="1"/>
  <c r="D8086" i="1"/>
  <c r="C8086" i="1"/>
  <c r="H8085" i="1"/>
  <c r="F8085" i="1"/>
  <c r="D8085" i="1"/>
  <c r="C8085" i="1"/>
  <c r="H8084" i="1"/>
  <c r="F8084" i="1"/>
  <c r="D8084" i="1"/>
  <c r="C8084" i="1"/>
  <c r="H8083" i="1"/>
  <c r="F8083" i="1"/>
  <c r="D8083" i="1"/>
  <c r="C8083" i="1"/>
  <c r="H8082" i="1"/>
  <c r="F8082" i="1"/>
  <c r="D8082" i="1"/>
  <c r="C8082" i="1"/>
  <c r="H8081" i="1"/>
  <c r="F8081" i="1"/>
  <c r="D8081" i="1"/>
  <c r="C8081" i="1"/>
  <c r="H8080" i="1"/>
  <c r="F8080" i="1"/>
  <c r="D8080" i="1"/>
  <c r="C8080" i="1"/>
  <c r="H8079" i="1"/>
  <c r="F8079" i="1"/>
  <c r="D8079" i="1"/>
  <c r="C8079" i="1"/>
  <c r="H8078" i="1"/>
  <c r="F8078" i="1"/>
  <c r="D8078" i="1"/>
  <c r="C8078" i="1"/>
  <c r="H8077" i="1"/>
  <c r="F8077" i="1"/>
  <c r="D8077" i="1"/>
  <c r="C8077" i="1"/>
  <c r="H8076" i="1"/>
  <c r="F8076" i="1"/>
  <c r="D8076" i="1"/>
  <c r="C8076" i="1"/>
  <c r="H8075" i="1"/>
  <c r="F8075" i="1"/>
  <c r="D8075" i="1"/>
  <c r="C8075" i="1"/>
  <c r="H8074" i="1"/>
  <c r="F8074" i="1"/>
  <c r="D8074" i="1"/>
  <c r="C8074" i="1"/>
  <c r="H8073" i="1"/>
  <c r="F8073" i="1"/>
  <c r="D8073" i="1"/>
  <c r="C8073" i="1"/>
  <c r="H8072" i="1"/>
  <c r="F8072" i="1"/>
  <c r="D8072" i="1"/>
  <c r="C8072" i="1"/>
  <c r="H8071" i="1"/>
  <c r="F8071" i="1"/>
  <c r="D8071" i="1"/>
  <c r="C8071" i="1"/>
  <c r="H8070" i="1"/>
  <c r="F8070" i="1"/>
  <c r="D8070" i="1"/>
  <c r="C8070" i="1"/>
  <c r="H8069" i="1"/>
  <c r="F8069" i="1"/>
  <c r="D8069" i="1"/>
  <c r="C8069" i="1"/>
  <c r="H8068" i="1"/>
  <c r="F8068" i="1"/>
  <c r="D8068" i="1"/>
  <c r="C8068" i="1"/>
  <c r="H8067" i="1"/>
  <c r="F8067" i="1"/>
  <c r="D8067" i="1"/>
  <c r="C8067" i="1"/>
  <c r="H8066" i="1"/>
  <c r="F8066" i="1"/>
  <c r="D8066" i="1"/>
  <c r="C8066" i="1"/>
  <c r="H8065" i="1"/>
  <c r="F8065" i="1"/>
  <c r="D8065" i="1"/>
  <c r="C8065" i="1"/>
  <c r="H8064" i="1"/>
  <c r="F8064" i="1"/>
  <c r="D8064" i="1"/>
  <c r="C8064" i="1"/>
  <c r="H8063" i="1"/>
  <c r="F8063" i="1"/>
  <c r="D8063" i="1"/>
  <c r="C8063" i="1"/>
  <c r="H8062" i="1"/>
  <c r="F8062" i="1"/>
  <c r="D8062" i="1"/>
  <c r="C8062" i="1"/>
  <c r="H8061" i="1"/>
  <c r="F8061" i="1"/>
  <c r="D8061" i="1"/>
  <c r="C8061" i="1"/>
  <c r="H8060" i="1"/>
  <c r="F8060" i="1"/>
  <c r="D8060" i="1"/>
  <c r="C8060" i="1"/>
  <c r="H8059" i="1"/>
  <c r="F8059" i="1"/>
  <c r="D8059" i="1"/>
  <c r="C8059" i="1"/>
  <c r="H8058" i="1"/>
  <c r="F8058" i="1"/>
  <c r="D8058" i="1"/>
  <c r="C8058" i="1"/>
  <c r="H8057" i="1"/>
  <c r="F8057" i="1"/>
  <c r="D8057" i="1"/>
  <c r="C8057" i="1"/>
  <c r="H8056" i="1"/>
  <c r="F8056" i="1"/>
  <c r="D8056" i="1"/>
  <c r="C8056" i="1"/>
  <c r="H8055" i="1"/>
  <c r="F8055" i="1"/>
  <c r="D8055" i="1"/>
  <c r="C8055" i="1"/>
  <c r="H8054" i="1"/>
  <c r="F8054" i="1"/>
  <c r="D8054" i="1"/>
  <c r="C8054" i="1"/>
  <c r="H8053" i="1"/>
  <c r="F8053" i="1"/>
  <c r="D8053" i="1"/>
  <c r="C8053" i="1"/>
  <c r="H8052" i="1"/>
  <c r="F8052" i="1"/>
  <c r="D8052" i="1"/>
  <c r="C8052" i="1"/>
  <c r="H8051" i="1"/>
  <c r="F8051" i="1"/>
  <c r="D8051" i="1"/>
  <c r="C8051" i="1"/>
  <c r="H8050" i="1"/>
  <c r="F8050" i="1"/>
  <c r="D8050" i="1"/>
  <c r="C8050" i="1"/>
  <c r="H8049" i="1"/>
  <c r="F8049" i="1"/>
  <c r="D8049" i="1"/>
  <c r="C8049" i="1"/>
  <c r="H8048" i="1"/>
  <c r="F8048" i="1"/>
  <c r="D8048" i="1"/>
  <c r="C8048" i="1"/>
  <c r="H8047" i="1"/>
  <c r="F8047" i="1"/>
  <c r="D8047" i="1"/>
  <c r="C8047" i="1"/>
  <c r="H8046" i="1"/>
  <c r="F8046" i="1"/>
  <c r="D8046" i="1"/>
  <c r="C8046" i="1"/>
  <c r="H8045" i="1"/>
  <c r="F8045" i="1"/>
  <c r="D8045" i="1"/>
  <c r="C8045" i="1"/>
  <c r="H8044" i="1"/>
  <c r="F8044" i="1"/>
  <c r="D8044" i="1"/>
  <c r="C8044" i="1"/>
  <c r="H8043" i="1"/>
  <c r="F8043" i="1"/>
  <c r="D8043" i="1"/>
  <c r="C8043" i="1"/>
  <c r="H8042" i="1"/>
  <c r="F8042" i="1"/>
  <c r="D8042" i="1"/>
  <c r="C8042" i="1"/>
  <c r="H8041" i="1"/>
  <c r="F8041" i="1"/>
  <c r="D8041" i="1"/>
  <c r="C8041" i="1"/>
  <c r="H8040" i="1"/>
  <c r="F8040" i="1"/>
  <c r="D8040" i="1"/>
  <c r="C8040" i="1"/>
  <c r="H8039" i="1"/>
  <c r="F8039" i="1"/>
  <c r="D8039" i="1"/>
  <c r="C8039" i="1"/>
  <c r="H8038" i="1"/>
  <c r="F8038" i="1"/>
  <c r="D8038" i="1"/>
  <c r="C8038" i="1"/>
  <c r="H8037" i="1"/>
  <c r="F8037" i="1"/>
  <c r="D8037" i="1"/>
  <c r="C8037" i="1"/>
  <c r="H8036" i="1"/>
  <c r="F8036" i="1"/>
  <c r="D8036" i="1"/>
  <c r="C8036" i="1"/>
  <c r="H8035" i="1"/>
  <c r="F8035" i="1"/>
  <c r="D8035" i="1"/>
  <c r="C8035" i="1"/>
  <c r="H8034" i="1"/>
  <c r="F8034" i="1"/>
  <c r="D8034" i="1"/>
  <c r="C8034" i="1"/>
  <c r="H8033" i="1"/>
  <c r="F8033" i="1"/>
  <c r="D8033" i="1"/>
  <c r="C8033" i="1"/>
  <c r="H8032" i="1"/>
  <c r="F8032" i="1"/>
  <c r="D8032" i="1"/>
  <c r="C8032" i="1"/>
  <c r="H8031" i="1"/>
  <c r="F8031" i="1"/>
  <c r="D8031" i="1"/>
  <c r="C8031" i="1"/>
  <c r="H8030" i="1"/>
  <c r="F8030" i="1"/>
  <c r="D8030" i="1"/>
  <c r="C8030" i="1"/>
  <c r="H8029" i="1"/>
  <c r="F8029" i="1"/>
  <c r="D8029" i="1"/>
  <c r="C8029" i="1"/>
  <c r="H8028" i="1"/>
  <c r="F8028" i="1"/>
  <c r="D8028" i="1"/>
  <c r="C8028" i="1"/>
  <c r="H8027" i="1"/>
  <c r="F8027" i="1"/>
  <c r="D8027" i="1"/>
  <c r="C8027" i="1"/>
  <c r="H8026" i="1"/>
  <c r="F8026" i="1"/>
  <c r="D8026" i="1"/>
  <c r="C8026" i="1"/>
  <c r="H8025" i="1"/>
  <c r="F8025" i="1"/>
  <c r="D8025" i="1"/>
  <c r="C8025" i="1"/>
  <c r="H8024" i="1"/>
  <c r="F8024" i="1"/>
  <c r="D8024" i="1"/>
  <c r="C8024" i="1"/>
  <c r="H8023" i="1"/>
  <c r="F8023" i="1"/>
  <c r="D8023" i="1"/>
  <c r="C8023" i="1"/>
  <c r="H8022" i="1"/>
  <c r="F8022" i="1"/>
  <c r="D8022" i="1"/>
  <c r="C8022" i="1"/>
  <c r="H8021" i="1"/>
  <c r="F8021" i="1"/>
  <c r="D8021" i="1"/>
  <c r="C8021" i="1"/>
  <c r="H8020" i="1"/>
  <c r="F8020" i="1"/>
  <c r="D8020" i="1"/>
  <c r="C8020" i="1"/>
  <c r="H8019" i="1"/>
  <c r="F8019" i="1"/>
  <c r="D8019" i="1"/>
  <c r="C8019" i="1"/>
  <c r="H8018" i="1"/>
  <c r="F8018" i="1"/>
  <c r="D8018" i="1"/>
  <c r="C8018" i="1"/>
  <c r="H8017" i="1"/>
  <c r="F8017" i="1"/>
  <c r="D8017" i="1"/>
  <c r="C8017" i="1"/>
  <c r="H8016" i="1"/>
  <c r="F8016" i="1"/>
  <c r="D8016" i="1"/>
  <c r="C8016" i="1"/>
  <c r="H8015" i="1"/>
  <c r="F8015" i="1"/>
  <c r="D8015" i="1"/>
  <c r="C8015" i="1"/>
  <c r="H8014" i="1"/>
  <c r="F8014" i="1"/>
  <c r="D8014" i="1"/>
  <c r="C8014" i="1"/>
  <c r="H8013" i="1"/>
  <c r="F8013" i="1"/>
  <c r="D8013" i="1"/>
  <c r="C8013" i="1"/>
  <c r="H8012" i="1"/>
  <c r="F8012" i="1"/>
  <c r="D8012" i="1"/>
  <c r="C8012" i="1"/>
  <c r="H8011" i="1"/>
  <c r="F8011" i="1"/>
  <c r="D8011" i="1"/>
  <c r="C8011" i="1"/>
  <c r="H8010" i="1"/>
  <c r="F8010" i="1"/>
  <c r="D8010" i="1"/>
  <c r="C8010" i="1"/>
  <c r="H8009" i="1"/>
  <c r="F8009" i="1"/>
  <c r="D8009" i="1"/>
  <c r="C8009" i="1"/>
  <c r="H8008" i="1"/>
  <c r="F8008" i="1"/>
  <c r="D8008" i="1"/>
  <c r="C8008" i="1"/>
  <c r="H8007" i="1"/>
  <c r="F8007" i="1"/>
  <c r="D8007" i="1"/>
  <c r="C8007" i="1"/>
  <c r="H8006" i="1"/>
  <c r="F8006" i="1"/>
  <c r="D8006" i="1"/>
  <c r="C8006" i="1"/>
  <c r="H8005" i="1"/>
  <c r="F8005" i="1"/>
  <c r="D8005" i="1"/>
  <c r="C8005" i="1"/>
  <c r="H8004" i="1"/>
  <c r="F8004" i="1"/>
  <c r="D8004" i="1"/>
  <c r="C8004" i="1"/>
  <c r="H8003" i="1"/>
  <c r="F8003" i="1"/>
  <c r="D8003" i="1"/>
  <c r="C8003" i="1"/>
  <c r="H8002" i="1"/>
  <c r="F8002" i="1"/>
  <c r="D8002" i="1"/>
  <c r="C8002" i="1"/>
  <c r="H8001" i="1"/>
  <c r="F8001" i="1"/>
  <c r="D8001" i="1"/>
  <c r="C8001" i="1"/>
  <c r="H8000" i="1"/>
  <c r="F8000" i="1"/>
  <c r="D8000" i="1"/>
  <c r="C8000" i="1"/>
  <c r="H7999" i="1"/>
  <c r="F7999" i="1"/>
  <c r="D7999" i="1"/>
  <c r="C7999" i="1"/>
  <c r="H7998" i="1"/>
  <c r="F7998" i="1"/>
  <c r="D7998" i="1"/>
  <c r="C7998" i="1"/>
  <c r="H7997" i="1"/>
  <c r="F7997" i="1"/>
  <c r="D7997" i="1"/>
  <c r="C7997" i="1"/>
  <c r="H7996" i="1"/>
  <c r="F7996" i="1"/>
  <c r="D7996" i="1"/>
  <c r="C7996" i="1"/>
  <c r="H7995" i="1"/>
  <c r="F7995" i="1"/>
  <c r="D7995" i="1"/>
  <c r="C7995" i="1"/>
  <c r="H7994" i="1"/>
  <c r="F7994" i="1"/>
  <c r="D7994" i="1"/>
  <c r="C7994" i="1"/>
  <c r="H7993" i="1"/>
  <c r="F7993" i="1"/>
  <c r="D7993" i="1"/>
  <c r="C7993" i="1"/>
  <c r="H7992" i="1"/>
  <c r="F7992" i="1"/>
  <c r="D7992" i="1"/>
  <c r="C7992" i="1"/>
  <c r="H7991" i="1"/>
  <c r="F7991" i="1"/>
  <c r="D7991" i="1"/>
  <c r="C7991" i="1"/>
  <c r="H7990" i="1"/>
  <c r="F7990" i="1"/>
  <c r="D7990" i="1"/>
  <c r="C7990" i="1"/>
  <c r="H7989" i="1"/>
  <c r="F7989" i="1"/>
  <c r="D7989" i="1"/>
  <c r="C7989" i="1"/>
  <c r="H7988" i="1"/>
  <c r="F7988" i="1"/>
  <c r="D7988" i="1"/>
  <c r="C7988" i="1"/>
  <c r="H7987" i="1"/>
  <c r="F7987" i="1"/>
  <c r="D7987" i="1"/>
  <c r="C7987" i="1"/>
  <c r="H7986" i="1"/>
  <c r="F7986" i="1"/>
  <c r="D7986" i="1"/>
  <c r="C7986" i="1"/>
  <c r="H7985" i="1"/>
  <c r="F7985" i="1"/>
  <c r="D7985" i="1"/>
  <c r="C7985" i="1"/>
  <c r="H7984" i="1"/>
  <c r="F7984" i="1"/>
  <c r="D7984" i="1"/>
  <c r="C7984" i="1"/>
  <c r="H7983" i="1"/>
  <c r="F7983" i="1"/>
  <c r="D7983" i="1"/>
  <c r="C7983" i="1"/>
  <c r="H7982" i="1"/>
  <c r="F7982" i="1"/>
  <c r="D7982" i="1"/>
  <c r="C7982" i="1"/>
  <c r="H7981" i="1"/>
  <c r="F7981" i="1"/>
  <c r="D7981" i="1"/>
  <c r="C7981" i="1"/>
  <c r="H7980" i="1"/>
  <c r="F7980" i="1"/>
  <c r="D7980" i="1"/>
  <c r="C7980" i="1"/>
  <c r="H7979" i="1"/>
  <c r="F7979" i="1"/>
  <c r="D7979" i="1"/>
  <c r="C7979" i="1"/>
  <c r="H7978" i="1"/>
  <c r="F7978" i="1"/>
  <c r="D7978" i="1"/>
  <c r="C7978" i="1"/>
  <c r="H7977" i="1"/>
  <c r="F7977" i="1"/>
  <c r="D7977" i="1"/>
  <c r="C7977" i="1"/>
  <c r="H7976" i="1"/>
  <c r="F7976" i="1"/>
  <c r="D7976" i="1"/>
  <c r="C7976" i="1"/>
  <c r="H7975" i="1"/>
  <c r="F7975" i="1"/>
  <c r="D7975" i="1"/>
  <c r="C7975" i="1"/>
  <c r="H7974" i="1"/>
  <c r="F7974" i="1"/>
  <c r="D7974" i="1"/>
  <c r="C7974" i="1"/>
  <c r="H7973" i="1"/>
  <c r="F7973" i="1"/>
  <c r="D7973" i="1"/>
  <c r="C7973" i="1"/>
  <c r="H7972" i="1"/>
  <c r="F7972" i="1"/>
  <c r="D7972" i="1"/>
  <c r="C7972" i="1"/>
  <c r="H7971" i="1"/>
  <c r="F7971" i="1"/>
  <c r="D7971" i="1"/>
  <c r="C7971" i="1"/>
  <c r="H7970" i="1"/>
  <c r="F7970" i="1"/>
  <c r="D7970" i="1"/>
  <c r="C7970" i="1"/>
  <c r="H7969" i="1"/>
  <c r="F7969" i="1"/>
  <c r="D7969" i="1"/>
  <c r="C7969" i="1"/>
  <c r="H7968" i="1"/>
  <c r="F7968" i="1"/>
  <c r="D7968" i="1"/>
  <c r="C7968" i="1"/>
  <c r="H7967" i="1"/>
  <c r="F7967" i="1"/>
  <c r="D7967" i="1"/>
  <c r="C7967" i="1"/>
  <c r="H7966" i="1"/>
  <c r="F7966" i="1"/>
  <c r="D7966" i="1"/>
  <c r="C7966" i="1"/>
  <c r="H7965" i="1"/>
  <c r="F7965" i="1"/>
  <c r="D7965" i="1"/>
  <c r="C7965" i="1"/>
  <c r="H7964" i="1"/>
  <c r="F7964" i="1"/>
  <c r="D7964" i="1"/>
  <c r="C7964" i="1"/>
  <c r="H7963" i="1"/>
  <c r="F7963" i="1"/>
  <c r="D7963" i="1"/>
  <c r="C7963" i="1"/>
  <c r="H7962" i="1"/>
  <c r="F7962" i="1"/>
  <c r="D7962" i="1"/>
  <c r="C7962" i="1"/>
  <c r="H7961" i="1"/>
  <c r="F7961" i="1"/>
  <c r="D7961" i="1"/>
  <c r="C7961" i="1"/>
  <c r="H7960" i="1"/>
  <c r="F7960" i="1"/>
  <c r="D7960" i="1"/>
  <c r="C7960" i="1"/>
  <c r="H7959" i="1"/>
  <c r="F7959" i="1"/>
  <c r="D7959" i="1"/>
  <c r="C7959" i="1"/>
  <c r="H7958" i="1"/>
  <c r="F7958" i="1"/>
  <c r="D7958" i="1"/>
  <c r="C7958" i="1"/>
  <c r="H7957" i="1"/>
  <c r="F7957" i="1"/>
  <c r="D7957" i="1"/>
  <c r="C7957" i="1"/>
  <c r="H7956" i="1"/>
  <c r="F7956" i="1"/>
  <c r="D7956" i="1"/>
  <c r="C7956" i="1"/>
  <c r="H7955" i="1"/>
  <c r="F7955" i="1"/>
  <c r="D7955" i="1"/>
  <c r="C7955" i="1"/>
  <c r="H7954" i="1"/>
  <c r="F7954" i="1"/>
  <c r="D7954" i="1"/>
  <c r="C7954" i="1"/>
  <c r="H7953" i="1"/>
  <c r="F7953" i="1"/>
  <c r="D7953" i="1"/>
  <c r="C7953" i="1"/>
  <c r="H7952" i="1"/>
  <c r="F7952" i="1"/>
  <c r="D7952" i="1"/>
  <c r="C7952" i="1"/>
  <c r="H7951" i="1"/>
  <c r="F7951" i="1"/>
  <c r="D7951" i="1"/>
  <c r="C7951" i="1"/>
  <c r="H7950" i="1"/>
  <c r="F7950" i="1"/>
  <c r="D7950" i="1"/>
  <c r="C7950" i="1"/>
  <c r="H7949" i="1"/>
  <c r="F7949" i="1"/>
  <c r="D7949" i="1"/>
  <c r="C7949" i="1"/>
  <c r="H7948" i="1"/>
  <c r="F7948" i="1"/>
  <c r="D7948" i="1"/>
  <c r="C7948" i="1"/>
  <c r="H7947" i="1"/>
  <c r="F7947" i="1"/>
  <c r="D7947" i="1"/>
  <c r="C7947" i="1"/>
  <c r="H7946" i="1"/>
  <c r="F7946" i="1"/>
  <c r="D7946" i="1"/>
  <c r="C7946" i="1"/>
  <c r="H7945" i="1"/>
  <c r="F7945" i="1"/>
  <c r="D7945" i="1"/>
  <c r="C7945" i="1"/>
  <c r="H7944" i="1"/>
  <c r="F7944" i="1"/>
  <c r="D7944" i="1"/>
  <c r="C7944" i="1"/>
  <c r="H7943" i="1"/>
  <c r="F7943" i="1"/>
  <c r="D7943" i="1"/>
  <c r="C7943" i="1"/>
  <c r="H7942" i="1"/>
  <c r="F7942" i="1"/>
  <c r="D7942" i="1"/>
  <c r="C7942" i="1"/>
  <c r="H7941" i="1"/>
  <c r="F7941" i="1"/>
  <c r="D7941" i="1"/>
  <c r="C7941" i="1"/>
  <c r="H7940" i="1"/>
  <c r="F7940" i="1"/>
  <c r="D7940" i="1"/>
  <c r="C7940" i="1"/>
  <c r="H7939" i="1"/>
  <c r="F7939" i="1"/>
  <c r="D7939" i="1"/>
  <c r="C7939" i="1"/>
  <c r="H7938" i="1"/>
  <c r="F7938" i="1"/>
  <c r="D7938" i="1"/>
  <c r="C7938" i="1"/>
  <c r="H7937" i="1"/>
  <c r="F7937" i="1"/>
  <c r="D7937" i="1"/>
  <c r="C7937" i="1"/>
  <c r="H7936" i="1"/>
  <c r="F7936" i="1"/>
  <c r="D7936" i="1"/>
  <c r="C7936" i="1"/>
  <c r="H7935" i="1"/>
  <c r="F7935" i="1"/>
  <c r="D7935" i="1"/>
  <c r="C7935" i="1"/>
  <c r="H7934" i="1"/>
  <c r="F7934" i="1"/>
  <c r="D7934" i="1"/>
  <c r="C7934" i="1"/>
  <c r="H7933" i="1"/>
  <c r="F7933" i="1"/>
  <c r="D7933" i="1"/>
  <c r="C7933" i="1"/>
  <c r="H7932" i="1"/>
  <c r="F7932" i="1"/>
  <c r="D7932" i="1"/>
  <c r="C7932" i="1"/>
  <c r="H7931" i="1"/>
  <c r="F7931" i="1"/>
  <c r="D7931" i="1"/>
  <c r="C7931" i="1"/>
  <c r="H7930" i="1"/>
  <c r="F7930" i="1"/>
  <c r="D7930" i="1"/>
  <c r="C7930" i="1"/>
  <c r="H7929" i="1"/>
  <c r="F7929" i="1"/>
  <c r="D7929" i="1"/>
  <c r="C7929" i="1"/>
  <c r="H7928" i="1"/>
  <c r="F7928" i="1"/>
  <c r="D7928" i="1"/>
  <c r="C7928" i="1"/>
  <c r="H7927" i="1"/>
  <c r="F7927" i="1"/>
  <c r="D7927" i="1"/>
  <c r="C7927" i="1"/>
  <c r="H7926" i="1"/>
  <c r="F7926" i="1"/>
  <c r="D7926" i="1"/>
  <c r="C7926" i="1"/>
  <c r="H7925" i="1"/>
  <c r="F7925" i="1"/>
  <c r="D7925" i="1"/>
  <c r="C7925" i="1"/>
  <c r="H7924" i="1"/>
  <c r="F7924" i="1"/>
  <c r="D7924" i="1"/>
  <c r="C7924" i="1"/>
  <c r="H7923" i="1"/>
  <c r="F7923" i="1"/>
  <c r="D7923" i="1"/>
  <c r="C7923" i="1"/>
  <c r="H7922" i="1"/>
  <c r="F7922" i="1"/>
  <c r="D7922" i="1"/>
  <c r="C7922" i="1"/>
  <c r="H7921" i="1"/>
  <c r="F7921" i="1"/>
  <c r="D7921" i="1"/>
  <c r="C7921" i="1"/>
  <c r="H7920" i="1"/>
  <c r="F7920" i="1"/>
  <c r="D7920" i="1"/>
  <c r="C7920" i="1"/>
  <c r="H7919" i="1"/>
  <c r="F7919" i="1"/>
  <c r="D7919" i="1"/>
  <c r="C7919" i="1"/>
  <c r="H7918" i="1"/>
  <c r="F7918" i="1"/>
  <c r="D7918" i="1"/>
  <c r="C7918" i="1"/>
  <c r="H7917" i="1"/>
  <c r="F7917" i="1"/>
  <c r="D7917" i="1"/>
  <c r="C7917" i="1"/>
  <c r="H7916" i="1"/>
  <c r="F7916" i="1"/>
  <c r="D7916" i="1"/>
  <c r="C7916" i="1"/>
  <c r="H7915" i="1"/>
  <c r="F7915" i="1"/>
  <c r="D7915" i="1"/>
  <c r="C7915" i="1"/>
  <c r="H7914" i="1"/>
  <c r="F7914" i="1"/>
  <c r="D7914" i="1"/>
  <c r="C7914" i="1"/>
  <c r="H7913" i="1"/>
  <c r="F7913" i="1"/>
  <c r="D7913" i="1"/>
  <c r="C7913" i="1"/>
  <c r="H7912" i="1"/>
  <c r="F7912" i="1"/>
  <c r="D7912" i="1"/>
  <c r="C7912" i="1"/>
  <c r="H7911" i="1"/>
  <c r="F7911" i="1"/>
  <c r="D7911" i="1"/>
  <c r="C7911" i="1"/>
  <c r="H7910" i="1"/>
  <c r="F7910" i="1"/>
  <c r="D7910" i="1"/>
  <c r="C7910" i="1"/>
  <c r="H7909" i="1"/>
  <c r="F7909" i="1"/>
  <c r="D7909" i="1"/>
  <c r="C7909" i="1"/>
  <c r="H7908" i="1"/>
  <c r="F7908" i="1"/>
  <c r="D7908" i="1"/>
  <c r="C7908" i="1"/>
  <c r="H7907" i="1"/>
  <c r="F7907" i="1"/>
  <c r="D7907" i="1"/>
  <c r="C7907" i="1"/>
  <c r="H7906" i="1"/>
  <c r="F7906" i="1"/>
  <c r="D7906" i="1"/>
  <c r="C7906" i="1"/>
  <c r="H7905" i="1"/>
  <c r="F7905" i="1"/>
  <c r="D7905" i="1"/>
  <c r="C7905" i="1"/>
  <c r="H7904" i="1"/>
  <c r="F7904" i="1"/>
  <c r="D7904" i="1"/>
  <c r="C7904" i="1"/>
  <c r="H7903" i="1"/>
  <c r="F7903" i="1"/>
  <c r="D7903" i="1"/>
  <c r="C7903" i="1"/>
  <c r="H7902" i="1"/>
  <c r="F7902" i="1"/>
  <c r="D7902" i="1"/>
  <c r="C7902" i="1"/>
  <c r="H7901" i="1"/>
  <c r="F7901" i="1"/>
  <c r="D7901" i="1"/>
  <c r="C7901" i="1"/>
  <c r="H7900" i="1"/>
  <c r="F7900" i="1"/>
  <c r="D7900" i="1"/>
  <c r="C7900" i="1"/>
  <c r="H7899" i="1"/>
  <c r="F7899" i="1"/>
  <c r="D7899" i="1"/>
  <c r="C7899" i="1"/>
  <c r="H7898" i="1"/>
  <c r="F7898" i="1"/>
  <c r="D7898" i="1"/>
  <c r="C7898" i="1"/>
  <c r="H7897" i="1"/>
  <c r="F7897" i="1"/>
  <c r="D7897" i="1"/>
  <c r="C7897" i="1"/>
  <c r="H7896" i="1"/>
  <c r="F7896" i="1"/>
  <c r="D7896" i="1"/>
  <c r="C7896" i="1"/>
  <c r="H7895" i="1"/>
  <c r="F7895" i="1"/>
  <c r="D7895" i="1"/>
  <c r="C7895" i="1"/>
  <c r="H7894" i="1"/>
  <c r="F7894" i="1"/>
  <c r="D7894" i="1"/>
  <c r="C7894" i="1"/>
  <c r="H7893" i="1"/>
  <c r="F7893" i="1"/>
  <c r="D7893" i="1"/>
  <c r="C7893" i="1"/>
  <c r="H7892" i="1"/>
  <c r="F7892" i="1"/>
  <c r="D7892" i="1"/>
  <c r="C7892" i="1"/>
  <c r="H7891" i="1"/>
  <c r="F7891" i="1"/>
  <c r="D7891" i="1"/>
  <c r="C7891" i="1"/>
  <c r="H7890" i="1"/>
  <c r="F7890" i="1"/>
  <c r="D7890" i="1"/>
  <c r="C7890" i="1"/>
  <c r="H7889" i="1"/>
  <c r="F7889" i="1"/>
  <c r="D7889" i="1"/>
  <c r="C7889" i="1"/>
  <c r="H7888" i="1"/>
  <c r="F7888" i="1"/>
  <c r="D7888" i="1"/>
  <c r="C7888" i="1"/>
  <c r="H7887" i="1"/>
  <c r="F7887" i="1"/>
  <c r="D7887" i="1"/>
  <c r="C7887" i="1"/>
  <c r="H7886" i="1"/>
  <c r="F7886" i="1"/>
  <c r="D7886" i="1"/>
  <c r="C7886" i="1"/>
  <c r="H7885" i="1"/>
  <c r="F7885" i="1"/>
  <c r="D7885" i="1"/>
  <c r="C7885" i="1"/>
  <c r="H7884" i="1"/>
  <c r="F7884" i="1"/>
  <c r="D7884" i="1"/>
  <c r="C7884" i="1"/>
  <c r="H7883" i="1"/>
  <c r="F7883" i="1"/>
  <c r="D7883" i="1"/>
  <c r="C7883" i="1"/>
  <c r="H7882" i="1"/>
  <c r="F7882" i="1"/>
  <c r="D7882" i="1"/>
  <c r="C7882" i="1"/>
  <c r="H7881" i="1"/>
  <c r="F7881" i="1"/>
  <c r="D7881" i="1"/>
  <c r="C7881" i="1"/>
  <c r="H7880" i="1"/>
  <c r="F7880" i="1"/>
  <c r="D7880" i="1"/>
  <c r="C7880" i="1"/>
  <c r="H7879" i="1"/>
  <c r="F7879" i="1"/>
  <c r="D7879" i="1"/>
  <c r="C7879" i="1"/>
  <c r="H7878" i="1"/>
  <c r="F7878" i="1"/>
  <c r="D7878" i="1"/>
  <c r="C7878" i="1"/>
  <c r="H7877" i="1"/>
  <c r="F7877" i="1"/>
  <c r="D7877" i="1"/>
  <c r="C7877" i="1"/>
  <c r="H7876" i="1"/>
  <c r="F7876" i="1"/>
  <c r="D7876" i="1"/>
  <c r="C7876" i="1"/>
  <c r="H7875" i="1"/>
  <c r="F7875" i="1"/>
  <c r="D7875" i="1"/>
  <c r="C7875" i="1"/>
  <c r="H7874" i="1"/>
  <c r="F7874" i="1"/>
  <c r="D7874" i="1"/>
  <c r="C7874" i="1"/>
  <c r="H7873" i="1"/>
  <c r="F7873" i="1"/>
  <c r="D7873" i="1"/>
  <c r="C7873" i="1"/>
  <c r="H7872" i="1"/>
  <c r="F7872" i="1"/>
  <c r="D7872" i="1"/>
  <c r="C7872" i="1"/>
  <c r="H7871" i="1"/>
  <c r="F7871" i="1"/>
  <c r="D7871" i="1"/>
  <c r="C7871" i="1"/>
  <c r="H7870" i="1"/>
  <c r="F7870" i="1"/>
  <c r="D7870" i="1"/>
  <c r="C7870" i="1"/>
  <c r="H7869" i="1"/>
  <c r="F7869" i="1"/>
  <c r="D7869" i="1"/>
  <c r="C7869" i="1"/>
  <c r="H7868" i="1"/>
  <c r="F7868" i="1"/>
  <c r="D7868" i="1"/>
  <c r="C7868" i="1"/>
  <c r="H7867" i="1"/>
  <c r="F7867" i="1"/>
  <c r="D7867" i="1"/>
  <c r="C7867" i="1"/>
  <c r="H7866" i="1"/>
  <c r="F7866" i="1"/>
  <c r="D7866" i="1"/>
  <c r="C7866" i="1"/>
  <c r="H7865" i="1"/>
  <c r="F7865" i="1"/>
  <c r="D7865" i="1"/>
  <c r="C7865" i="1"/>
  <c r="H7864" i="1"/>
  <c r="F7864" i="1"/>
  <c r="D7864" i="1"/>
  <c r="C7864" i="1"/>
  <c r="H7863" i="1"/>
  <c r="F7863" i="1"/>
  <c r="D7863" i="1"/>
  <c r="C7863" i="1"/>
  <c r="H7862" i="1"/>
  <c r="F7862" i="1"/>
  <c r="D7862" i="1"/>
  <c r="C7862" i="1"/>
  <c r="H7861" i="1"/>
  <c r="F7861" i="1"/>
  <c r="D7861" i="1"/>
  <c r="C7861" i="1"/>
  <c r="H7860" i="1"/>
  <c r="F7860" i="1"/>
  <c r="D7860" i="1"/>
  <c r="C7860" i="1"/>
  <c r="H7859" i="1"/>
  <c r="F7859" i="1"/>
  <c r="D7859" i="1"/>
  <c r="C7859" i="1"/>
  <c r="H7858" i="1"/>
  <c r="F7858" i="1"/>
  <c r="D7858" i="1"/>
  <c r="C7858" i="1"/>
  <c r="H7857" i="1"/>
  <c r="F7857" i="1"/>
  <c r="D7857" i="1"/>
  <c r="C7857" i="1"/>
  <c r="H7856" i="1"/>
  <c r="F7856" i="1"/>
  <c r="D7856" i="1"/>
  <c r="C7856" i="1"/>
  <c r="H7855" i="1"/>
  <c r="F7855" i="1"/>
  <c r="D7855" i="1"/>
  <c r="C7855" i="1"/>
  <c r="H7854" i="1"/>
  <c r="F7854" i="1"/>
  <c r="D7854" i="1"/>
  <c r="C7854" i="1"/>
  <c r="H7853" i="1"/>
  <c r="F7853" i="1"/>
  <c r="D7853" i="1"/>
  <c r="C7853" i="1"/>
  <c r="H7852" i="1"/>
  <c r="F7852" i="1"/>
  <c r="D7852" i="1"/>
  <c r="C7852" i="1"/>
  <c r="H7851" i="1"/>
  <c r="F7851" i="1"/>
  <c r="D7851" i="1"/>
  <c r="C7851" i="1"/>
  <c r="H7850" i="1"/>
  <c r="F7850" i="1"/>
  <c r="D7850" i="1"/>
  <c r="C7850" i="1"/>
  <c r="H7849" i="1"/>
  <c r="F7849" i="1"/>
  <c r="D7849" i="1"/>
  <c r="C7849" i="1"/>
  <c r="H7848" i="1"/>
  <c r="F7848" i="1"/>
  <c r="D7848" i="1"/>
  <c r="C7848" i="1"/>
  <c r="H7847" i="1"/>
  <c r="F7847" i="1"/>
  <c r="D7847" i="1"/>
  <c r="C7847" i="1"/>
  <c r="H7846" i="1"/>
  <c r="F7846" i="1"/>
  <c r="D7846" i="1"/>
  <c r="C7846" i="1"/>
  <c r="H7845" i="1"/>
  <c r="F7845" i="1"/>
  <c r="D7845" i="1"/>
  <c r="C7845" i="1"/>
  <c r="H7844" i="1"/>
  <c r="F7844" i="1"/>
  <c r="D7844" i="1"/>
  <c r="C7844" i="1"/>
  <c r="H7843" i="1"/>
  <c r="F7843" i="1"/>
  <c r="D7843" i="1"/>
  <c r="C7843" i="1"/>
  <c r="H7842" i="1"/>
  <c r="F7842" i="1"/>
  <c r="D7842" i="1"/>
  <c r="C7842" i="1"/>
  <c r="H7841" i="1"/>
  <c r="F7841" i="1"/>
  <c r="D7841" i="1"/>
  <c r="C7841" i="1"/>
  <c r="H7840" i="1"/>
  <c r="F7840" i="1"/>
  <c r="D7840" i="1"/>
  <c r="C7840" i="1"/>
  <c r="H7839" i="1"/>
  <c r="F7839" i="1"/>
  <c r="D7839" i="1"/>
  <c r="C7839" i="1"/>
  <c r="H7838" i="1"/>
  <c r="F7838" i="1"/>
  <c r="D7838" i="1"/>
  <c r="C7838" i="1"/>
  <c r="H7837" i="1"/>
  <c r="F7837" i="1"/>
  <c r="D7837" i="1"/>
  <c r="C7837" i="1"/>
  <c r="H7836" i="1"/>
  <c r="F7836" i="1"/>
  <c r="D7836" i="1"/>
  <c r="C7836" i="1"/>
  <c r="H7835" i="1"/>
  <c r="F7835" i="1"/>
  <c r="D7835" i="1"/>
  <c r="C7835" i="1"/>
  <c r="H7834" i="1"/>
  <c r="F7834" i="1"/>
  <c r="D7834" i="1"/>
  <c r="C7834" i="1"/>
  <c r="H7833" i="1"/>
  <c r="F7833" i="1"/>
  <c r="D7833" i="1"/>
  <c r="C7833" i="1"/>
  <c r="H7832" i="1"/>
  <c r="F7832" i="1"/>
  <c r="D7832" i="1"/>
  <c r="C7832" i="1"/>
  <c r="H7831" i="1"/>
  <c r="F7831" i="1"/>
  <c r="D7831" i="1"/>
  <c r="C7831" i="1"/>
  <c r="H7830" i="1"/>
  <c r="F7830" i="1"/>
  <c r="D7830" i="1"/>
  <c r="C7830" i="1"/>
  <c r="H7829" i="1"/>
  <c r="F7829" i="1"/>
  <c r="D7829" i="1"/>
  <c r="C7829" i="1"/>
  <c r="H7828" i="1"/>
  <c r="F7828" i="1"/>
  <c r="D7828" i="1"/>
  <c r="C7828" i="1"/>
  <c r="H7827" i="1"/>
  <c r="F7827" i="1"/>
  <c r="D7827" i="1"/>
  <c r="C7827" i="1"/>
  <c r="H7826" i="1"/>
  <c r="F7826" i="1"/>
  <c r="D7826" i="1"/>
  <c r="C7826" i="1"/>
  <c r="H7825" i="1"/>
  <c r="F7825" i="1"/>
  <c r="D7825" i="1"/>
  <c r="C7825" i="1"/>
  <c r="H7824" i="1"/>
  <c r="F7824" i="1"/>
  <c r="D7824" i="1"/>
  <c r="C7824" i="1"/>
  <c r="H7823" i="1"/>
  <c r="F7823" i="1"/>
  <c r="D7823" i="1"/>
  <c r="C7823" i="1"/>
  <c r="H7822" i="1"/>
  <c r="F7822" i="1"/>
  <c r="D7822" i="1"/>
  <c r="C7822" i="1"/>
  <c r="H7821" i="1"/>
  <c r="F7821" i="1"/>
  <c r="D7821" i="1"/>
  <c r="C7821" i="1"/>
  <c r="H7820" i="1"/>
  <c r="F7820" i="1"/>
  <c r="D7820" i="1"/>
  <c r="C7820" i="1"/>
  <c r="H7819" i="1"/>
  <c r="F7819" i="1"/>
  <c r="D7819" i="1"/>
  <c r="C7819" i="1"/>
  <c r="H7818" i="1"/>
  <c r="F7818" i="1"/>
  <c r="D7818" i="1"/>
  <c r="C7818" i="1"/>
  <c r="H7817" i="1"/>
  <c r="F7817" i="1"/>
  <c r="D7817" i="1"/>
  <c r="C7817" i="1"/>
  <c r="H7816" i="1"/>
  <c r="F7816" i="1"/>
  <c r="D7816" i="1"/>
  <c r="C7816" i="1"/>
  <c r="H7815" i="1"/>
  <c r="F7815" i="1"/>
  <c r="D7815" i="1"/>
  <c r="C7815" i="1"/>
  <c r="H7814" i="1"/>
  <c r="F7814" i="1"/>
  <c r="D7814" i="1"/>
  <c r="C7814" i="1"/>
  <c r="H7813" i="1"/>
  <c r="F7813" i="1"/>
  <c r="D7813" i="1"/>
  <c r="C7813" i="1"/>
  <c r="H7812" i="1"/>
  <c r="F7812" i="1"/>
  <c r="D7812" i="1"/>
  <c r="C7812" i="1"/>
  <c r="H7811" i="1"/>
  <c r="F7811" i="1"/>
  <c r="D7811" i="1"/>
  <c r="C7811" i="1"/>
  <c r="H7810" i="1"/>
  <c r="F7810" i="1"/>
  <c r="D7810" i="1"/>
  <c r="C7810" i="1"/>
  <c r="H7809" i="1"/>
  <c r="F7809" i="1"/>
  <c r="D7809" i="1"/>
  <c r="C7809" i="1"/>
  <c r="H7808" i="1"/>
  <c r="F7808" i="1"/>
  <c r="D7808" i="1"/>
  <c r="C7808" i="1"/>
  <c r="H7807" i="1"/>
  <c r="F7807" i="1"/>
  <c r="D7807" i="1"/>
  <c r="C7807" i="1"/>
  <c r="H7806" i="1"/>
  <c r="F7806" i="1"/>
  <c r="D7806" i="1"/>
  <c r="C7806" i="1"/>
  <c r="H7805" i="1"/>
  <c r="F7805" i="1"/>
  <c r="D7805" i="1"/>
  <c r="C7805" i="1"/>
  <c r="H7804" i="1"/>
  <c r="F7804" i="1"/>
  <c r="D7804" i="1"/>
  <c r="C7804" i="1"/>
  <c r="H7803" i="1"/>
  <c r="F7803" i="1"/>
  <c r="D7803" i="1"/>
  <c r="C7803" i="1"/>
  <c r="H7802" i="1"/>
  <c r="F7802" i="1"/>
  <c r="D7802" i="1"/>
  <c r="C7802" i="1"/>
  <c r="H7801" i="1"/>
  <c r="F7801" i="1"/>
  <c r="D7801" i="1"/>
  <c r="C7801" i="1"/>
  <c r="H7800" i="1"/>
  <c r="F7800" i="1"/>
  <c r="D7800" i="1"/>
  <c r="C7800" i="1"/>
  <c r="H7799" i="1"/>
  <c r="F7799" i="1"/>
  <c r="D7799" i="1"/>
  <c r="C7799" i="1"/>
  <c r="H7798" i="1"/>
  <c r="F7798" i="1"/>
  <c r="D7798" i="1"/>
  <c r="C7798" i="1"/>
  <c r="H7797" i="1"/>
  <c r="F7797" i="1"/>
  <c r="D7797" i="1"/>
  <c r="C7797" i="1"/>
  <c r="H7796" i="1"/>
  <c r="F7796" i="1"/>
  <c r="D7796" i="1"/>
  <c r="C7796" i="1"/>
  <c r="H7795" i="1"/>
  <c r="F7795" i="1"/>
  <c r="D7795" i="1"/>
  <c r="C7795" i="1"/>
  <c r="H7794" i="1"/>
  <c r="F7794" i="1"/>
  <c r="D7794" i="1"/>
  <c r="C7794" i="1"/>
  <c r="H7793" i="1"/>
  <c r="F7793" i="1"/>
  <c r="D7793" i="1"/>
  <c r="C7793" i="1"/>
  <c r="H7792" i="1"/>
  <c r="F7792" i="1"/>
  <c r="D7792" i="1"/>
  <c r="C7792" i="1"/>
  <c r="H7791" i="1"/>
  <c r="F7791" i="1"/>
  <c r="D7791" i="1"/>
  <c r="C7791" i="1"/>
  <c r="H7790" i="1"/>
  <c r="F7790" i="1"/>
  <c r="D7790" i="1"/>
  <c r="C7790" i="1"/>
  <c r="H7789" i="1"/>
  <c r="F7789" i="1"/>
  <c r="D7789" i="1"/>
  <c r="C7789" i="1"/>
  <c r="H7788" i="1"/>
  <c r="F7788" i="1"/>
  <c r="D7788" i="1"/>
  <c r="C7788" i="1"/>
  <c r="H7787" i="1"/>
  <c r="F7787" i="1"/>
  <c r="D7787" i="1"/>
  <c r="C7787" i="1"/>
  <c r="H7786" i="1"/>
  <c r="F7786" i="1"/>
  <c r="D7786" i="1"/>
  <c r="C7786" i="1"/>
  <c r="H7785" i="1"/>
  <c r="F7785" i="1"/>
  <c r="D7785" i="1"/>
  <c r="C7785" i="1"/>
  <c r="H7784" i="1"/>
  <c r="F7784" i="1"/>
  <c r="D7784" i="1"/>
  <c r="C7784" i="1"/>
  <c r="H7783" i="1"/>
  <c r="F7783" i="1"/>
  <c r="D7783" i="1"/>
  <c r="C7783" i="1"/>
  <c r="H7782" i="1"/>
  <c r="F7782" i="1"/>
  <c r="D7782" i="1"/>
  <c r="C7782" i="1"/>
  <c r="H7781" i="1"/>
  <c r="F7781" i="1"/>
  <c r="D7781" i="1"/>
  <c r="C7781" i="1"/>
  <c r="H7780" i="1"/>
  <c r="F7780" i="1"/>
  <c r="D7780" i="1"/>
  <c r="C7780" i="1"/>
  <c r="H7779" i="1"/>
  <c r="F7779" i="1"/>
  <c r="D7779" i="1"/>
  <c r="C7779" i="1"/>
  <c r="H7778" i="1"/>
  <c r="F7778" i="1"/>
  <c r="D7778" i="1"/>
  <c r="C7778" i="1"/>
  <c r="H7777" i="1"/>
  <c r="F7777" i="1"/>
  <c r="D7777" i="1"/>
  <c r="C7777" i="1"/>
  <c r="H7776" i="1"/>
  <c r="F7776" i="1"/>
  <c r="D7776" i="1"/>
  <c r="C7776" i="1"/>
  <c r="H7775" i="1"/>
  <c r="F7775" i="1"/>
  <c r="D7775" i="1"/>
  <c r="C7775" i="1"/>
  <c r="H7774" i="1"/>
  <c r="F7774" i="1"/>
  <c r="D7774" i="1"/>
  <c r="C7774" i="1"/>
  <c r="H7773" i="1"/>
  <c r="F7773" i="1"/>
  <c r="D7773" i="1"/>
  <c r="C7773" i="1"/>
  <c r="H7772" i="1"/>
  <c r="F7772" i="1"/>
  <c r="D7772" i="1"/>
  <c r="C7772" i="1"/>
  <c r="H7771" i="1"/>
  <c r="F7771" i="1"/>
  <c r="D7771" i="1"/>
  <c r="C7771" i="1"/>
  <c r="H7770" i="1"/>
  <c r="F7770" i="1"/>
  <c r="D7770" i="1"/>
  <c r="C7770" i="1"/>
  <c r="H7769" i="1"/>
  <c r="F7769" i="1"/>
  <c r="D7769" i="1"/>
  <c r="C7769" i="1"/>
  <c r="H7768" i="1"/>
  <c r="F7768" i="1"/>
  <c r="D7768" i="1"/>
  <c r="C7768" i="1"/>
  <c r="H7767" i="1"/>
  <c r="F7767" i="1"/>
  <c r="D7767" i="1"/>
  <c r="C7767" i="1"/>
  <c r="H7766" i="1"/>
  <c r="F7766" i="1"/>
  <c r="D7766" i="1"/>
  <c r="C7766" i="1"/>
  <c r="H7765" i="1"/>
  <c r="F7765" i="1"/>
  <c r="D7765" i="1"/>
  <c r="C7765" i="1"/>
  <c r="H7764" i="1"/>
  <c r="F7764" i="1"/>
  <c r="D7764" i="1"/>
  <c r="C7764" i="1"/>
  <c r="H7763" i="1"/>
  <c r="F7763" i="1"/>
  <c r="D7763" i="1"/>
  <c r="C7763" i="1"/>
  <c r="H7762" i="1"/>
  <c r="F7762" i="1"/>
  <c r="D7762" i="1"/>
  <c r="C7762" i="1"/>
  <c r="H7761" i="1"/>
  <c r="F7761" i="1"/>
  <c r="D7761" i="1"/>
  <c r="C7761" i="1"/>
  <c r="H7760" i="1"/>
  <c r="F7760" i="1"/>
  <c r="D7760" i="1"/>
  <c r="C7760" i="1"/>
  <c r="H7759" i="1"/>
  <c r="F7759" i="1"/>
  <c r="D7759" i="1"/>
  <c r="C7759" i="1"/>
  <c r="H7758" i="1"/>
  <c r="F7758" i="1"/>
  <c r="D7758" i="1"/>
  <c r="C7758" i="1"/>
  <c r="H7757" i="1"/>
  <c r="F7757" i="1"/>
  <c r="D7757" i="1"/>
  <c r="C7757" i="1"/>
  <c r="H7756" i="1"/>
  <c r="F7756" i="1"/>
  <c r="D7756" i="1"/>
  <c r="C7756" i="1"/>
  <c r="H7755" i="1"/>
  <c r="F7755" i="1"/>
  <c r="D7755" i="1"/>
  <c r="C7755" i="1"/>
  <c r="H7754" i="1"/>
  <c r="F7754" i="1"/>
  <c r="D7754" i="1"/>
  <c r="C7754" i="1"/>
  <c r="H7753" i="1"/>
  <c r="F7753" i="1"/>
  <c r="D7753" i="1"/>
  <c r="C7753" i="1"/>
  <c r="H7752" i="1"/>
  <c r="F7752" i="1"/>
  <c r="D7752" i="1"/>
  <c r="C7752" i="1"/>
  <c r="H7751" i="1"/>
  <c r="F7751" i="1"/>
  <c r="D7751" i="1"/>
  <c r="C7751" i="1"/>
  <c r="H7750" i="1"/>
  <c r="F7750" i="1"/>
  <c r="D7750" i="1"/>
  <c r="C7750" i="1"/>
  <c r="H7749" i="1"/>
  <c r="F7749" i="1"/>
  <c r="D7749" i="1"/>
  <c r="C7749" i="1"/>
  <c r="H7748" i="1"/>
  <c r="F7748" i="1"/>
  <c r="D7748" i="1"/>
  <c r="C7748" i="1"/>
  <c r="H7747" i="1"/>
  <c r="F7747" i="1"/>
  <c r="D7747" i="1"/>
  <c r="C7747" i="1"/>
  <c r="H7746" i="1"/>
  <c r="F7746" i="1"/>
  <c r="D7746" i="1"/>
  <c r="C7746" i="1"/>
  <c r="H7745" i="1"/>
  <c r="F7745" i="1"/>
  <c r="D7745" i="1"/>
  <c r="C7745" i="1"/>
  <c r="H7744" i="1"/>
  <c r="F7744" i="1"/>
  <c r="D7744" i="1"/>
  <c r="C7744" i="1"/>
  <c r="H7743" i="1"/>
  <c r="F7743" i="1"/>
  <c r="D7743" i="1"/>
  <c r="C7743" i="1"/>
  <c r="H7742" i="1"/>
  <c r="F7742" i="1"/>
  <c r="D7742" i="1"/>
  <c r="C7742" i="1"/>
  <c r="H7741" i="1"/>
  <c r="F7741" i="1"/>
  <c r="D7741" i="1"/>
  <c r="C7741" i="1"/>
  <c r="H7740" i="1"/>
  <c r="F7740" i="1"/>
  <c r="D7740" i="1"/>
  <c r="C7740" i="1"/>
  <c r="H7739" i="1"/>
  <c r="F7739" i="1"/>
  <c r="D7739" i="1"/>
  <c r="C7739" i="1"/>
  <c r="H7738" i="1"/>
  <c r="F7738" i="1"/>
  <c r="D7738" i="1"/>
  <c r="C7738" i="1"/>
  <c r="H7737" i="1"/>
  <c r="F7737" i="1"/>
  <c r="D7737" i="1"/>
  <c r="C7737" i="1"/>
  <c r="H7736" i="1"/>
  <c r="F7736" i="1"/>
  <c r="D7736" i="1"/>
  <c r="C7736" i="1"/>
  <c r="H7735" i="1"/>
  <c r="F7735" i="1"/>
  <c r="D7735" i="1"/>
  <c r="C7735" i="1"/>
  <c r="H7734" i="1"/>
  <c r="F7734" i="1"/>
  <c r="D7734" i="1"/>
  <c r="C7734" i="1"/>
  <c r="H7733" i="1"/>
  <c r="F7733" i="1"/>
  <c r="D7733" i="1"/>
  <c r="C7733" i="1"/>
  <c r="H7732" i="1"/>
  <c r="F7732" i="1"/>
  <c r="D7732" i="1"/>
  <c r="C7732" i="1"/>
  <c r="H7731" i="1"/>
  <c r="F7731" i="1"/>
  <c r="D7731" i="1"/>
  <c r="C7731" i="1"/>
  <c r="H7730" i="1"/>
  <c r="F7730" i="1"/>
  <c r="D7730" i="1"/>
  <c r="C7730" i="1"/>
  <c r="H7729" i="1"/>
  <c r="F7729" i="1"/>
  <c r="D7729" i="1"/>
  <c r="C7729" i="1"/>
  <c r="H7728" i="1"/>
  <c r="F7728" i="1"/>
  <c r="D7728" i="1"/>
  <c r="C7728" i="1"/>
  <c r="H7727" i="1"/>
  <c r="F7727" i="1"/>
  <c r="D7727" i="1"/>
  <c r="C7727" i="1"/>
  <c r="H7726" i="1"/>
  <c r="F7726" i="1"/>
  <c r="D7726" i="1"/>
  <c r="C7726" i="1"/>
  <c r="H7725" i="1"/>
  <c r="F7725" i="1"/>
  <c r="D7725" i="1"/>
  <c r="C7725" i="1"/>
  <c r="H7724" i="1"/>
  <c r="F7724" i="1"/>
  <c r="D7724" i="1"/>
  <c r="C7724" i="1"/>
  <c r="H7723" i="1"/>
  <c r="F7723" i="1"/>
  <c r="D7723" i="1"/>
  <c r="C7723" i="1"/>
  <c r="H7722" i="1"/>
  <c r="F7722" i="1"/>
  <c r="D7722" i="1"/>
  <c r="C7722" i="1"/>
  <c r="H7721" i="1"/>
  <c r="F7721" i="1"/>
  <c r="D7721" i="1"/>
  <c r="C7721" i="1"/>
  <c r="H7720" i="1"/>
  <c r="F7720" i="1"/>
  <c r="D7720" i="1"/>
  <c r="C7720" i="1"/>
  <c r="H7719" i="1"/>
  <c r="F7719" i="1"/>
  <c r="D7719" i="1"/>
  <c r="C7719" i="1"/>
  <c r="H7718" i="1"/>
  <c r="F7718" i="1"/>
  <c r="D7718" i="1"/>
  <c r="C7718" i="1"/>
  <c r="H7717" i="1"/>
  <c r="F7717" i="1"/>
  <c r="D7717" i="1"/>
  <c r="C7717" i="1"/>
  <c r="H7716" i="1"/>
  <c r="F7716" i="1"/>
  <c r="D7716" i="1"/>
  <c r="C7716" i="1"/>
  <c r="H7715" i="1"/>
  <c r="F7715" i="1"/>
  <c r="D7715" i="1"/>
  <c r="C7715" i="1"/>
  <c r="H7714" i="1"/>
  <c r="F7714" i="1"/>
  <c r="D7714" i="1"/>
  <c r="C7714" i="1"/>
  <c r="H7713" i="1"/>
  <c r="F7713" i="1"/>
  <c r="D7713" i="1"/>
  <c r="C7713" i="1"/>
  <c r="H7712" i="1"/>
  <c r="F7712" i="1"/>
  <c r="D7712" i="1"/>
  <c r="C7712" i="1"/>
  <c r="H7711" i="1"/>
  <c r="F7711" i="1"/>
  <c r="D7711" i="1"/>
  <c r="C7711" i="1"/>
  <c r="H7710" i="1"/>
  <c r="F7710" i="1"/>
  <c r="D7710" i="1"/>
  <c r="C7710" i="1"/>
  <c r="H7709" i="1"/>
  <c r="F7709" i="1"/>
  <c r="D7709" i="1"/>
  <c r="C7709" i="1"/>
  <c r="H7708" i="1"/>
  <c r="F7708" i="1"/>
  <c r="D7708" i="1"/>
  <c r="C7708" i="1"/>
  <c r="H7707" i="1"/>
  <c r="F7707" i="1"/>
  <c r="D7707" i="1"/>
  <c r="C7707" i="1"/>
  <c r="H7706" i="1"/>
  <c r="F7706" i="1"/>
  <c r="D7706" i="1"/>
  <c r="C7706" i="1"/>
  <c r="H7705" i="1"/>
  <c r="F7705" i="1"/>
  <c r="D7705" i="1"/>
  <c r="C7705" i="1"/>
  <c r="H7704" i="1"/>
  <c r="F7704" i="1"/>
  <c r="D7704" i="1"/>
  <c r="C7704" i="1"/>
  <c r="H7703" i="1"/>
  <c r="F7703" i="1"/>
  <c r="D7703" i="1"/>
  <c r="C7703" i="1"/>
  <c r="H7702" i="1"/>
  <c r="F7702" i="1"/>
  <c r="D7702" i="1"/>
  <c r="C7702" i="1"/>
  <c r="H7701" i="1"/>
  <c r="F7701" i="1"/>
  <c r="D7701" i="1"/>
  <c r="C7701" i="1"/>
  <c r="H7700" i="1"/>
  <c r="F7700" i="1"/>
  <c r="D7700" i="1"/>
  <c r="C7700" i="1"/>
  <c r="H7699" i="1"/>
  <c r="F7699" i="1"/>
  <c r="D7699" i="1"/>
  <c r="C7699" i="1"/>
  <c r="H7698" i="1"/>
  <c r="F7698" i="1"/>
  <c r="D7698" i="1"/>
  <c r="C7698" i="1"/>
  <c r="H7697" i="1"/>
  <c r="F7697" i="1"/>
  <c r="D7697" i="1"/>
  <c r="C7697" i="1"/>
  <c r="H7696" i="1"/>
  <c r="F7696" i="1"/>
  <c r="D7696" i="1"/>
  <c r="C7696" i="1"/>
  <c r="H7695" i="1"/>
  <c r="F7695" i="1"/>
  <c r="D7695" i="1"/>
  <c r="C7695" i="1"/>
  <c r="H7694" i="1"/>
  <c r="F7694" i="1"/>
  <c r="D7694" i="1"/>
  <c r="C7694" i="1"/>
  <c r="H7693" i="1"/>
  <c r="F7693" i="1"/>
  <c r="D7693" i="1"/>
  <c r="C7693" i="1"/>
  <c r="H7692" i="1"/>
  <c r="F7692" i="1"/>
  <c r="D7692" i="1"/>
  <c r="C7692" i="1"/>
  <c r="H7691" i="1"/>
  <c r="F7691" i="1"/>
  <c r="D7691" i="1"/>
  <c r="C7691" i="1"/>
  <c r="H7690" i="1"/>
  <c r="F7690" i="1"/>
  <c r="D7690" i="1"/>
  <c r="C7690" i="1"/>
  <c r="H7689" i="1"/>
  <c r="F7689" i="1"/>
  <c r="D7689" i="1"/>
  <c r="C7689" i="1"/>
  <c r="H7688" i="1"/>
  <c r="F7688" i="1"/>
  <c r="D7688" i="1"/>
  <c r="C7688" i="1"/>
  <c r="H7687" i="1"/>
  <c r="F7687" i="1"/>
  <c r="D7687" i="1"/>
  <c r="C7687" i="1"/>
  <c r="H7686" i="1"/>
  <c r="F7686" i="1"/>
  <c r="D7686" i="1"/>
  <c r="C7686" i="1"/>
  <c r="H7685" i="1"/>
  <c r="F7685" i="1"/>
  <c r="D7685" i="1"/>
  <c r="C7685" i="1"/>
  <c r="H7684" i="1"/>
  <c r="F7684" i="1"/>
  <c r="D7684" i="1"/>
  <c r="C7684" i="1"/>
  <c r="H7683" i="1"/>
  <c r="F7683" i="1"/>
  <c r="D7683" i="1"/>
  <c r="C7683" i="1"/>
  <c r="H7682" i="1"/>
  <c r="F7682" i="1"/>
  <c r="D7682" i="1"/>
  <c r="C7682" i="1"/>
  <c r="H7681" i="1"/>
  <c r="F7681" i="1"/>
  <c r="D7681" i="1"/>
  <c r="C7681" i="1"/>
  <c r="H7680" i="1"/>
  <c r="F7680" i="1"/>
  <c r="D7680" i="1"/>
  <c r="C7680" i="1"/>
  <c r="H7679" i="1"/>
  <c r="F7679" i="1"/>
  <c r="D7679" i="1"/>
  <c r="C7679" i="1"/>
  <c r="H7678" i="1"/>
  <c r="F7678" i="1"/>
  <c r="D7678" i="1"/>
  <c r="C7678" i="1"/>
  <c r="H7677" i="1"/>
  <c r="F7677" i="1"/>
  <c r="D7677" i="1"/>
  <c r="C7677" i="1"/>
  <c r="H7676" i="1"/>
  <c r="F7676" i="1"/>
  <c r="D7676" i="1"/>
  <c r="C7676" i="1"/>
  <c r="H7675" i="1"/>
  <c r="F7675" i="1"/>
  <c r="D7675" i="1"/>
  <c r="C7675" i="1"/>
  <c r="H7674" i="1"/>
  <c r="F7674" i="1"/>
  <c r="D7674" i="1"/>
  <c r="C7674" i="1"/>
  <c r="H7673" i="1"/>
  <c r="F7673" i="1"/>
  <c r="D7673" i="1"/>
  <c r="C7673" i="1"/>
  <c r="H7672" i="1"/>
  <c r="F7672" i="1"/>
  <c r="D7672" i="1"/>
  <c r="C7672" i="1"/>
  <c r="H7671" i="1"/>
  <c r="F7671" i="1"/>
  <c r="D7671" i="1"/>
  <c r="C7671" i="1"/>
  <c r="H7670" i="1"/>
  <c r="F7670" i="1"/>
  <c r="D7670" i="1"/>
  <c r="C7670" i="1"/>
  <c r="H7669" i="1"/>
  <c r="F7669" i="1"/>
  <c r="D7669" i="1"/>
  <c r="C7669" i="1"/>
  <c r="H7668" i="1"/>
  <c r="F7668" i="1"/>
  <c r="D7668" i="1"/>
  <c r="C7668" i="1"/>
  <c r="H7667" i="1"/>
  <c r="F7667" i="1"/>
  <c r="D7667" i="1"/>
  <c r="C7667" i="1"/>
  <c r="H7666" i="1"/>
  <c r="F7666" i="1"/>
  <c r="D7666" i="1"/>
  <c r="C7666" i="1"/>
  <c r="H7665" i="1"/>
  <c r="F7665" i="1"/>
  <c r="D7665" i="1"/>
  <c r="C7665" i="1"/>
  <c r="H7664" i="1"/>
  <c r="F7664" i="1"/>
  <c r="D7664" i="1"/>
  <c r="C7664" i="1"/>
  <c r="H7663" i="1"/>
  <c r="F7663" i="1"/>
  <c r="D7663" i="1"/>
  <c r="C7663" i="1"/>
  <c r="H7662" i="1"/>
  <c r="F7662" i="1"/>
  <c r="D7662" i="1"/>
  <c r="C7662" i="1"/>
  <c r="H7661" i="1"/>
  <c r="F7661" i="1"/>
  <c r="D7661" i="1"/>
  <c r="C7661" i="1"/>
  <c r="H7660" i="1"/>
  <c r="F7660" i="1"/>
  <c r="D7660" i="1"/>
  <c r="C7660" i="1"/>
  <c r="H7659" i="1"/>
  <c r="F7659" i="1"/>
  <c r="D7659" i="1"/>
  <c r="C7659" i="1"/>
  <c r="H7658" i="1"/>
  <c r="F7658" i="1"/>
  <c r="D7658" i="1"/>
  <c r="C7658" i="1"/>
  <c r="H7657" i="1"/>
  <c r="F7657" i="1"/>
  <c r="D7657" i="1"/>
  <c r="C7657" i="1"/>
  <c r="H7656" i="1"/>
  <c r="F7656" i="1"/>
  <c r="D7656" i="1"/>
  <c r="C7656" i="1"/>
  <c r="H7655" i="1"/>
  <c r="F7655" i="1"/>
  <c r="D7655" i="1"/>
  <c r="C7655" i="1"/>
  <c r="H7654" i="1"/>
  <c r="F7654" i="1"/>
  <c r="D7654" i="1"/>
  <c r="C7654" i="1"/>
  <c r="H7653" i="1"/>
  <c r="F7653" i="1"/>
  <c r="D7653" i="1"/>
  <c r="C7653" i="1"/>
  <c r="H7652" i="1"/>
  <c r="F7652" i="1"/>
  <c r="D7652" i="1"/>
  <c r="C7652" i="1"/>
  <c r="H7651" i="1"/>
  <c r="F7651" i="1"/>
  <c r="D7651" i="1"/>
  <c r="C7651" i="1"/>
  <c r="H7650" i="1"/>
  <c r="F7650" i="1"/>
  <c r="D7650" i="1"/>
  <c r="C7650" i="1"/>
  <c r="H7649" i="1"/>
  <c r="F7649" i="1"/>
  <c r="D7649" i="1"/>
  <c r="C7649" i="1"/>
  <c r="H7648" i="1"/>
  <c r="F7648" i="1"/>
  <c r="D7648" i="1"/>
  <c r="C7648" i="1"/>
  <c r="H7647" i="1"/>
  <c r="F7647" i="1"/>
  <c r="D7647" i="1"/>
  <c r="C7647" i="1"/>
  <c r="H7646" i="1"/>
  <c r="F7646" i="1"/>
  <c r="D7646" i="1"/>
  <c r="C7646" i="1"/>
  <c r="H7645" i="1"/>
  <c r="F7645" i="1"/>
  <c r="D7645" i="1"/>
  <c r="C7645" i="1"/>
  <c r="H7644" i="1"/>
  <c r="F7644" i="1"/>
  <c r="D7644" i="1"/>
  <c r="C7644" i="1"/>
  <c r="H7643" i="1"/>
  <c r="F7643" i="1"/>
  <c r="D7643" i="1"/>
  <c r="C7643" i="1"/>
  <c r="H7642" i="1"/>
  <c r="F7642" i="1"/>
  <c r="D7642" i="1"/>
  <c r="C7642" i="1"/>
  <c r="H7641" i="1"/>
  <c r="F7641" i="1"/>
  <c r="D7641" i="1"/>
  <c r="C7641" i="1"/>
  <c r="H7640" i="1"/>
  <c r="F7640" i="1"/>
  <c r="D7640" i="1"/>
  <c r="C7640" i="1"/>
  <c r="H7639" i="1"/>
  <c r="F7639" i="1"/>
  <c r="D7639" i="1"/>
  <c r="C7639" i="1"/>
  <c r="H7638" i="1"/>
  <c r="F7638" i="1"/>
  <c r="D7638" i="1"/>
  <c r="C7638" i="1"/>
  <c r="H7637" i="1"/>
  <c r="F7637" i="1"/>
  <c r="D7637" i="1"/>
  <c r="C7637" i="1"/>
  <c r="H7636" i="1"/>
  <c r="F7636" i="1"/>
  <c r="D7636" i="1"/>
  <c r="C7636" i="1"/>
  <c r="H7635" i="1"/>
  <c r="F7635" i="1"/>
  <c r="D7635" i="1"/>
  <c r="C7635" i="1"/>
  <c r="H7634" i="1"/>
  <c r="F7634" i="1"/>
  <c r="D7634" i="1"/>
  <c r="C7634" i="1"/>
  <c r="H7633" i="1"/>
  <c r="F7633" i="1"/>
  <c r="D7633" i="1"/>
  <c r="C7633" i="1"/>
  <c r="H7632" i="1"/>
  <c r="F7632" i="1"/>
  <c r="D7632" i="1"/>
  <c r="C7632" i="1"/>
  <c r="H7631" i="1"/>
  <c r="F7631" i="1"/>
  <c r="D7631" i="1"/>
  <c r="C7631" i="1"/>
  <c r="H7630" i="1"/>
  <c r="F7630" i="1"/>
  <c r="D7630" i="1"/>
  <c r="C7630" i="1"/>
  <c r="H7629" i="1"/>
  <c r="F7629" i="1"/>
  <c r="D7629" i="1"/>
  <c r="C7629" i="1"/>
  <c r="H7628" i="1"/>
  <c r="F7628" i="1"/>
  <c r="D7628" i="1"/>
  <c r="C7628" i="1"/>
  <c r="H7627" i="1"/>
  <c r="F7627" i="1"/>
  <c r="D7627" i="1"/>
  <c r="C7627" i="1"/>
  <c r="H7626" i="1"/>
  <c r="F7626" i="1"/>
  <c r="D7626" i="1"/>
  <c r="C7626" i="1"/>
  <c r="H7625" i="1"/>
  <c r="F7625" i="1"/>
  <c r="D7625" i="1"/>
  <c r="C7625" i="1"/>
  <c r="H7624" i="1"/>
  <c r="F7624" i="1"/>
  <c r="D7624" i="1"/>
  <c r="C7624" i="1"/>
  <c r="H7623" i="1"/>
  <c r="F7623" i="1"/>
  <c r="D7623" i="1"/>
  <c r="C7623" i="1"/>
  <c r="H7622" i="1"/>
  <c r="F7622" i="1"/>
  <c r="D7622" i="1"/>
  <c r="C7622" i="1"/>
  <c r="H7621" i="1"/>
  <c r="F7621" i="1"/>
  <c r="D7621" i="1"/>
  <c r="C7621" i="1"/>
  <c r="H7620" i="1"/>
  <c r="F7620" i="1"/>
  <c r="D7620" i="1"/>
  <c r="C7620" i="1"/>
  <c r="H7619" i="1"/>
  <c r="F7619" i="1"/>
  <c r="D7619" i="1"/>
  <c r="C7619" i="1"/>
  <c r="H7618" i="1"/>
  <c r="F7618" i="1"/>
  <c r="D7618" i="1"/>
  <c r="C7618" i="1"/>
  <c r="H7617" i="1"/>
  <c r="F7617" i="1"/>
  <c r="D7617" i="1"/>
  <c r="C7617" i="1"/>
  <c r="H7616" i="1"/>
  <c r="F7616" i="1"/>
  <c r="D7616" i="1"/>
  <c r="C7616" i="1"/>
  <c r="H7615" i="1"/>
  <c r="F7615" i="1"/>
  <c r="D7615" i="1"/>
  <c r="C7615" i="1"/>
  <c r="H7614" i="1"/>
  <c r="F7614" i="1"/>
  <c r="D7614" i="1"/>
  <c r="C7614" i="1"/>
  <c r="H7613" i="1"/>
  <c r="F7613" i="1"/>
  <c r="D7613" i="1"/>
  <c r="C7613" i="1"/>
  <c r="H7612" i="1"/>
  <c r="F7612" i="1"/>
  <c r="D7612" i="1"/>
  <c r="C7612" i="1"/>
  <c r="H7611" i="1"/>
  <c r="F7611" i="1"/>
  <c r="D7611" i="1"/>
  <c r="C7611" i="1"/>
  <c r="H7610" i="1"/>
  <c r="F7610" i="1"/>
  <c r="D7610" i="1"/>
  <c r="C7610" i="1"/>
  <c r="H7609" i="1"/>
  <c r="F7609" i="1"/>
  <c r="D7609" i="1"/>
  <c r="C7609" i="1"/>
  <c r="H7608" i="1"/>
  <c r="F7608" i="1"/>
  <c r="D7608" i="1"/>
  <c r="C7608" i="1"/>
  <c r="H7607" i="1"/>
  <c r="F7607" i="1"/>
  <c r="D7607" i="1"/>
  <c r="C7607" i="1"/>
  <c r="H7606" i="1"/>
  <c r="F7606" i="1"/>
  <c r="D7606" i="1"/>
  <c r="C7606" i="1"/>
  <c r="H7605" i="1"/>
  <c r="F7605" i="1"/>
  <c r="D7605" i="1"/>
  <c r="C7605" i="1"/>
  <c r="H7604" i="1"/>
  <c r="F7604" i="1"/>
  <c r="D7604" i="1"/>
  <c r="C7604" i="1"/>
  <c r="H7603" i="1"/>
  <c r="F7603" i="1"/>
  <c r="D7603" i="1"/>
  <c r="C7603" i="1"/>
  <c r="H7602" i="1"/>
  <c r="F7602" i="1"/>
  <c r="D7602" i="1"/>
  <c r="C7602" i="1"/>
  <c r="H7601" i="1"/>
  <c r="F7601" i="1"/>
  <c r="D7601" i="1"/>
  <c r="C7601" i="1"/>
  <c r="H7600" i="1"/>
  <c r="F7600" i="1"/>
  <c r="D7600" i="1"/>
  <c r="C7600" i="1"/>
  <c r="H7599" i="1"/>
  <c r="F7599" i="1"/>
  <c r="D7599" i="1"/>
  <c r="C7599" i="1"/>
  <c r="H7598" i="1"/>
  <c r="F7598" i="1"/>
  <c r="D7598" i="1"/>
  <c r="C7598" i="1"/>
  <c r="H7597" i="1"/>
  <c r="F7597" i="1"/>
  <c r="D7597" i="1"/>
  <c r="C7597" i="1"/>
  <c r="H7596" i="1"/>
  <c r="F7596" i="1"/>
  <c r="D7596" i="1"/>
  <c r="C7596" i="1"/>
  <c r="H7595" i="1"/>
  <c r="F7595" i="1"/>
  <c r="D7595" i="1"/>
  <c r="C7595" i="1"/>
  <c r="H7594" i="1"/>
  <c r="F7594" i="1"/>
  <c r="D7594" i="1"/>
  <c r="C7594" i="1"/>
  <c r="H7593" i="1"/>
  <c r="F7593" i="1"/>
  <c r="D7593" i="1"/>
  <c r="C7593" i="1"/>
  <c r="H7592" i="1"/>
  <c r="F7592" i="1"/>
  <c r="D7592" i="1"/>
  <c r="C7592" i="1"/>
  <c r="H7591" i="1"/>
  <c r="F7591" i="1"/>
  <c r="D7591" i="1"/>
  <c r="C7591" i="1"/>
  <c r="H7590" i="1"/>
  <c r="F7590" i="1"/>
  <c r="D7590" i="1"/>
  <c r="C7590" i="1"/>
  <c r="H7589" i="1"/>
  <c r="F7589" i="1"/>
  <c r="D7589" i="1"/>
  <c r="C7589" i="1"/>
  <c r="H7588" i="1"/>
  <c r="F7588" i="1"/>
  <c r="D7588" i="1"/>
  <c r="C7588" i="1"/>
  <c r="H7587" i="1"/>
  <c r="F7587" i="1"/>
  <c r="D7587" i="1"/>
  <c r="C7587" i="1"/>
  <c r="H7586" i="1"/>
  <c r="F7586" i="1"/>
  <c r="D7586" i="1"/>
  <c r="C7586" i="1"/>
  <c r="H7585" i="1"/>
  <c r="F7585" i="1"/>
  <c r="D7585" i="1"/>
  <c r="C7585" i="1"/>
  <c r="H7584" i="1"/>
  <c r="F7584" i="1"/>
  <c r="D7584" i="1"/>
  <c r="C7584" i="1"/>
  <c r="H7583" i="1"/>
  <c r="F7583" i="1"/>
  <c r="D7583" i="1"/>
  <c r="C7583" i="1"/>
  <c r="H7582" i="1"/>
  <c r="F7582" i="1"/>
  <c r="D7582" i="1"/>
  <c r="C7582" i="1"/>
  <c r="H7581" i="1"/>
  <c r="F7581" i="1"/>
  <c r="D7581" i="1"/>
  <c r="C7581" i="1"/>
  <c r="H7580" i="1"/>
  <c r="F7580" i="1"/>
  <c r="D7580" i="1"/>
  <c r="C7580" i="1"/>
  <c r="H7579" i="1"/>
  <c r="F7579" i="1"/>
  <c r="D7579" i="1"/>
  <c r="C7579" i="1"/>
  <c r="H7578" i="1"/>
  <c r="F7578" i="1"/>
  <c r="D7578" i="1"/>
  <c r="C7578" i="1"/>
  <c r="H7577" i="1"/>
  <c r="F7577" i="1"/>
  <c r="D7577" i="1"/>
  <c r="C7577" i="1"/>
  <c r="H7576" i="1"/>
  <c r="F7576" i="1"/>
  <c r="D7576" i="1"/>
  <c r="C7576" i="1"/>
  <c r="H7575" i="1"/>
  <c r="F7575" i="1"/>
  <c r="D7575" i="1"/>
  <c r="C7575" i="1"/>
  <c r="H7574" i="1"/>
  <c r="F7574" i="1"/>
  <c r="D7574" i="1"/>
  <c r="C7574" i="1"/>
  <c r="H7573" i="1"/>
  <c r="F7573" i="1"/>
  <c r="D7573" i="1"/>
  <c r="C7573" i="1"/>
  <c r="H7572" i="1"/>
  <c r="F7572" i="1"/>
  <c r="D7572" i="1"/>
  <c r="C7572" i="1"/>
  <c r="H7571" i="1"/>
  <c r="F7571" i="1"/>
  <c r="D7571" i="1"/>
  <c r="C7571" i="1"/>
  <c r="H7570" i="1"/>
  <c r="F7570" i="1"/>
  <c r="D7570" i="1"/>
  <c r="C7570" i="1"/>
  <c r="H7569" i="1"/>
  <c r="F7569" i="1"/>
  <c r="D7569" i="1"/>
  <c r="C7569" i="1"/>
  <c r="H7568" i="1"/>
  <c r="F7568" i="1"/>
  <c r="D7568" i="1"/>
  <c r="C7568" i="1"/>
  <c r="H7567" i="1"/>
  <c r="F7567" i="1"/>
  <c r="D7567" i="1"/>
  <c r="C7567" i="1"/>
  <c r="H7566" i="1"/>
  <c r="F7566" i="1"/>
  <c r="D7566" i="1"/>
  <c r="C7566" i="1"/>
  <c r="H7565" i="1"/>
  <c r="F7565" i="1"/>
  <c r="D7565" i="1"/>
  <c r="C7565" i="1"/>
  <c r="H7564" i="1"/>
  <c r="F7564" i="1"/>
  <c r="D7564" i="1"/>
  <c r="C7564" i="1"/>
  <c r="H7563" i="1"/>
  <c r="F7563" i="1"/>
  <c r="D7563" i="1"/>
  <c r="C7563" i="1"/>
  <c r="H7562" i="1"/>
  <c r="F7562" i="1"/>
  <c r="D7562" i="1"/>
  <c r="C7562" i="1"/>
  <c r="H7561" i="1"/>
  <c r="F7561" i="1"/>
  <c r="D7561" i="1"/>
  <c r="C7561" i="1"/>
  <c r="H7560" i="1"/>
  <c r="F7560" i="1"/>
  <c r="D7560" i="1"/>
  <c r="C7560" i="1"/>
  <c r="H7559" i="1"/>
  <c r="F7559" i="1"/>
  <c r="D7559" i="1"/>
  <c r="C7559" i="1"/>
  <c r="H7558" i="1"/>
  <c r="F7558" i="1"/>
  <c r="D7558" i="1"/>
  <c r="C7558" i="1"/>
  <c r="H7557" i="1"/>
  <c r="F7557" i="1"/>
  <c r="D7557" i="1"/>
  <c r="C7557" i="1"/>
  <c r="H7556" i="1"/>
  <c r="F7556" i="1"/>
  <c r="D7556" i="1"/>
  <c r="C7556" i="1"/>
  <c r="H7555" i="1"/>
  <c r="F7555" i="1"/>
  <c r="D7555" i="1"/>
  <c r="C7555" i="1"/>
  <c r="H7554" i="1"/>
  <c r="F7554" i="1"/>
  <c r="D7554" i="1"/>
  <c r="C7554" i="1"/>
  <c r="H7553" i="1"/>
  <c r="F7553" i="1"/>
  <c r="D7553" i="1"/>
  <c r="C7553" i="1"/>
  <c r="H7552" i="1"/>
  <c r="F7552" i="1"/>
  <c r="D7552" i="1"/>
  <c r="C7552" i="1"/>
  <c r="H7551" i="1"/>
  <c r="F7551" i="1"/>
  <c r="D7551" i="1"/>
  <c r="C7551" i="1"/>
  <c r="H7550" i="1"/>
  <c r="F7550" i="1"/>
  <c r="D7550" i="1"/>
  <c r="C7550" i="1"/>
  <c r="H7549" i="1"/>
  <c r="F7549" i="1"/>
  <c r="D7549" i="1"/>
  <c r="C7549" i="1"/>
  <c r="H7548" i="1"/>
  <c r="F7548" i="1"/>
  <c r="D7548" i="1"/>
  <c r="C7548" i="1"/>
  <c r="H7547" i="1"/>
  <c r="F7547" i="1"/>
  <c r="D7547" i="1"/>
  <c r="C7547" i="1"/>
  <c r="H7546" i="1"/>
  <c r="F7546" i="1"/>
  <c r="D7546" i="1"/>
  <c r="C7546" i="1"/>
  <c r="H7545" i="1"/>
  <c r="F7545" i="1"/>
  <c r="D7545" i="1"/>
  <c r="C7545" i="1"/>
  <c r="H7544" i="1"/>
  <c r="F7544" i="1"/>
  <c r="D7544" i="1"/>
  <c r="C7544" i="1"/>
  <c r="H7543" i="1"/>
  <c r="F7543" i="1"/>
  <c r="D7543" i="1"/>
  <c r="C7543" i="1"/>
  <c r="H7542" i="1"/>
  <c r="F7542" i="1"/>
  <c r="D7542" i="1"/>
  <c r="C7542" i="1"/>
  <c r="H7541" i="1"/>
  <c r="F7541" i="1"/>
  <c r="D7541" i="1"/>
  <c r="C7541" i="1"/>
  <c r="H7540" i="1"/>
  <c r="F7540" i="1"/>
  <c r="D7540" i="1"/>
  <c r="C7540" i="1"/>
  <c r="H7539" i="1"/>
  <c r="F7539" i="1"/>
  <c r="D7539" i="1"/>
  <c r="C7539" i="1"/>
  <c r="H7538" i="1"/>
  <c r="F7538" i="1"/>
  <c r="D7538" i="1"/>
  <c r="C7538" i="1"/>
  <c r="H7537" i="1"/>
  <c r="F7537" i="1"/>
  <c r="D7537" i="1"/>
  <c r="C7537" i="1"/>
  <c r="H7536" i="1"/>
  <c r="F7536" i="1"/>
  <c r="D7536" i="1"/>
  <c r="C7536" i="1"/>
  <c r="H7535" i="1"/>
  <c r="F7535" i="1"/>
  <c r="D7535" i="1"/>
  <c r="C7535" i="1"/>
  <c r="H7534" i="1"/>
  <c r="F7534" i="1"/>
  <c r="D7534" i="1"/>
  <c r="C7534" i="1"/>
  <c r="H7533" i="1"/>
  <c r="F7533" i="1"/>
  <c r="D7533" i="1"/>
  <c r="C7533" i="1"/>
  <c r="H7532" i="1"/>
  <c r="F7532" i="1"/>
  <c r="D7532" i="1"/>
  <c r="C7532" i="1"/>
  <c r="H7531" i="1"/>
  <c r="F7531" i="1"/>
  <c r="D7531" i="1"/>
  <c r="C7531" i="1"/>
  <c r="H7530" i="1"/>
  <c r="F7530" i="1"/>
  <c r="D7530" i="1"/>
  <c r="C7530" i="1"/>
  <c r="H7529" i="1"/>
  <c r="F7529" i="1"/>
  <c r="D7529" i="1"/>
  <c r="C7529" i="1"/>
  <c r="H7528" i="1"/>
  <c r="F7528" i="1"/>
  <c r="D7528" i="1"/>
  <c r="C7528" i="1"/>
  <c r="H7527" i="1"/>
  <c r="F7527" i="1"/>
  <c r="D7527" i="1"/>
  <c r="C7527" i="1"/>
  <c r="H7526" i="1"/>
  <c r="F7526" i="1"/>
  <c r="D7526" i="1"/>
  <c r="C7526" i="1"/>
  <c r="H7525" i="1"/>
  <c r="F7525" i="1"/>
  <c r="D7525" i="1"/>
  <c r="C7525" i="1"/>
  <c r="H7524" i="1"/>
  <c r="F7524" i="1"/>
  <c r="D7524" i="1"/>
  <c r="C7524" i="1"/>
  <c r="H7523" i="1"/>
  <c r="F7523" i="1"/>
  <c r="D7523" i="1"/>
  <c r="C7523" i="1"/>
  <c r="H7522" i="1"/>
  <c r="F7522" i="1"/>
  <c r="D7522" i="1"/>
  <c r="C7522" i="1"/>
  <c r="H7521" i="1"/>
  <c r="F7521" i="1"/>
  <c r="D7521" i="1"/>
  <c r="C7521" i="1"/>
  <c r="H7520" i="1"/>
  <c r="F7520" i="1"/>
  <c r="D7520" i="1"/>
  <c r="C7520" i="1"/>
  <c r="H7519" i="1"/>
  <c r="F7519" i="1"/>
  <c r="D7519" i="1"/>
  <c r="C7519" i="1"/>
  <c r="H7518" i="1"/>
  <c r="F7518" i="1"/>
  <c r="D7518" i="1"/>
  <c r="C7518" i="1"/>
  <c r="H7517" i="1"/>
  <c r="F7517" i="1"/>
  <c r="D7517" i="1"/>
  <c r="C7517" i="1"/>
  <c r="H7516" i="1"/>
  <c r="F7516" i="1"/>
  <c r="D7516" i="1"/>
  <c r="C7516" i="1"/>
  <c r="H7515" i="1"/>
  <c r="F7515" i="1"/>
  <c r="D7515" i="1"/>
  <c r="C7515" i="1"/>
  <c r="H7514" i="1"/>
  <c r="F7514" i="1"/>
  <c r="D7514" i="1"/>
  <c r="C7514" i="1"/>
  <c r="H7513" i="1"/>
  <c r="F7513" i="1"/>
  <c r="D7513" i="1"/>
  <c r="C7513" i="1"/>
  <c r="H7512" i="1"/>
  <c r="F7512" i="1"/>
  <c r="D7512" i="1"/>
  <c r="C7512" i="1"/>
  <c r="H7511" i="1"/>
  <c r="F7511" i="1"/>
  <c r="D7511" i="1"/>
  <c r="C7511" i="1"/>
  <c r="H7510" i="1"/>
  <c r="F7510" i="1"/>
  <c r="D7510" i="1"/>
  <c r="C7510" i="1"/>
  <c r="H7509" i="1"/>
  <c r="F7509" i="1"/>
  <c r="D7509" i="1"/>
  <c r="C7509" i="1"/>
  <c r="H7508" i="1"/>
  <c r="F7508" i="1"/>
  <c r="D7508" i="1"/>
  <c r="C7508" i="1"/>
  <c r="H7507" i="1"/>
  <c r="F7507" i="1"/>
  <c r="D7507" i="1"/>
  <c r="C7507" i="1"/>
  <c r="H7506" i="1"/>
  <c r="F7506" i="1"/>
  <c r="D7506" i="1"/>
  <c r="C7506" i="1"/>
  <c r="H7505" i="1"/>
  <c r="F7505" i="1"/>
  <c r="D7505" i="1"/>
  <c r="C7505" i="1"/>
  <c r="H7504" i="1"/>
  <c r="F7504" i="1"/>
  <c r="D7504" i="1"/>
  <c r="C7504" i="1"/>
  <c r="H7503" i="1"/>
  <c r="F7503" i="1"/>
  <c r="D7503" i="1"/>
  <c r="C7503" i="1"/>
  <c r="H7502" i="1"/>
  <c r="F7502" i="1"/>
  <c r="D7502" i="1"/>
  <c r="C7502" i="1"/>
  <c r="H7501" i="1"/>
  <c r="F7501" i="1"/>
  <c r="D7501" i="1"/>
  <c r="C7501" i="1"/>
  <c r="H7500" i="1"/>
  <c r="F7500" i="1"/>
  <c r="D7500" i="1"/>
  <c r="C7500" i="1"/>
  <c r="H7499" i="1"/>
  <c r="F7499" i="1"/>
  <c r="D7499" i="1"/>
  <c r="C7499" i="1"/>
  <c r="H7498" i="1"/>
  <c r="F7498" i="1"/>
  <c r="D7498" i="1"/>
  <c r="C7498" i="1"/>
  <c r="H7497" i="1"/>
  <c r="F7497" i="1"/>
  <c r="D7497" i="1"/>
  <c r="C7497" i="1"/>
  <c r="H7496" i="1"/>
  <c r="F7496" i="1"/>
  <c r="D7496" i="1"/>
  <c r="C7496" i="1"/>
  <c r="H7495" i="1"/>
  <c r="F7495" i="1"/>
  <c r="D7495" i="1"/>
  <c r="C7495" i="1"/>
  <c r="H7494" i="1"/>
  <c r="F7494" i="1"/>
  <c r="D7494" i="1"/>
  <c r="C7494" i="1"/>
  <c r="H7493" i="1"/>
  <c r="F7493" i="1"/>
  <c r="D7493" i="1"/>
  <c r="C7493" i="1"/>
  <c r="H7492" i="1"/>
  <c r="F7492" i="1"/>
  <c r="D7492" i="1"/>
  <c r="C7492" i="1"/>
  <c r="H7491" i="1"/>
  <c r="F7491" i="1"/>
  <c r="D7491" i="1"/>
  <c r="C7491" i="1"/>
  <c r="H7490" i="1"/>
  <c r="F7490" i="1"/>
  <c r="D7490" i="1"/>
  <c r="C7490" i="1"/>
  <c r="H7489" i="1"/>
  <c r="F7489" i="1"/>
  <c r="D7489" i="1"/>
  <c r="C7489" i="1"/>
  <c r="H7488" i="1"/>
  <c r="F7488" i="1"/>
  <c r="D7488" i="1"/>
  <c r="C7488" i="1"/>
  <c r="H7487" i="1"/>
  <c r="F7487" i="1"/>
  <c r="D7487" i="1"/>
  <c r="C7487" i="1"/>
  <c r="H7486" i="1"/>
  <c r="F7486" i="1"/>
  <c r="D7486" i="1"/>
  <c r="C7486" i="1"/>
  <c r="H7485" i="1"/>
  <c r="F7485" i="1"/>
  <c r="D7485" i="1"/>
  <c r="C7485" i="1"/>
  <c r="H7484" i="1"/>
  <c r="F7484" i="1"/>
  <c r="D7484" i="1"/>
  <c r="C7484" i="1"/>
  <c r="H7483" i="1"/>
  <c r="F7483" i="1"/>
  <c r="D7483" i="1"/>
  <c r="C7483" i="1"/>
  <c r="H7482" i="1"/>
  <c r="F7482" i="1"/>
  <c r="D7482" i="1"/>
  <c r="C7482" i="1"/>
  <c r="H7481" i="1"/>
  <c r="F7481" i="1"/>
  <c r="D7481" i="1"/>
  <c r="C7481" i="1"/>
  <c r="H7480" i="1"/>
  <c r="F7480" i="1"/>
  <c r="D7480" i="1"/>
  <c r="C7480" i="1"/>
  <c r="H7479" i="1"/>
  <c r="F7479" i="1"/>
  <c r="D7479" i="1"/>
  <c r="C7479" i="1"/>
  <c r="H7478" i="1"/>
  <c r="F7478" i="1"/>
  <c r="D7478" i="1"/>
  <c r="C7478" i="1"/>
  <c r="H7477" i="1"/>
  <c r="F7477" i="1"/>
  <c r="D7477" i="1"/>
  <c r="C7477" i="1"/>
  <c r="H7476" i="1"/>
  <c r="F7476" i="1"/>
  <c r="D7476" i="1"/>
  <c r="C7476" i="1"/>
  <c r="H7475" i="1"/>
  <c r="F7475" i="1"/>
  <c r="D7475" i="1"/>
  <c r="C7475" i="1"/>
  <c r="H7474" i="1"/>
  <c r="F7474" i="1"/>
  <c r="D7474" i="1"/>
  <c r="C7474" i="1"/>
  <c r="H7473" i="1"/>
  <c r="F7473" i="1"/>
  <c r="D7473" i="1"/>
  <c r="C7473" i="1"/>
  <c r="H7472" i="1"/>
  <c r="F7472" i="1"/>
  <c r="D7472" i="1"/>
  <c r="C7472" i="1"/>
  <c r="H7471" i="1"/>
  <c r="F7471" i="1"/>
  <c r="D7471" i="1"/>
  <c r="C7471" i="1"/>
  <c r="H7470" i="1"/>
  <c r="F7470" i="1"/>
  <c r="D7470" i="1"/>
  <c r="C7470" i="1"/>
  <c r="H7469" i="1"/>
  <c r="F7469" i="1"/>
  <c r="D7469" i="1"/>
  <c r="C7469" i="1"/>
  <c r="H7468" i="1"/>
  <c r="F7468" i="1"/>
  <c r="D7468" i="1"/>
  <c r="C7468" i="1"/>
  <c r="H7467" i="1"/>
  <c r="F7467" i="1"/>
  <c r="D7467" i="1"/>
  <c r="C7467" i="1"/>
  <c r="H7466" i="1"/>
  <c r="F7466" i="1"/>
  <c r="D7466" i="1"/>
  <c r="C7466" i="1"/>
  <c r="H7465" i="1"/>
  <c r="F7465" i="1"/>
  <c r="D7465" i="1"/>
  <c r="C7465" i="1"/>
  <c r="H7464" i="1"/>
  <c r="F7464" i="1"/>
  <c r="D7464" i="1"/>
  <c r="C7464" i="1"/>
  <c r="H7463" i="1"/>
  <c r="F7463" i="1"/>
  <c r="D7463" i="1"/>
  <c r="C7463" i="1"/>
  <c r="H7462" i="1"/>
  <c r="F7462" i="1"/>
  <c r="D7462" i="1"/>
  <c r="C7462" i="1"/>
  <c r="H7461" i="1"/>
  <c r="F7461" i="1"/>
  <c r="D7461" i="1"/>
  <c r="C7461" i="1"/>
  <c r="H7460" i="1"/>
  <c r="F7460" i="1"/>
  <c r="D7460" i="1"/>
  <c r="C7460" i="1"/>
  <c r="H7459" i="1"/>
  <c r="F7459" i="1"/>
  <c r="D7459" i="1"/>
  <c r="C7459" i="1"/>
  <c r="H7458" i="1"/>
  <c r="F7458" i="1"/>
  <c r="D7458" i="1"/>
  <c r="C7458" i="1"/>
  <c r="H7457" i="1"/>
  <c r="F7457" i="1"/>
  <c r="D7457" i="1"/>
  <c r="C7457" i="1"/>
  <c r="H7456" i="1"/>
  <c r="F7456" i="1"/>
  <c r="D7456" i="1"/>
  <c r="C7456" i="1"/>
  <c r="H7455" i="1"/>
  <c r="F7455" i="1"/>
  <c r="D7455" i="1"/>
  <c r="C7455" i="1"/>
  <c r="H7454" i="1"/>
  <c r="F7454" i="1"/>
  <c r="D7454" i="1"/>
  <c r="C7454" i="1"/>
  <c r="H7453" i="1"/>
  <c r="F7453" i="1"/>
  <c r="D7453" i="1"/>
  <c r="C7453" i="1"/>
  <c r="H7452" i="1"/>
  <c r="F7452" i="1"/>
  <c r="D7452" i="1"/>
  <c r="C7452" i="1"/>
  <c r="H7451" i="1"/>
  <c r="F7451" i="1"/>
  <c r="D7451" i="1"/>
  <c r="C7451" i="1"/>
  <c r="H7450" i="1"/>
  <c r="F7450" i="1"/>
  <c r="D7450" i="1"/>
  <c r="C7450" i="1"/>
  <c r="H7449" i="1"/>
  <c r="F7449" i="1"/>
  <c r="D7449" i="1"/>
  <c r="C7449" i="1"/>
  <c r="H7448" i="1"/>
  <c r="F7448" i="1"/>
  <c r="D7448" i="1"/>
  <c r="C7448" i="1"/>
  <c r="H7447" i="1"/>
  <c r="F7447" i="1"/>
  <c r="D7447" i="1"/>
  <c r="C7447" i="1"/>
  <c r="H7446" i="1"/>
  <c r="F7446" i="1"/>
  <c r="D7446" i="1"/>
  <c r="C7446" i="1"/>
  <c r="H7445" i="1"/>
  <c r="F7445" i="1"/>
  <c r="D7445" i="1"/>
  <c r="C7445" i="1"/>
  <c r="H7444" i="1"/>
  <c r="F7444" i="1"/>
  <c r="D7444" i="1"/>
  <c r="C7444" i="1"/>
  <c r="H7443" i="1"/>
  <c r="F7443" i="1"/>
  <c r="D7443" i="1"/>
  <c r="C7443" i="1"/>
  <c r="H7442" i="1"/>
  <c r="F7442" i="1"/>
  <c r="D7442" i="1"/>
  <c r="C7442" i="1"/>
  <c r="H7441" i="1"/>
  <c r="F7441" i="1"/>
  <c r="D7441" i="1"/>
  <c r="C7441" i="1"/>
  <c r="H7440" i="1"/>
  <c r="F7440" i="1"/>
  <c r="D7440" i="1"/>
  <c r="C7440" i="1"/>
  <c r="H7439" i="1"/>
  <c r="F7439" i="1"/>
  <c r="D7439" i="1"/>
  <c r="C7439" i="1"/>
  <c r="H7438" i="1"/>
  <c r="F7438" i="1"/>
  <c r="D7438" i="1"/>
  <c r="C7438" i="1"/>
  <c r="H7437" i="1"/>
  <c r="F7437" i="1"/>
  <c r="D7437" i="1"/>
  <c r="C7437" i="1"/>
  <c r="H7436" i="1"/>
  <c r="F7436" i="1"/>
  <c r="D7436" i="1"/>
  <c r="C7436" i="1"/>
  <c r="H7435" i="1"/>
  <c r="F7435" i="1"/>
  <c r="D7435" i="1"/>
  <c r="C7435" i="1"/>
  <c r="H7434" i="1"/>
  <c r="F7434" i="1"/>
  <c r="D7434" i="1"/>
  <c r="C7434" i="1"/>
  <c r="H7433" i="1"/>
  <c r="F7433" i="1"/>
  <c r="D7433" i="1"/>
  <c r="C7433" i="1"/>
  <c r="H7432" i="1"/>
  <c r="F7432" i="1"/>
  <c r="D7432" i="1"/>
  <c r="C7432" i="1"/>
  <c r="H7431" i="1"/>
  <c r="F7431" i="1"/>
  <c r="D7431" i="1"/>
  <c r="C7431" i="1"/>
  <c r="H7430" i="1"/>
  <c r="F7430" i="1"/>
  <c r="D7430" i="1"/>
  <c r="C7430" i="1"/>
  <c r="H7429" i="1"/>
  <c r="F7429" i="1"/>
  <c r="D7429" i="1"/>
  <c r="C7429" i="1"/>
  <c r="H7428" i="1"/>
  <c r="F7428" i="1"/>
  <c r="D7428" i="1"/>
  <c r="C7428" i="1"/>
  <c r="H7427" i="1"/>
  <c r="F7427" i="1"/>
  <c r="D7427" i="1"/>
  <c r="C7427" i="1"/>
  <c r="H7426" i="1"/>
  <c r="F7426" i="1"/>
  <c r="D7426" i="1"/>
  <c r="C7426" i="1"/>
  <c r="H7425" i="1"/>
  <c r="F7425" i="1"/>
  <c r="D7425" i="1"/>
  <c r="C7425" i="1"/>
  <c r="H7424" i="1"/>
  <c r="F7424" i="1"/>
  <c r="D7424" i="1"/>
  <c r="C7424" i="1"/>
  <c r="H7423" i="1"/>
  <c r="F7423" i="1"/>
  <c r="D7423" i="1"/>
  <c r="C7423" i="1"/>
  <c r="H7422" i="1"/>
  <c r="F7422" i="1"/>
  <c r="D7422" i="1"/>
  <c r="C7422" i="1"/>
  <c r="H7421" i="1"/>
  <c r="F7421" i="1"/>
  <c r="D7421" i="1"/>
  <c r="C7421" i="1"/>
  <c r="H7420" i="1"/>
  <c r="F7420" i="1"/>
  <c r="D7420" i="1"/>
  <c r="C7420" i="1"/>
  <c r="H7419" i="1"/>
  <c r="F7419" i="1"/>
  <c r="D7419" i="1"/>
  <c r="C7419" i="1"/>
  <c r="H7418" i="1"/>
  <c r="F7418" i="1"/>
  <c r="D7418" i="1"/>
  <c r="C7418" i="1"/>
  <c r="H7417" i="1"/>
  <c r="F7417" i="1"/>
  <c r="D7417" i="1"/>
  <c r="C7417" i="1"/>
  <c r="H7416" i="1"/>
  <c r="F7416" i="1"/>
  <c r="D7416" i="1"/>
  <c r="C7416" i="1"/>
  <c r="H7415" i="1"/>
  <c r="F7415" i="1"/>
  <c r="D7415" i="1"/>
  <c r="C7415" i="1"/>
  <c r="H7414" i="1"/>
  <c r="F7414" i="1"/>
  <c r="D7414" i="1"/>
  <c r="C7414" i="1"/>
  <c r="H7413" i="1"/>
  <c r="F7413" i="1"/>
  <c r="D7413" i="1"/>
  <c r="C7413" i="1"/>
  <c r="H7412" i="1"/>
  <c r="F7412" i="1"/>
  <c r="D7412" i="1"/>
  <c r="C7412" i="1"/>
  <c r="H7411" i="1"/>
  <c r="F7411" i="1"/>
  <c r="D7411" i="1"/>
  <c r="C7411" i="1"/>
  <c r="H7410" i="1"/>
  <c r="F7410" i="1"/>
  <c r="D7410" i="1"/>
  <c r="C7410" i="1"/>
  <c r="H7409" i="1"/>
  <c r="F7409" i="1"/>
  <c r="D7409" i="1"/>
  <c r="C7409" i="1"/>
  <c r="H7408" i="1"/>
  <c r="F7408" i="1"/>
  <c r="D7408" i="1"/>
  <c r="C7408" i="1"/>
  <c r="H7407" i="1"/>
  <c r="F7407" i="1"/>
  <c r="D7407" i="1"/>
  <c r="C7407" i="1"/>
  <c r="H7406" i="1"/>
  <c r="F7406" i="1"/>
  <c r="D7406" i="1"/>
  <c r="C7406" i="1"/>
  <c r="H7405" i="1"/>
  <c r="F7405" i="1"/>
  <c r="D7405" i="1"/>
  <c r="C7405" i="1"/>
  <c r="H7404" i="1"/>
  <c r="F7404" i="1"/>
  <c r="D7404" i="1"/>
  <c r="C7404" i="1"/>
  <c r="H7403" i="1"/>
  <c r="F7403" i="1"/>
  <c r="D7403" i="1"/>
  <c r="C7403" i="1"/>
  <c r="H7402" i="1"/>
  <c r="F7402" i="1"/>
  <c r="D7402" i="1"/>
  <c r="C7402" i="1"/>
  <c r="H7401" i="1"/>
  <c r="F7401" i="1"/>
  <c r="D7401" i="1"/>
  <c r="C7401" i="1"/>
  <c r="H7400" i="1"/>
  <c r="F7400" i="1"/>
  <c r="D7400" i="1"/>
  <c r="C7400" i="1"/>
  <c r="H7399" i="1"/>
  <c r="F7399" i="1"/>
  <c r="D7399" i="1"/>
  <c r="C7399" i="1"/>
  <c r="H7398" i="1"/>
  <c r="F7398" i="1"/>
  <c r="D7398" i="1"/>
  <c r="C7398" i="1"/>
  <c r="H7397" i="1"/>
  <c r="F7397" i="1"/>
  <c r="D7397" i="1"/>
  <c r="C7397" i="1"/>
  <c r="H7396" i="1"/>
  <c r="F7396" i="1"/>
  <c r="D7396" i="1"/>
  <c r="C7396" i="1"/>
  <c r="H7395" i="1"/>
  <c r="F7395" i="1"/>
  <c r="D7395" i="1"/>
  <c r="C7395" i="1"/>
  <c r="H7394" i="1"/>
  <c r="F7394" i="1"/>
  <c r="D7394" i="1"/>
  <c r="C7394" i="1"/>
  <c r="H7393" i="1"/>
  <c r="F7393" i="1"/>
  <c r="D7393" i="1"/>
  <c r="C7393" i="1"/>
  <c r="H7392" i="1"/>
  <c r="F7392" i="1"/>
  <c r="D7392" i="1"/>
  <c r="C7392" i="1"/>
  <c r="H7391" i="1"/>
  <c r="F7391" i="1"/>
  <c r="D7391" i="1"/>
  <c r="C7391" i="1"/>
  <c r="H7390" i="1"/>
  <c r="F7390" i="1"/>
  <c r="D7390" i="1"/>
  <c r="C7390" i="1"/>
  <c r="H7389" i="1"/>
  <c r="F7389" i="1"/>
  <c r="D7389" i="1"/>
  <c r="C7389" i="1"/>
  <c r="H7388" i="1"/>
  <c r="F7388" i="1"/>
  <c r="D7388" i="1"/>
  <c r="C7388" i="1"/>
  <c r="H7387" i="1"/>
  <c r="F7387" i="1"/>
  <c r="D7387" i="1"/>
  <c r="C7387" i="1"/>
  <c r="H7386" i="1"/>
  <c r="F7386" i="1"/>
  <c r="D7386" i="1"/>
  <c r="C7386" i="1"/>
  <c r="H7385" i="1"/>
  <c r="F7385" i="1"/>
  <c r="D7385" i="1"/>
  <c r="C7385" i="1"/>
  <c r="H7384" i="1"/>
  <c r="F7384" i="1"/>
  <c r="D7384" i="1"/>
  <c r="C7384" i="1"/>
  <c r="H7383" i="1"/>
  <c r="F7383" i="1"/>
  <c r="D7383" i="1"/>
  <c r="C7383" i="1"/>
  <c r="H7382" i="1"/>
  <c r="F7382" i="1"/>
  <c r="D7382" i="1"/>
  <c r="C7382" i="1"/>
  <c r="H7381" i="1"/>
  <c r="F7381" i="1"/>
  <c r="D7381" i="1"/>
  <c r="C7381" i="1"/>
  <c r="H7380" i="1"/>
  <c r="F7380" i="1"/>
  <c r="D7380" i="1"/>
  <c r="C7380" i="1"/>
  <c r="H7379" i="1"/>
  <c r="F7379" i="1"/>
  <c r="D7379" i="1"/>
  <c r="C7379" i="1"/>
  <c r="H7378" i="1"/>
  <c r="F7378" i="1"/>
  <c r="D7378" i="1"/>
  <c r="C7378" i="1"/>
  <c r="H7377" i="1"/>
  <c r="F7377" i="1"/>
  <c r="D7377" i="1"/>
  <c r="C7377" i="1"/>
  <c r="H7376" i="1"/>
  <c r="F7376" i="1"/>
  <c r="D7376" i="1"/>
  <c r="C7376" i="1"/>
  <c r="H7375" i="1"/>
  <c r="F7375" i="1"/>
  <c r="D7375" i="1"/>
  <c r="C7375" i="1"/>
  <c r="H7374" i="1"/>
  <c r="F7374" i="1"/>
  <c r="D7374" i="1"/>
  <c r="C7374" i="1"/>
  <c r="H7373" i="1"/>
  <c r="F7373" i="1"/>
  <c r="D7373" i="1"/>
  <c r="C7373" i="1"/>
  <c r="H7372" i="1"/>
  <c r="F7372" i="1"/>
  <c r="D7372" i="1"/>
  <c r="C7372" i="1"/>
  <c r="H7371" i="1"/>
  <c r="F7371" i="1"/>
  <c r="D7371" i="1"/>
  <c r="C7371" i="1"/>
  <c r="H7370" i="1"/>
  <c r="F7370" i="1"/>
  <c r="D7370" i="1"/>
  <c r="C7370" i="1"/>
  <c r="H7369" i="1"/>
  <c r="F7369" i="1"/>
  <c r="D7369" i="1"/>
  <c r="C7369" i="1"/>
  <c r="H7368" i="1"/>
  <c r="F7368" i="1"/>
  <c r="D7368" i="1"/>
  <c r="C7368" i="1"/>
  <c r="H7367" i="1"/>
  <c r="F7367" i="1"/>
  <c r="D7367" i="1"/>
  <c r="C7367" i="1"/>
  <c r="H7366" i="1"/>
  <c r="F7366" i="1"/>
  <c r="D7366" i="1"/>
  <c r="C7366" i="1"/>
  <c r="H7365" i="1"/>
  <c r="F7365" i="1"/>
  <c r="D7365" i="1"/>
  <c r="C7365" i="1"/>
  <c r="H7364" i="1"/>
  <c r="F7364" i="1"/>
  <c r="D7364" i="1"/>
  <c r="C7364" i="1"/>
  <c r="H7363" i="1"/>
  <c r="F7363" i="1"/>
  <c r="D7363" i="1"/>
  <c r="C7363" i="1"/>
  <c r="H7362" i="1"/>
  <c r="F7362" i="1"/>
  <c r="D7362" i="1"/>
  <c r="C7362" i="1"/>
  <c r="H7361" i="1"/>
  <c r="F7361" i="1"/>
  <c r="D7361" i="1"/>
  <c r="C7361" i="1"/>
  <c r="H7360" i="1"/>
  <c r="F7360" i="1"/>
  <c r="D7360" i="1"/>
  <c r="C7360" i="1"/>
  <c r="H7359" i="1"/>
  <c r="F7359" i="1"/>
  <c r="D7359" i="1"/>
  <c r="C7359" i="1"/>
  <c r="H7358" i="1"/>
  <c r="F7358" i="1"/>
  <c r="D7358" i="1"/>
  <c r="C7358" i="1"/>
  <c r="H7357" i="1"/>
  <c r="F7357" i="1"/>
  <c r="D7357" i="1"/>
  <c r="C7357" i="1"/>
  <c r="H7356" i="1"/>
  <c r="F7356" i="1"/>
  <c r="D7356" i="1"/>
  <c r="C7356" i="1"/>
  <c r="H7355" i="1"/>
  <c r="F7355" i="1"/>
  <c r="D7355" i="1"/>
  <c r="C7355" i="1"/>
  <c r="H7354" i="1"/>
  <c r="F7354" i="1"/>
  <c r="D7354" i="1"/>
  <c r="C7354" i="1"/>
  <c r="H7353" i="1"/>
  <c r="F7353" i="1"/>
  <c r="D7353" i="1"/>
  <c r="C7353" i="1"/>
  <c r="H7352" i="1"/>
  <c r="F7352" i="1"/>
  <c r="D7352" i="1"/>
  <c r="C7352" i="1"/>
  <c r="H7351" i="1"/>
  <c r="F7351" i="1"/>
  <c r="D7351" i="1"/>
  <c r="C7351" i="1"/>
  <c r="H7350" i="1"/>
  <c r="F7350" i="1"/>
  <c r="D7350" i="1"/>
  <c r="C7350" i="1"/>
  <c r="H7349" i="1"/>
  <c r="F7349" i="1"/>
  <c r="D7349" i="1"/>
  <c r="C7349" i="1"/>
  <c r="H7348" i="1"/>
  <c r="F7348" i="1"/>
  <c r="D7348" i="1"/>
  <c r="C7348" i="1"/>
  <c r="H7347" i="1"/>
  <c r="F7347" i="1"/>
  <c r="D7347" i="1"/>
  <c r="C7347" i="1"/>
  <c r="H7346" i="1"/>
  <c r="F7346" i="1"/>
  <c r="D7346" i="1"/>
  <c r="C7346" i="1"/>
  <c r="H7345" i="1"/>
  <c r="F7345" i="1"/>
  <c r="D7345" i="1"/>
  <c r="C7345" i="1"/>
  <c r="H7344" i="1"/>
  <c r="F7344" i="1"/>
  <c r="D7344" i="1"/>
  <c r="C7344" i="1"/>
  <c r="H7343" i="1"/>
  <c r="F7343" i="1"/>
  <c r="D7343" i="1"/>
  <c r="C7343" i="1"/>
  <c r="H7342" i="1"/>
  <c r="F7342" i="1"/>
  <c r="D7342" i="1"/>
  <c r="C7342" i="1"/>
  <c r="H7341" i="1"/>
  <c r="F7341" i="1"/>
  <c r="D7341" i="1"/>
  <c r="C7341" i="1"/>
  <c r="H7340" i="1"/>
  <c r="F7340" i="1"/>
  <c r="D7340" i="1"/>
  <c r="C7340" i="1"/>
  <c r="H7339" i="1"/>
  <c r="F7339" i="1"/>
  <c r="D7339" i="1"/>
  <c r="C7339" i="1"/>
  <c r="H7338" i="1"/>
  <c r="F7338" i="1"/>
  <c r="D7338" i="1"/>
  <c r="C7338" i="1"/>
  <c r="H7337" i="1"/>
  <c r="F7337" i="1"/>
  <c r="D7337" i="1"/>
  <c r="C7337" i="1"/>
  <c r="H7336" i="1"/>
  <c r="F7336" i="1"/>
  <c r="D7336" i="1"/>
  <c r="C7336" i="1"/>
  <c r="H7335" i="1"/>
  <c r="F7335" i="1"/>
  <c r="D7335" i="1"/>
  <c r="C7335" i="1"/>
  <c r="H7334" i="1"/>
  <c r="F7334" i="1"/>
  <c r="D7334" i="1"/>
  <c r="C7334" i="1"/>
  <c r="H7333" i="1"/>
  <c r="F7333" i="1"/>
  <c r="D7333" i="1"/>
  <c r="C7333" i="1"/>
  <c r="H7332" i="1"/>
  <c r="F7332" i="1"/>
  <c r="D7332" i="1"/>
  <c r="C7332" i="1"/>
  <c r="H7331" i="1"/>
  <c r="F7331" i="1"/>
  <c r="D7331" i="1"/>
  <c r="C7331" i="1"/>
  <c r="H7330" i="1"/>
  <c r="F7330" i="1"/>
  <c r="D7330" i="1"/>
  <c r="C7330" i="1"/>
  <c r="H7329" i="1"/>
  <c r="F7329" i="1"/>
  <c r="D7329" i="1"/>
  <c r="C7329" i="1"/>
  <c r="H7328" i="1"/>
  <c r="F7328" i="1"/>
  <c r="D7328" i="1"/>
  <c r="C7328" i="1"/>
  <c r="H7327" i="1"/>
  <c r="F7327" i="1"/>
  <c r="D7327" i="1"/>
  <c r="C7327" i="1"/>
  <c r="H7326" i="1"/>
  <c r="F7326" i="1"/>
  <c r="D7326" i="1"/>
  <c r="C7326" i="1"/>
  <c r="H7325" i="1"/>
  <c r="F7325" i="1"/>
  <c r="D7325" i="1"/>
  <c r="C7325" i="1"/>
  <c r="H7324" i="1"/>
  <c r="F7324" i="1"/>
  <c r="D7324" i="1"/>
  <c r="C7324" i="1"/>
  <c r="H7323" i="1"/>
  <c r="F7323" i="1"/>
  <c r="D7323" i="1"/>
  <c r="C7323" i="1"/>
  <c r="H7322" i="1"/>
  <c r="F7322" i="1"/>
  <c r="D7322" i="1"/>
  <c r="C7322" i="1"/>
  <c r="H7321" i="1"/>
  <c r="F7321" i="1"/>
  <c r="D7321" i="1"/>
  <c r="C7321" i="1"/>
  <c r="H7320" i="1"/>
  <c r="F7320" i="1"/>
  <c r="D7320" i="1"/>
  <c r="C7320" i="1"/>
  <c r="H7319" i="1"/>
  <c r="F7319" i="1"/>
  <c r="D7319" i="1"/>
  <c r="C7319" i="1"/>
  <c r="H7318" i="1"/>
  <c r="F7318" i="1"/>
  <c r="D7318" i="1"/>
  <c r="C7318" i="1"/>
  <c r="H7317" i="1"/>
  <c r="F7317" i="1"/>
  <c r="D7317" i="1"/>
  <c r="C7317" i="1"/>
  <c r="H7316" i="1"/>
  <c r="F7316" i="1"/>
  <c r="D7316" i="1"/>
  <c r="C7316" i="1"/>
  <c r="H7315" i="1"/>
  <c r="F7315" i="1"/>
  <c r="D7315" i="1"/>
  <c r="C7315" i="1"/>
  <c r="H7314" i="1"/>
  <c r="F7314" i="1"/>
  <c r="D7314" i="1"/>
  <c r="C7314" i="1"/>
  <c r="H7313" i="1"/>
  <c r="F7313" i="1"/>
  <c r="D7313" i="1"/>
  <c r="C7313" i="1"/>
  <c r="H7312" i="1"/>
  <c r="F7312" i="1"/>
  <c r="D7312" i="1"/>
  <c r="C7312" i="1"/>
  <c r="H7311" i="1"/>
  <c r="F7311" i="1"/>
  <c r="D7311" i="1"/>
  <c r="C7311" i="1"/>
  <c r="H7310" i="1"/>
  <c r="F7310" i="1"/>
  <c r="D7310" i="1"/>
  <c r="C7310" i="1"/>
  <c r="H7309" i="1"/>
  <c r="F7309" i="1"/>
  <c r="D7309" i="1"/>
  <c r="C7309" i="1"/>
  <c r="H7308" i="1"/>
  <c r="F7308" i="1"/>
  <c r="D7308" i="1"/>
  <c r="C7308" i="1"/>
  <c r="H7307" i="1"/>
  <c r="F7307" i="1"/>
  <c r="D7307" i="1"/>
  <c r="C7307" i="1"/>
  <c r="H7306" i="1"/>
  <c r="F7306" i="1"/>
  <c r="D7306" i="1"/>
  <c r="C7306" i="1"/>
  <c r="H7305" i="1"/>
  <c r="F7305" i="1"/>
  <c r="D7305" i="1"/>
  <c r="C7305" i="1"/>
  <c r="H7304" i="1"/>
  <c r="F7304" i="1"/>
  <c r="D7304" i="1"/>
  <c r="C7304" i="1"/>
  <c r="H7303" i="1"/>
  <c r="F7303" i="1"/>
  <c r="D7303" i="1"/>
  <c r="C7303" i="1"/>
  <c r="H7302" i="1"/>
  <c r="F7302" i="1"/>
  <c r="D7302" i="1"/>
  <c r="C7302" i="1"/>
  <c r="H7301" i="1"/>
  <c r="F7301" i="1"/>
  <c r="D7301" i="1"/>
  <c r="C7301" i="1"/>
  <c r="H7300" i="1"/>
  <c r="F7300" i="1"/>
  <c r="D7300" i="1"/>
  <c r="C7300" i="1"/>
  <c r="H7299" i="1"/>
  <c r="F7299" i="1"/>
  <c r="D7299" i="1"/>
  <c r="C7299" i="1"/>
  <c r="H7298" i="1"/>
  <c r="F7298" i="1"/>
  <c r="D7298" i="1"/>
  <c r="C7298" i="1"/>
  <c r="H7297" i="1"/>
  <c r="F7297" i="1"/>
  <c r="D7297" i="1"/>
  <c r="C7297" i="1"/>
  <c r="H7296" i="1"/>
  <c r="F7296" i="1"/>
  <c r="D7296" i="1"/>
  <c r="C7296" i="1"/>
  <c r="H7295" i="1"/>
  <c r="F7295" i="1"/>
  <c r="D7295" i="1"/>
  <c r="C7295" i="1"/>
  <c r="H7294" i="1"/>
  <c r="F7294" i="1"/>
  <c r="D7294" i="1"/>
  <c r="C7294" i="1"/>
  <c r="H7293" i="1"/>
  <c r="F7293" i="1"/>
  <c r="D7293" i="1"/>
  <c r="C7293" i="1"/>
  <c r="H7292" i="1"/>
  <c r="F7292" i="1"/>
  <c r="D7292" i="1"/>
  <c r="C7292" i="1"/>
  <c r="H7291" i="1"/>
  <c r="F7291" i="1"/>
  <c r="D7291" i="1"/>
  <c r="C7291" i="1"/>
  <c r="H7290" i="1"/>
  <c r="F7290" i="1"/>
  <c r="D7290" i="1"/>
  <c r="C7290" i="1"/>
  <c r="H7289" i="1"/>
  <c r="F7289" i="1"/>
  <c r="D7289" i="1"/>
  <c r="C7289" i="1"/>
  <c r="H7288" i="1"/>
  <c r="F7288" i="1"/>
  <c r="D7288" i="1"/>
  <c r="C7288" i="1"/>
  <c r="H7287" i="1"/>
  <c r="F7287" i="1"/>
  <c r="D7287" i="1"/>
  <c r="C7287" i="1"/>
  <c r="H7286" i="1"/>
  <c r="F7286" i="1"/>
  <c r="D7286" i="1"/>
  <c r="C7286" i="1"/>
  <c r="H7285" i="1"/>
  <c r="F7285" i="1"/>
  <c r="D7285" i="1"/>
  <c r="C7285" i="1"/>
  <c r="H7284" i="1"/>
  <c r="F7284" i="1"/>
  <c r="D7284" i="1"/>
  <c r="C7284" i="1"/>
  <c r="H7283" i="1"/>
  <c r="F7283" i="1"/>
  <c r="D7283" i="1"/>
  <c r="C7283" i="1"/>
  <c r="H7282" i="1"/>
  <c r="F7282" i="1"/>
  <c r="D7282" i="1"/>
  <c r="C7282" i="1"/>
  <c r="H7281" i="1"/>
  <c r="F7281" i="1"/>
  <c r="D7281" i="1"/>
  <c r="C7281" i="1"/>
  <c r="H7280" i="1"/>
  <c r="F7280" i="1"/>
  <c r="D7280" i="1"/>
  <c r="C7280" i="1"/>
  <c r="H7279" i="1"/>
  <c r="F7279" i="1"/>
  <c r="D7279" i="1"/>
  <c r="C7279" i="1"/>
  <c r="H7278" i="1"/>
  <c r="F7278" i="1"/>
  <c r="D7278" i="1"/>
  <c r="C7278" i="1"/>
  <c r="H7277" i="1"/>
  <c r="F7277" i="1"/>
  <c r="D7277" i="1"/>
  <c r="C7277" i="1"/>
  <c r="H7276" i="1"/>
  <c r="F7276" i="1"/>
  <c r="D7276" i="1"/>
  <c r="C7276" i="1"/>
  <c r="H7275" i="1"/>
  <c r="F7275" i="1"/>
  <c r="D7275" i="1"/>
  <c r="C7275" i="1"/>
  <c r="H7274" i="1"/>
  <c r="F7274" i="1"/>
  <c r="D7274" i="1"/>
  <c r="C7274" i="1"/>
  <c r="H7273" i="1"/>
  <c r="F7273" i="1"/>
  <c r="D7273" i="1"/>
  <c r="C7273" i="1"/>
  <c r="H7272" i="1"/>
  <c r="F7272" i="1"/>
  <c r="D7272" i="1"/>
  <c r="C7272" i="1"/>
  <c r="H7271" i="1"/>
  <c r="F7271" i="1"/>
  <c r="D7271" i="1"/>
  <c r="C7271" i="1"/>
  <c r="H7270" i="1"/>
  <c r="F7270" i="1"/>
  <c r="D7270" i="1"/>
  <c r="C7270" i="1"/>
  <c r="H7269" i="1"/>
  <c r="F7269" i="1"/>
  <c r="D7269" i="1"/>
  <c r="C7269" i="1"/>
  <c r="H7268" i="1"/>
  <c r="F7268" i="1"/>
  <c r="D7268" i="1"/>
  <c r="C7268" i="1"/>
  <c r="H7267" i="1"/>
  <c r="F7267" i="1"/>
  <c r="D7267" i="1"/>
  <c r="C7267" i="1"/>
  <c r="H7266" i="1"/>
  <c r="F7266" i="1"/>
  <c r="D7266" i="1"/>
  <c r="C7266" i="1"/>
  <c r="H7265" i="1"/>
  <c r="F7265" i="1"/>
  <c r="D7265" i="1"/>
  <c r="C7265" i="1"/>
  <c r="H7264" i="1"/>
  <c r="F7264" i="1"/>
  <c r="D7264" i="1"/>
  <c r="C7264" i="1"/>
  <c r="H7263" i="1"/>
  <c r="F7263" i="1"/>
  <c r="D7263" i="1"/>
  <c r="C7263" i="1"/>
  <c r="H7262" i="1"/>
  <c r="F7262" i="1"/>
  <c r="D7262" i="1"/>
  <c r="C7262" i="1"/>
  <c r="H7261" i="1"/>
  <c r="F7261" i="1"/>
  <c r="D7261" i="1"/>
  <c r="C7261" i="1"/>
  <c r="H7260" i="1"/>
  <c r="F7260" i="1"/>
  <c r="D7260" i="1"/>
  <c r="C7260" i="1"/>
  <c r="H7259" i="1"/>
  <c r="F7259" i="1"/>
  <c r="D7259" i="1"/>
  <c r="C7259" i="1"/>
  <c r="H7258" i="1"/>
  <c r="F7258" i="1"/>
  <c r="D7258" i="1"/>
  <c r="C7258" i="1"/>
  <c r="H7257" i="1"/>
  <c r="F7257" i="1"/>
  <c r="D7257" i="1"/>
  <c r="C7257" i="1"/>
  <c r="H7256" i="1"/>
  <c r="F7256" i="1"/>
  <c r="D7256" i="1"/>
  <c r="C7256" i="1"/>
  <c r="H7255" i="1"/>
  <c r="F7255" i="1"/>
  <c r="D7255" i="1"/>
  <c r="C7255" i="1"/>
  <c r="H7254" i="1"/>
  <c r="F7254" i="1"/>
  <c r="D7254" i="1"/>
  <c r="C7254" i="1"/>
  <c r="H7253" i="1"/>
  <c r="F7253" i="1"/>
  <c r="D7253" i="1"/>
  <c r="C7253" i="1"/>
  <c r="H7252" i="1"/>
  <c r="F7252" i="1"/>
  <c r="D7252" i="1"/>
  <c r="C7252" i="1"/>
  <c r="H7251" i="1"/>
  <c r="F7251" i="1"/>
  <c r="D7251" i="1"/>
  <c r="C7251" i="1"/>
  <c r="H7250" i="1"/>
  <c r="F7250" i="1"/>
  <c r="D7250" i="1"/>
  <c r="C7250" i="1"/>
  <c r="H7249" i="1"/>
  <c r="F7249" i="1"/>
  <c r="D7249" i="1"/>
  <c r="C7249" i="1"/>
  <c r="H7248" i="1"/>
  <c r="F7248" i="1"/>
  <c r="D7248" i="1"/>
  <c r="C7248" i="1"/>
  <c r="H7247" i="1"/>
  <c r="F7247" i="1"/>
  <c r="D7247" i="1"/>
  <c r="C7247" i="1"/>
  <c r="H7246" i="1"/>
  <c r="F7246" i="1"/>
  <c r="D7246" i="1"/>
  <c r="C7246" i="1"/>
  <c r="H7245" i="1"/>
  <c r="F7245" i="1"/>
  <c r="D7245" i="1"/>
  <c r="C7245" i="1"/>
  <c r="H7244" i="1"/>
  <c r="F7244" i="1"/>
  <c r="D7244" i="1"/>
  <c r="C7244" i="1"/>
  <c r="H7243" i="1"/>
  <c r="F7243" i="1"/>
  <c r="D7243" i="1"/>
  <c r="C7243" i="1"/>
  <c r="H7242" i="1"/>
  <c r="F7242" i="1"/>
  <c r="D7242" i="1"/>
  <c r="C7242" i="1"/>
  <c r="H7241" i="1"/>
  <c r="F7241" i="1"/>
  <c r="D7241" i="1"/>
  <c r="C7241" i="1"/>
  <c r="H7240" i="1"/>
  <c r="F7240" i="1"/>
  <c r="D7240" i="1"/>
  <c r="C7240" i="1"/>
  <c r="H7239" i="1"/>
  <c r="F7239" i="1"/>
  <c r="D7239" i="1"/>
  <c r="C7239" i="1"/>
  <c r="H7238" i="1"/>
  <c r="F7238" i="1"/>
  <c r="D7238" i="1"/>
  <c r="C7238" i="1"/>
  <c r="H7237" i="1"/>
  <c r="F7237" i="1"/>
  <c r="D7237" i="1"/>
  <c r="C7237" i="1"/>
  <c r="H7236" i="1"/>
  <c r="F7236" i="1"/>
  <c r="D7236" i="1"/>
  <c r="C7236" i="1"/>
  <c r="H7235" i="1"/>
  <c r="F7235" i="1"/>
  <c r="D7235" i="1"/>
  <c r="C7235" i="1"/>
  <c r="H7234" i="1"/>
  <c r="F7234" i="1"/>
  <c r="D7234" i="1"/>
  <c r="C7234" i="1"/>
  <c r="H7233" i="1"/>
  <c r="F7233" i="1"/>
  <c r="D7233" i="1"/>
  <c r="C7233" i="1"/>
  <c r="H7232" i="1"/>
  <c r="F7232" i="1"/>
  <c r="D7232" i="1"/>
  <c r="C7232" i="1"/>
  <c r="H7231" i="1"/>
  <c r="F7231" i="1"/>
  <c r="D7231" i="1"/>
  <c r="C7231" i="1"/>
  <c r="H7230" i="1"/>
  <c r="F7230" i="1"/>
  <c r="D7230" i="1"/>
  <c r="C7230" i="1"/>
  <c r="H7229" i="1"/>
  <c r="F7229" i="1"/>
  <c r="D7229" i="1"/>
  <c r="C7229" i="1"/>
  <c r="H7228" i="1"/>
  <c r="F7228" i="1"/>
  <c r="D7228" i="1"/>
  <c r="C7228" i="1"/>
  <c r="H7227" i="1"/>
  <c r="F7227" i="1"/>
  <c r="D7227" i="1"/>
  <c r="C7227" i="1"/>
  <c r="H7226" i="1"/>
  <c r="F7226" i="1"/>
  <c r="D7226" i="1"/>
  <c r="C7226" i="1"/>
  <c r="H7225" i="1"/>
  <c r="F7225" i="1"/>
  <c r="D7225" i="1"/>
  <c r="C7225" i="1"/>
  <c r="H7224" i="1"/>
  <c r="F7224" i="1"/>
  <c r="D7224" i="1"/>
  <c r="C7224" i="1"/>
  <c r="H7223" i="1"/>
  <c r="F7223" i="1"/>
  <c r="D7223" i="1"/>
  <c r="C7223" i="1"/>
  <c r="H7222" i="1"/>
  <c r="F7222" i="1"/>
  <c r="D7222" i="1"/>
  <c r="C7222" i="1"/>
  <c r="H7221" i="1"/>
  <c r="F7221" i="1"/>
  <c r="D7221" i="1"/>
  <c r="C7221" i="1"/>
  <c r="H7220" i="1"/>
  <c r="F7220" i="1"/>
  <c r="D7220" i="1"/>
  <c r="C7220" i="1"/>
  <c r="H7219" i="1"/>
  <c r="F7219" i="1"/>
  <c r="D7219" i="1"/>
  <c r="C7219" i="1"/>
  <c r="H7218" i="1"/>
  <c r="F7218" i="1"/>
  <c r="D7218" i="1"/>
  <c r="C7218" i="1"/>
  <c r="H7217" i="1"/>
  <c r="F7217" i="1"/>
  <c r="D7217" i="1"/>
  <c r="C7217" i="1"/>
  <c r="H7216" i="1"/>
  <c r="F7216" i="1"/>
  <c r="D7216" i="1"/>
  <c r="C7216" i="1"/>
  <c r="H7215" i="1"/>
  <c r="F7215" i="1"/>
  <c r="D7215" i="1"/>
  <c r="C7215" i="1"/>
  <c r="H7214" i="1"/>
  <c r="F7214" i="1"/>
  <c r="D7214" i="1"/>
  <c r="C7214" i="1"/>
  <c r="H7213" i="1"/>
  <c r="F7213" i="1"/>
  <c r="D7213" i="1"/>
  <c r="C7213" i="1"/>
  <c r="H7212" i="1"/>
  <c r="F7212" i="1"/>
  <c r="D7212" i="1"/>
  <c r="C7212" i="1"/>
  <c r="H7211" i="1"/>
  <c r="F7211" i="1"/>
  <c r="D7211" i="1"/>
  <c r="C7211" i="1"/>
  <c r="H7210" i="1"/>
  <c r="F7210" i="1"/>
  <c r="D7210" i="1"/>
  <c r="C7210" i="1"/>
  <c r="H7209" i="1"/>
  <c r="F7209" i="1"/>
  <c r="D7209" i="1"/>
  <c r="C7209" i="1"/>
  <c r="H7208" i="1"/>
  <c r="F7208" i="1"/>
  <c r="D7208" i="1"/>
  <c r="C7208" i="1"/>
  <c r="H7207" i="1"/>
  <c r="F7207" i="1"/>
  <c r="D7207" i="1"/>
  <c r="C7207" i="1"/>
  <c r="H7206" i="1"/>
  <c r="F7206" i="1"/>
  <c r="D7206" i="1"/>
  <c r="C7206" i="1"/>
  <c r="H7205" i="1"/>
  <c r="F7205" i="1"/>
  <c r="D7205" i="1"/>
  <c r="C7205" i="1"/>
  <c r="H7204" i="1"/>
  <c r="F7204" i="1"/>
  <c r="D7204" i="1"/>
  <c r="C7204" i="1"/>
  <c r="H7203" i="1"/>
  <c r="F7203" i="1"/>
  <c r="D7203" i="1"/>
  <c r="C7203" i="1"/>
  <c r="H7202" i="1"/>
  <c r="F7202" i="1"/>
  <c r="D7202" i="1"/>
  <c r="C7202" i="1"/>
  <c r="H7201" i="1"/>
  <c r="F7201" i="1"/>
  <c r="D7201" i="1"/>
  <c r="C7201" i="1"/>
  <c r="H7200" i="1"/>
  <c r="F7200" i="1"/>
  <c r="D7200" i="1"/>
  <c r="C7200" i="1"/>
  <c r="H7199" i="1"/>
  <c r="F7199" i="1"/>
  <c r="D7199" i="1"/>
  <c r="C7199" i="1"/>
  <c r="H7198" i="1"/>
  <c r="F7198" i="1"/>
  <c r="D7198" i="1"/>
  <c r="C7198" i="1"/>
  <c r="H7197" i="1"/>
  <c r="F7197" i="1"/>
  <c r="D7197" i="1"/>
  <c r="C7197" i="1"/>
  <c r="H7196" i="1"/>
  <c r="F7196" i="1"/>
  <c r="D7196" i="1"/>
  <c r="C7196" i="1"/>
  <c r="H7195" i="1"/>
  <c r="F7195" i="1"/>
  <c r="D7195" i="1"/>
  <c r="C7195" i="1"/>
  <c r="H7194" i="1"/>
  <c r="F7194" i="1"/>
  <c r="D7194" i="1"/>
  <c r="C7194" i="1"/>
  <c r="H7193" i="1"/>
  <c r="F7193" i="1"/>
  <c r="D7193" i="1"/>
  <c r="C7193" i="1"/>
  <c r="H7192" i="1"/>
  <c r="F7192" i="1"/>
  <c r="D7192" i="1"/>
  <c r="C7192" i="1"/>
  <c r="H7191" i="1"/>
  <c r="F7191" i="1"/>
  <c r="D7191" i="1"/>
  <c r="C7191" i="1"/>
  <c r="H7190" i="1"/>
  <c r="F7190" i="1"/>
  <c r="D7190" i="1"/>
  <c r="C7190" i="1"/>
  <c r="H7189" i="1"/>
  <c r="F7189" i="1"/>
  <c r="D7189" i="1"/>
  <c r="C7189" i="1"/>
  <c r="H7188" i="1"/>
  <c r="F7188" i="1"/>
  <c r="D7188" i="1"/>
  <c r="C7188" i="1"/>
  <c r="H7187" i="1"/>
  <c r="F7187" i="1"/>
  <c r="D7187" i="1"/>
  <c r="C7187" i="1"/>
  <c r="H7186" i="1"/>
  <c r="F7186" i="1"/>
  <c r="D7186" i="1"/>
  <c r="C7186" i="1"/>
  <c r="H7185" i="1"/>
  <c r="F7185" i="1"/>
  <c r="D7185" i="1"/>
  <c r="C7185" i="1"/>
  <c r="H7184" i="1"/>
  <c r="F7184" i="1"/>
  <c r="D7184" i="1"/>
  <c r="C7184" i="1"/>
  <c r="H7183" i="1"/>
  <c r="F7183" i="1"/>
  <c r="D7183" i="1"/>
  <c r="C7183" i="1"/>
  <c r="H7182" i="1"/>
  <c r="F7182" i="1"/>
  <c r="D7182" i="1"/>
  <c r="C7182" i="1"/>
  <c r="H7181" i="1"/>
  <c r="F7181" i="1"/>
  <c r="D7181" i="1"/>
  <c r="C7181" i="1"/>
  <c r="H7180" i="1"/>
  <c r="F7180" i="1"/>
  <c r="D7180" i="1"/>
  <c r="C7180" i="1"/>
  <c r="H7179" i="1"/>
  <c r="F7179" i="1"/>
  <c r="D7179" i="1"/>
  <c r="C7179" i="1"/>
  <c r="H7178" i="1"/>
  <c r="F7178" i="1"/>
  <c r="D7178" i="1"/>
  <c r="C7178" i="1"/>
  <c r="H7177" i="1"/>
  <c r="F7177" i="1"/>
  <c r="D7177" i="1"/>
  <c r="C7177" i="1"/>
  <c r="H7176" i="1"/>
  <c r="F7176" i="1"/>
  <c r="D7176" i="1"/>
  <c r="C7176" i="1"/>
  <c r="H7175" i="1"/>
  <c r="F7175" i="1"/>
  <c r="D7175" i="1"/>
  <c r="C7175" i="1"/>
  <c r="H7174" i="1"/>
  <c r="F7174" i="1"/>
  <c r="D7174" i="1"/>
  <c r="C7174" i="1"/>
  <c r="H7173" i="1"/>
  <c r="F7173" i="1"/>
  <c r="D7173" i="1"/>
  <c r="C7173" i="1"/>
  <c r="H7172" i="1"/>
  <c r="F7172" i="1"/>
  <c r="D7172" i="1"/>
  <c r="C7172" i="1"/>
  <c r="H7171" i="1"/>
  <c r="F7171" i="1"/>
  <c r="D7171" i="1"/>
  <c r="C7171" i="1"/>
  <c r="H7170" i="1"/>
  <c r="F7170" i="1"/>
  <c r="D7170" i="1"/>
  <c r="C7170" i="1"/>
  <c r="H7169" i="1"/>
  <c r="F7169" i="1"/>
  <c r="D7169" i="1"/>
  <c r="C7169" i="1"/>
  <c r="H7168" i="1"/>
  <c r="F7168" i="1"/>
  <c r="D7168" i="1"/>
  <c r="C7168" i="1"/>
  <c r="H7167" i="1"/>
  <c r="F7167" i="1"/>
  <c r="D7167" i="1"/>
  <c r="C7167" i="1"/>
  <c r="H7166" i="1"/>
  <c r="F7166" i="1"/>
  <c r="D7166" i="1"/>
  <c r="C7166" i="1"/>
  <c r="H7165" i="1"/>
  <c r="F7165" i="1"/>
  <c r="D7165" i="1"/>
  <c r="C7165" i="1"/>
  <c r="H7164" i="1"/>
  <c r="F7164" i="1"/>
  <c r="D7164" i="1"/>
  <c r="C7164" i="1"/>
  <c r="H7163" i="1"/>
  <c r="F7163" i="1"/>
  <c r="D7163" i="1"/>
  <c r="C7163" i="1"/>
  <c r="H7162" i="1"/>
  <c r="F7162" i="1"/>
  <c r="D7162" i="1"/>
  <c r="C7162" i="1"/>
  <c r="H7161" i="1"/>
  <c r="F7161" i="1"/>
  <c r="D7161" i="1"/>
  <c r="C7161" i="1"/>
  <c r="H7160" i="1"/>
  <c r="F7160" i="1"/>
  <c r="D7160" i="1"/>
  <c r="C7160" i="1"/>
  <c r="H7159" i="1"/>
  <c r="F7159" i="1"/>
  <c r="D7159" i="1"/>
  <c r="C7159" i="1"/>
  <c r="H7158" i="1"/>
  <c r="F7158" i="1"/>
  <c r="D7158" i="1"/>
  <c r="C7158" i="1"/>
  <c r="H7157" i="1"/>
  <c r="F7157" i="1"/>
  <c r="D7157" i="1"/>
  <c r="C7157" i="1"/>
  <c r="H7156" i="1"/>
  <c r="F7156" i="1"/>
  <c r="D7156" i="1"/>
  <c r="C7156" i="1"/>
  <c r="H7155" i="1"/>
  <c r="F7155" i="1"/>
  <c r="D7155" i="1"/>
  <c r="C7155" i="1"/>
  <c r="H7154" i="1"/>
  <c r="F7154" i="1"/>
  <c r="D7154" i="1"/>
  <c r="C7154" i="1"/>
  <c r="H7153" i="1"/>
  <c r="F7153" i="1"/>
  <c r="D7153" i="1"/>
  <c r="C7153" i="1"/>
  <c r="H7152" i="1"/>
  <c r="F7152" i="1"/>
  <c r="D7152" i="1"/>
  <c r="C7152" i="1"/>
  <c r="H7151" i="1"/>
  <c r="F7151" i="1"/>
  <c r="D7151" i="1"/>
  <c r="C7151" i="1"/>
  <c r="H7150" i="1"/>
  <c r="F7150" i="1"/>
  <c r="D7150" i="1"/>
  <c r="C7150" i="1"/>
  <c r="H7149" i="1"/>
  <c r="F7149" i="1"/>
  <c r="D7149" i="1"/>
  <c r="C7149" i="1"/>
  <c r="H7148" i="1"/>
  <c r="F7148" i="1"/>
  <c r="D7148" i="1"/>
  <c r="C7148" i="1"/>
  <c r="H7147" i="1"/>
  <c r="F7147" i="1"/>
  <c r="D7147" i="1"/>
  <c r="C7147" i="1"/>
  <c r="H7146" i="1"/>
  <c r="F7146" i="1"/>
  <c r="D7146" i="1"/>
  <c r="C7146" i="1"/>
  <c r="H7145" i="1"/>
  <c r="F7145" i="1"/>
  <c r="D7145" i="1"/>
  <c r="C7145" i="1"/>
  <c r="H7144" i="1"/>
  <c r="F7144" i="1"/>
  <c r="D7144" i="1"/>
  <c r="C7144" i="1"/>
  <c r="H7143" i="1"/>
  <c r="F7143" i="1"/>
  <c r="D7143" i="1"/>
  <c r="C7143" i="1"/>
  <c r="H7142" i="1"/>
  <c r="F7142" i="1"/>
  <c r="D7142" i="1"/>
  <c r="C7142" i="1"/>
  <c r="H7141" i="1"/>
  <c r="F7141" i="1"/>
  <c r="D7141" i="1"/>
  <c r="C7141" i="1"/>
  <c r="H7140" i="1"/>
  <c r="F7140" i="1"/>
  <c r="D7140" i="1"/>
  <c r="C7140" i="1"/>
  <c r="H7139" i="1"/>
  <c r="F7139" i="1"/>
  <c r="D7139" i="1"/>
  <c r="C7139" i="1"/>
  <c r="H7138" i="1"/>
  <c r="F7138" i="1"/>
  <c r="D7138" i="1"/>
  <c r="C7138" i="1"/>
  <c r="H7137" i="1"/>
  <c r="F7137" i="1"/>
  <c r="D7137" i="1"/>
  <c r="C7137" i="1"/>
  <c r="H7136" i="1"/>
  <c r="F7136" i="1"/>
  <c r="D7136" i="1"/>
  <c r="C7136" i="1"/>
  <c r="H7135" i="1"/>
  <c r="F7135" i="1"/>
  <c r="D7135" i="1"/>
  <c r="C7135" i="1"/>
  <c r="H7134" i="1"/>
  <c r="F7134" i="1"/>
  <c r="D7134" i="1"/>
  <c r="C7134" i="1"/>
  <c r="H7133" i="1"/>
  <c r="F7133" i="1"/>
  <c r="D7133" i="1"/>
  <c r="C7133" i="1"/>
  <c r="H7132" i="1"/>
  <c r="F7132" i="1"/>
  <c r="D7132" i="1"/>
  <c r="C7132" i="1"/>
  <c r="H7131" i="1"/>
  <c r="F7131" i="1"/>
  <c r="D7131" i="1"/>
  <c r="C7131" i="1"/>
  <c r="H7130" i="1"/>
  <c r="F7130" i="1"/>
  <c r="D7130" i="1"/>
  <c r="C7130" i="1"/>
  <c r="H7129" i="1"/>
  <c r="F7129" i="1"/>
  <c r="D7129" i="1"/>
  <c r="C7129" i="1"/>
  <c r="H7128" i="1"/>
  <c r="F7128" i="1"/>
  <c r="D7128" i="1"/>
  <c r="C7128" i="1"/>
  <c r="H7127" i="1"/>
  <c r="F7127" i="1"/>
  <c r="D7127" i="1"/>
  <c r="C7127" i="1"/>
  <c r="H7126" i="1"/>
  <c r="F7126" i="1"/>
  <c r="D7126" i="1"/>
  <c r="C7126" i="1"/>
  <c r="H7125" i="1"/>
  <c r="F7125" i="1"/>
  <c r="D7125" i="1"/>
  <c r="C7125" i="1"/>
  <c r="H7124" i="1"/>
  <c r="F7124" i="1"/>
  <c r="D7124" i="1"/>
  <c r="C7124" i="1"/>
  <c r="H7123" i="1"/>
  <c r="F7123" i="1"/>
  <c r="D7123" i="1"/>
  <c r="C7123" i="1"/>
  <c r="H7122" i="1"/>
  <c r="F7122" i="1"/>
  <c r="D7122" i="1"/>
  <c r="C7122" i="1"/>
  <c r="H7121" i="1"/>
  <c r="F7121" i="1"/>
  <c r="D7121" i="1"/>
  <c r="C7121" i="1"/>
  <c r="H7120" i="1"/>
  <c r="F7120" i="1"/>
  <c r="D7120" i="1"/>
  <c r="C7120" i="1"/>
  <c r="H7119" i="1"/>
  <c r="F7119" i="1"/>
  <c r="D7119" i="1"/>
  <c r="C7119" i="1"/>
  <c r="H7118" i="1"/>
  <c r="F7118" i="1"/>
  <c r="D7118" i="1"/>
  <c r="C7118" i="1"/>
  <c r="H7117" i="1"/>
  <c r="F7117" i="1"/>
  <c r="D7117" i="1"/>
  <c r="C7117" i="1"/>
  <c r="H7116" i="1"/>
  <c r="F7116" i="1"/>
  <c r="D7116" i="1"/>
  <c r="C7116" i="1"/>
  <c r="H7115" i="1"/>
  <c r="F7115" i="1"/>
  <c r="D7115" i="1"/>
  <c r="C7115" i="1"/>
  <c r="H7114" i="1"/>
  <c r="F7114" i="1"/>
  <c r="D7114" i="1"/>
  <c r="C7114" i="1"/>
  <c r="H7113" i="1"/>
  <c r="F7113" i="1"/>
  <c r="D7113" i="1"/>
  <c r="C7113" i="1"/>
  <c r="H7112" i="1"/>
  <c r="F7112" i="1"/>
  <c r="D7112" i="1"/>
  <c r="C7112" i="1"/>
  <c r="H7111" i="1"/>
  <c r="F7111" i="1"/>
  <c r="D7111" i="1"/>
  <c r="C7111" i="1"/>
  <c r="H7110" i="1"/>
  <c r="F7110" i="1"/>
  <c r="D7110" i="1"/>
  <c r="C7110" i="1"/>
  <c r="H7109" i="1"/>
  <c r="F7109" i="1"/>
  <c r="D7109" i="1"/>
  <c r="C7109" i="1"/>
  <c r="H7108" i="1"/>
  <c r="F7108" i="1"/>
  <c r="D7108" i="1"/>
  <c r="C7108" i="1"/>
  <c r="H7107" i="1"/>
  <c r="F7107" i="1"/>
  <c r="D7107" i="1"/>
  <c r="C7107" i="1"/>
  <c r="H7106" i="1"/>
  <c r="F7106" i="1"/>
  <c r="D7106" i="1"/>
  <c r="C7106" i="1"/>
  <c r="H7105" i="1"/>
  <c r="F7105" i="1"/>
  <c r="D7105" i="1"/>
  <c r="C7105" i="1"/>
  <c r="H7104" i="1"/>
  <c r="F7104" i="1"/>
  <c r="D7104" i="1"/>
  <c r="C7104" i="1"/>
  <c r="H7103" i="1"/>
  <c r="F7103" i="1"/>
  <c r="D7103" i="1"/>
  <c r="C7103" i="1"/>
  <c r="H7102" i="1"/>
  <c r="F7102" i="1"/>
  <c r="D7102" i="1"/>
  <c r="C7102" i="1"/>
  <c r="H7101" i="1"/>
  <c r="F7101" i="1"/>
  <c r="D7101" i="1"/>
  <c r="C7101" i="1"/>
  <c r="H7100" i="1"/>
  <c r="F7100" i="1"/>
  <c r="D7100" i="1"/>
  <c r="C7100" i="1"/>
  <c r="H7099" i="1"/>
  <c r="F7099" i="1"/>
  <c r="D7099" i="1"/>
  <c r="C7099" i="1"/>
  <c r="H7098" i="1"/>
  <c r="F7098" i="1"/>
  <c r="D7098" i="1"/>
  <c r="C7098" i="1"/>
  <c r="H7097" i="1"/>
  <c r="F7097" i="1"/>
  <c r="D7097" i="1"/>
  <c r="C7097" i="1"/>
  <c r="H7096" i="1"/>
  <c r="F7096" i="1"/>
  <c r="D7096" i="1"/>
  <c r="C7096" i="1"/>
  <c r="H7095" i="1"/>
  <c r="F7095" i="1"/>
  <c r="D7095" i="1"/>
  <c r="C7095" i="1"/>
  <c r="H7094" i="1"/>
  <c r="F7094" i="1"/>
  <c r="D7094" i="1"/>
  <c r="C7094" i="1"/>
  <c r="H7093" i="1"/>
  <c r="F7093" i="1"/>
  <c r="D7093" i="1"/>
  <c r="C7093" i="1"/>
  <c r="H7092" i="1"/>
  <c r="F7092" i="1"/>
  <c r="D7092" i="1"/>
  <c r="C7092" i="1"/>
  <c r="H7091" i="1"/>
  <c r="F7091" i="1"/>
  <c r="D7091" i="1"/>
  <c r="C7091" i="1"/>
  <c r="H7090" i="1"/>
  <c r="F7090" i="1"/>
  <c r="D7090" i="1"/>
  <c r="C7090" i="1"/>
  <c r="H7089" i="1"/>
  <c r="F7089" i="1"/>
  <c r="D7089" i="1"/>
  <c r="C7089" i="1"/>
  <c r="H7088" i="1"/>
  <c r="F7088" i="1"/>
  <c r="D7088" i="1"/>
  <c r="C7088" i="1"/>
  <c r="H7087" i="1"/>
  <c r="F7087" i="1"/>
  <c r="D7087" i="1"/>
  <c r="C7087" i="1"/>
  <c r="H7086" i="1"/>
  <c r="F7086" i="1"/>
  <c r="D7086" i="1"/>
  <c r="C7086" i="1"/>
  <c r="H7085" i="1"/>
  <c r="F7085" i="1"/>
  <c r="D7085" i="1"/>
  <c r="C7085" i="1"/>
  <c r="H7084" i="1"/>
  <c r="F7084" i="1"/>
  <c r="D7084" i="1"/>
  <c r="C7084" i="1"/>
  <c r="H7083" i="1"/>
  <c r="F7083" i="1"/>
  <c r="D7083" i="1"/>
  <c r="C7083" i="1"/>
  <c r="H7082" i="1"/>
  <c r="F7082" i="1"/>
  <c r="D7082" i="1"/>
  <c r="C7082" i="1"/>
  <c r="H7081" i="1"/>
  <c r="F7081" i="1"/>
  <c r="D7081" i="1"/>
  <c r="C7081" i="1"/>
  <c r="H7080" i="1"/>
  <c r="F7080" i="1"/>
  <c r="D7080" i="1"/>
  <c r="C7080" i="1"/>
  <c r="H7079" i="1"/>
  <c r="F7079" i="1"/>
  <c r="D7079" i="1"/>
  <c r="C7079" i="1"/>
  <c r="H7078" i="1"/>
  <c r="F7078" i="1"/>
  <c r="D7078" i="1"/>
  <c r="C7078" i="1"/>
  <c r="H7077" i="1"/>
  <c r="F7077" i="1"/>
  <c r="D7077" i="1"/>
  <c r="C7077" i="1"/>
  <c r="H7076" i="1"/>
  <c r="F7076" i="1"/>
  <c r="D7076" i="1"/>
  <c r="C7076" i="1"/>
  <c r="H7075" i="1"/>
  <c r="F7075" i="1"/>
  <c r="D7075" i="1"/>
  <c r="C7075" i="1"/>
  <c r="H7074" i="1"/>
  <c r="F7074" i="1"/>
  <c r="D7074" i="1"/>
  <c r="C7074" i="1"/>
  <c r="H7073" i="1"/>
  <c r="F7073" i="1"/>
  <c r="D7073" i="1"/>
  <c r="C7073" i="1"/>
  <c r="H7072" i="1"/>
  <c r="F7072" i="1"/>
  <c r="D7072" i="1"/>
  <c r="C7072" i="1"/>
  <c r="H7071" i="1"/>
  <c r="F7071" i="1"/>
  <c r="D7071" i="1"/>
  <c r="C7071" i="1"/>
  <c r="H7070" i="1"/>
  <c r="F7070" i="1"/>
  <c r="D7070" i="1"/>
  <c r="C7070" i="1"/>
  <c r="H7069" i="1"/>
  <c r="F7069" i="1"/>
  <c r="D7069" i="1"/>
  <c r="C7069" i="1"/>
  <c r="H7068" i="1"/>
  <c r="F7068" i="1"/>
  <c r="D7068" i="1"/>
  <c r="C7068" i="1"/>
  <c r="H7067" i="1"/>
  <c r="F7067" i="1"/>
  <c r="D7067" i="1"/>
  <c r="C7067" i="1"/>
  <c r="H7066" i="1"/>
  <c r="F7066" i="1"/>
  <c r="D7066" i="1"/>
  <c r="C7066" i="1"/>
  <c r="H7065" i="1"/>
  <c r="F7065" i="1"/>
  <c r="D7065" i="1"/>
  <c r="C7065" i="1"/>
  <c r="H7064" i="1"/>
  <c r="F7064" i="1"/>
  <c r="D7064" i="1"/>
  <c r="C7064" i="1"/>
  <c r="H7063" i="1"/>
  <c r="F7063" i="1"/>
  <c r="D7063" i="1"/>
  <c r="C7063" i="1"/>
  <c r="H7062" i="1"/>
  <c r="F7062" i="1"/>
  <c r="D7062" i="1"/>
  <c r="C7062" i="1"/>
  <c r="H7061" i="1"/>
  <c r="F7061" i="1"/>
  <c r="D7061" i="1"/>
  <c r="C7061" i="1"/>
  <c r="H7060" i="1"/>
  <c r="F7060" i="1"/>
  <c r="D7060" i="1"/>
  <c r="C7060" i="1"/>
  <c r="H7059" i="1"/>
  <c r="F7059" i="1"/>
  <c r="D7059" i="1"/>
  <c r="C7059" i="1"/>
  <c r="H7058" i="1"/>
  <c r="F7058" i="1"/>
  <c r="D7058" i="1"/>
  <c r="C7058" i="1"/>
  <c r="H7057" i="1"/>
  <c r="F7057" i="1"/>
  <c r="D7057" i="1"/>
  <c r="C7057" i="1"/>
  <c r="H7056" i="1"/>
  <c r="F7056" i="1"/>
  <c r="D7056" i="1"/>
  <c r="C7056" i="1"/>
  <c r="H7055" i="1"/>
  <c r="F7055" i="1"/>
  <c r="D7055" i="1"/>
  <c r="C7055" i="1"/>
  <c r="H7054" i="1"/>
  <c r="F7054" i="1"/>
  <c r="D7054" i="1"/>
  <c r="C7054" i="1"/>
  <c r="H7053" i="1"/>
  <c r="F7053" i="1"/>
  <c r="D7053" i="1"/>
  <c r="C7053" i="1"/>
  <c r="H7052" i="1"/>
  <c r="F7052" i="1"/>
  <c r="D7052" i="1"/>
  <c r="C7052" i="1"/>
  <c r="H7051" i="1"/>
  <c r="F7051" i="1"/>
  <c r="D7051" i="1"/>
  <c r="C7051" i="1"/>
  <c r="H7050" i="1"/>
  <c r="F7050" i="1"/>
  <c r="D7050" i="1"/>
  <c r="C7050" i="1"/>
  <c r="H7049" i="1"/>
  <c r="F7049" i="1"/>
  <c r="D7049" i="1"/>
  <c r="C7049" i="1"/>
  <c r="H7048" i="1"/>
  <c r="F7048" i="1"/>
  <c r="D7048" i="1"/>
  <c r="C7048" i="1"/>
  <c r="H7047" i="1"/>
  <c r="F7047" i="1"/>
  <c r="D7047" i="1"/>
  <c r="C7047" i="1"/>
  <c r="H7046" i="1"/>
  <c r="F7046" i="1"/>
  <c r="D7046" i="1"/>
  <c r="C7046" i="1"/>
  <c r="H7045" i="1"/>
  <c r="F7045" i="1"/>
  <c r="D7045" i="1"/>
  <c r="C7045" i="1"/>
  <c r="H7044" i="1"/>
  <c r="F7044" i="1"/>
  <c r="D7044" i="1"/>
  <c r="C7044" i="1"/>
  <c r="H7043" i="1"/>
  <c r="F7043" i="1"/>
  <c r="D7043" i="1"/>
  <c r="C7043" i="1"/>
  <c r="H7042" i="1"/>
  <c r="F7042" i="1"/>
  <c r="D7042" i="1"/>
  <c r="C7042" i="1"/>
  <c r="H7041" i="1"/>
  <c r="F7041" i="1"/>
  <c r="D7041" i="1"/>
  <c r="C7041" i="1"/>
  <c r="H7040" i="1"/>
  <c r="F7040" i="1"/>
  <c r="D7040" i="1"/>
  <c r="C7040" i="1"/>
  <c r="H7039" i="1"/>
  <c r="F7039" i="1"/>
  <c r="D7039" i="1"/>
  <c r="C7039" i="1"/>
  <c r="H7038" i="1"/>
  <c r="F7038" i="1"/>
  <c r="D7038" i="1"/>
  <c r="C7038" i="1"/>
  <c r="H7037" i="1"/>
  <c r="F7037" i="1"/>
  <c r="D7037" i="1"/>
  <c r="C7037" i="1"/>
  <c r="H7036" i="1"/>
  <c r="F7036" i="1"/>
  <c r="D7036" i="1"/>
  <c r="C7036" i="1"/>
  <c r="H7035" i="1"/>
  <c r="F7035" i="1"/>
  <c r="D7035" i="1"/>
  <c r="C7035" i="1"/>
  <c r="H7034" i="1"/>
  <c r="F7034" i="1"/>
  <c r="D7034" i="1"/>
  <c r="C7034" i="1"/>
  <c r="H7033" i="1"/>
  <c r="F7033" i="1"/>
  <c r="D7033" i="1"/>
  <c r="C7033" i="1"/>
  <c r="H7032" i="1"/>
  <c r="F7032" i="1"/>
  <c r="D7032" i="1"/>
  <c r="C7032" i="1"/>
  <c r="H7031" i="1"/>
  <c r="F7031" i="1"/>
  <c r="D7031" i="1"/>
  <c r="C7031" i="1"/>
  <c r="H7030" i="1"/>
  <c r="F7030" i="1"/>
  <c r="D7030" i="1"/>
  <c r="C7030" i="1"/>
  <c r="H7029" i="1"/>
  <c r="F7029" i="1"/>
  <c r="D7029" i="1"/>
  <c r="C7029" i="1"/>
  <c r="H7028" i="1"/>
  <c r="F7028" i="1"/>
  <c r="D7028" i="1"/>
  <c r="C7028" i="1"/>
  <c r="H7027" i="1"/>
  <c r="F7027" i="1"/>
  <c r="D7027" i="1"/>
  <c r="C7027" i="1"/>
  <c r="H7026" i="1"/>
  <c r="F7026" i="1"/>
  <c r="D7026" i="1"/>
  <c r="C7026" i="1"/>
  <c r="H7025" i="1"/>
  <c r="F7025" i="1"/>
  <c r="D7025" i="1"/>
  <c r="C7025" i="1"/>
  <c r="H7024" i="1"/>
  <c r="F7024" i="1"/>
  <c r="D7024" i="1"/>
  <c r="C7024" i="1"/>
  <c r="H7023" i="1"/>
  <c r="F7023" i="1"/>
  <c r="D7023" i="1"/>
  <c r="C7023" i="1"/>
  <c r="H7022" i="1"/>
  <c r="F7022" i="1"/>
  <c r="D7022" i="1"/>
  <c r="C7022" i="1"/>
  <c r="H7021" i="1"/>
  <c r="F7021" i="1"/>
  <c r="D7021" i="1"/>
  <c r="C7021" i="1"/>
  <c r="H7020" i="1"/>
  <c r="F7020" i="1"/>
  <c r="D7020" i="1"/>
  <c r="C7020" i="1"/>
  <c r="H7019" i="1"/>
  <c r="F7019" i="1"/>
  <c r="D7019" i="1"/>
  <c r="C7019" i="1"/>
  <c r="H7018" i="1"/>
  <c r="F7018" i="1"/>
  <c r="D7018" i="1"/>
  <c r="C7018" i="1"/>
  <c r="H7017" i="1"/>
  <c r="F7017" i="1"/>
  <c r="D7017" i="1"/>
  <c r="C7017" i="1"/>
  <c r="H7016" i="1"/>
  <c r="F7016" i="1"/>
  <c r="D7016" i="1"/>
  <c r="C7016" i="1"/>
  <c r="H7015" i="1"/>
  <c r="F7015" i="1"/>
  <c r="D7015" i="1"/>
  <c r="C7015" i="1"/>
  <c r="H7014" i="1"/>
  <c r="F7014" i="1"/>
  <c r="D7014" i="1"/>
  <c r="C7014" i="1"/>
  <c r="H7013" i="1"/>
  <c r="F7013" i="1"/>
  <c r="D7013" i="1"/>
  <c r="C7013" i="1"/>
  <c r="H7012" i="1"/>
  <c r="F7012" i="1"/>
  <c r="D7012" i="1"/>
  <c r="C7012" i="1"/>
  <c r="H7011" i="1"/>
  <c r="F7011" i="1"/>
  <c r="D7011" i="1"/>
  <c r="C7011" i="1"/>
  <c r="H7010" i="1"/>
  <c r="F7010" i="1"/>
  <c r="D7010" i="1"/>
  <c r="C7010" i="1"/>
  <c r="H7009" i="1"/>
  <c r="F7009" i="1"/>
  <c r="D7009" i="1"/>
  <c r="C7009" i="1"/>
  <c r="H7008" i="1"/>
  <c r="F7008" i="1"/>
  <c r="D7008" i="1"/>
  <c r="C7008" i="1"/>
  <c r="H7007" i="1"/>
  <c r="F7007" i="1"/>
  <c r="D7007" i="1"/>
  <c r="C7007" i="1"/>
  <c r="H7006" i="1"/>
  <c r="F7006" i="1"/>
  <c r="D7006" i="1"/>
  <c r="C7006" i="1"/>
  <c r="H7005" i="1"/>
  <c r="F7005" i="1"/>
  <c r="D7005" i="1"/>
  <c r="C7005" i="1"/>
  <c r="H7004" i="1"/>
  <c r="F7004" i="1"/>
  <c r="D7004" i="1"/>
  <c r="C7004" i="1"/>
  <c r="H7003" i="1"/>
  <c r="F7003" i="1"/>
  <c r="D7003" i="1"/>
  <c r="C7003" i="1"/>
  <c r="H7002" i="1"/>
  <c r="F7002" i="1"/>
  <c r="D7002" i="1"/>
  <c r="C7002" i="1"/>
  <c r="H7001" i="1"/>
  <c r="F7001" i="1"/>
  <c r="D7001" i="1"/>
  <c r="C7001" i="1"/>
  <c r="H7000" i="1"/>
  <c r="F7000" i="1"/>
  <c r="D7000" i="1"/>
  <c r="C7000" i="1"/>
  <c r="H6999" i="1"/>
  <c r="F6999" i="1"/>
  <c r="D6999" i="1"/>
  <c r="C6999" i="1"/>
  <c r="H6998" i="1"/>
  <c r="F6998" i="1"/>
  <c r="D6998" i="1"/>
  <c r="C6998" i="1"/>
  <c r="H6997" i="1"/>
  <c r="F6997" i="1"/>
  <c r="D6997" i="1"/>
  <c r="C6997" i="1"/>
  <c r="H6996" i="1"/>
  <c r="F6996" i="1"/>
  <c r="D6996" i="1"/>
  <c r="C6996" i="1"/>
  <c r="H6995" i="1"/>
  <c r="F6995" i="1"/>
  <c r="D6995" i="1"/>
  <c r="C6995" i="1"/>
  <c r="H6994" i="1"/>
  <c r="F6994" i="1"/>
  <c r="D6994" i="1"/>
  <c r="C6994" i="1"/>
  <c r="H6993" i="1"/>
  <c r="F6993" i="1"/>
  <c r="D6993" i="1"/>
  <c r="C6993" i="1"/>
  <c r="H6992" i="1"/>
  <c r="F6992" i="1"/>
  <c r="D6992" i="1"/>
  <c r="C6992" i="1"/>
  <c r="H6991" i="1"/>
  <c r="F6991" i="1"/>
  <c r="D6991" i="1"/>
  <c r="C6991" i="1"/>
  <c r="H6990" i="1"/>
  <c r="F6990" i="1"/>
  <c r="D6990" i="1"/>
  <c r="C6990" i="1"/>
  <c r="H6989" i="1"/>
  <c r="F6989" i="1"/>
  <c r="D6989" i="1"/>
  <c r="C6989" i="1"/>
  <c r="H6988" i="1"/>
  <c r="F6988" i="1"/>
  <c r="D6988" i="1"/>
  <c r="C6988" i="1"/>
  <c r="H6987" i="1"/>
  <c r="F6987" i="1"/>
  <c r="D6987" i="1"/>
  <c r="C6987" i="1"/>
  <c r="H6986" i="1"/>
  <c r="F6986" i="1"/>
  <c r="D6986" i="1"/>
  <c r="C6986" i="1"/>
  <c r="H6985" i="1"/>
  <c r="F6985" i="1"/>
  <c r="D6985" i="1"/>
  <c r="C6985" i="1"/>
  <c r="H6984" i="1"/>
  <c r="F6984" i="1"/>
  <c r="D6984" i="1"/>
  <c r="C6984" i="1"/>
  <c r="H6983" i="1"/>
  <c r="F6983" i="1"/>
  <c r="D6983" i="1"/>
  <c r="C6983" i="1"/>
  <c r="H6982" i="1"/>
  <c r="F6982" i="1"/>
  <c r="D6982" i="1"/>
  <c r="C6982" i="1"/>
  <c r="H6981" i="1"/>
  <c r="F6981" i="1"/>
  <c r="D6981" i="1"/>
  <c r="C6981" i="1"/>
  <c r="H6980" i="1"/>
  <c r="F6980" i="1"/>
  <c r="D6980" i="1"/>
  <c r="C6980" i="1"/>
  <c r="H6979" i="1"/>
  <c r="F6979" i="1"/>
  <c r="D6979" i="1"/>
  <c r="C6979" i="1"/>
  <c r="H6978" i="1"/>
  <c r="F6978" i="1"/>
  <c r="D6978" i="1"/>
  <c r="C6978" i="1"/>
  <c r="H6977" i="1"/>
  <c r="F6977" i="1"/>
  <c r="D6977" i="1"/>
  <c r="C6977" i="1"/>
  <c r="H6976" i="1"/>
  <c r="F6976" i="1"/>
  <c r="D6976" i="1"/>
  <c r="C6976" i="1"/>
  <c r="H6975" i="1"/>
  <c r="F6975" i="1"/>
  <c r="D6975" i="1"/>
  <c r="C6975" i="1"/>
  <c r="H6974" i="1"/>
  <c r="F6974" i="1"/>
  <c r="D6974" i="1"/>
  <c r="C6974" i="1"/>
  <c r="H6973" i="1"/>
  <c r="F6973" i="1"/>
  <c r="D6973" i="1"/>
  <c r="C6973" i="1"/>
  <c r="H6972" i="1"/>
  <c r="F6972" i="1"/>
  <c r="D6972" i="1"/>
  <c r="C6972" i="1"/>
  <c r="H6971" i="1"/>
  <c r="F6971" i="1"/>
  <c r="D6971" i="1"/>
  <c r="C6971" i="1"/>
  <c r="H6970" i="1"/>
  <c r="F6970" i="1"/>
  <c r="D6970" i="1"/>
  <c r="C6970" i="1"/>
  <c r="H6969" i="1"/>
  <c r="F6969" i="1"/>
  <c r="D6969" i="1"/>
  <c r="C6969" i="1"/>
  <c r="H6968" i="1"/>
  <c r="F6968" i="1"/>
  <c r="D6968" i="1"/>
  <c r="C6968" i="1"/>
  <c r="H6967" i="1"/>
  <c r="F6967" i="1"/>
  <c r="D6967" i="1"/>
  <c r="C6967" i="1"/>
  <c r="H6966" i="1"/>
  <c r="F6966" i="1"/>
  <c r="D6966" i="1"/>
  <c r="C6966" i="1"/>
  <c r="H6965" i="1"/>
  <c r="F6965" i="1"/>
  <c r="D6965" i="1"/>
  <c r="C6965" i="1"/>
  <c r="H6964" i="1"/>
  <c r="F6964" i="1"/>
  <c r="D6964" i="1"/>
  <c r="C6964" i="1"/>
  <c r="H6963" i="1"/>
  <c r="F6963" i="1"/>
  <c r="D6963" i="1"/>
  <c r="C6963" i="1"/>
  <c r="H6962" i="1"/>
  <c r="F6962" i="1"/>
  <c r="D6962" i="1"/>
  <c r="C6962" i="1"/>
  <c r="H6961" i="1"/>
  <c r="F6961" i="1"/>
  <c r="D6961" i="1"/>
  <c r="C6961" i="1"/>
  <c r="H6960" i="1"/>
  <c r="F6960" i="1"/>
  <c r="D6960" i="1"/>
  <c r="C6960" i="1"/>
  <c r="H6959" i="1"/>
  <c r="F6959" i="1"/>
  <c r="D6959" i="1"/>
  <c r="C6959" i="1"/>
  <c r="H6958" i="1"/>
  <c r="F6958" i="1"/>
  <c r="D6958" i="1"/>
  <c r="C6958" i="1"/>
  <c r="H6957" i="1"/>
  <c r="F6957" i="1"/>
  <c r="D6957" i="1"/>
  <c r="C6957" i="1"/>
  <c r="H6956" i="1"/>
  <c r="F6956" i="1"/>
  <c r="D6956" i="1"/>
  <c r="C6956" i="1"/>
  <c r="H6955" i="1"/>
  <c r="F6955" i="1"/>
  <c r="D6955" i="1"/>
  <c r="C6955" i="1"/>
  <c r="H6954" i="1"/>
  <c r="F6954" i="1"/>
  <c r="D6954" i="1"/>
  <c r="C6954" i="1"/>
  <c r="H6953" i="1"/>
  <c r="F6953" i="1"/>
  <c r="D6953" i="1"/>
  <c r="C6953" i="1"/>
  <c r="H6952" i="1"/>
  <c r="F6952" i="1"/>
  <c r="D6952" i="1"/>
  <c r="C6952" i="1"/>
  <c r="H6951" i="1"/>
  <c r="F6951" i="1"/>
  <c r="D6951" i="1"/>
  <c r="C6951" i="1"/>
  <c r="H6950" i="1"/>
  <c r="F6950" i="1"/>
  <c r="D6950" i="1"/>
  <c r="C6950" i="1"/>
  <c r="H6949" i="1"/>
  <c r="F6949" i="1"/>
  <c r="D6949" i="1"/>
  <c r="C6949" i="1"/>
  <c r="H6948" i="1"/>
  <c r="F6948" i="1"/>
  <c r="D6948" i="1"/>
  <c r="C6948" i="1"/>
  <c r="H6947" i="1"/>
  <c r="F6947" i="1"/>
  <c r="D6947" i="1"/>
  <c r="C6947" i="1"/>
  <c r="H6946" i="1"/>
  <c r="F6946" i="1"/>
  <c r="D6946" i="1"/>
  <c r="C6946" i="1"/>
  <c r="H6945" i="1"/>
  <c r="F6945" i="1"/>
  <c r="D6945" i="1"/>
  <c r="C6945" i="1"/>
  <c r="H6944" i="1"/>
  <c r="F6944" i="1"/>
  <c r="D6944" i="1"/>
  <c r="C6944" i="1"/>
  <c r="H6943" i="1"/>
  <c r="F6943" i="1"/>
  <c r="D6943" i="1"/>
  <c r="C6943" i="1"/>
  <c r="H6942" i="1"/>
  <c r="F6942" i="1"/>
  <c r="D6942" i="1"/>
  <c r="C6942" i="1"/>
  <c r="H6941" i="1"/>
  <c r="F6941" i="1"/>
  <c r="D6941" i="1"/>
  <c r="C6941" i="1"/>
  <c r="H6940" i="1"/>
  <c r="F6940" i="1"/>
  <c r="D6940" i="1"/>
  <c r="C6940" i="1"/>
  <c r="H6939" i="1"/>
  <c r="F6939" i="1"/>
  <c r="D6939" i="1"/>
  <c r="C6939" i="1"/>
  <c r="H6938" i="1"/>
  <c r="F6938" i="1"/>
  <c r="D6938" i="1"/>
  <c r="C6938" i="1"/>
  <c r="H6937" i="1"/>
  <c r="F6937" i="1"/>
  <c r="D6937" i="1"/>
  <c r="C6937" i="1"/>
  <c r="H6936" i="1"/>
  <c r="F6936" i="1"/>
  <c r="D6936" i="1"/>
  <c r="C6936" i="1"/>
  <c r="H6935" i="1"/>
  <c r="F6935" i="1"/>
  <c r="D6935" i="1"/>
  <c r="C6935" i="1"/>
  <c r="H6934" i="1"/>
  <c r="F6934" i="1"/>
  <c r="D6934" i="1"/>
  <c r="C6934" i="1"/>
  <c r="H6933" i="1"/>
  <c r="F6933" i="1"/>
  <c r="D6933" i="1"/>
  <c r="C6933" i="1"/>
  <c r="H6932" i="1"/>
  <c r="F6932" i="1"/>
  <c r="D6932" i="1"/>
  <c r="C6932" i="1"/>
  <c r="H6931" i="1"/>
  <c r="F6931" i="1"/>
  <c r="D6931" i="1"/>
  <c r="C6931" i="1"/>
  <c r="H6930" i="1"/>
  <c r="F6930" i="1"/>
  <c r="D6930" i="1"/>
  <c r="C6930" i="1"/>
  <c r="H6929" i="1"/>
  <c r="F6929" i="1"/>
  <c r="D6929" i="1"/>
  <c r="C6929" i="1"/>
  <c r="H6928" i="1"/>
  <c r="F6928" i="1"/>
  <c r="D6928" i="1"/>
  <c r="C6928" i="1"/>
  <c r="H6927" i="1"/>
  <c r="F6927" i="1"/>
  <c r="D6927" i="1"/>
  <c r="C6927" i="1"/>
  <c r="H6926" i="1"/>
  <c r="F6926" i="1"/>
  <c r="D6926" i="1"/>
  <c r="C6926" i="1"/>
  <c r="H6925" i="1"/>
  <c r="F6925" i="1"/>
  <c r="D6925" i="1"/>
  <c r="C6925" i="1"/>
  <c r="H6924" i="1"/>
  <c r="F6924" i="1"/>
  <c r="D6924" i="1"/>
  <c r="C6924" i="1"/>
  <c r="H6923" i="1"/>
  <c r="F6923" i="1"/>
  <c r="D6923" i="1"/>
  <c r="C6923" i="1"/>
  <c r="H6922" i="1"/>
  <c r="F6922" i="1"/>
  <c r="D6922" i="1"/>
  <c r="C6922" i="1"/>
  <c r="H6921" i="1"/>
  <c r="F6921" i="1"/>
  <c r="D6921" i="1"/>
  <c r="C6921" i="1"/>
  <c r="H6920" i="1"/>
  <c r="F6920" i="1"/>
  <c r="D6920" i="1"/>
  <c r="C6920" i="1"/>
  <c r="H6919" i="1"/>
  <c r="F6919" i="1"/>
  <c r="D6919" i="1"/>
  <c r="C6919" i="1"/>
  <c r="H6918" i="1"/>
  <c r="F6918" i="1"/>
  <c r="D6918" i="1"/>
  <c r="C6918" i="1"/>
  <c r="H6917" i="1"/>
  <c r="F6917" i="1"/>
  <c r="D6917" i="1"/>
  <c r="C6917" i="1"/>
  <c r="H6916" i="1"/>
  <c r="F6916" i="1"/>
  <c r="D6916" i="1"/>
  <c r="C6916" i="1"/>
  <c r="H6915" i="1"/>
  <c r="F6915" i="1"/>
  <c r="D6915" i="1"/>
  <c r="C6915" i="1"/>
  <c r="H6914" i="1"/>
  <c r="F6914" i="1"/>
  <c r="D6914" i="1"/>
  <c r="C6914" i="1"/>
  <c r="H6913" i="1"/>
  <c r="F6913" i="1"/>
  <c r="D6913" i="1"/>
  <c r="C6913" i="1"/>
  <c r="H6912" i="1"/>
  <c r="F6912" i="1"/>
  <c r="D6912" i="1"/>
  <c r="C6912" i="1"/>
  <c r="H6911" i="1"/>
  <c r="F6911" i="1"/>
  <c r="D6911" i="1"/>
  <c r="C6911" i="1"/>
  <c r="H6910" i="1"/>
  <c r="F6910" i="1"/>
  <c r="D6910" i="1"/>
  <c r="C6910" i="1"/>
  <c r="H6909" i="1"/>
  <c r="F6909" i="1"/>
  <c r="D6909" i="1"/>
  <c r="C6909" i="1"/>
  <c r="H6908" i="1"/>
  <c r="F6908" i="1"/>
  <c r="D6908" i="1"/>
  <c r="C6908" i="1"/>
  <c r="H6907" i="1"/>
  <c r="F6907" i="1"/>
  <c r="D6907" i="1"/>
  <c r="C6907" i="1"/>
  <c r="H6906" i="1"/>
  <c r="F6906" i="1"/>
  <c r="D6906" i="1"/>
  <c r="C6906" i="1"/>
  <c r="H6905" i="1"/>
  <c r="F6905" i="1"/>
  <c r="D6905" i="1"/>
  <c r="C6905" i="1"/>
  <c r="H6904" i="1"/>
  <c r="F6904" i="1"/>
  <c r="D6904" i="1"/>
  <c r="C6904" i="1"/>
  <c r="H6903" i="1"/>
  <c r="F6903" i="1"/>
  <c r="D6903" i="1"/>
  <c r="C6903" i="1"/>
  <c r="H6902" i="1"/>
  <c r="F6902" i="1"/>
  <c r="D6902" i="1"/>
  <c r="C6902" i="1"/>
  <c r="H6901" i="1"/>
  <c r="F6901" i="1"/>
  <c r="D6901" i="1"/>
  <c r="C6901" i="1"/>
  <c r="H6900" i="1"/>
  <c r="F6900" i="1"/>
  <c r="D6900" i="1"/>
  <c r="C6900" i="1"/>
  <c r="H6899" i="1"/>
  <c r="F6899" i="1"/>
  <c r="D6899" i="1"/>
  <c r="C6899" i="1"/>
  <c r="H6898" i="1"/>
  <c r="F6898" i="1"/>
  <c r="D6898" i="1"/>
  <c r="C6898" i="1"/>
  <c r="H6897" i="1"/>
  <c r="F6897" i="1"/>
  <c r="D6897" i="1"/>
  <c r="C6897" i="1"/>
  <c r="H6896" i="1"/>
  <c r="F6896" i="1"/>
  <c r="D6896" i="1"/>
  <c r="C6896" i="1"/>
  <c r="H6895" i="1"/>
  <c r="F6895" i="1"/>
  <c r="D6895" i="1"/>
  <c r="C6895" i="1"/>
  <c r="H6894" i="1"/>
  <c r="F6894" i="1"/>
  <c r="D6894" i="1"/>
  <c r="C6894" i="1"/>
  <c r="H6893" i="1"/>
  <c r="F6893" i="1"/>
  <c r="D6893" i="1"/>
  <c r="C6893" i="1"/>
  <c r="H6892" i="1"/>
  <c r="F6892" i="1"/>
  <c r="D6892" i="1"/>
  <c r="C6892" i="1"/>
  <c r="H6891" i="1"/>
  <c r="F6891" i="1"/>
  <c r="D6891" i="1"/>
  <c r="C6891" i="1"/>
  <c r="H6890" i="1"/>
  <c r="F6890" i="1"/>
  <c r="D6890" i="1"/>
  <c r="C6890" i="1"/>
  <c r="H6889" i="1"/>
  <c r="F6889" i="1"/>
  <c r="D6889" i="1"/>
  <c r="C6889" i="1"/>
  <c r="H6888" i="1"/>
  <c r="F6888" i="1"/>
  <c r="D6888" i="1"/>
  <c r="C6888" i="1"/>
  <c r="H6887" i="1"/>
  <c r="F6887" i="1"/>
  <c r="D6887" i="1"/>
  <c r="C6887" i="1"/>
  <c r="H6886" i="1"/>
  <c r="F6886" i="1"/>
  <c r="D6886" i="1"/>
  <c r="C6886" i="1"/>
  <c r="H6885" i="1"/>
  <c r="F6885" i="1"/>
  <c r="D6885" i="1"/>
  <c r="C6885" i="1"/>
  <c r="H6884" i="1"/>
  <c r="F6884" i="1"/>
  <c r="D6884" i="1"/>
  <c r="C6884" i="1"/>
  <c r="H6883" i="1"/>
  <c r="F6883" i="1"/>
  <c r="D6883" i="1"/>
  <c r="C6883" i="1"/>
  <c r="H6882" i="1"/>
  <c r="F6882" i="1"/>
  <c r="D6882" i="1"/>
  <c r="C6882" i="1"/>
  <c r="H6881" i="1"/>
  <c r="F6881" i="1"/>
  <c r="D6881" i="1"/>
  <c r="C6881" i="1"/>
  <c r="H6880" i="1"/>
  <c r="F6880" i="1"/>
  <c r="D6880" i="1"/>
  <c r="C6880" i="1"/>
  <c r="H6879" i="1"/>
  <c r="F6879" i="1"/>
  <c r="D6879" i="1"/>
  <c r="C6879" i="1"/>
  <c r="H6878" i="1"/>
  <c r="F6878" i="1"/>
  <c r="D6878" i="1"/>
  <c r="C6878" i="1"/>
  <c r="H6877" i="1"/>
  <c r="F6877" i="1"/>
  <c r="D6877" i="1"/>
  <c r="C6877" i="1"/>
  <c r="H6876" i="1"/>
  <c r="F6876" i="1"/>
  <c r="D6876" i="1"/>
  <c r="C6876" i="1"/>
  <c r="H6875" i="1"/>
  <c r="F6875" i="1"/>
  <c r="D6875" i="1"/>
  <c r="C6875" i="1"/>
  <c r="H6874" i="1"/>
  <c r="F6874" i="1"/>
  <c r="D6874" i="1"/>
  <c r="C6874" i="1"/>
  <c r="H6873" i="1"/>
  <c r="F6873" i="1"/>
  <c r="D6873" i="1"/>
  <c r="C6873" i="1"/>
  <c r="H6872" i="1"/>
  <c r="F6872" i="1"/>
  <c r="D6872" i="1"/>
  <c r="C6872" i="1"/>
  <c r="H6871" i="1"/>
  <c r="F6871" i="1"/>
  <c r="D6871" i="1"/>
  <c r="C6871" i="1"/>
  <c r="H6870" i="1"/>
  <c r="F6870" i="1"/>
  <c r="D6870" i="1"/>
  <c r="C6870" i="1"/>
  <c r="H6869" i="1"/>
  <c r="F6869" i="1"/>
  <c r="D6869" i="1"/>
  <c r="C6869" i="1"/>
  <c r="H6868" i="1"/>
  <c r="F6868" i="1"/>
  <c r="D6868" i="1"/>
  <c r="C6868" i="1"/>
  <c r="H6867" i="1"/>
  <c r="F6867" i="1"/>
  <c r="D6867" i="1"/>
  <c r="C6867" i="1"/>
  <c r="H6866" i="1"/>
  <c r="F6866" i="1"/>
  <c r="D6866" i="1"/>
  <c r="C6866" i="1"/>
  <c r="H6865" i="1"/>
  <c r="F6865" i="1"/>
  <c r="D6865" i="1"/>
  <c r="C6865" i="1"/>
  <c r="H6864" i="1"/>
  <c r="F6864" i="1"/>
  <c r="D6864" i="1"/>
  <c r="C6864" i="1"/>
  <c r="H6863" i="1"/>
  <c r="F6863" i="1"/>
  <c r="D6863" i="1"/>
  <c r="C6863" i="1"/>
  <c r="H6862" i="1"/>
  <c r="F6862" i="1"/>
  <c r="D6862" i="1"/>
  <c r="C6862" i="1"/>
  <c r="H6861" i="1"/>
  <c r="F6861" i="1"/>
  <c r="D6861" i="1"/>
  <c r="C6861" i="1"/>
  <c r="H6860" i="1"/>
  <c r="F6860" i="1"/>
  <c r="D6860" i="1"/>
  <c r="C6860" i="1"/>
  <c r="H6859" i="1"/>
  <c r="F6859" i="1"/>
  <c r="D6859" i="1"/>
  <c r="C6859" i="1"/>
  <c r="H6858" i="1"/>
  <c r="F6858" i="1"/>
  <c r="D6858" i="1"/>
  <c r="C6858" i="1"/>
  <c r="H6857" i="1"/>
  <c r="F6857" i="1"/>
  <c r="D6857" i="1"/>
  <c r="C6857" i="1"/>
  <c r="H6856" i="1"/>
  <c r="F6856" i="1"/>
  <c r="D6856" i="1"/>
  <c r="C6856" i="1"/>
  <c r="H6855" i="1"/>
  <c r="F6855" i="1"/>
  <c r="D6855" i="1"/>
  <c r="C6855" i="1"/>
  <c r="H6854" i="1"/>
  <c r="F6854" i="1"/>
  <c r="D6854" i="1"/>
  <c r="C6854" i="1"/>
  <c r="H6853" i="1"/>
  <c r="F6853" i="1"/>
  <c r="D6853" i="1"/>
  <c r="C6853" i="1"/>
  <c r="H6852" i="1"/>
  <c r="F6852" i="1"/>
  <c r="D6852" i="1"/>
  <c r="C6852" i="1"/>
  <c r="H6851" i="1"/>
  <c r="F6851" i="1"/>
  <c r="D6851" i="1"/>
  <c r="C6851" i="1"/>
  <c r="H6850" i="1"/>
  <c r="F6850" i="1"/>
  <c r="D6850" i="1"/>
  <c r="C6850" i="1"/>
  <c r="H6849" i="1"/>
  <c r="F6849" i="1"/>
  <c r="D6849" i="1"/>
  <c r="C6849" i="1"/>
  <c r="H6848" i="1"/>
  <c r="F6848" i="1"/>
  <c r="D6848" i="1"/>
  <c r="C6848" i="1"/>
  <c r="H6847" i="1"/>
  <c r="F6847" i="1"/>
  <c r="D6847" i="1"/>
  <c r="C6847" i="1"/>
  <c r="H6846" i="1"/>
  <c r="F6846" i="1"/>
  <c r="D6846" i="1"/>
  <c r="C6846" i="1"/>
  <c r="H6845" i="1"/>
  <c r="F6845" i="1"/>
  <c r="D6845" i="1"/>
  <c r="C6845" i="1"/>
  <c r="H6844" i="1"/>
  <c r="F6844" i="1"/>
  <c r="D6844" i="1"/>
  <c r="C6844" i="1"/>
  <c r="H6843" i="1"/>
  <c r="F6843" i="1"/>
  <c r="D6843" i="1"/>
  <c r="C6843" i="1"/>
  <c r="H6842" i="1"/>
  <c r="F6842" i="1"/>
  <c r="D6842" i="1"/>
  <c r="C6842" i="1"/>
  <c r="H6841" i="1"/>
  <c r="F6841" i="1"/>
  <c r="D6841" i="1"/>
  <c r="C6841" i="1"/>
  <c r="H6840" i="1"/>
  <c r="F6840" i="1"/>
  <c r="D6840" i="1"/>
  <c r="C6840" i="1"/>
  <c r="H6839" i="1"/>
  <c r="F6839" i="1"/>
  <c r="D6839" i="1"/>
  <c r="C6839" i="1"/>
  <c r="H6838" i="1"/>
  <c r="F6838" i="1"/>
  <c r="D6838" i="1"/>
  <c r="C6838" i="1"/>
  <c r="H6837" i="1"/>
  <c r="F6837" i="1"/>
  <c r="D6837" i="1"/>
  <c r="C6837" i="1"/>
  <c r="H6836" i="1"/>
  <c r="F6836" i="1"/>
  <c r="D6836" i="1"/>
  <c r="C6836" i="1"/>
  <c r="H6835" i="1"/>
  <c r="F6835" i="1"/>
  <c r="D6835" i="1"/>
  <c r="C6835" i="1"/>
  <c r="H6834" i="1"/>
  <c r="F6834" i="1"/>
  <c r="D6834" i="1"/>
  <c r="C6834" i="1"/>
  <c r="H6833" i="1"/>
  <c r="F6833" i="1"/>
  <c r="D6833" i="1"/>
  <c r="C6833" i="1"/>
  <c r="H6832" i="1"/>
  <c r="F6832" i="1"/>
  <c r="D6832" i="1"/>
  <c r="C6832" i="1"/>
  <c r="H6831" i="1"/>
  <c r="F6831" i="1"/>
  <c r="D6831" i="1"/>
  <c r="C6831" i="1"/>
  <c r="H6830" i="1"/>
  <c r="F6830" i="1"/>
  <c r="D6830" i="1"/>
  <c r="C6830" i="1"/>
  <c r="H6829" i="1"/>
  <c r="F6829" i="1"/>
  <c r="D6829" i="1"/>
  <c r="C6829" i="1"/>
  <c r="H6828" i="1"/>
  <c r="F6828" i="1"/>
  <c r="D6828" i="1"/>
  <c r="C6828" i="1"/>
  <c r="H6827" i="1"/>
  <c r="F6827" i="1"/>
  <c r="D6827" i="1"/>
  <c r="C6827" i="1"/>
  <c r="H6826" i="1"/>
  <c r="F6826" i="1"/>
  <c r="D6826" i="1"/>
  <c r="C6826" i="1"/>
  <c r="H6825" i="1"/>
  <c r="F6825" i="1"/>
  <c r="D6825" i="1"/>
  <c r="C6825" i="1"/>
  <c r="H6824" i="1"/>
  <c r="F6824" i="1"/>
  <c r="D6824" i="1"/>
  <c r="C6824" i="1"/>
  <c r="H6823" i="1"/>
  <c r="F6823" i="1"/>
  <c r="D6823" i="1"/>
  <c r="C6823" i="1"/>
  <c r="H6822" i="1"/>
  <c r="F6822" i="1"/>
  <c r="D6822" i="1"/>
  <c r="C6822" i="1"/>
  <c r="H6821" i="1"/>
  <c r="F6821" i="1"/>
  <c r="D6821" i="1"/>
  <c r="C6821" i="1"/>
  <c r="H6820" i="1"/>
  <c r="F6820" i="1"/>
  <c r="D6820" i="1"/>
  <c r="C6820" i="1"/>
  <c r="H6819" i="1"/>
  <c r="F6819" i="1"/>
  <c r="D6819" i="1"/>
  <c r="C6819" i="1"/>
  <c r="H6818" i="1"/>
  <c r="F6818" i="1"/>
  <c r="D6818" i="1"/>
  <c r="C6818" i="1"/>
  <c r="H6817" i="1"/>
  <c r="F6817" i="1"/>
  <c r="D6817" i="1"/>
  <c r="C6817" i="1"/>
  <c r="H6816" i="1"/>
  <c r="F6816" i="1"/>
  <c r="D6816" i="1"/>
  <c r="C6816" i="1"/>
  <c r="H6815" i="1"/>
  <c r="F6815" i="1"/>
  <c r="D6815" i="1"/>
  <c r="C6815" i="1"/>
  <c r="H6814" i="1"/>
  <c r="F6814" i="1"/>
  <c r="D6814" i="1"/>
  <c r="C6814" i="1"/>
  <c r="H6813" i="1"/>
  <c r="F6813" i="1"/>
  <c r="D6813" i="1"/>
  <c r="C6813" i="1"/>
  <c r="H6812" i="1"/>
  <c r="F6812" i="1"/>
  <c r="D6812" i="1"/>
  <c r="C6812" i="1"/>
  <c r="H6811" i="1"/>
  <c r="F6811" i="1"/>
  <c r="D6811" i="1"/>
  <c r="C6811" i="1"/>
  <c r="H6810" i="1"/>
  <c r="F6810" i="1"/>
  <c r="D6810" i="1"/>
  <c r="C6810" i="1"/>
  <c r="H6809" i="1"/>
  <c r="F6809" i="1"/>
  <c r="D6809" i="1"/>
  <c r="C6809" i="1"/>
  <c r="H6808" i="1"/>
  <c r="F6808" i="1"/>
  <c r="D6808" i="1"/>
  <c r="C6808" i="1"/>
  <c r="H6807" i="1"/>
  <c r="F6807" i="1"/>
  <c r="D6807" i="1"/>
  <c r="C6807" i="1"/>
  <c r="H6806" i="1"/>
  <c r="F6806" i="1"/>
  <c r="D6806" i="1"/>
  <c r="C6806" i="1"/>
  <c r="H6805" i="1"/>
  <c r="F6805" i="1"/>
  <c r="D6805" i="1"/>
  <c r="C6805" i="1"/>
  <c r="H6804" i="1"/>
  <c r="F6804" i="1"/>
  <c r="D6804" i="1"/>
  <c r="C6804" i="1"/>
  <c r="H6803" i="1"/>
  <c r="F6803" i="1"/>
  <c r="D6803" i="1"/>
  <c r="C6803" i="1"/>
  <c r="H6802" i="1"/>
  <c r="F6802" i="1"/>
  <c r="D6802" i="1"/>
  <c r="C6802" i="1"/>
  <c r="H6801" i="1"/>
  <c r="F6801" i="1"/>
  <c r="D6801" i="1"/>
  <c r="C6801" i="1"/>
  <c r="H6800" i="1"/>
  <c r="F6800" i="1"/>
  <c r="D6800" i="1"/>
  <c r="C6800" i="1"/>
  <c r="H6799" i="1"/>
  <c r="F6799" i="1"/>
  <c r="D6799" i="1"/>
  <c r="C6799" i="1"/>
  <c r="H6798" i="1"/>
  <c r="F6798" i="1"/>
  <c r="D6798" i="1"/>
  <c r="C6798" i="1"/>
  <c r="H6797" i="1"/>
  <c r="F6797" i="1"/>
  <c r="D6797" i="1"/>
  <c r="C6797" i="1"/>
  <c r="H6796" i="1"/>
  <c r="F6796" i="1"/>
  <c r="D6796" i="1"/>
  <c r="C6796" i="1"/>
  <c r="H6795" i="1"/>
  <c r="F6795" i="1"/>
  <c r="D6795" i="1"/>
  <c r="C6795" i="1"/>
  <c r="H6794" i="1"/>
  <c r="F6794" i="1"/>
  <c r="D6794" i="1"/>
  <c r="C6794" i="1"/>
  <c r="H6793" i="1"/>
  <c r="F6793" i="1"/>
  <c r="D6793" i="1"/>
  <c r="C6793" i="1"/>
  <c r="H6792" i="1"/>
  <c r="F6792" i="1"/>
  <c r="D6792" i="1"/>
  <c r="C6792" i="1"/>
  <c r="H6791" i="1"/>
  <c r="F6791" i="1"/>
  <c r="D6791" i="1"/>
  <c r="C6791" i="1"/>
  <c r="H6790" i="1"/>
  <c r="F6790" i="1"/>
  <c r="D6790" i="1"/>
  <c r="C6790" i="1"/>
  <c r="H6789" i="1"/>
  <c r="F6789" i="1"/>
  <c r="D6789" i="1"/>
  <c r="C6789" i="1"/>
  <c r="H6788" i="1"/>
  <c r="F6788" i="1"/>
  <c r="D6788" i="1"/>
  <c r="C6788" i="1"/>
  <c r="H6787" i="1"/>
  <c r="F6787" i="1"/>
  <c r="D6787" i="1"/>
  <c r="C6787" i="1"/>
  <c r="H6786" i="1"/>
  <c r="F6786" i="1"/>
  <c r="D6786" i="1"/>
  <c r="C6786" i="1"/>
  <c r="H6785" i="1"/>
  <c r="F6785" i="1"/>
  <c r="D6785" i="1"/>
  <c r="C6785" i="1"/>
  <c r="H6784" i="1"/>
  <c r="F6784" i="1"/>
  <c r="D6784" i="1"/>
  <c r="C6784" i="1"/>
  <c r="H6783" i="1"/>
  <c r="F6783" i="1"/>
  <c r="D6783" i="1"/>
  <c r="C6783" i="1"/>
  <c r="H6782" i="1"/>
  <c r="F6782" i="1"/>
  <c r="D6782" i="1"/>
  <c r="C6782" i="1"/>
  <c r="H6781" i="1"/>
  <c r="F6781" i="1"/>
  <c r="D6781" i="1"/>
  <c r="C6781" i="1"/>
  <c r="H6780" i="1"/>
  <c r="F6780" i="1"/>
  <c r="D6780" i="1"/>
  <c r="C6780" i="1"/>
  <c r="H6779" i="1"/>
  <c r="F6779" i="1"/>
  <c r="D6779" i="1"/>
  <c r="C6779" i="1"/>
  <c r="H6778" i="1"/>
  <c r="F6778" i="1"/>
  <c r="D6778" i="1"/>
  <c r="C6778" i="1"/>
  <c r="H6777" i="1"/>
  <c r="F6777" i="1"/>
  <c r="D6777" i="1"/>
  <c r="C6777" i="1"/>
  <c r="H6776" i="1"/>
  <c r="F6776" i="1"/>
  <c r="D6776" i="1"/>
  <c r="C6776" i="1"/>
  <c r="H6775" i="1"/>
  <c r="F6775" i="1"/>
  <c r="D6775" i="1"/>
  <c r="C6775" i="1"/>
  <c r="H6774" i="1"/>
  <c r="F6774" i="1"/>
  <c r="D6774" i="1"/>
  <c r="C6774" i="1"/>
  <c r="H6773" i="1"/>
  <c r="F6773" i="1"/>
  <c r="D6773" i="1"/>
  <c r="C6773" i="1"/>
  <c r="H6772" i="1"/>
  <c r="F6772" i="1"/>
  <c r="D6772" i="1"/>
  <c r="C6772" i="1"/>
  <c r="H6771" i="1"/>
  <c r="F6771" i="1"/>
  <c r="D6771" i="1"/>
  <c r="C6771" i="1"/>
  <c r="H6770" i="1"/>
  <c r="F6770" i="1"/>
  <c r="D6770" i="1"/>
  <c r="C6770" i="1"/>
  <c r="H6769" i="1"/>
  <c r="F6769" i="1"/>
  <c r="D6769" i="1"/>
  <c r="C6769" i="1"/>
  <c r="H6768" i="1"/>
  <c r="F6768" i="1"/>
  <c r="D6768" i="1"/>
  <c r="C6768" i="1"/>
  <c r="H6767" i="1"/>
  <c r="F6767" i="1"/>
  <c r="D6767" i="1"/>
  <c r="C6767" i="1"/>
  <c r="H6766" i="1"/>
  <c r="F6766" i="1"/>
  <c r="D6766" i="1"/>
  <c r="C6766" i="1"/>
  <c r="H6765" i="1"/>
  <c r="F6765" i="1"/>
  <c r="D6765" i="1"/>
  <c r="C6765" i="1"/>
  <c r="H6764" i="1"/>
  <c r="F6764" i="1"/>
  <c r="D6764" i="1"/>
  <c r="C6764" i="1"/>
  <c r="H6763" i="1"/>
  <c r="F6763" i="1"/>
  <c r="D6763" i="1"/>
  <c r="C6763" i="1"/>
  <c r="H6762" i="1"/>
  <c r="F6762" i="1"/>
  <c r="D6762" i="1"/>
  <c r="C6762" i="1"/>
  <c r="H6761" i="1"/>
  <c r="F6761" i="1"/>
  <c r="D6761" i="1"/>
  <c r="C6761" i="1"/>
  <c r="H6760" i="1"/>
  <c r="F6760" i="1"/>
  <c r="D6760" i="1"/>
  <c r="C6760" i="1"/>
  <c r="H6759" i="1"/>
  <c r="F6759" i="1"/>
  <c r="D6759" i="1"/>
  <c r="C6759" i="1"/>
  <c r="H6758" i="1"/>
  <c r="F6758" i="1"/>
  <c r="D6758" i="1"/>
  <c r="C6758" i="1"/>
  <c r="H6757" i="1"/>
  <c r="F6757" i="1"/>
  <c r="D6757" i="1"/>
  <c r="C6757" i="1"/>
  <c r="H6756" i="1"/>
  <c r="F6756" i="1"/>
  <c r="D6756" i="1"/>
  <c r="C6756" i="1"/>
  <c r="H6755" i="1"/>
  <c r="F6755" i="1"/>
  <c r="D6755" i="1"/>
  <c r="C6755" i="1"/>
  <c r="H6754" i="1"/>
  <c r="F6754" i="1"/>
  <c r="D6754" i="1"/>
  <c r="C6754" i="1"/>
  <c r="H6753" i="1"/>
  <c r="F6753" i="1"/>
  <c r="D6753" i="1"/>
  <c r="C6753" i="1"/>
  <c r="H6752" i="1"/>
  <c r="F6752" i="1"/>
  <c r="D6752" i="1"/>
  <c r="C6752" i="1"/>
  <c r="H6751" i="1"/>
  <c r="F6751" i="1"/>
  <c r="D6751" i="1"/>
  <c r="C6751" i="1"/>
  <c r="H6750" i="1"/>
  <c r="F6750" i="1"/>
  <c r="D6750" i="1"/>
  <c r="C6750" i="1"/>
  <c r="H6749" i="1"/>
  <c r="F6749" i="1"/>
  <c r="D6749" i="1"/>
  <c r="C6749" i="1"/>
  <c r="H6748" i="1"/>
  <c r="F6748" i="1"/>
  <c r="D6748" i="1"/>
  <c r="C6748" i="1"/>
  <c r="H6747" i="1"/>
  <c r="F6747" i="1"/>
  <c r="D6747" i="1"/>
  <c r="C6747" i="1"/>
  <c r="H6746" i="1"/>
  <c r="F6746" i="1"/>
  <c r="D6746" i="1"/>
  <c r="C6746" i="1"/>
  <c r="H6745" i="1"/>
  <c r="F6745" i="1"/>
  <c r="D6745" i="1"/>
  <c r="C6745" i="1"/>
  <c r="H6744" i="1"/>
  <c r="F6744" i="1"/>
  <c r="D6744" i="1"/>
  <c r="C6744" i="1"/>
  <c r="H6743" i="1"/>
  <c r="F6743" i="1"/>
  <c r="D6743" i="1"/>
  <c r="C6743" i="1"/>
  <c r="H6742" i="1"/>
  <c r="F6742" i="1"/>
  <c r="D6742" i="1"/>
  <c r="C6742" i="1"/>
  <c r="H6741" i="1"/>
  <c r="F6741" i="1"/>
  <c r="D6741" i="1"/>
  <c r="C6741" i="1"/>
  <c r="H6740" i="1"/>
  <c r="F6740" i="1"/>
  <c r="D6740" i="1"/>
  <c r="C6740" i="1"/>
  <c r="H6739" i="1"/>
  <c r="F6739" i="1"/>
  <c r="D6739" i="1"/>
  <c r="C6739" i="1"/>
  <c r="H6738" i="1"/>
  <c r="F6738" i="1"/>
  <c r="D6738" i="1"/>
  <c r="C6738" i="1"/>
  <c r="H6737" i="1"/>
  <c r="F6737" i="1"/>
  <c r="D6737" i="1"/>
  <c r="C6737" i="1"/>
  <c r="H6736" i="1"/>
  <c r="F6736" i="1"/>
  <c r="D6736" i="1"/>
  <c r="C6736" i="1"/>
  <c r="H6735" i="1"/>
  <c r="F6735" i="1"/>
  <c r="D6735" i="1"/>
  <c r="C6735" i="1"/>
  <c r="H6734" i="1"/>
  <c r="F6734" i="1"/>
  <c r="D6734" i="1"/>
  <c r="C6734" i="1"/>
  <c r="H6733" i="1"/>
  <c r="F6733" i="1"/>
  <c r="D6733" i="1"/>
  <c r="C6733" i="1"/>
  <c r="H6732" i="1"/>
  <c r="F6732" i="1"/>
  <c r="D6732" i="1"/>
  <c r="C6732" i="1"/>
  <c r="H6731" i="1"/>
  <c r="F6731" i="1"/>
  <c r="D6731" i="1"/>
  <c r="C6731" i="1"/>
  <c r="H6730" i="1"/>
  <c r="F6730" i="1"/>
  <c r="D6730" i="1"/>
  <c r="C6730" i="1"/>
  <c r="H6729" i="1"/>
  <c r="F6729" i="1"/>
  <c r="D6729" i="1"/>
  <c r="C6729" i="1"/>
  <c r="H6728" i="1"/>
  <c r="F6728" i="1"/>
  <c r="D6728" i="1"/>
  <c r="C6728" i="1"/>
  <c r="H6727" i="1"/>
  <c r="F6727" i="1"/>
  <c r="D6727" i="1"/>
  <c r="C6727" i="1"/>
  <c r="H6726" i="1"/>
  <c r="F6726" i="1"/>
  <c r="D6726" i="1"/>
  <c r="C6726" i="1"/>
  <c r="H6725" i="1"/>
  <c r="F6725" i="1"/>
  <c r="D6725" i="1"/>
  <c r="C6725" i="1"/>
  <c r="H6724" i="1"/>
  <c r="F6724" i="1"/>
  <c r="D6724" i="1"/>
  <c r="C6724" i="1"/>
  <c r="H6723" i="1"/>
  <c r="F6723" i="1"/>
  <c r="D6723" i="1"/>
  <c r="C6723" i="1"/>
  <c r="H6722" i="1"/>
  <c r="F6722" i="1"/>
  <c r="D6722" i="1"/>
  <c r="C6722" i="1"/>
  <c r="H6721" i="1"/>
  <c r="F6721" i="1"/>
  <c r="D6721" i="1"/>
  <c r="C6721" i="1"/>
  <c r="H6720" i="1"/>
  <c r="F6720" i="1"/>
  <c r="D6720" i="1"/>
  <c r="C6720" i="1"/>
  <c r="H6719" i="1"/>
  <c r="F6719" i="1"/>
  <c r="D6719" i="1"/>
  <c r="C6719" i="1"/>
  <c r="H6718" i="1"/>
  <c r="F6718" i="1"/>
  <c r="D6718" i="1"/>
  <c r="C6718" i="1"/>
  <c r="H6717" i="1"/>
  <c r="F6717" i="1"/>
  <c r="D6717" i="1"/>
  <c r="C6717" i="1"/>
  <c r="H6716" i="1"/>
  <c r="F6716" i="1"/>
  <c r="D6716" i="1"/>
  <c r="C6716" i="1"/>
  <c r="H6715" i="1"/>
  <c r="F6715" i="1"/>
  <c r="D6715" i="1"/>
  <c r="C6715" i="1"/>
  <c r="H6714" i="1"/>
  <c r="F6714" i="1"/>
  <c r="D6714" i="1"/>
  <c r="C6714" i="1"/>
  <c r="H6713" i="1"/>
  <c r="F6713" i="1"/>
  <c r="D6713" i="1"/>
  <c r="C6713" i="1"/>
  <c r="H6712" i="1"/>
  <c r="F6712" i="1"/>
  <c r="D6712" i="1"/>
  <c r="C6712" i="1"/>
  <c r="H6711" i="1"/>
  <c r="F6711" i="1"/>
  <c r="D6711" i="1"/>
  <c r="C6711" i="1"/>
  <c r="H6710" i="1"/>
  <c r="F6710" i="1"/>
  <c r="D6710" i="1"/>
  <c r="C6710" i="1"/>
  <c r="H6709" i="1"/>
  <c r="F6709" i="1"/>
  <c r="D6709" i="1"/>
  <c r="C6709" i="1"/>
  <c r="H6708" i="1"/>
  <c r="F6708" i="1"/>
  <c r="D6708" i="1"/>
  <c r="C6708" i="1"/>
  <c r="H6707" i="1"/>
  <c r="F6707" i="1"/>
  <c r="D6707" i="1"/>
  <c r="C6707" i="1"/>
  <c r="H6706" i="1"/>
  <c r="F6706" i="1"/>
  <c r="D6706" i="1"/>
  <c r="C6706" i="1"/>
  <c r="H6705" i="1"/>
  <c r="F6705" i="1"/>
  <c r="D6705" i="1"/>
  <c r="C6705" i="1"/>
  <c r="H6704" i="1"/>
  <c r="F6704" i="1"/>
  <c r="D6704" i="1"/>
  <c r="C6704" i="1"/>
  <c r="H6703" i="1"/>
  <c r="F6703" i="1"/>
  <c r="D6703" i="1"/>
  <c r="C6703" i="1"/>
  <c r="H6702" i="1"/>
  <c r="F6702" i="1"/>
  <c r="D6702" i="1"/>
  <c r="C6702" i="1"/>
  <c r="H6701" i="1"/>
  <c r="F6701" i="1"/>
  <c r="D6701" i="1"/>
  <c r="C6701" i="1"/>
  <c r="H6700" i="1"/>
  <c r="F6700" i="1"/>
  <c r="D6700" i="1"/>
  <c r="C6700" i="1"/>
  <c r="H6699" i="1"/>
  <c r="F6699" i="1"/>
  <c r="D6699" i="1"/>
  <c r="C6699" i="1"/>
  <c r="H6698" i="1"/>
  <c r="F6698" i="1"/>
  <c r="D6698" i="1"/>
  <c r="C6698" i="1"/>
  <c r="H6697" i="1"/>
  <c r="F6697" i="1"/>
  <c r="D6697" i="1"/>
  <c r="C6697" i="1"/>
  <c r="H6696" i="1"/>
  <c r="F6696" i="1"/>
  <c r="D6696" i="1"/>
  <c r="C6696" i="1"/>
  <c r="H6695" i="1"/>
  <c r="F6695" i="1"/>
  <c r="D6695" i="1"/>
  <c r="C6695" i="1"/>
  <c r="H6694" i="1"/>
  <c r="F6694" i="1"/>
  <c r="D6694" i="1"/>
  <c r="C6694" i="1"/>
  <c r="H6693" i="1"/>
  <c r="F6693" i="1"/>
  <c r="D6693" i="1"/>
  <c r="C6693" i="1"/>
  <c r="H6692" i="1"/>
  <c r="F6692" i="1"/>
  <c r="D6692" i="1"/>
  <c r="C6692" i="1"/>
  <c r="H6691" i="1"/>
  <c r="F6691" i="1"/>
  <c r="D6691" i="1"/>
  <c r="C6691" i="1"/>
  <c r="H6690" i="1"/>
  <c r="F6690" i="1"/>
  <c r="D6690" i="1"/>
  <c r="C6690" i="1"/>
  <c r="H6689" i="1"/>
  <c r="F6689" i="1"/>
  <c r="D6689" i="1"/>
  <c r="C6689" i="1"/>
  <c r="H6688" i="1"/>
  <c r="F6688" i="1"/>
  <c r="D6688" i="1"/>
  <c r="C6688" i="1"/>
  <c r="H6687" i="1"/>
  <c r="F6687" i="1"/>
  <c r="D6687" i="1"/>
  <c r="C6687" i="1"/>
  <c r="H6686" i="1"/>
  <c r="F6686" i="1"/>
  <c r="D6686" i="1"/>
  <c r="C6686" i="1"/>
  <c r="H6685" i="1"/>
  <c r="F6685" i="1"/>
  <c r="D6685" i="1"/>
  <c r="C6685" i="1"/>
  <c r="H6684" i="1"/>
  <c r="F6684" i="1"/>
  <c r="D6684" i="1"/>
  <c r="C6684" i="1"/>
  <c r="H6683" i="1"/>
  <c r="F6683" i="1"/>
  <c r="D6683" i="1"/>
  <c r="C6683" i="1"/>
  <c r="H6682" i="1"/>
  <c r="F6682" i="1"/>
  <c r="D6682" i="1"/>
  <c r="C6682" i="1"/>
  <c r="H6681" i="1"/>
  <c r="F6681" i="1"/>
  <c r="D6681" i="1"/>
  <c r="C6681" i="1"/>
  <c r="H6680" i="1"/>
  <c r="F6680" i="1"/>
  <c r="D6680" i="1"/>
  <c r="C6680" i="1"/>
  <c r="H6679" i="1"/>
  <c r="F6679" i="1"/>
  <c r="D6679" i="1"/>
  <c r="C6679" i="1"/>
  <c r="H6678" i="1"/>
  <c r="F6678" i="1"/>
  <c r="D6678" i="1"/>
  <c r="C6678" i="1"/>
  <c r="H6677" i="1"/>
  <c r="F6677" i="1"/>
  <c r="D6677" i="1"/>
  <c r="C6677" i="1"/>
  <c r="H6676" i="1"/>
  <c r="F6676" i="1"/>
  <c r="D6676" i="1"/>
  <c r="C6676" i="1"/>
  <c r="H6675" i="1"/>
  <c r="F6675" i="1"/>
  <c r="D6675" i="1"/>
  <c r="C6675" i="1"/>
  <c r="H6674" i="1"/>
  <c r="F6674" i="1"/>
  <c r="D6674" i="1"/>
  <c r="C6674" i="1"/>
  <c r="H6673" i="1"/>
  <c r="F6673" i="1"/>
  <c r="D6673" i="1"/>
  <c r="C6673" i="1"/>
  <c r="H6672" i="1"/>
  <c r="F6672" i="1"/>
  <c r="D6672" i="1"/>
  <c r="C6672" i="1"/>
  <c r="H6671" i="1"/>
  <c r="F6671" i="1"/>
  <c r="D6671" i="1"/>
  <c r="C6671" i="1"/>
  <c r="H6670" i="1"/>
  <c r="F6670" i="1"/>
  <c r="D6670" i="1"/>
  <c r="C6670" i="1"/>
  <c r="H6669" i="1"/>
  <c r="F6669" i="1"/>
  <c r="D6669" i="1"/>
  <c r="C6669" i="1"/>
  <c r="H6668" i="1"/>
  <c r="F6668" i="1"/>
  <c r="D6668" i="1"/>
  <c r="C6668" i="1"/>
  <c r="H6667" i="1"/>
  <c r="F6667" i="1"/>
  <c r="D6667" i="1"/>
  <c r="C6667" i="1"/>
  <c r="H6666" i="1"/>
  <c r="F6666" i="1"/>
  <c r="D6666" i="1"/>
  <c r="C6666" i="1"/>
  <c r="H6665" i="1"/>
  <c r="F6665" i="1"/>
  <c r="D6665" i="1"/>
  <c r="C6665" i="1"/>
  <c r="H6664" i="1"/>
  <c r="F6664" i="1"/>
  <c r="D6664" i="1"/>
  <c r="C6664" i="1"/>
  <c r="H6663" i="1"/>
  <c r="F6663" i="1"/>
  <c r="D6663" i="1"/>
  <c r="C6663" i="1"/>
  <c r="H6662" i="1"/>
  <c r="F6662" i="1"/>
  <c r="D6662" i="1"/>
  <c r="C6662" i="1"/>
  <c r="H6661" i="1"/>
  <c r="F6661" i="1"/>
  <c r="D6661" i="1"/>
  <c r="C6661" i="1"/>
  <c r="H6660" i="1"/>
  <c r="F6660" i="1"/>
  <c r="D6660" i="1"/>
  <c r="C6660" i="1"/>
  <c r="H6659" i="1"/>
  <c r="F6659" i="1"/>
  <c r="D6659" i="1"/>
  <c r="C6659" i="1"/>
  <c r="H6658" i="1"/>
  <c r="F6658" i="1"/>
  <c r="D6658" i="1"/>
  <c r="C6658" i="1"/>
  <c r="H6657" i="1"/>
  <c r="F6657" i="1"/>
  <c r="D6657" i="1"/>
  <c r="C6657" i="1"/>
  <c r="H6656" i="1"/>
  <c r="F6656" i="1"/>
  <c r="D6656" i="1"/>
  <c r="C6656" i="1"/>
  <c r="H6655" i="1"/>
  <c r="F6655" i="1"/>
  <c r="D6655" i="1"/>
  <c r="C6655" i="1"/>
  <c r="H6654" i="1"/>
  <c r="F6654" i="1"/>
  <c r="D6654" i="1"/>
  <c r="C6654" i="1"/>
  <c r="H6653" i="1"/>
  <c r="F6653" i="1"/>
  <c r="D6653" i="1"/>
  <c r="C6653" i="1"/>
  <c r="H6652" i="1"/>
  <c r="F6652" i="1"/>
  <c r="D6652" i="1"/>
  <c r="C6652" i="1"/>
  <c r="H6651" i="1"/>
  <c r="F6651" i="1"/>
  <c r="D6651" i="1"/>
  <c r="C6651" i="1"/>
  <c r="H6650" i="1"/>
  <c r="F6650" i="1"/>
  <c r="D6650" i="1"/>
  <c r="C6650" i="1"/>
  <c r="H6649" i="1"/>
  <c r="F6649" i="1"/>
  <c r="D6649" i="1"/>
  <c r="C6649" i="1"/>
  <c r="H6648" i="1"/>
  <c r="F6648" i="1"/>
  <c r="D6648" i="1"/>
  <c r="C6648" i="1"/>
  <c r="H6647" i="1"/>
  <c r="F6647" i="1"/>
  <c r="D6647" i="1"/>
  <c r="C6647" i="1"/>
  <c r="H6646" i="1"/>
  <c r="F6646" i="1"/>
  <c r="D6646" i="1"/>
  <c r="C6646" i="1"/>
  <c r="H6645" i="1"/>
  <c r="F6645" i="1"/>
  <c r="D6645" i="1"/>
  <c r="C6645" i="1"/>
  <c r="H6644" i="1"/>
  <c r="F6644" i="1"/>
  <c r="D6644" i="1"/>
  <c r="C6644" i="1"/>
  <c r="H6643" i="1"/>
  <c r="F6643" i="1"/>
  <c r="D6643" i="1"/>
  <c r="C6643" i="1"/>
  <c r="H6642" i="1"/>
  <c r="F6642" i="1"/>
  <c r="D6642" i="1"/>
  <c r="C6642" i="1"/>
  <c r="H6641" i="1"/>
  <c r="F6641" i="1"/>
  <c r="D6641" i="1"/>
  <c r="C6641" i="1"/>
  <c r="H6640" i="1"/>
  <c r="F6640" i="1"/>
  <c r="D6640" i="1"/>
  <c r="C6640" i="1"/>
  <c r="H6639" i="1"/>
  <c r="F6639" i="1"/>
  <c r="D6639" i="1"/>
  <c r="C6639" i="1"/>
  <c r="H6638" i="1"/>
  <c r="F6638" i="1"/>
  <c r="D6638" i="1"/>
  <c r="C6638" i="1"/>
  <c r="H6637" i="1"/>
  <c r="F6637" i="1"/>
  <c r="D6637" i="1"/>
  <c r="C6637" i="1"/>
  <c r="H6636" i="1"/>
  <c r="F6636" i="1"/>
  <c r="D6636" i="1"/>
  <c r="C6636" i="1"/>
  <c r="H6635" i="1"/>
  <c r="F6635" i="1"/>
  <c r="D6635" i="1"/>
  <c r="C6635" i="1"/>
  <c r="H6634" i="1"/>
  <c r="F6634" i="1"/>
  <c r="D6634" i="1"/>
  <c r="C6634" i="1"/>
  <c r="H6633" i="1"/>
  <c r="F6633" i="1"/>
  <c r="D6633" i="1"/>
  <c r="C6633" i="1"/>
  <c r="H6632" i="1"/>
  <c r="F6632" i="1"/>
  <c r="D6632" i="1"/>
  <c r="C6632" i="1"/>
  <c r="H6631" i="1"/>
  <c r="F6631" i="1"/>
  <c r="D6631" i="1"/>
  <c r="C6631" i="1"/>
  <c r="H6630" i="1"/>
  <c r="F6630" i="1"/>
  <c r="D6630" i="1"/>
  <c r="C6630" i="1"/>
  <c r="H6629" i="1"/>
  <c r="F6629" i="1"/>
  <c r="D6629" i="1"/>
  <c r="C6629" i="1"/>
  <c r="H6628" i="1"/>
  <c r="F6628" i="1"/>
  <c r="D6628" i="1"/>
  <c r="C6628" i="1"/>
  <c r="H6627" i="1"/>
  <c r="F6627" i="1"/>
  <c r="D6627" i="1"/>
  <c r="C6627" i="1"/>
  <c r="H6626" i="1"/>
  <c r="F6626" i="1"/>
  <c r="D6626" i="1"/>
  <c r="C6626" i="1"/>
  <c r="H6625" i="1"/>
  <c r="F6625" i="1"/>
  <c r="D6625" i="1"/>
  <c r="C6625" i="1"/>
  <c r="H6624" i="1"/>
  <c r="F6624" i="1"/>
  <c r="D6624" i="1"/>
  <c r="C6624" i="1"/>
  <c r="H6623" i="1"/>
  <c r="F6623" i="1"/>
  <c r="D6623" i="1"/>
  <c r="C6623" i="1"/>
  <c r="H6622" i="1"/>
  <c r="F6622" i="1"/>
  <c r="D6622" i="1"/>
  <c r="C6622" i="1"/>
  <c r="H6621" i="1"/>
  <c r="F6621" i="1"/>
  <c r="D6621" i="1"/>
  <c r="C6621" i="1"/>
  <c r="H6620" i="1"/>
  <c r="F6620" i="1"/>
  <c r="D6620" i="1"/>
  <c r="C6620" i="1"/>
  <c r="H6619" i="1"/>
  <c r="F6619" i="1"/>
  <c r="D6619" i="1"/>
  <c r="C6619" i="1"/>
  <c r="H6618" i="1"/>
  <c r="F6618" i="1"/>
  <c r="D6618" i="1"/>
  <c r="C6618" i="1"/>
  <c r="H6617" i="1"/>
  <c r="F6617" i="1"/>
  <c r="D6617" i="1"/>
  <c r="C6617" i="1"/>
  <c r="H6616" i="1"/>
  <c r="F6616" i="1"/>
  <c r="D6616" i="1"/>
  <c r="C6616" i="1"/>
  <c r="H6615" i="1"/>
  <c r="F6615" i="1"/>
  <c r="D6615" i="1"/>
  <c r="C6615" i="1"/>
  <c r="H6614" i="1"/>
  <c r="F6614" i="1"/>
  <c r="D6614" i="1"/>
  <c r="C6614" i="1"/>
  <c r="H6613" i="1"/>
  <c r="F6613" i="1"/>
  <c r="D6613" i="1"/>
  <c r="C6613" i="1"/>
  <c r="H6612" i="1"/>
  <c r="F6612" i="1"/>
  <c r="D6612" i="1"/>
  <c r="C6612" i="1"/>
  <c r="H6611" i="1"/>
  <c r="F6611" i="1"/>
  <c r="D6611" i="1"/>
  <c r="C6611" i="1"/>
  <c r="H6610" i="1"/>
  <c r="F6610" i="1"/>
  <c r="D6610" i="1"/>
  <c r="C6610" i="1"/>
  <c r="H6609" i="1"/>
  <c r="F6609" i="1"/>
  <c r="D6609" i="1"/>
  <c r="C6609" i="1"/>
  <c r="H6608" i="1"/>
  <c r="F6608" i="1"/>
  <c r="D6608" i="1"/>
  <c r="C6608" i="1"/>
  <c r="H6607" i="1"/>
  <c r="F6607" i="1"/>
  <c r="D6607" i="1"/>
  <c r="C6607" i="1"/>
  <c r="H6606" i="1"/>
  <c r="F6606" i="1"/>
  <c r="D6606" i="1"/>
  <c r="C6606" i="1"/>
  <c r="H6605" i="1"/>
  <c r="F6605" i="1"/>
  <c r="D6605" i="1"/>
  <c r="C6605" i="1"/>
  <c r="H6604" i="1"/>
  <c r="F6604" i="1"/>
  <c r="D6604" i="1"/>
  <c r="C6604" i="1"/>
  <c r="H6603" i="1"/>
  <c r="F6603" i="1"/>
  <c r="D6603" i="1"/>
  <c r="C6603" i="1"/>
  <c r="H6602" i="1"/>
  <c r="F6602" i="1"/>
  <c r="D6602" i="1"/>
  <c r="C6602" i="1"/>
  <c r="H6601" i="1"/>
  <c r="F6601" i="1"/>
  <c r="D6601" i="1"/>
  <c r="C6601" i="1"/>
  <c r="H6600" i="1"/>
  <c r="F6600" i="1"/>
  <c r="D6600" i="1"/>
  <c r="C6600" i="1"/>
  <c r="H6599" i="1"/>
  <c r="F6599" i="1"/>
  <c r="D6599" i="1"/>
  <c r="C6599" i="1"/>
  <c r="H6598" i="1"/>
  <c r="F6598" i="1"/>
  <c r="D6598" i="1"/>
  <c r="C6598" i="1"/>
  <c r="H6597" i="1"/>
  <c r="F6597" i="1"/>
  <c r="D6597" i="1"/>
  <c r="C6597" i="1"/>
  <c r="H6596" i="1"/>
  <c r="F6596" i="1"/>
  <c r="D6596" i="1"/>
  <c r="C6596" i="1"/>
  <c r="H6595" i="1"/>
  <c r="F6595" i="1"/>
  <c r="D6595" i="1"/>
  <c r="C6595" i="1"/>
  <c r="H6594" i="1"/>
  <c r="F6594" i="1"/>
  <c r="D6594" i="1"/>
  <c r="C6594" i="1"/>
  <c r="H6593" i="1"/>
  <c r="F6593" i="1"/>
  <c r="D6593" i="1"/>
  <c r="C6593" i="1"/>
  <c r="H6592" i="1"/>
  <c r="F6592" i="1"/>
  <c r="D6592" i="1"/>
  <c r="C6592" i="1"/>
  <c r="H6591" i="1"/>
  <c r="F6591" i="1"/>
  <c r="D6591" i="1"/>
  <c r="C6591" i="1"/>
  <c r="H6590" i="1"/>
  <c r="F6590" i="1"/>
  <c r="D6590" i="1"/>
  <c r="C6590" i="1"/>
  <c r="H6589" i="1"/>
  <c r="F6589" i="1"/>
  <c r="D6589" i="1"/>
  <c r="C6589" i="1"/>
  <c r="H6588" i="1"/>
  <c r="F6588" i="1"/>
  <c r="D6588" i="1"/>
  <c r="C6588" i="1"/>
  <c r="H6587" i="1"/>
  <c r="F6587" i="1"/>
  <c r="D6587" i="1"/>
  <c r="C6587" i="1"/>
  <c r="H6586" i="1"/>
  <c r="F6586" i="1"/>
  <c r="D6586" i="1"/>
  <c r="C6586" i="1"/>
  <c r="H6585" i="1"/>
  <c r="F6585" i="1"/>
  <c r="D6585" i="1"/>
  <c r="C6585" i="1"/>
  <c r="H6584" i="1"/>
  <c r="F6584" i="1"/>
  <c r="D6584" i="1"/>
  <c r="C6584" i="1"/>
  <c r="H6583" i="1"/>
  <c r="F6583" i="1"/>
  <c r="D6583" i="1"/>
  <c r="C6583" i="1"/>
  <c r="H6582" i="1"/>
  <c r="F6582" i="1"/>
  <c r="D6582" i="1"/>
  <c r="C6582" i="1"/>
  <c r="H6581" i="1"/>
  <c r="F6581" i="1"/>
  <c r="D6581" i="1"/>
  <c r="C6581" i="1"/>
  <c r="H6580" i="1"/>
  <c r="F6580" i="1"/>
  <c r="D6580" i="1"/>
  <c r="C6580" i="1"/>
  <c r="H6579" i="1"/>
  <c r="F6579" i="1"/>
  <c r="D6579" i="1"/>
  <c r="C6579" i="1"/>
  <c r="H6578" i="1"/>
  <c r="F6578" i="1"/>
  <c r="D6578" i="1"/>
  <c r="C6578" i="1"/>
  <c r="H6577" i="1"/>
  <c r="F6577" i="1"/>
  <c r="D6577" i="1"/>
  <c r="C6577" i="1"/>
  <c r="H6576" i="1"/>
  <c r="F6576" i="1"/>
  <c r="D6576" i="1"/>
  <c r="C6576" i="1"/>
  <c r="H6575" i="1"/>
  <c r="F6575" i="1"/>
  <c r="D6575" i="1"/>
  <c r="C6575" i="1"/>
  <c r="H6574" i="1"/>
  <c r="F6574" i="1"/>
  <c r="D6574" i="1"/>
  <c r="C6574" i="1"/>
  <c r="H6573" i="1"/>
  <c r="F6573" i="1"/>
  <c r="D6573" i="1"/>
  <c r="C6573" i="1"/>
  <c r="H6572" i="1"/>
  <c r="F6572" i="1"/>
  <c r="D6572" i="1"/>
  <c r="C6572" i="1"/>
  <c r="H6571" i="1"/>
  <c r="F6571" i="1"/>
  <c r="D6571" i="1"/>
  <c r="C6571" i="1"/>
  <c r="H6570" i="1"/>
  <c r="F6570" i="1"/>
  <c r="D6570" i="1"/>
  <c r="C6570" i="1"/>
  <c r="H6569" i="1"/>
  <c r="F6569" i="1"/>
  <c r="D6569" i="1"/>
  <c r="C6569" i="1"/>
  <c r="H6568" i="1"/>
  <c r="F6568" i="1"/>
  <c r="D6568" i="1"/>
  <c r="C6568" i="1"/>
  <c r="H6567" i="1"/>
  <c r="F6567" i="1"/>
  <c r="D6567" i="1"/>
  <c r="C6567" i="1"/>
  <c r="H6566" i="1"/>
  <c r="F6566" i="1"/>
  <c r="D6566" i="1"/>
  <c r="C6566" i="1"/>
  <c r="H6565" i="1"/>
  <c r="F6565" i="1"/>
  <c r="D6565" i="1"/>
  <c r="C6565" i="1"/>
  <c r="H6564" i="1"/>
  <c r="F6564" i="1"/>
  <c r="D6564" i="1"/>
  <c r="C6564" i="1"/>
  <c r="H6563" i="1"/>
  <c r="F6563" i="1"/>
  <c r="D6563" i="1"/>
  <c r="C6563" i="1"/>
  <c r="H6562" i="1"/>
  <c r="F6562" i="1"/>
  <c r="D6562" i="1"/>
  <c r="C6562" i="1"/>
  <c r="H6561" i="1"/>
  <c r="F6561" i="1"/>
  <c r="D6561" i="1"/>
  <c r="C6561" i="1"/>
  <c r="H6560" i="1"/>
  <c r="F6560" i="1"/>
  <c r="D6560" i="1"/>
  <c r="C6560" i="1"/>
  <c r="H6559" i="1"/>
  <c r="F6559" i="1"/>
  <c r="D6559" i="1"/>
  <c r="C6559" i="1"/>
  <c r="H6558" i="1"/>
  <c r="F6558" i="1"/>
  <c r="D6558" i="1"/>
  <c r="C6558" i="1"/>
  <c r="H6557" i="1"/>
  <c r="F6557" i="1"/>
  <c r="D6557" i="1"/>
  <c r="C6557" i="1"/>
  <c r="H6556" i="1"/>
  <c r="F6556" i="1"/>
  <c r="D6556" i="1"/>
  <c r="C6556" i="1"/>
  <c r="H6555" i="1"/>
  <c r="F6555" i="1"/>
  <c r="D6555" i="1"/>
  <c r="C6555" i="1"/>
  <c r="H6554" i="1"/>
  <c r="F6554" i="1"/>
  <c r="D6554" i="1"/>
  <c r="C6554" i="1"/>
  <c r="H6553" i="1"/>
  <c r="F6553" i="1"/>
  <c r="D6553" i="1"/>
  <c r="C6553" i="1"/>
  <c r="H6552" i="1"/>
  <c r="F6552" i="1"/>
  <c r="D6552" i="1"/>
  <c r="C6552" i="1"/>
  <c r="H6551" i="1"/>
  <c r="F6551" i="1"/>
  <c r="D6551" i="1"/>
  <c r="C6551" i="1"/>
  <c r="H6550" i="1"/>
  <c r="F6550" i="1"/>
  <c r="D6550" i="1"/>
  <c r="C6550" i="1"/>
  <c r="H6549" i="1"/>
  <c r="F6549" i="1"/>
  <c r="D6549" i="1"/>
  <c r="C6549" i="1"/>
  <c r="H6548" i="1"/>
  <c r="F6548" i="1"/>
  <c r="D6548" i="1"/>
  <c r="C6548" i="1"/>
  <c r="H6547" i="1"/>
  <c r="F6547" i="1"/>
  <c r="D6547" i="1"/>
  <c r="C6547" i="1"/>
  <c r="H6546" i="1"/>
  <c r="F6546" i="1"/>
  <c r="D6546" i="1"/>
  <c r="C6546" i="1"/>
  <c r="H6545" i="1"/>
  <c r="F6545" i="1"/>
  <c r="D6545" i="1"/>
  <c r="C6545" i="1"/>
  <c r="H6544" i="1"/>
  <c r="F6544" i="1"/>
  <c r="D6544" i="1"/>
  <c r="C6544" i="1"/>
  <c r="H6543" i="1"/>
  <c r="F6543" i="1"/>
  <c r="D6543" i="1"/>
  <c r="C6543" i="1"/>
  <c r="H6542" i="1"/>
  <c r="F6542" i="1"/>
  <c r="D6542" i="1"/>
  <c r="C6542" i="1"/>
  <c r="H6541" i="1"/>
  <c r="F6541" i="1"/>
  <c r="D6541" i="1"/>
  <c r="C6541" i="1"/>
  <c r="H6540" i="1"/>
  <c r="F6540" i="1"/>
  <c r="D6540" i="1"/>
  <c r="C6540" i="1"/>
  <c r="H6539" i="1"/>
  <c r="F6539" i="1"/>
  <c r="D6539" i="1"/>
  <c r="C6539" i="1"/>
  <c r="H6538" i="1"/>
  <c r="F6538" i="1"/>
  <c r="D6538" i="1"/>
  <c r="C6538" i="1"/>
  <c r="H6537" i="1"/>
  <c r="F6537" i="1"/>
  <c r="D6537" i="1"/>
  <c r="C6537" i="1"/>
  <c r="H6536" i="1"/>
  <c r="F6536" i="1"/>
  <c r="D6536" i="1"/>
  <c r="C6536" i="1"/>
  <c r="H6535" i="1"/>
  <c r="F6535" i="1"/>
  <c r="D6535" i="1"/>
  <c r="C6535" i="1"/>
  <c r="H6534" i="1"/>
  <c r="F6534" i="1"/>
  <c r="D6534" i="1"/>
  <c r="C6534" i="1"/>
  <c r="H6533" i="1"/>
  <c r="F6533" i="1"/>
  <c r="D6533" i="1"/>
  <c r="C6533" i="1"/>
  <c r="H6532" i="1"/>
  <c r="F6532" i="1"/>
  <c r="D6532" i="1"/>
  <c r="C6532" i="1"/>
  <c r="H6531" i="1"/>
  <c r="F6531" i="1"/>
  <c r="D6531" i="1"/>
  <c r="C6531" i="1"/>
  <c r="H6530" i="1"/>
  <c r="F6530" i="1"/>
  <c r="D6530" i="1"/>
  <c r="C6530" i="1"/>
  <c r="H6529" i="1"/>
  <c r="F6529" i="1"/>
  <c r="D6529" i="1"/>
  <c r="C6529" i="1"/>
  <c r="H6528" i="1"/>
  <c r="F6528" i="1"/>
  <c r="D6528" i="1"/>
  <c r="C6528" i="1"/>
  <c r="H6527" i="1"/>
  <c r="F6527" i="1"/>
  <c r="D6527" i="1"/>
  <c r="C6527" i="1"/>
  <c r="H6526" i="1"/>
  <c r="F6526" i="1"/>
  <c r="D6526" i="1"/>
  <c r="C6526" i="1"/>
  <c r="H6525" i="1"/>
  <c r="F6525" i="1"/>
  <c r="D6525" i="1"/>
  <c r="C6525" i="1"/>
  <c r="H6524" i="1"/>
  <c r="F6524" i="1"/>
  <c r="D6524" i="1"/>
  <c r="C6524" i="1"/>
  <c r="H6523" i="1"/>
  <c r="F6523" i="1"/>
  <c r="D6523" i="1"/>
  <c r="C6523" i="1"/>
  <c r="H6522" i="1"/>
  <c r="F6522" i="1"/>
  <c r="D6522" i="1"/>
  <c r="C6522" i="1"/>
  <c r="H6521" i="1"/>
  <c r="F6521" i="1"/>
  <c r="D6521" i="1"/>
  <c r="C6521" i="1"/>
  <c r="H6520" i="1"/>
  <c r="F6520" i="1"/>
  <c r="D6520" i="1"/>
  <c r="C6520" i="1"/>
  <c r="H6519" i="1"/>
  <c r="F6519" i="1"/>
  <c r="D6519" i="1"/>
  <c r="C6519" i="1"/>
  <c r="H6518" i="1"/>
  <c r="F6518" i="1"/>
  <c r="D6518" i="1"/>
  <c r="C6518" i="1"/>
  <c r="H6517" i="1"/>
  <c r="F6517" i="1"/>
  <c r="D6517" i="1"/>
  <c r="C6517" i="1"/>
  <c r="H6516" i="1"/>
  <c r="F6516" i="1"/>
  <c r="D6516" i="1"/>
  <c r="C6516" i="1"/>
  <c r="H6515" i="1"/>
  <c r="F6515" i="1"/>
  <c r="D6515" i="1"/>
  <c r="C6515" i="1"/>
  <c r="H6514" i="1"/>
  <c r="F6514" i="1"/>
  <c r="D6514" i="1"/>
  <c r="C6514" i="1"/>
  <c r="H6513" i="1"/>
  <c r="F6513" i="1"/>
  <c r="D6513" i="1"/>
  <c r="C6513" i="1"/>
  <c r="H6512" i="1"/>
  <c r="F6512" i="1"/>
  <c r="D6512" i="1"/>
  <c r="C6512" i="1"/>
  <c r="H6511" i="1"/>
  <c r="F6511" i="1"/>
  <c r="D6511" i="1"/>
  <c r="C6511" i="1"/>
  <c r="H6510" i="1"/>
  <c r="F6510" i="1"/>
  <c r="D6510" i="1"/>
  <c r="C6510" i="1"/>
  <c r="H6509" i="1"/>
  <c r="F6509" i="1"/>
  <c r="D6509" i="1"/>
  <c r="C6509" i="1"/>
  <c r="H6508" i="1"/>
  <c r="F6508" i="1"/>
  <c r="D6508" i="1"/>
  <c r="C6508" i="1"/>
  <c r="H6507" i="1"/>
  <c r="F6507" i="1"/>
  <c r="D6507" i="1"/>
  <c r="C6507" i="1"/>
  <c r="H6506" i="1"/>
  <c r="F6506" i="1"/>
  <c r="D6506" i="1"/>
  <c r="C6506" i="1"/>
  <c r="H6505" i="1"/>
  <c r="F6505" i="1"/>
  <c r="D6505" i="1"/>
  <c r="C6505" i="1"/>
  <c r="H6504" i="1"/>
  <c r="F6504" i="1"/>
  <c r="D6504" i="1"/>
  <c r="C6504" i="1"/>
  <c r="H6503" i="1"/>
  <c r="F6503" i="1"/>
  <c r="D6503" i="1"/>
  <c r="C6503" i="1"/>
  <c r="H6502" i="1"/>
  <c r="F6502" i="1"/>
  <c r="D6502" i="1"/>
  <c r="C6502" i="1"/>
  <c r="H6501" i="1"/>
  <c r="F6501" i="1"/>
  <c r="D6501" i="1"/>
  <c r="C6501" i="1"/>
  <c r="H6500" i="1"/>
  <c r="F6500" i="1"/>
  <c r="D6500" i="1"/>
  <c r="C6500" i="1"/>
  <c r="H6499" i="1"/>
  <c r="F6499" i="1"/>
  <c r="D6499" i="1"/>
  <c r="C6499" i="1"/>
  <c r="H6498" i="1"/>
  <c r="F6498" i="1"/>
  <c r="D6498" i="1"/>
  <c r="C6498" i="1"/>
  <c r="H6497" i="1"/>
  <c r="F6497" i="1"/>
  <c r="D6497" i="1"/>
  <c r="C6497" i="1"/>
  <c r="H6496" i="1"/>
  <c r="F6496" i="1"/>
  <c r="D6496" i="1"/>
  <c r="C6496" i="1"/>
  <c r="H6495" i="1"/>
  <c r="F6495" i="1"/>
  <c r="D6495" i="1"/>
  <c r="C6495" i="1"/>
  <c r="H6494" i="1"/>
  <c r="F6494" i="1"/>
  <c r="D6494" i="1"/>
  <c r="C6494" i="1"/>
  <c r="H6493" i="1"/>
  <c r="F6493" i="1"/>
  <c r="D6493" i="1"/>
  <c r="C6493" i="1"/>
  <c r="H6492" i="1"/>
  <c r="F6492" i="1"/>
  <c r="D6492" i="1"/>
  <c r="C6492" i="1"/>
  <c r="H6491" i="1"/>
  <c r="F6491" i="1"/>
  <c r="D6491" i="1"/>
  <c r="C6491" i="1"/>
  <c r="H6490" i="1"/>
  <c r="F6490" i="1"/>
  <c r="D6490" i="1"/>
  <c r="C6490" i="1"/>
  <c r="H6489" i="1"/>
  <c r="F6489" i="1"/>
  <c r="D6489" i="1"/>
  <c r="C6489" i="1"/>
  <c r="H6488" i="1"/>
  <c r="F6488" i="1"/>
  <c r="D6488" i="1"/>
  <c r="C6488" i="1"/>
  <c r="H6487" i="1"/>
  <c r="F6487" i="1"/>
  <c r="D6487" i="1"/>
  <c r="C6487" i="1"/>
  <c r="H6486" i="1"/>
  <c r="F6486" i="1"/>
  <c r="D6486" i="1"/>
  <c r="C6486" i="1"/>
  <c r="H6485" i="1"/>
  <c r="F6485" i="1"/>
  <c r="D6485" i="1"/>
  <c r="C6485" i="1"/>
  <c r="H6484" i="1"/>
  <c r="F6484" i="1"/>
  <c r="D6484" i="1"/>
  <c r="C6484" i="1"/>
  <c r="H6483" i="1"/>
  <c r="F6483" i="1"/>
  <c r="D6483" i="1"/>
  <c r="C6483" i="1"/>
  <c r="H6482" i="1"/>
  <c r="F6482" i="1"/>
  <c r="D6482" i="1"/>
  <c r="C6482" i="1"/>
  <c r="H6481" i="1"/>
  <c r="F6481" i="1"/>
  <c r="D6481" i="1"/>
  <c r="C6481" i="1"/>
  <c r="H6480" i="1"/>
  <c r="F6480" i="1"/>
  <c r="D6480" i="1"/>
  <c r="C6480" i="1"/>
  <c r="H6479" i="1"/>
  <c r="F6479" i="1"/>
  <c r="D6479" i="1"/>
  <c r="C6479" i="1"/>
  <c r="H6478" i="1"/>
  <c r="F6478" i="1"/>
  <c r="D6478" i="1"/>
  <c r="C6478" i="1"/>
  <c r="H6477" i="1"/>
  <c r="F6477" i="1"/>
  <c r="D6477" i="1"/>
  <c r="C6477" i="1"/>
  <c r="H6476" i="1"/>
  <c r="F6476" i="1"/>
  <c r="D6476" i="1"/>
  <c r="C6476" i="1"/>
  <c r="H6475" i="1"/>
  <c r="F6475" i="1"/>
  <c r="D6475" i="1"/>
  <c r="C6475" i="1"/>
  <c r="H6474" i="1"/>
  <c r="F6474" i="1"/>
  <c r="D6474" i="1"/>
  <c r="C6474" i="1"/>
  <c r="H6473" i="1"/>
  <c r="F6473" i="1"/>
  <c r="D6473" i="1"/>
  <c r="C6473" i="1"/>
  <c r="H6472" i="1"/>
  <c r="F6472" i="1"/>
  <c r="D6472" i="1"/>
  <c r="C6472" i="1"/>
  <c r="H6471" i="1"/>
  <c r="F6471" i="1"/>
  <c r="D6471" i="1"/>
  <c r="C6471" i="1"/>
  <c r="H6470" i="1"/>
  <c r="F6470" i="1"/>
  <c r="D6470" i="1"/>
  <c r="C6470" i="1"/>
  <c r="H6469" i="1"/>
  <c r="F6469" i="1"/>
  <c r="D6469" i="1"/>
  <c r="C6469" i="1"/>
  <c r="H6468" i="1"/>
  <c r="F6468" i="1"/>
  <c r="D6468" i="1"/>
  <c r="C6468" i="1"/>
  <c r="H6467" i="1"/>
  <c r="F6467" i="1"/>
  <c r="D6467" i="1"/>
  <c r="C6467" i="1"/>
  <c r="H6466" i="1"/>
  <c r="F6466" i="1"/>
  <c r="D6466" i="1"/>
  <c r="C6466" i="1"/>
  <c r="H6465" i="1"/>
  <c r="F6465" i="1"/>
  <c r="D6465" i="1"/>
  <c r="C6465" i="1"/>
  <c r="H6464" i="1"/>
  <c r="F6464" i="1"/>
  <c r="D6464" i="1"/>
  <c r="C6464" i="1"/>
  <c r="H6463" i="1"/>
  <c r="F6463" i="1"/>
  <c r="D6463" i="1"/>
  <c r="C6463" i="1"/>
  <c r="H6462" i="1"/>
  <c r="F6462" i="1"/>
  <c r="D6462" i="1"/>
  <c r="C6462" i="1"/>
  <c r="H6461" i="1"/>
  <c r="F6461" i="1"/>
  <c r="D6461" i="1"/>
  <c r="C6461" i="1"/>
  <c r="H6460" i="1"/>
  <c r="F6460" i="1"/>
  <c r="D6460" i="1"/>
  <c r="C6460" i="1"/>
  <c r="H6459" i="1"/>
  <c r="F6459" i="1"/>
  <c r="D6459" i="1"/>
  <c r="C6459" i="1"/>
  <c r="H6458" i="1"/>
  <c r="F6458" i="1"/>
  <c r="D6458" i="1"/>
  <c r="C6458" i="1"/>
  <c r="H6457" i="1"/>
  <c r="F6457" i="1"/>
  <c r="D6457" i="1"/>
  <c r="C6457" i="1"/>
  <c r="H6456" i="1"/>
  <c r="F6456" i="1"/>
  <c r="D6456" i="1"/>
  <c r="C6456" i="1"/>
  <c r="H6455" i="1"/>
  <c r="F6455" i="1"/>
  <c r="D6455" i="1"/>
  <c r="C6455" i="1"/>
  <c r="H6454" i="1"/>
  <c r="F6454" i="1"/>
  <c r="D6454" i="1"/>
  <c r="C6454" i="1"/>
  <c r="H6453" i="1"/>
  <c r="F6453" i="1"/>
  <c r="D6453" i="1"/>
  <c r="C6453" i="1"/>
  <c r="H6452" i="1"/>
  <c r="F6452" i="1"/>
  <c r="D6452" i="1"/>
  <c r="C6452" i="1"/>
  <c r="H6451" i="1"/>
  <c r="F6451" i="1"/>
  <c r="D6451" i="1"/>
  <c r="C6451" i="1"/>
  <c r="H6450" i="1"/>
  <c r="F6450" i="1"/>
  <c r="D6450" i="1"/>
  <c r="C6450" i="1"/>
  <c r="H6449" i="1"/>
  <c r="F6449" i="1"/>
  <c r="D6449" i="1"/>
  <c r="C6449" i="1"/>
  <c r="H6448" i="1"/>
  <c r="F6448" i="1"/>
  <c r="D6448" i="1"/>
  <c r="C6448" i="1"/>
  <c r="H6447" i="1"/>
  <c r="F6447" i="1"/>
  <c r="D6447" i="1"/>
  <c r="C6447" i="1"/>
  <c r="H6446" i="1"/>
  <c r="F6446" i="1"/>
  <c r="D6446" i="1"/>
  <c r="C6446" i="1"/>
  <c r="H6445" i="1"/>
  <c r="F6445" i="1"/>
  <c r="D6445" i="1"/>
  <c r="C6445" i="1"/>
  <c r="H6444" i="1"/>
  <c r="F6444" i="1"/>
  <c r="D6444" i="1"/>
  <c r="C6444" i="1"/>
  <c r="H6443" i="1"/>
  <c r="F6443" i="1"/>
  <c r="D6443" i="1"/>
  <c r="C6443" i="1"/>
  <c r="H6442" i="1"/>
  <c r="F6442" i="1"/>
  <c r="D6442" i="1"/>
  <c r="C6442" i="1"/>
  <c r="H6441" i="1"/>
  <c r="F6441" i="1"/>
  <c r="D6441" i="1"/>
  <c r="C6441" i="1"/>
  <c r="H6440" i="1"/>
  <c r="F6440" i="1"/>
  <c r="D6440" i="1"/>
  <c r="C6440" i="1"/>
  <c r="H6439" i="1"/>
  <c r="F6439" i="1"/>
  <c r="D6439" i="1"/>
  <c r="C6439" i="1"/>
  <c r="H6438" i="1"/>
  <c r="F6438" i="1"/>
  <c r="D6438" i="1"/>
  <c r="C6438" i="1"/>
  <c r="H6437" i="1"/>
  <c r="F6437" i="1"/>
  <c r="D6437" i="1"/>
  <c r="C6437" i="1"/>
  <c r="H6436" i="1"/>
  <c r="F6436" i="1"/>
  <c r="D6436" i="1"/>
  <c r="C6436" i="1"/>
  <c r="H6435" i="1"/>
  <c r="F6435" i="1"/>
  <c r="D6435" i="1"/>
  <c r="C6435" i="1"/>
  <c r="H6434" i="1"/>
  <c r="F6434" i="1"/>
  <c r="D6434" i="1"/>
  <c r="C6434" i="1"/>
  <c r="H6433" i="1"/>
  <c r="F6433" i="1"/>
  <c r="D6433" i="1"/>
  <c r="C6433" i="1"/>
  <c r="H6432" i="1"/>
  <c r="F6432" i="1"/>
  <c r="D6432" i="1"/>
  <c r="C6432" i="1"/>
  <c r="H6431" i="1"/>
  <c r="F6431" i="1"/>
  <c r="D6431" i="1"/>
  <c r="C6431" i="1"/>
  <c r="H6430" i="1"/>
  <c r="F6430" i="1"/>
  <c r="D6430" i="1"/>
  <c r="C6430" i="1"/>
  <c r="H6429" i="1"/>
  <c r="F6429" i="1"/>
  <c r="D6429" i="1"/>
  <c r="C6429" i="1"/>
  <c r="H6428" i="1"/>
  <c r="F6428" i="1"/>
  <c r="D6428" i="1"/>
  <c r="C6428" i="1"/>
  <c r="H6427" i="1"/>
  <c r="F6427" i="1"/>
  <c r="D6427" i="1"/>
  <c r="C6427" i="1"/>
  <c r="H6426" i="1"/>
  <c r="F6426" i="1"/>
  <c r="D6426" i="1"/>
  <c r="C6426" i="1"/>
  <c r="H6425" i="1"/>
  <c r="F6425" i="1"/>
  <c r="D6425" i="1"/>
  <c r="C6425" i="1"/>
  <c r="H6424" i="1"/>
  <c r="F6424" i="1"/>
  <c r="D6424" i="1"/>
  <c r="C6424" i="1"/>
  <c r="H6423" i="1"/>
  <c r="F6423" i="1"/>
  <c r="D6423" i="1"/>
  <c r="C6423" i="1"/>
  <c r="H6422" i="1"/>
  <c r="F6422" i="1"/>
  <c r="D6422" i="1"/>
  <c r="C6422" i="1"/>
  <c r="H6421" i="1"/>
  <c r="F6421" i="1"/>
  <c r="D6421" i="1"/>
  <c r="C6421" i="1"/>
  <c r="H6420" i="1"/>
  <c r="F6420" i="1"/>
  <c r="D6420" i="1"/>
  <c r="C6420" i="1"/>
  <c r="H6419" i="1"/>
  <c r="F6419" i="1"/>
  <c r="D6419" i="1"/>
  <c r="C6419" i="1"/>
  <c r="H6418" i="1"/>
  <c r="F6418" i="1"/>
  <c r="D6418" i="1"/>
  <c r="C6418" i="1"/>
  <c r="H6417" i="1"/>
  <c r="F6417" i="1"/>
  <c r="D6417" i="1"/>
  <c r="C6417" i="1"/>
  <c r="H6416" i="1"/>
  <c r="F6416" i="1"/>
  <c r="D6416" i="1"/>
  <c r="C6416" i="1"/>
  <c r="H6415" i="1"/>
  <c r="F6415" i="1"/>
  <c r="D6415" i="1"/>
  <c r="C6415" i="1"/>
  <c r="H6414" i="1"/>
  <c r="F6414" i="1"/>
  <c r="D6414" i="1"/>
  <c r="C6414" i="1"/>
  <c r="H6413" i="1"/>
  <c r="F6413" i="1"/>
  <c r="D6413" i="1"/>
  <c r="C6413" i="1"/>
  <c r="H6412" i="1"/>
  <c r="F6412" i="1"/>
  <c r="D6412" i="1"/>
  <c r="C6412" i="1"/>
  <c r="H6411" i="1"/>
  <c r="F6411" i="1"/>
  <c r="D6411" i="1"/>
  <c r="C6411" i="1"/>
  <c r="H6410" i="1"/>
  <c r="F6410" i="1"/>
  <c r="D6410" i="1"/>
  <c r="C6410" i="1"/>
  <c r="H6409" i="1"/>
  <c r="F6409" i="1"/>
  <c r="D6409" i="1"/>
  <c r="C6409" i="1"/>
  <c r="H6408" i="1"/>
  <c r="F6408" i="1"/>
  <c r="D6408" i="1"/>
  <c r="C6408" i="1"/>
  <c r="H6407" i="1"/>
  <c r="F6407" i="1"/>
  <c r="D6407" i="1"/>
  <c r="C6407" i="1"/>
  <c r="H6406" i="1"/>
  <c r="F6406" i="1"/>
  <c r="D6406" i="1"/>
  <c r="C6406" i="1"/>
  <c r="H6405" i="1"/>
  <c r="F6405" i="1"/>
  <c r="D6405" i="1"/>
  <c r="C6405" i="1"/>
  <c r="H6404" i="1"/>
  <c r="F6404" i="1"/>
  <c r="D6404" i="1"/>
  <c r="C6404" i="1"/>
  <c r="H6403" i="1"/>
  <c r="F6403" i="1"/>
  <c r="D6403" i="1"/>
  <c r="C6403" i="1"/>
  <c r="H6402" i="1"/>
  <c r="F6402" i="1"/>
  <c r="D6402" i="1"/>
  <c r="C6402" i="1"/>
  <c r="H6401" i="1"/>
  <c r="F6401" i="1"/>
  <c r="D6401" i="1"/>
  <c r="C6401" i="1"/>
  <c r="H6400" i="1"/>
  <c r="F6400" i="1"/>
  <c r="D6400" i="1"/>
  <c r="C6400" i="1"/>
  <c r="H6399" i="1"/>
  <c r="F6399" i="1"/>
  <c r="D6399" i="1"/>
  <c r="C6399" i="1"/>
  <c r="H6398" i="1"/>
  <c r="F6398" i="1"/>
  <c r="D6398" i="1"/>
  <c r="C6398" i="1"/>
  <c r="H6397" i="1"/>
  <c r="F6397" i="1"/>
  <c r="D6397" i="1"/>
  <c r="C6397" i="1"/>
  <c r="H6396" i="1"/>
  <c r="F6396" i="1"/>
  <c r="D6396" i="1"/>
  <c r="C6396" i="1"/>
  <c r="H6395" i="1"/>
  <c r="F6395" i="1"/>
  <c r="D6395" i="1"/>
  <c r="C6395" i="1"/>
  <c r="H6394" i="1"/>
  <c r="F6394" i="1"/>
  <c r="D6394" i="1"/>
  <c r="C6394" i="1"/>
  <c r="H6393" i="1"/>
  <c r="F6393" i="1"/>
  <c r="D6393" i="1"/>
  <c r="C6393" i="1"/>
  <c r="H6392" i="1"/>
  <c r="F6392" i="1"/>
  <c r="D6392" i="1"/>
  <c r="C6392" i="1"/>
  <c r="H6391" i="1"/>
  <c r="F6391" i="1"/>
  <c r="D6391" i="1"/>
  <c r="C6391" i="1"/>
  <c r="H6390" i="1"/>
  <c r="F6390" i="1"/>
  <c r="D6390" i="1"/>
  <c r="C6390" i="1"/>
  <c r="H6389" i="1"/>
  <c r="F6389" i="1"/>
  <c r="D6389" i="1"/>
  <c r="C6389" i="1"/>
  <c r="H6388" i="1"/>
  <c r="F6388" i="1"/>
  <c r="D6388" i="1"/>
  <c r="C6388" i="1"/>
  <c r="H6387" i="1"/>
  <c r="F6387" i="1"/>
  <c r="D6387" i="1"/>
  <c r="C6387" i="1"/>
  <c r="H6386" i="1"/>
  <c r="F6386" i="1"/>
  <c r="D6386" i="1"/>
  <c r="C6386" i="1"/>
  <c r="H6385" i="1"/>
  <c r="F6385" i="1"/>
  <c r="D6385" i="1"/>
  <c r="C6385" i="1"/>
  <c r="H6384" i="1"/>
  <c r="F6384" i="1"/>
  <c r="D6384" i="1"/>
  <c r="C6384" i="1"/>
  <c r="H6383" i="1"/>
  <c r="F6383" i="1"/>
  <c r="D6383" i="1"/>
  <c r="C6383" i="1"/>
  <c r="H6382" i="1"/>
  <c r="F6382" i="1"/>
  <c r="D6382" i="1"/>
  <c r="C6382" i="1"/>
  <c r="H6381" i="1"/>
  <c r="F6381" i="1"/>
  <c r="D6381" i="1"/>
  <c r="C6381" i="1"/>
  <c r="H6380" i="1"/>
  <c r="F6380" i="1"/>
  <c r="D6380" i="1"/>
  <c r="C6380" i="1"/>
  <c r="H6379" i="1"/>
  <c r="F6379" i="1"/>
  <c r="D6379" i="1"/>
  <c r="C6379" i="1"/>
  <c r="H6378" i="1"/>
  <c r="F6378" i="1"/>
  <c r="D6378" i="1"/>
  <c r="C6378" i="1"/>
  <c r="H6377" i="1"/>
  <c r="F6377" i="1"/>
  <c r="D6377" i="1"/>
  <c r="C6377" i="1"/>
  <c r="H6376" i="1"/>
  <c r="F6376" i="1"/>
  <c r="D6376" i="1"/>
  <c r="C6376" i="1"/>
  <c r="H6375" i="1"/>
  <c r="F6375" i="1"/>
  <c r="D6375" i="1"/>
  <c r="C6375" i="1"/>
  <c r="H6374" i="1"/>
  <c r="F6374" i="1"/>
  <c r="D6374" i="1"/>
  <c r="C6374" i="1"/>
  <c r="H6373" i="1"/>
  <c r="F6373" i="1"/>
  <c r="D6373" i="1"/>
  <c r="C6373" i="1"/>
  <c r="H6372" i="1"/>
  <c r="F6372" i="1"/>
  <c r="D6372" i="1"/>
  <c r="C6372" i="1"/>
  <c r="H6371" i="1"/>
  <c r="F6371" i="1"/>
  <c r="D6371" i="1"/>
  <c r="C6371" i="1"/>
  <c r="H6370" i="1"/>
  <c r="F6370" i="1"/>
  <c r="D6370" i="1"/>
  <c r="C6370" i="1"/>
  <c r="H6369" i="1"/>
  <c r="F6369" i="1"/>
  <c r="D6369" i="1"/>
  <c r="C6369" i="1"/>
  <c r="H6368" i="1"/>
  <c r="F6368" i="1"/>
  <c r="D6368" i="1"/>
  <c r="C6368" i="1"/>
  <c r="H6367" i="1"/>
  <c r="F6367" i="1"/>
  <c r="D6367" i="1"/>
  <c r="C6367" i="1"/>
  <c r="H6366" i="1"/>
  <c r="F6366" i="1"/>
  <c r="D6366" i="1"/>
  <c r="C6366" i="1"/>
  <c r="H6365" i="1"/>
  <c r="F6365" i="1"/>
  <c r="D6365" i="1"/>
  <c r="C6365" i="1"/>
  <c r="H6364" i="1"/>
  <c r="F6364" i="1"/>
  <c r="D6364" i="1"/>
  <c r="C6364" i="1"/>
  <c r="H6363" i="1"/>
  <c r="F6363" i="1"/>
  <c r="D6363" i="1"/>
  <c r="C6363" i="1"/>
  <c r="H6362" i="1"/>
  <c r="F6362" i="1"/>
  <c r="D6362" i="1"/>
  <c r="C6362" i="1"/>
  <c r="H6361" i="1"/>
  <c r="F6361" i="1"/>
  <c r="D6361" i="1"/>
  <c r="C6361" i="1"/>
  <c r="H6360" i="1"/>
  <c r="F6360" i="1"/>
  <c r="D6360" i="1"/>
  <c r="C6360" i="1"/>
  <c r="H6359" i="1"/>
  <c r="F6359" i="1"/>
  <c r="D6359" i="1"/>
  <c r="C6359" i="1"/>
  <c r="H6358" i="1"/>
  <c r="F6358" i="1"/>
  <c r="D6358" i="1"/>
  <c r="C6358" i="1"/>
  <c r="H6357" i="1"/>
  <c r="F6357" i="1"/>
  <c r="D6357" i="1"/>
  <c r="C6357" i="1"/>
  <c r="H6356" i="1"/>
  <c r="F6356" i="1"/>
  <c r="D6356" i="1"/>
  <c r="C6356" i="1"/>
  <c r="H6355" i="1"/>
  <c r="F6355" i="1"/>
  <c r="D6355" i="1"/>
  <c r="C6355" i="1"/>
  <c r="H6354" i="1"/>
  <c r="F6354" i="1"/>
  <c r="D6354" i="1"/>
  <c r="C6354" i="1"/>
  <c r="H6353" i="1"/>
  <c r="F6353" i="1"/>
  <c r="D6353" i="1"/>
  <c r="C6353" i="1"/>
  <c r="H6352" i="1"/>
  <c r="F6352" i="1"/>
  <c r="D6352" i="1"/>
  <c r="C6352" i="1"/>
  <c r="H6351" i="1"/>
  <c r="F6351" i="1"/>
  <c r="D6351" i="1"/>
  <c r="C6351" i="1"/>
  <c r="H6350" i="1"/>
  <c r="F6350" i="1"/>
  <c r="D6350" i="1"/>
  <c r="C6350" i="1"/>
  <c r="H6349" i="1"/>
  <c r="F6349" i="1"/>
  <c r="D6349" i="1"/>
  <c r="C6349" i="1"/>
  <c r="H6348" i="1"/>
  <c r="F6348" i="1"/>
  <c r="D6348" i="1"/>
  <c r="C6348" i="1"/>
  <c r="H6347" i="1"/>
  <c r="F6347" i="1"/>
  <c r="D6347" i="1"/>
  <c r="C6347" i="1"/>
  <c r="H6346" i="1"/>
  <c r="F6346" i="1"/>
  <c r="D6346" i="1"/>
  <c r="C6346" i="1"/>
  <c r="H6345" i="1"/>
  <c r="F6345" i="1"/>
  <c r="D6345" i="1"/>
  <c r="C6345" i="1"/>
  <c r="H6344" i="1"/>
  <c r="F6344" i="1"/>
  <c r="D6344" i="1"/>
  <c r="C6344" i="1"/>
  <c r="H6343" i="1"/>
  <c r="F6343" i="1"/>
  <c r="D6343" i="1"/>
  <c r="C6343" i="1"/>
  <c r="H6342" i="1"/>
  <c r="F6342" i="1"/>
  <c r="D6342" i="1"/>
  <c r="C6342" i="1"/>
  <c r="H6341" i="1"/>
  <c r="F6341" i="1"/>
  <c r="D6341" i="1"/>
  <c r="C6341" i="1"/>
  <c r="H6340" i="1"/>
  <c r="F6340" i="1"/>
  <c r="D6340" i="1"/>
  <c r="C6340" i="1"/>
  <c r="H6339" i="1"/>
  <c r="F6339" i="1"/>
  <c r="D6339" i="1"/>
  <c r="C6339" i="1"/>
  <c r="H6338" i="1"/>
  <c r="F6338" i="1"/>
  <c r="D6338" i="1"/>
  <c r="C6338" i="1"/>
  <c r="H6337" i="1"/>
  <c r="F6337" i="1"/>
  <c r="D6337" i="1"/>
  <c r="C6337" i="1"/>
  <c r="H6336" i="1"/>
  <c r="F6336" i="1"/>
  <c r="D6336" i="1"/>
  <c r="C6336" i="1"/>
  <c r="H6335" i="1"/>
  <c r="F6335" i="1"/>
  <c r="D6335" i="1"/>
  <c r="C6335" i="1"/>
  <c r="H6334" i="1"/>
  <c r="F6334" i="1"/>
  <c r="D6334" i="1"/>
  <c r="C6334" i="1"/>
  <c r="H6333" i="1"/>
  <c r="F6333" i="1"/>
  <c r="D6333" i="1"/>
  <c r="C6333" i="1"/>
  <c r="H6332" i="1"/>
  <c r="F6332" i="1"/>
  <c r="D6332" i="1"/>
  <c r="C6332" i="1"/>
  <c r="H6331" i="1"/>
  <c r="F6331" i="1"/>
  <c r="D6331" i="1"/>
  <c r="C6331" i="1"/>
  <c r="H6330" i="1"/>
  <c r="F6330" i="1"/>
  <c r="D6330" i="1"/>
  <c r="C6330" i="1"/>
  <c r="H6329" i="1"/>
  <c r="F6329" i="1"/>
  <c r="D6329" i="1"/>
  <c r="C6329" i="1"/>
  <c r="H6328" i="1"/>
  <c r="F6328" i="1"/>
  <c r="D6328" i="1"/>
  <c r="C6328" i="1"/>
  <c r="H6327" i="1"/>
  <c r="F6327" i="1"/>
  <c r="D6327" i="1"/>
  <c r="C6327" i="1"/>
  <c r="H6326" i="1"/>
  <c r="F6326" i="1"/>
  <c r="D6326" i="1"/>
  <c r="C6326" i="1"/>
  <c r="H6325" i="1"/>
  <c r="F6325" i="1"/>
  <c r="D6325" i="1"/>
  <c r="C6325" i="1"/>
  <c r="H6324" i="1"/>
  <c r="F6324" i="1"/>
  <c r="D6324" i="1"/>
  <c r="C6324" i="1"/>
  <c r="H6323" i="1"/>
  <c r="F6323" i="1"/>
  <c r="D6323" i="1"/>
  <c r="C6323" i="1"/>
  <c r="H6322" i="1"/>
  <c r="F6322" i="1"/>
  <c r="D6322" i="1"/>
  <c r="C6322" i="1"/>
  <c r="H6321" i="1"/>
  <c r="F6321" i="1"/>
  <c r="D6321" i="1"/>
  <c r="C6321" i="1"/>
  <c r="H6320" i="1"/>
  <c r="F6320" i="1"/>
  <c r="D6320" i="1"/>
  <c r="C6320" i="1"/>
  <c r="H6319" i="1"/>
  <c r="F6319" i="1"/>
  <c r="D6319" i="1"/>
  <c r="C6319" i="1"/>
  <c r="H6318" i="1"/>
  <c r="F6318" i="1"/>
  <c r="D6318" i="1"/>
  <c r="C6318" i="1"/>
  <c r="H6317" i="1"/>
  <c r="F6317" i="1"/>
  <c r="D6317" i="1"/>
  <c r="C6317" i="1"/>
  <c r="H6316" i="1"/>
  <c r="F6316" i="1"/>
  <c r="D6316" i="1"/>
  <c r="C6316" i="1"/>
  <c r="H6315" i="1"/>
  <c r="F6315" i="1"/>
  <c r="D6315" i="1"/>
  <c r="C6315" i="1"/>
  <c r="H6314" i="1"/>
  <c r="F6314" i="1"/>
  <c r="D6314" i="1"/>
  <c r="C6314" i="1"/>
  <c r="H6313" i="1"/>
  <c r="F6313" i="1"/>
  <c r="D6313" i="1"/>
  <c r="C6313" i="1"/>
  <c r="H6312" i="1"/>
  <c r="F6312" i="1"/>
  <c r="D6312" i="1"/>
  <c r="C6312" i="1"/>
  <c r="H6311" i="1"/>
  <c r="F6311" i="1"/>
  <c r="D6311" i="1"/>
  <c r="C6311" i="1"/>
  <c r="H6310" i="1"/>
  <c r="F6310" i="1"/>
  <c r="D6310" i="1"/>
  <c r="C6310" i="1"/>
  <c r="H6309" i="1"/>
  <c r="F6309" i="1"/>
  <c r="D6309" i="1"/>
  <c r="C6309" i="1"/>
  <c r="H6308" i="1"/>
  <c r="F6308" i="1"/>
  <c r="D6308" i="1"/>
  <c r="C6308" i="1"/>
  <c r="H6307" i="1"/>
  <c r="F6307" i="1"/>
  <c r="D6307" i="1"/>
  <c r="C6307" i="1"/>
  <c r="H6306" i="1"/>
  <c r="F6306" i="1"/>
  <c r="D6306" i="1"/>
  <c r="C6306" i="1"/>
  <c r="H6305" i="1"/>
  <c r="F6305" i="1"/>
  <c r="D6305" i="1"/>
  <c r="C6305" i="1"/>
  <c r="H6304" i="1"/>
  <c r="F6304" i="1"/>
  <c r="D6304" i="1"/>
  <c r="C6304" i="1"/>
  <c r="H6303" i="1"/>
  <c r="F6303" i="1"/>
  <c r="D6303" i="1"/>
  <c r="C6303" i="1"/>
  <c r="H6302" i="1"/>
  <c r="F6302" i="1"/>
  <c r="D6302" i="1"/>
  <c r="C6302" i="1"/>
  <c r="H6301" i="1"/>
  <c r="F6301" i="1"/>
  <c r="D6301" i="1"/>
  <c r="C6301" i="1"/>
  <c r="H6300" i="1"/>
  <c r="F6300" i="1"/>
  <c r="D6300" i="1"/>
  <c r="C6300" i="1"/>
  <c r="H6299" i="1"/>
  <c r="F6299" i="1"/>
  <c r="D6299" i="1"/>
  <c r="C6299" i="1"/>
  <c r="H6298" i="1"/>
  <c r="F6298" i="1"/>
  <c r="D6298" i="1"/>
  <c r="C6298" i="1"/>
  <c r="H6297" i="1"/>
  <c r="F6297" i="1"/>
  <c r="D6297" i="1"/>
  <c r="C6297" i="1"/>
  <c r="H6296" i="1"/>
  <c r="F6296" i="1"/>
  <c r="D6296" i="1"/>
  <c r="C6296" i="1"/>
  <c r="H6295" i="1"/>
  <c r="F6295" i="1"/>
  <c r="D6295" i="1"/>
  <c r="C6295" i="1"/>
  <c r="H6294" i="1"/>
  <c r="F6294" i="1"/>
  <c r="D6294" i="1"/>
  <c r="C6294" i="1"/>
  <c r="H6293" i="1"/>
  <c r="F6293" i="1"/>
  <c r="D6293" i="1"/>
  <c r="C6293" i="1"/>
  <c r="H6292" i="1"/>
  <c r="F6292" i="1"/>
  <c r="D6292" i="1"/>
  <c r="C6292" i="1"/>
  <c r="H6291" i="1"/>
  <c r="F6291" i="1"/>
  <c r="D6291" i="1"/>
  <c r="C6291" i="1"/>
  <c r="H6290" i="1"/>
  <c r="F6290" i="1"/>
  <c r="D6290" i="1"/>
  <c r="C6290" i="1"/>
  <c r="H6289" i="1"/>
  <c r="F6289" i="1"/>
  <c r="D6289" i="1"/>
  <c r="C6289" i="1"/>
  <c r="H6288" i="1"/>
  <c r="F6288" i="1"/>
  <c r="D6288" i="1"/>
  <c r="C6288" i="1"/>
  <c r="H6287" i="1"/>
  <c r="F6287" i="1"/>
  <c r="D6287" i="1"/>
  <c r="C6287" i="1"/>
  <c r="H6286" i="1"/>
  <c r="F6286" i="1"/>
  <c r="D6286" i="1"/>
  <c r="C6286" i="1"/>
  <c r="H6285" i="1"/>
  <c r="F6285" i="1"/>
  <c r="D6285" i="1"/>
  <c r="C6285" i="1"/>
  <c r="H6284" i="1"/>
  <c r="F6284" i="1"/>
  <c r="D6284" i="1"/>
  <c r="C6284" i="1"/>
  <c r="H6283" i="1"/>
  <c r="F6283" i="1"/>
  <c r="D6283" i="1"/>
  <c r="C6283" i="1"/>
  <c r="H6282" i="1"/>
  <c r="F6282" i="1"/>
  <c r="D6282" i="1"/>
  <c r="C6282" i="1"/>
  <c r="H6281" i="1"/>
  <c r="F6281" i="1"/>
  <c r="D6281" i="1"/>
  <c r="C6281" i="1"/>
  <c r="H6280" i="1"/>
  <c r="F6280" i="1"/>
  <c r="D6280" i="1"/>
  <c r="C6280" i="1"/>
  <c r="H6279" i="1"/>
  <c r="F6279" i="1"/>
  <c r="D6279" i="1"/>
  <c r="C6279" i="1"/>
  <c r="H6278" i="1"/>
  <c r="F6278" i="1"/>
  <c r="D6278" i="1"/>
  <c r="C6278" i="1"/>
  <c r="H6277" i="1"/>
  <c r="F6277" i="1"/>
  <c r="D6277" i="1"/>
  <c r="C6277" i="1"/>
  <c r="H6276" i="1"/>
  <c r="F6276" i="1"/>
  <c r="D6276" i="1"/>
  <c r="C6276" i="1"/>
  <c r="H6275" i="1"/>
  <c r="F6275" i="1"/>
  <c r="D6275" i="1"/>
  <c r="C6275" i="1"/>
  <c r="H6274" i="1"/>
  <c r="F6274" i="1"/>
  <c r="D6274" i="1"/>
  <c r="C6274" i="1"/>
  <c r="H6273" i="1"/>
  <c r="F6273" i="1"/>
  <c r="D6273" i="1"/>
  <c r="C6273" i="1"/>
  <c r="H6272" i="1"/>
  <c r="F6272" i="1"/>
  <c r="D6272" i="1"/>
  <c r="C6272" i="1"/>
  <c r="H6271" i="1"/>
  <c r="F6271" i="1"/>
  <c r="D6271" i="1"/>
  <c r="C6271" i="1"/>
  <c r="H6270" i="1"/>
  <c r="F6270" i="1"/>
  <c r="D6270" i="1"/>
  <c r="C6270" i="1"/>
  <c r="H6269" i="1"/>
  <c r="F6269" i="1"/>
  <c r="D6269" i="1"/>
  <c r="C6269" i="1"/>
  <c r="H6268" i="1"/>
  <c r="F6268" i="1"/>
  <c r="D6268" i="1"/>
  <c r="C6268" i="1"/>
  <c r="H6267" i="1"/>
  <c r="F6267" i="1"/>
  <c r="D6267" i="1"/>
  <c r="C6267" i="1"/>
  <c r="H6266" i="1"/>
  <c r="F6266" i="1"/>
  <c r="D6266" i="1"/>
  <c r="C6266" i="1"/>
  <c r="H6265" i="1"/>
  <c r="F6265" i="1"/>
  <c r="D6265" i="1"/>
  <c r="C6265" i="1"/>
  <c r="H6264" i="1"/>
  <c r="F6264" i="1"/>
  <c r="D6264" i="1"/>
  <c r="C6264" i="1"/>
  <c r="H6263" i="1"/>
  <c r="F6263" i="1"/>
  <c r="D6263" i="1"/>
  <c r="C6263" i="1"/>
  <c r="H6262" i="1"/>
  <c r="F6262" i="1"/>
  <c r="D6262" i="1"/>
  <c r="C6262" i="1"/>
  <c r="H6261" i="1"/>
  <c r="F6261" i="1"/>
  <c r="D6261" i="1"/>
  <c r="C6261" i="1"/>
  <c r="H6260" i="1"/>
  <c r="F6260" i="1"/>
  <c r="D6260" i="1"/>
  <c r="C6260" i="1"/>
  <c r="H6259" i="1"/>
  <c r="F6259" i="1"/>
  <c r="D6259" i="1"/>
  <c r="C6259" i="1"/>
  <c r="H6258" i="1"/>
  <c r="F6258" i="1"/>
  <c r="D6258" i="1"/>
  <c r="C6258" i="1"/>
  <c r="H6257" i="1"/>
  <c r="F6257" i="1"/>
  <c r="D6257" i="1"/>
  <c r="C6257" i="1"/>
  <c r="H6256" i="1"/>
  <c r="F6256" i="1"/>
  <c r="D6256" i="1"/>
  <c r="C6256" i="1"/>
  <c r="H6255" i="1"/>
  <c r="F6255" i="1"/>
  <c r="D6255" i="1"/>
  <c r="C6255" i="1"/>
  <c r="H6254" i="1"/>
  <c r="F6254" i="1"/>
  <c r="D6254" i="1"/>
  <c r="C6254" i="1"/>
  <c r="H6253" i="1"/>
  <c r="F6253" i="1"/>
  <c r="D6253" i="1"/>
  <c r="C6253" i="1"/>
  <c r="H6252" i="1"/>
  <c r="F6252" i="1"/>
  <c r="D6252" i="1"/>
  <c r="C6252" i="1"/>
  <c r="H6251" i="1"/>
  <c r="F6251" i="1"/>
  <c r="D6251" i="1"/>
  <c r="C6251" i="1"/>
  <c r="H6250" i="1"/>
  <c r="F6250" i="1"/>
  <c r="D6250" i="1"/>
  <c r="C6250" i="1"/>
  <c r="H6249" i="1"/>
  <c r="F6249" i="1"/>
  <c r="D6249" i="1"/>
  <c r="C6249" i="1"/>
  <c r="H6248" i="1"/>
  <c r="F6248" i="1"/>
  <c r="D6248" i="1"/>
  <c r="C6248" i="1"/>
  <c r="H6247" i="1"/>
  <c r="F6247" i="1"/>
  <c r="D6247" i="1"/>
  <c r="C6247" i="1"/>
  <c r="H6246" i="1"/>
  <c r="F6246" i="1"/>
  <c r="D6246" i="1"/>
  <c r="C6246" i="1"/>
  <c r="H6245" i="1"/>
  <c r="F6245" i="1"/>
  <c r="D6245" i="1"/>
  <c r="C6245" i="1"/>
  <c r="H6244" i="1"/>
  <c r="F6244" i="1"/>
  <c r="D6244" i="1"/>
  <c r="C6244" i="1"/>
  <c r="H6243" i="1"/>
  <c r="F6243" i="1"/>
  <c r="D6243" i="1"/>
  <c r="C6243" i="1"/>
  <c r="H6242" i="1"/>
  <c r="F6242" i="1"/>
  <c r="D6242" i="1"/>
  <c r="C6242" i="1"/>
  <c r="H6241" i="1"/>
  <c r="F6241" i="1"/>
  <c r="D6241" i="1"/>
  <c r="C6241" i="1"/>
  <c r="H6240" i="1"/>
  <c r="F6240" i="1"/>
  <c r="D6240" i="1"/>
  <c r="C6240" i="1"/>
  <c r="H6239" i="1"/>
  <c r="F6239" i="1"/>
  <c r="D6239" i="1"/>
  <c r="C6239" i="1"/>
  <c r="H6238" i="1"/>
  <c r="F6238" i="1"/>
  <c r="D6238" i="1"/>
  <c r="C6238" i="1"/>
  <c r="H6237" i="1"/>
  <c r="F6237" i="1"/>
  <c r="D6237" i="1"/>
  <c r="C6237" i="1"/>
  <c r="H6236" i="1"/>
  <c r="F6236" i="1"/>
  <c r="D6236" i="1"/>
  <c r="C6236" i="1"/>
  <c r="H6235" i="1"/>
  <c r="F6235" i="1"/>
  <c r="D6235" i="1"/>
  <c r="C6235" i="1"/>
  <c r="H6234" i="1"/>
  <c r="F6234" i="1"/>
  <c r="D6234" i="1"/>
  <c r="C6234" i="1"/>
  <c r="H6233" i="1"/>
  <c r="F6233" i="1"/>
  <c r="D6233" i="1"/>
  <c r="C6233" i="1"/>
  <c r="H6232" i="1"/>
  <c r="F6232" i="1"/>
  <c r="D6232" i="1"/>
  <c r="C6232" i="1"/>
  <c r="H6231" i="1"/>
  <c r="F6231" i="1"/>
  <c r="D6231" i="1"/>
  <c r="C6231" i="1"/>
  <c r="H6230" i="1"/>
  <c r="F6230" i="1"/>
  <c r="D6230" i="1"/>
  <c r="C6230" i="1"/>
  <c r="H6229" i="1"/>
  <c r="F6229" i="1"/>
  <c r="D6229" i="1"/>
  <c r="C6229" i="1"/>
  <c r="H6228" i="1"/>
  <c r="F6228" i="1"/>
  <c r="D6228" i="1"/>
  <c r="C6228" i="1"/>
  <c r="H6227" i="1"/>
  <c r="F6227" i="1"/>
  <c r="D6227" i="1"/>
  <c r="C6227" i="1"/>
  <c r="H6226" i="1"/>
  <c r="F6226" i="1"/>
  <c r="D6226" i="1"/>
  <c r="C6226" i="1"/>
  <c r="H6225" i="1"/>
  <c r="F6225" i="1"/>
  <c r="D6225" i="1"/>
  <c r="C6225" i="1"/>
  <c r="H6224" i="1"/>
  <c r="F6224" i="1"/>
  <c r="D6224" i="1"/>
  <c r="C6224" i="1"/>
  <c r="H6223" i="1"/>
  <c r="F6223" i="1"/>
  <c r="D6223" i="1"/>
  <c r="C6223" i="1"/>
  <c r="H6222" i="1"/>
  <c r="F6222" i="1"/>
  <c r="D6222" i="1"/>
  <c r="C6222" i="1"/>
  <c r="H6221" i="1"/>
  <c r="F6221" i="1"/>
  <c r="D6221" i="1"/>
  <c r="C6221" i="1"/>
  <c r="H6220" i="1"/>
  <c r="F6220" i="1"/>
  <c r="D6220" i="1"/>
  <c r="C6220" i="1"/>
  <c r="H6219" i="1"/>
  <c r="F6219" i="1"/>
  <c r="D6219" i="1"/>
  <c r="C6219" i="1"/>
  <c r="H6218" i="1"/>
  <c r="F6218" i="1"/>
  <c r="D6218" i="1"/>
  <c r="C6218" i="1"/>
  <c r="H6217" i="1"/>
  <c r="F6217" i="1"/>
  <c r="D6217" i="1"/>
  <c r="C6217" i="1"/>
  <c r="H6216" i="1"/>
  <c r="F6216" i="1"/>
  <c r="D6216" i="1"/>
  <c r="C6216" i="1"/>
  <c r="H6215" i="1"/>
  <c r="F6215" i="1"/>
  <c r="D6215" i="1"/>
  <c r="C6215" i="1"/>
  <c r="H6214" i="1"/>
  <c r="F6214" i="1"/>
  <c r="D6214" i="1"/>
  <c r="C6214" i="1"/>
  <c r="H6213" i="1"/>
  <c r="F6213" i="1"/>
  <c r="D6213" i="1"/>
  <c r="C6213" i="1"/>
  <c r="H6212" i="1"/>
  <c r="F6212" i="1"/>
  <c r="D6212" i="1"/>
  <c r="C6212" i="1"/>
  <c r="H6211" i="1"/>
  <c r="F6211" i="1"/>
  <c r="D6211" i="1"/>
  <c r="C6211" i="1"/>
  <c r="H6210" i="1"/>
  <c r="F6210" i="1"/>
  <c r="D6210" i="1"/>
  <c r="C6210" i="1"/>
  <c r="H6209" i="1"/>
  <c r="F6209" i="1"/>
  <c r="D6209" i="1"/>
  <c r="C6209" i="1"/>
  <c r="H6208" i="1"/>
  <c r="F6208" i="1"/>
  <c r="D6208" i="1"/>
  <c r="C6208" i="1"/>
  <c r="H6207" i="1"/>
  <c r="F6207" i="1"/>
  <c r="D6207" i="1"/>
  <c r="C6207" i="1"/>
  <c r="H6206" i="1"/>
  <c r="F6206" i="1"/>
  <c r="D6206" i="1"/>
  <c r="C6206" i="1"/>
  <c r="H6205" i="1"/>
  <c r="F6205" i="1"/>
  <c r="D6205" i="1"/>
  <c r="C6205" i="1"/>
  <c r="H6204" i="1"/>
  <c r="F6204" i="1"/>
  <c r="D6204" i="1"/>
  <c r="C6204" i="1"/>
  <c r="H6203" i="1"/>
  <c r="F6203" i="1"/>
  <c r="D6203" i="1"/>
  <c r="C6203" i="1"/>
  <c r="H6202" i="1"/>
  <c r="F6202" i="1"/>
  <c r="D6202" i="1"/>
  <c r="C6202" i="1"/>
  <c r="H6201" i="1"/>
  <c r="F6201" i="1"/>
  <c r="D6201" i="1"/>
  <c r="C6201" i="1"/>
  <c r="H6200" i="1"/>
  <c r="F6200" i="1"/>
  <c r="D6200" i="1"/>
  <c r="C6200" i="1"/>
  <c r="H6199" i="1"/>
  <c r="F6199" i="1"/>
  <c r="D6199" i="1"/>
  <c r="C6199" i="1"/>
  <c r="H6198" i="1"/>
  <c r="F6198" i="1"/>
  <c r="D6198" i="1"/>
  <c r="C6198" i="1"/>
  <c r="H6197" i="1"/>
  <c r="F6197" i="1"/>
  <c r="D6197" i="1"/>
  <c r="C6197" i="1"/>
  <c r="H6196" i="1"/>
  <c r="F6196" i="1"/>
  <c r="D6196" i="1"/>
  <c r="C6196" i="1"/>
  <c r="H6195" i="1"/>
  <c r="F6195" i="1"/>
  <c r="D6195" i="1"/>
  <c r="C6195" i="1"/>
  <c r="H6194" i="1"/>
  <c r="F6194" i="1"/>
  <c r="D6194" i="1"/>
  <c r="C6194" i="1"/>
  <c r="H6193" i="1"/>
  <c r="F6193" i="1"/>
  <c r="D6193" i="1"/>
  <c r="C6193" i="1"/>
  <c r="H6192" i="1"/>
  <c r="F6192" i="1"/>
  <c r="D6192" i="1"/>
  <c r="C6192" i="1"/>
  <c r="H6191" i="1"/>
  <c r="F6191" i="1"/>
  <c r="D6191" i="1"/>
  <c r="C6191" i="1"/>
  <c r="H6190" i="1"/>
  <c r="F6190" i="1"/>
  <c r="D6190" i="1"/>
  <c r="C6190" i="1"/>
  <c r="H6189" i="1"/>
  <c r="F6189" i="1"/>
  <c r="D6189" i="1"/>
  <c r="C6189" i="1"/>
  <c r="H6188" i="1"/>
  <c r="F6188" i="1"/>
  <c r="D6188" i="1"/>
  <c r="C6188" i="1"/>
  <c r="H6187" i="1"/>
  <c r="F6187" i="1"/>
  <c r="D6187" i="1"/>
  <c r="C6187" i="1"/>
  <c r="H6186" i="1"/>
  <c r="F6186" i="1"/>
  <c r="D6186" i="1"/>
  <c r="C6186" i="1"/>
  <c r="H6185" i="1"/>
  <c r="F6185" i="1"/>
  <c r="D6185" i="1"/>
  <c r="C6185" i="1"/>
  <c r="H6184" i="1"/>
  <c r="F6184" i="1"/>
  <c r="D6184" i="1"/>
  <c r="C6184" i="1"/>
  <c r="H6183" i="1"/>
  <c r="F6183" i="1"/>
  <c r="D6183" i="1"/>
  <c r="C6183" i="1"/>
  <c r="H6182" i="1"/>
  <c r="F6182" i="1"/>
  <c r="D6182" i="1"/>
  <c r="C6182" i="1"/>
  <c r="H6181" i="1"/>
  <c r="F6181" i="1"/>
  <c r="D6181" i="1"/>
  <c r="C6181" i="1"/>
  <c r="H6180" i="1"/>
  <c r="F6180" i="1"/>
  <c r="D6180" i="1"/>
  <c r="C6180" i="1"/>
  <c r="H6179" i="1"/>
  <c r="F6179" i="1"/>
  <c r="D6179" i="1"/>
  <c r="C6179" i="1"/>
  <c r="H6178" i="1"/>
  <c r="F6178" i="1"/>
  <c r="D6178" i="1"/>
  <c r="C6178" i="1"/>
  <c r="H6177" i="1"/>
  <c r="F6177" i="1"/>
  <c r="D6177" i="1"/>
  <c r="C6177" i="1"/>
  <c r="H6176" i="1"/>
  <c r="F6176" i="1"/>
  <c r="D6176" i="1"/>
  <c r="C6176" i="1"/>
  <c r="H6175" i="1"/>
  <c r="F6175" i="1"/>
  <c r="D6175" i="1"/>
  <c r="C6175" i="1"/>
  <c r="H6174" i="1"/>
  <c r="F6174" i="1"/>
  <c r="D6174" i="1"/>
  <c r="C6174" i="1"/>
  <c r="H6173" i="1"/>
  <c r="F6173" i="1"/>
  <c r="D6173" i="1"/>
  <c r="C6173" i="1"/>
  <c r="H6172" i="1"/>
  <c r="F6172" i="1"/>
  <c r="D6172" i="1"/>
  <c r="C6172" i="1"/>
  <c r="H6171" i="1"/>
  <c r="F6171" i="1"/>
  <c r="D6171" i="1"/>
  <c r="C6171" i="1"/>
  <c r="H6170" i="1"/>
  <c r="F6170" i="1"/>
  <c r="D6170" i="1"/>
  <c r="C6170" i="1"/>
  <c r="H6169" i="1"/>
  <c r="F6169" i="1"/>
  <c r="D6169" i="1"/>
  <c r="C6169" i="1"/>
  <c r="H6168" i="1"/>
  <c r="F6168" i="1"/>
  <c r="D6168" i="1"/>
  <c r="C6168" i="1"/>
  <c r="H6167" i="1"/>
  <c r="F6167" i="1"/>
  <c r="D6167" i="1"/>
  <c r="C6167" i="1"/>
  <c r="H6166" i="1"/>
  <c r="F6166" i="1"/>
  <c r="D6166" i="1"/>
  <c r="C6166" i="1"/>
  <c r="H6165" i="1"/>
  <c r="F6165" i="1"/>
  <c r="D6165" i="1"/>
  <c r="C6165" i="1"/>
  <c r="H6164" i="1"/>
  <c r="F6164" i="1"/>
  <c r="D6164" i="1"/>
  <c r="C6164" i="1"/>
  <c r="H6163" i="1"/>
  <c r="F6163" i="1"/>
  <c r="D6163" i="1"/>
  <c r="C6163" i="1"/>
  <c r="H6162" i="1"/>
  <c r="F6162" i="1"/>
  <c r="D6162" i="1"/>
  <c r="C6162" i="1"/>
  <c r="H6161" i="1"/>
  <c r="F6161" i="1"/>
  <c r="D6161" i="1"/>
  <c r="C6161" i="1"/>
  <c r="H6160" i="1"/>
  <c r="F6160" i="1"/>
  <c r="D6160" i="1"/>
  <c r="C6160" i="1"/>
  <c r="H6159" i="1"/>
  <c r="F6159" i="1"/>
  <c r="D6159" i="1"/>
  <c r="C6159" i="1"/>
  <c r="H6158" i="1"/>
  <c r="F6158" i="1"/>
  <c r="D6158" i="1"/>
  <c r="C6158" i="1"/>
  <c r="H6157" i="1"/>
  <c r="F6157" i="1"/>
  <c r="D6157" i="1"/>
  <c r="C6157" i="1"/>
  <c r="H6156" i="1"/>
  <c r="F6156" i="1"/>
  <c r="D6156" i="1"/>
  <c r="C6156" i="1"/>
  <c r="H6155" i="1"/>
  <c r="F6155" i="1"/>
  <c r="D6155" i="1"/>
  <c r="C6155" i="1"/>
  <c r="H6154" i="1"/>
  <c r="F6154" i="1"/>
  <c r="D6154" i="1"/>
  <c r="C6154" i="1"/>
  <c r="H6153" i="1"/>
  <c r="F6153" i="1"/>
  <c r="D6153" i="1"/>
  <c r="C6153" i="1"/>
  <c r="H6152" i="1"/>
  <c r="F6152" i="1"/>
  <c r="D6152" i="1"/>
  <c r="C6152" i="1"/>
  <c r="H6151" i="1"/>
  <c r="F6151" i="1"/>
  <c r="D6151" i="1"/>
  <c r="C6151" i="1"/>
  <c r="H6150" i="1"/>
  <c r="F6150" i="1"/>
  <c r="D6150" i="1"/>
  <c r="C6150" i="1"/>
  <c r="H6149" i="1"/>
  <c r="F6149" i="1"/>
  <c r="D6149" i="1"/>
  <c r="C6149" i="1"/>
  <c r="H6148" i="1"/>
  <c r="F6148" i="1"/>
  <c r="D6148" i="1"/>
  <c r="C6148" i="1"/>
  <c r="H6147" i="1"/>
  <c r="F6147" i="1"/>
  <c r="D6147" i="1"/>
  <c r="C6147" i="1"/>
  <c r="H6146" i="1"/>
  <c r="F6146" i="1"/>
  <c r="D6146" i="1"/>
  <c r="C6146" i="1"/>
  <c r="H6145" i="1"/>
  <c r="F6145" i="1"/>
  <c r="D6145" i="1"/>
  <c r="C6145" i="1"/>
  <c r="H6144" i="1"/>
  <c r="F6144" i="1"/>
  <c r="D6144" i="1"/>
  <c r="C6144" i="1"/>
  <c r="H6143" i="1"/>
  <c r="F6143" i="1"/>
  <c r="D6143" i="1"/>
  <c r="C6143" i="1"/>
  <c r="H6142" i="1"/>
  <c r="F6142" i="1"/>
  <c r="D6142" i="1"/>
  <c r="C6142" i="1"/>
  <c r="H6141" i="1"/>
  <c r="F6141" i="1"/>
  <c r="D6141" i="1"/>
  <c r="C6141" i="1"/>
  <c r="H6140" i="1"/>
  <c r="F6140" i="1"/>
  <c r="D6140" i="1"/>
  <c r="C6140" i="1"/>
  <c r="H6139" i="1"/>
  <c r="F6139" i="1"/>
  <c r="D6139" i="1"/>
  <c r="C6139" i="1"/>
  <c r="H6138" i="1"/>
  <c r="F6138" i="1"/>
  <c r="D6138" i="1"/>
  <c r="C6138" i="1"/>
  <c r="H6137" i="1"/>
  <c r="F6137" i="1"/>
  <c r="D6137" i="1"/>
  <c r="C6137" i="1"/>
  <c r="H6136" i="1"/>
  <c r="F6136" i="1"/>
  <c r="D6136" i="1"/>
  <c r="C6136" i="1"/>
  <c r="H6135" i="1"/>
  <c r="F6135" i="1"/>
  <c r="D6135" i="1"/>
  <c r="C6135" i="1"/>
  <c r="H6134" i="1"/>
  <c r="F6134" i="1"/>
  <c r="D6134" i="1"/>
  <c r="C6134" i="1"/>
  <c r="H6133" i="1"/>
  <c r="F6133" i="1"/>
  <c r="D6133" i="1"/>
  <c r="C6133" i="1"/>
  <c r="H6132" i="1"/>
  <c r="F6132" i="1"/>
  <c r="D6132" i="1"/>
  <c r="C6132" i="1"/>
  <c r="H6131" i="1"/>
  <c r="F6131" i="1"/>
  <c r="D6131" i="1"/>
  <c r="C6131" i="1"/>
  <c r="H6130" i="1"/>
  <c r="F6130" i="1"/>
  <c r="D6130" i="1"/>
  <c r="C6130" i="1"/>
  <c r="H6129" i="1"/>
  <c r="F6129" i="1"/>
  <c r="D6129" i="1"/>
  <c r="C6129" i="1"/>
  <c r="H6128" i="1"/>
  <c r="F6128" i="1"/>
  <c r="D6128" i="1"/>
  <c r="C6128" i="1"/>
  <c r="H6127" i="1"/>
  <c r="F6127" i="1"/>
  <c r="D6127" i="1"/>
  <c r="C6127" i="1"/>
  <c r="H6126" i="1"/>
  <c r="F6126" i="1"/>
  <c r="D6126" i="1"/>
  <c r="C6126" i="1"/>
  <c r="H6125" i="1"/>
  <c r="F6125" i="1"/>
  <c r="D6125" i="1"/>
  <c r="C6125" i="1"/>
  <c r="H6124" i="1"/>
  <c r="F6124" i="1"/>
  <c r="D6124" i="1"/>
  <c r="C6124" i="1"/>
  <c r="H6123" i="1"/>
  <c r="F6123" i="1"/>
  <c r="D6123" i="1"/>
  <c r="C6123" i="1"/>
  <c r="H6122" i="1"/>
  <c r="F6122" i="1"/>
  <c r="D6122" i="1"/>
  <c r="C6122" i="1"/>
  <c r="H6121" i="1"/>
  <c r="F6121" i="1"/>
  <c r="D6121" i="1"/>
  <c r="C6121" i="1"/>
  <c r="H6120" i="1"/>
  <c r="F6120" i="1"/>
  <c r="D6120" i="1"/>
  <c r="C6120" i="1"/>
  <c r="H6119" i="1"/>
  <c r="F6119" i="1"/>
  <c r="D6119" i="1"/>
  <c r="C6119" i="1"/>
  <c r="H6118" i="1"/>
  <c r="F6118" i="1"/>
  <c r="D6118" i="1"/>
  <c r="C6118" i="1"/>
  <c r="H6117" i="1"/>
  <c r="F6117" i="1"/>
  <c r="D6117" i="1"/>
  <c r="C6117" i="1"/>
  <c r="H6116" i="1"/>
  <c r="F6116" i="1"/>
  <c r="D6116" i="1"/>
  <c r="C6116" i="1"/>
  <c r="H6115" i="1"/>
  <c r="F6115" i="1"/>
  <c r="D6115" i="1"/>
  <c r="C6115" i="1"/>
  <c r="H6114" i="1"/>
  <c r="F6114" i="1"/>
  <c r="D6114" i="1"/>
  <c r="C6114" i="1"/>
  <c r="H6113" i="1"/>
  <c r="F6113" i="1"/>
  <c r="D6113" i="1"/>
  <c r="C6113" i="1"/>
  <c r="H6112" i="1"/>
  <c r="F6112" i="1"/>
  <c r="D6112" i="1"/>
  <c r="C6112" i="1"/>
  <c r="H6111" i="1"/>
  <c r="F6111" i="1"/>
  <c r="D6111" i="1"/>
  <c r="C6111" i="1"/>
  <c r="H6110" i="1"/>
  <c r="F6110" i="1"/>
  <c r="D6110" i="1"/>
  <c r="C6110" i="1"/>
  <c r="H6109" i="1"/>
  <c r="F6109" i="1"/>
  <c r="D6109" i="1"/>
  <c r="C6109" i="1"/>
  <c r="H6108" i="1"/>
  <c r="F6108" i="1"/>
  <c r="D6108" i="1"/>
  <c r="C6108" i="1"/>
  <c r="H6107" i="1"/>
  <c r="F6107" i="1"/>
  <c r="D6107" i="1"/>
  <c r="C6107" i="1"/>
  <c r="H6106" i="1"/>
  <c r="F6106" i="1"/>
  <c r="D6106" i="1"/>
  <c r="C6106" i="1"/>
  <c r="H6105" i="1"/>
  <c r="F6105" i="1"/>
  <c r="D6105" i="1"/>
  <c r="C6105" i="1"/>
  <c r="H6104" i="1"/>
  <c r="F6104" i="1"/>
  <c r="D6104" i="1"/>
  <c r="C6104" i="1"/>
  <c r="H6103" i="1"/>
  <c r="F6103" i="1"/>
  <c r="D6103" i="1"/>
  <c r="C6103" i="1"/>
  <c r="H6102" i="1"/>
  <c r="F6102" i="1"/>
  <c r="D6102" i="1"/>
  <c r="C6102" i="1"/>
  <c r="H6101" i="1"/>
  <c r="F6101" i="1"/>
  <c r="D6101" i="1"/>
  <c r="C6101" i="1"/>
  <c r="H6100" i="1"/>
  <c r="F6100" i="1"/>
  <c r="D6100" i="1"/>
  <c r="C6100" i="1"/>
  <c r="H6099" i="1"/>
  <c r="F6099" i="1"/>
  <c r="D6099" i="1"/>
  <c r="C6099" i="1"/>
  <c r="H6098" i="1"/>
  <c r="F6098" i="1"/>
  <c r="D6098" i="1"/>
  <c r="C6098" i="1"/>
  <c r="H6097" i="1"/>
  <c r="F6097" i="1"/>
  <c r="D6097" i="1"/>
  <c r="C6097" i="1"/>
  <c r="H6096" i="1"/>
  <c r="F6096" i="1"/>
  <c r="D6096" i="1"/>
  <c r="C6096" i="1"/>
  <c r="H6095" i="1"/>
  <c r="F6095" i="1"/>
  <c r="D6095" i="1"/>
  <c r="C6095" i="1"/>
  <c r="H6094" i="1"/>
  <c r="F6094" i="1"/>
  <c r="D6094" i="1"/>
  <c r="C6094" i="1"/>
  <c r="H6093" i="1"/>
  <c r="F6093" i="1"/>
  <c r="D6093" i="1"/>
  <c r="C6093" i="1"/>
  <c r="H6092" i="1"/>
  <c r="F6092" i="1"/>
  <c r="D6092" i="1"/>
  <c r="C6092" i="1"/>
  <c r="H6091" i="1"/>
  <c r="F6091" i="1"/>
  <c r="D6091" i="1"/>
  <c r="C6091" i="1"/>
  <c r="H6090" i="1"/>
  <c r="F6090" i="1"/>
  <c r="D6090" i="1"/>
  <c r="C6090" i="1"/>
  <c r="H6089" i="1"/>
  <c r="F6089" i="1"/>
  <c r="D6089" i="1"/>
  <c r="C6089" i="1"/>
  <c r="H6088" i="1"/>
  <c r="F6088" i="1"/>
  <c r="D6088" i="1"/>
  <c r="C6088" i="1"/>
  <c r="H6087" i="1"/>
  <c r="F6087" i="1"/>
  <c r="D6087" i="1"/>
  <c r="C6087" i="1"/>
  <c r="H6086" i="1"/>
  <c r="F6086" i="1"/>
  <c r="D6086" i="1"/>
  <c r="C6086" i="1"/>
  <c r="H6085" i="1"/>
  <c r="F6085" i="1"/>
  <c r="D6085" i="1"/>
  <c r="C6085" i="1"/>
  <c r="H6084" i="1"/>
  <c r="F6084" i="1"/>
  <c r="D6084" i="1"/>
  <c r="C6084" i="1"/>
  <c r="H6083" i="1"/>
  <c r="F6083" i="1"/>
  <c r="D6083" i="1"/>
  <c r="C6083" i="1"/>
  <c r="H6082" i="1"/>
  <c r="F6082" i="1"/>
  <c r="D6082" i="1"/>
  <c r="C6082" i="1"/>
  <c r="H6081" i="1"/>
  <c r="F6081" i="1"/>
  <c r="D6081" i="1"/>
  <c r="C6081" i="1"/>
  <c r="H6080" i="1"/>
  <c r="F6080" i="1"/>
  <c r="D6080" i="1"/>
  <c r="C6080" i="1"/>
  <c r="H6079" i="1"/>
  <c r="F6079" i="1"/>
  <c r="D6079" i="1"/>
  <c r="C6079" i="1"/>
  <c r="H6078" i="1"/>
  <c r="F6078" i="1"/>
  <c r="D6078" i="1"/>
  <c r="C6078" i="1"/>
  <c r="H6077" i="1"/>
  <c r="F6077" i="1"/>
  <c r="D6077" i="1"/>
  <c r="C6077" i="1"/>
  <c r="H6076" i="1"/>
  <c r="F6076" i="1"/>
  <c r="D6076" i="1"/>
  <c r="C6076" i="1"/>
  <c r="H6075" i="1"/>
  <c r="F6075" i="1"/>
  <c r="D6075" i="1"/>
  <c r="C6075" i="1"/>
  <c r="H6074" i="1"/>
  <c r="F6074" i="1"/>
  <c r="D6074" i="1"/>
  <c r="C6074" i="1"/>
  <c r="H6073" i="1"/>
  <c r="F6073" i="1"/>
  <c r="D6073" i="1"/>
  <c r="C6073" i="1"/>
  <c r="H6072" i="1"/>
  <c r="F6072" i="1"/>
  <c r="D6072" i="1"/>
  <c r="C6072" i="1"/>
  <c r="H6071" i="1"/>
  <c r="F6071" i="1"/>
  <c r="D6071" i="1"/>
  <c r="C6071" i="1"/>
  <c r="H6070" i="1"/>
  <c r="F6070" i="1"/>
  <c r="D6070" i="1"/>
  <c r="C6070" i="1"/>
  <c r="H6069" i="1"/>
  <c r="F6069" i="1"/>
  <c r="D6069" i="1"/>
  <c r="C6069" i="1"/>
  <c r="H6068" i="1"/>
  <c r="F6068" i="1"/>
  <c r="D6068" i="1"/>
  <c r="C6068" i="1"/>
  <c r="H6067" i="1"/>
  <c r="F6067" i="1"/>
  <c r="D6067" i="1"/>
  <c r="C6067" i="1"/>
  <c r="H6066" i="1"/>
  <c r="F6066" i="1"/>
  <c r="D6066" i="1"/>
  <c r="C6066" i="1"/>
  <c r="H6065" i="1"/>
  <c r="F6065" i="1"/>
  <c r="D6065" i="1"/>
  <c r="C6065" i="1"/>
  <c r="H6064" i="1"/>
  <c r="F6064" i="1"/>
  <c r="D6064" i="1"/>
  <c r="C6064" i="1"/>
  <c r="H6063" i="1"/>
  <c r="F6063" i="1"/>
  <c r="D6063" i="1"/>
  <c r="C6063" i="1"/>
  <c r="H6062" i="1"/>
  <c r="F6062" i="1"/>
  <c r="D6062" i="1"/>
  <c r="C6062" i="1"/>
  <c r="H6061" i="1"/>
  <c r="F6061" i="1"/>
  <c r="D6061" i="1"/>
  <c r="C6061" i="1"/>
  <c r="H6060" i="1"/>
  <c r="F6060" i="1"/>
  <c r="D6060" i="1"/>
  <c r="C6060" i="1"/>
  <c r="H6059" i="1"/>
  <c r="F6059" i="1"/>
  <c r="D6059" i="1"/>
  <c r="C6059" i="1"/>
  <c r="H6058" i="1"/>
  <c r="F6058" i="1"/>
  <c r="D6058" i="1"/>
  <c r="C6058" i="1"/>
  <c r="H6057" i="1"/>
  <c r="F6057" i="1"/>
  <c r="D6057" i="1"/>
  <c r="C6057" i="1"/>
  <c r="H6056" i="1"/>
  <c r="F6056" i="1"/>
  <c r="D6056" i="1"/>
  <c r="C6056" i="1"/>
  <c r="H6055" i="1"/>
  <c r="F6055" i="1"/>
  <c r="D6055" i="1"/>
  <c r="C6055" i="1"/>
  <c r="H6054" i="1"/>
  <c r="F6054" i="1"/>
  <c r="D6054" i="1"/>
  <c r="C6054" i="1"/>
  <c r="H6053" i="1"/>
  <c r="F6053" i="1"/>
  <c r="D6053" i="1"/>
  <c r="C6053" i="1"/>
  <c r="H6052" i="1"/>
  <c r="F6052" i="1"/>
  <c r="D6052" i="1"/>
  <c r="C6052" i="1"/>
  <c r="H6051" i="1"/>
  <c r="F6051" i="1"/>
  <c r="D6051" i="1"/>
  <c r="C6051" i="1"/>
  <c r="H6050" i="1"/>
  <c r="F6050" i="1"/>
  <c r="D6050" i="1"/>
  <c r="C6050" i="1"/>
  <c r="H6049" i="1"/>
  <c r="F6049" i="1"/>
  <c r="D6049" i="1"/>
  <c r="C6049" i="1"/>
  <c r="H6048" i="1"/>
  <c r="F6048" i="1"/>
  <c r="D6048" i="1"/>
  <c r="C6048" i="1"/>
  <c r="H6047" i="1"/>
  <c r="F6047" i="1"/>
  <c r="D6047" i="1"/>
  <c r="C6047" i="1"/>
  <c r="H6046" i="1"/>
  <c r="F6046" i="1"/>
  <c r="D6046" i="1"/>
  <c r="C6046" i="1"/>
  <c r="H6045" i="1"/>
  <c r="F6045" i="1"/>
  <c r="D6045" i="1"/>
  <c r="C6045" i="1"/>
  <c r="H6044" i="1"/>
  <c r="F6044" i="1"/>
  <c r="D6044" i="1"/>
  <c r="C6044" i="1"/>
  <c r="H6043" i="1"/>
  <c r="F6043" i="1"/>
  <c r="D6043" i="1"/>
  <c r="C6043" i="1"/>
  <c r="H6042" i="1"/>
  <c r="F6042" i="1"/>
  <c r="D6042" i="1"/>
  <c r="C6042" i="1"/>
  <c r="H6041" i="1"/>
  <c r="F6041" i="1"/>
  <c r="D6041" i="1"/>
  <c r="C6041" i="1"/>
  <c r="H6040" i="1"/>
  <c r="F6040" i="1"/>
  <c r="D6040" i="1"/>
  <c r="C6040" i="1"/>
  <c r="H6039" i="1"/>
  <c r="F6039" i="1"/>
  <c r="D6039" i="1"/>
  <c r="C6039" i="1"/>
  <c r="H6038" i="1"/>
  <c r="F6038" i="1"/>
  <c r="D6038" i="1"/>
  <c r="C6038" i="1"/>
  <c r="H6037" i="1"/>
  <c r="F6037" i="1"/>
  <c r="D6037" i="1"/>
  <c r="C6037" i="1"/>
  <c r="H6036" i="1"/>
  <c r="F6036" i="1"/>
  <c r="D6036" i="1"/>
  <c r="C6036" i="1"/>
  <c r="H6035" i="1"/>
  <c r="F6035" i="1"/>
  <c r="D6035" i="1"/>
  <c r="C6035" i="1"/>
  <c r="H6034" i="1"/>
  <c r="F6034" i="1"/>
  <c r="D6034" i="1"/>
  <c r="C6034" i="1"/>
  <c r="H6033" i="1"/>
  <c r="F6033" i="1"/>
  <c r="D6033" i="1"/>
  <c r="C6033" i="1"/>
  <c r="H6032" i="1"/>
  <c r="F6032" i="1"/>
  <c r="D6032" i="1"/>
  <c r="C6032" i="1"/>
  <c r="H6031" i="1"/>
  <c r="F6031" i="1"/>
  <c r="D6031" i="1"/>
  <c r="C6031" i="1"/>
  <c r="H6030" i="1"/>
  <c r="F6030" i="1"/>
  <c r="D6030" i="1"/>
  <c r="C6030" i="1"/>
  <c r="H6029" i="1"/>
  <c r="F6029" i="1"/>
  <c r="D6029" i="1"/>
  <c r="C6029" i="1"/>
  <c r="H6028" i="1"/>
  <c r="F6028" i="1"/>
  <c r="D6028" i="1"/>
  <c r="C6028" i="1"/>
  <c r="H6027" i="1"/>
  <c r="F6027" i="1"/>
  <c r="D6027" i="1"/>
  <c r="C6027" i="1"/>
  <c r="H6026" i="1"/>
  <c r="F6026" i="1"/>
  <c r="D6026" i="1"/>
  <c r="C6026" i="1"/>
  <c r="H6025" i="1"/>
  <c r="F6025" i="1"/>
  <c r="D6025" i="1"/>
  <c r="C6025" i="1"/>
  <c r="H6024" i="1"/>
  <c r="F6024" i="1"/>
  <c r="D6024" i="1"/>
  <c r="C6024" i="1"/>
  <c r="H6023" i="1"/>
  <c r="F6023" i="1"/>
  <c r="D6023" i="1"/>
  <c r="C6023" i="1"/>
  <c r="H6022" i="1"/>
  <c r="F6022" i="1"/>
  <c r="D6022" i="1"/>
  <c r="C6022" i="1"/>
  <c r="H6021" i="1"/>
  <c r="F6021" i="1"/>
  <c r="D6021" i="1"/>
  <c r="C6021" i="1"/>
  <c r="H6020" i="1"/>
  <c r="F6020" i="1"/>
  <c r="D6020" i="1"/>
  <c r="C6020" i="1"/>
  <c r="H6019" i="1"/>
  <c r="F6019" i="1"/>
  <c r="D6019" i="1"/>
  <c r="C6019" i="1"/>
  <c r="H6018" i="1"/>
  <c r="F6018" i="1"/>
  <c r="D6018" i="1"/>
  <c r="C6018" i="1"/>
  <c r="H6017" i="1"/>
  <c r="F6017" i="1"/>
  <c r="D6017" i="1"/>
  <c r="C6017" i="1"/>
  <c r="H6016" i="1"/>
  <c r="F6016" i="1"/>
  <c r="D6016" i="1"/>
  <c r="C6016" i="1"/>
  <c r="H6015" i="1"/>
  <c r="F6015" i="1"/>
  <c r="D6015" i="1"/>
  <c r="C6015" i="1"/>
  <c r="H6014" i="1"/>
  <c r="F6014" i="1"/>
  <c r="D6014" i="1"/>
  <c r="C6014" i="1"/>
  <c r="H6013" i="1"/>
  <c r="F6013" i="1"/>
  <c r="D6013" i="1"/>
  <c r="C6013" i="1"/>
  <c r="H6012" i="1"/>
  <c r="F6012" i="1"/>
  <c r="D6012" i="1"/>
  <c r="C6012" i="1"/>
  <c r="H6011" i="1"/>
  <c r="F6011" i="1"/>
  <c r="D6011" i="1"/>
  <c r="C6011" i="1"/>
  <c r="H6010" i="1"/>
  <c r="F6010" i="1"/>
  <c r="D6010" i="1"/>
  <c r="C6010" i="1"/>
  <c r="H6009" i="1"/>
  <c r="F6009" i="1"/>
  <c r="D6009" i="1"/>
  <c r="C6009" i="1"/>
  <c r="H6008" i="1"/>
  <c r="F6008" i="1"/>
  <c r="D6008" i="1"/>
  <c r="C6008" i="1"/>
  <c r="H6007" i="1"/>
  <c r="F6007" i="1"/>
  <c r="D6007" i="1"/>
  <c r="C6007" i="1"/>
  <c r="H6006" i="1"/>
  <c r="F6006" i="1"/>
  <c r="D6006" i="1"/>
  <c r="C6006" i="1"/>
  <c r="H6005" i="1"/>
  <c r="F6005" i="1"/>
  <c r="D6005" i="1"/>
  <c r="C6005" i="1"/>
  <c r="H6004" i="1"/>
  <c r="F6004" i="1"/>
  <c r="D6004" i="1"/>
  <c r="C6004" i="1"/>
  <c r="H6003" i="1"/>
  <c r="F6003" i="1"/>
  <c r="D6003" i="1"/>
  <c r="C6003" i="1"/>
  <c r="H6002" i="1"/>
  <c r="F6002" i="1"/>
  <c r="D6002" i="1"/>
  <c r="C6002" i="1"/>
  <c r="H6001" i="1"/>
  <c r="F6001" i="1"/>
  <c r="D6001" i="1"/>
  <c r="C6001" i="1"/>
  <c r="H6000" i="1"/>
  <c r="F6000" i="1"/>
  <c r="D6000" i="1"/>
  <c r="C6000" i="1"/>
  <c r="H5999" i="1"/>
  <c r="F5999" i="1"/>
  <c r="D5999" i="1"/>
  <c r="C5999" i="1"/>
  <c r="H5998" i="1"/>
  <c r="F5998" i="1"/>
  <c r="D5998" i="1"/>
  <c r="C5998" i="1"/>
  <c r="H5997" i="1"/>
  <c r="F5997" i="1"/>
  <c r="D5997" i="1"/>
  <c r="C5997" i="1"/>
  <c r="H5996" i="1"/>
  <c r="F5996" i="1"/>
  <c r="D5996" i="1"/>
  <c r="C5996" i="1"/>
  <c r="H5995" i="1"/>
  <c r="F5995" i="1"/>
  <c r="D5995" i="1"/>
  <c r="C5995" i="1"/>
  <c r="H5994" i="1"/>
  <c r="F5994" i="1"/>
  <c r="D5994" i="1"/>
  <c r="C5994" i="1"/>
  <c r="H5993" i="1"/>
  <c r="F5993" i="1"/>
  <c r="D5993" i="1"/>
  <c r="C5993" i="1"/>
  <c r="H5992" i="1"/>
  <c r="F5992" i="1"/>
  <c r="D5992" i="1"/>
  <c r="C5992" i="1"/>
  <c r="H5991" i="1"/>
  <c r="F5991" i="1"/>
  <c r="D5991" i="1"/>
  <c r="C5991" i="1"/>
  <c r="H5990" i="1"/>
  <c r="F5990" i="1"/>
  <c r="D5990" i="1"/>
  <c r="C5990" i="1"/>
  <c r="H5989" i="1"/>
  <c r="F5989" i="1"/>
  <c r="D5989" i="1"/>
  <c r="C5989" i="1"/>
  <c r="H5988" i="1"/>
  <c r="F5988" i="1"/>
  <c r="D5988" i="1"/>
  <c r="C5988" i="1"/>
  <c r="H5987" i="1"/>
  <c r="F5987" i="1"/>
  <c r="D5987" i="1"/>
  <c r="C5987" i="1"/>
  <c r="H5986" i="1"/>
  <c r="F5986" i="1"/>
  <c r="D5986" i="1"/>
  <c r="C5986" i="1"/>
  <c r="H5985" i="1"/>
  <c r="F5985" i="1"/>
  <c r="D5985" i="1"/>
  <c r="C5985" i="1"/>
  <c r="H5984" i="1"/>
  <c r="F5984" i="1"/>
  <c r="D5984" i="1"/>
  <c r="C5984" i="1"/>
  <c r="H5983" i="1"/>
  <c r="F5983" i="1"/>
  <c r="D5983" i="1"/>
  <c r="C5983" i="1"/>
  <c r="H5982" i="1"/>
  <c r="F5982" i="1"/>
  <c r="D5982" i="1"/>
  <c r="C5982" i="1"/>
  <c r="H5981" i="1"/>
  <c r="F5981" i="1"/>
  <c r="D5981" i="1"/>
  <c r="C5981" i="1"/>
  <c r="H5980" i="1"/>
  <c r="F5980" i="1"/>
  <c r="D5980" i="1"/>
  <c r="C5980" i="1"/>
  <c r="H5979" i="1"/>
  <c r="F5979" i="1"/>
  <c r="D5979" i="1"/>
  <c r="C5979" i="1"/>
  <c r="H5978" i="1"/>
  <c r="F5978" i="1"/>
  <c r="D5978" i="1"/>
  <c r="C5978" i="1"/>
  <c r="H5977" i="1"/>
  <c r="F5977" i="1"/>
  <c r="D5977" i="1"/>
  <c r="C5977" i="1"/>
  <c r="H5976" i="1"/>
  <c r="F5976" i="1"/>
  <c r="D5976" i="1"/>
  <c r="C5976" i="1"/>
  <c r="H5975" i="1"/>
  <c r="F5975" i="1"/>
  <c r="D5975" i="1"/>
  <c r="C5975" i="1"/>
  <c r="H5974" i="1"/>
  <c r="F5974" i="1"/>
  <c r="D5974" i="1"/>
  <c r="C5974" i="1"/>
  <c r="H5973" i="1"/>
  <c r="F5973" i="1"/>
  <c r="D5973" i="1"/>
  <c r="C5973" i="1"/>
  <c r="H5972" i="1"/>
  <c r="F5972" i="1"/>
  <c r="D5972" i="1"/>
  <c r="C5972" i="1"/>
  <c r="H5971" i="1"/>
  <c r="F5971" i="1"/>
  <c r="D5971" i="1"/>
  <c r="C5971" i="1"/>
  <c r="H5970" i="1"/>
  <c r="F5970" i="1"/>
  <c r="D5970" i="1"/>
  <c r="C5970" i="1"/>
  <c r="H5969" i="1"/>
  <c r="F5969" i="1"/>
  <c r="D5969" i="1"/>
  <c r="C5969" i="1"/>
  <c r="H5968" i="1"/>
  <c r="F5968" i="1"/>
  <c r="D5968" i="1"/>
  <c r="C5968" i="1"/>
  <c r="H5967" i="1"/>
  <c r="F5967" i="1"/>
  <c r="D5967" i="1"/>
  <c r="C5967" i="1"/>
  <c r="H5966" i="1"/>
  <c r="F5966" i="1"/>
  <c r="D5966" i="1"/>
  <c r="C5966" i="1"/>
  <c r="H5965" i="1"/>
  <c r="F5965" i="1"/>
  <c r="D5965" i="1"/>
  <c r="C5965" i="1"/>
  <c r="H5964" i="1"/>
  <c r="F5964" i="1"/>
  <c r="D5964" i="1"/>
  <c r="C5964" i="1"/>
  <c r="H5963" i="1"/>
  <c r="F5963" i="1"/>
  <c r="D5963" i="1"/>
  <c r="C5963" i="1"/>
  <c r="H5962" i="1"/>
  <c r="F5962" i="1"/>
  <c r="D5962" i="1"/>
  <c r="C5962" i="1"/>
  <c r="H5961" i="1"/>
  <c r="F5961" i="1"/>
  <c r="D5961" i="1"/>
  <c r="C5961" i="1"/>
  <c r="H5960" i="1"/>
  <c r="F5960" i="1"/>
  <c r="D5960" i="1"/>
  <c r="C5960" i="1"/>
  <c r="H5959" i="1"/>
  <c r="F5959" i="1"/>
  <c r="D5959" i="1"/>
  <c r="C5959" i="1"/>
  <c r="H5958" i="1"/>
  <c r="F5958" i="1"/>
  <c r="D5958" i="1"/>
  <c r="C5958" i="1"/>
  <c r="H5957" i="1"/>
  <c r="F5957" i="1"/>
  <c r="D5957" i="1"/>
  <c r="C5957" i="1"/>
  <c r="H5956" i="1"/>
  <c r="F5956" i="1"/>
  <c r="D5956" i="1"/>
  <c r="C5956" i="1"/>
  <c r="H5955" i="1"/>
  <c r="F5955" i="1"/>
  <c r="D5955" i="1"/>
  <c r="C5955" i="1"/>
  <c r="H5954" i="1"/>
  <c r="F5954" i="1"/>
  <c r="D5954" i="1"/>
  <c r="C5954" i="1"/>
  <c r="H5953" i="1"/>
  <c r="F5953" i="1"/>
  <c r="D5953" i="1"/>
  <c r="C5953" i="1"/>
  <c r="H5952" i="1"/>
  <c r="F5952" i="1"/>
  <c r="D5952" i="1"/>
  <c r="C5952" i="1"/>
  <c r="H5951" i="1"/>
  <c r="F5951" i="1"/>
  <c r="D5951" i="1"/>
  <c r="C5951" i="1"/>
  <c r="H5950" i="1"/>
  <c r="F5950" i="1"/>
  <c r="D5950" i="1"/>
  <c r="C5950" i="1"/>
  <c r="H5949" i="1"/>
  <c r="F5949" i="1"/>
  <c r="D5949" i="1"/>
  <c r="C5949" i="1"/>
  <c r="H5948" i="1"/>
  <c r="F5948" i="1"/>
  <c r="D5948" i="1"/>
  <c r="C5948" i="1"/>
  <c r="H5947" i="1"/>
  <c r="F5947" i="1"/>
  <c r="D5947" i="1"/>
  <c r="C5947" i="1"/>
  <c r="H5946" i="1"/>
  <c r="F5946" i="1"/>
  <c r="D5946" i="1"/>
  <c r="C5946" i="1"/>
  <c r="H5945" i="1"/>
  <c r="F5945" i="1"/>
  <c r="D5945" i="1"/>
  <c r="C5945" i="1"/>
  <c r="H5944" i="1"/>
  <c r="F5944" i="1"/>
  <c r="D5944" i="1"/>
  <c r="C5944" i="1"/>
  <c r="H5943" i="1"/>
  <c r="F5943" i="1"/>
  <c r="D5943" i="1"/>
  <c r="C5943" i="1"/>
  <c r="H5942" i="1"/>
  <c r="F5942" i="1"/>
  <c r="D5942" i="1"/>
  <c r="C5942" i="1"/>
  <c r="H5941" i="1"/>
  <c r="F5941" i="1"/>
  <c r="D5941" i="1"/>
  <c r="C5941" i="1"/>
  <c r="H5940" i="1"/>
  <c r="F5940" i="1"/>
  <c r="D5940" i="1"/>
  <c r="C5940" i="1"/>
  <c r="H5939" i="1"/>
  <c r="F5939" i="1"/>
  <c r="D5939" i="1"/>
  <c r="C5939" i="1"/>
  <c r="H5938" i="1"/>
  <c r="F5938" i="1"/>
  <c r="D5938" i="1"/>
  <c r="C5938" i="1"/>
  <c r="H5937" i="1"/>
  <c r="F5937" i="1"/>
  <c r="D5937" i="1"/>
  <c r="C5937" i="1"/>
  <c r="H5936" i="1"/>
  <c r="F5936" i="1"/>
  <c r="D5936" i="1"/>
  <c r="C5936" i="1"/>
  <c r="H5935" i="1"/>
  <c r="F5935" i="1"/>
  <c r="D5935" i="1"/>
  <c r="C5935" i="1"/>
  <c r="H5934" i="1"/>
  <c r="F5934" i="1"/>
  <c r="D5934" i="1"/>
  <c r="C5934" i="1"/>
  <c r="H5933" i="1"/>
  <c r="F5933" i="1"/>
  <c r="D5933" i="1"/>
  <c r="C5933" i="1"/>
  <c r="H5932" i="1"/>
  <c r="F5932" i="1"/>
  <c r="D5932" i="1"/>
  <c r="C5932" i="1"/>
  <c r="H5931" i="1"/>
  <c r="F5931" i="1"/>
  <c r="D5931" i="1"/>
  <c r="C5931" i="1"/>
  <c r="H5930" i="1"/>
  <c r="F5930" i="1"/>
  <c r="D5930" i="1"/>
  <c r="C5930" i="1"/>
  <c r="H5929" i="1"/>
  <c r="F5929" i="1"/>
  <c r="D5929" i="1"/>
  <c r="C5929" i="1"/>
  <c r="H5928" i="1"/>
  <c r="F5928" i="1"/>
  <c r="D5928" i="1"/>
  <c r="C5928" i="1"/>
  <c r="H5927" i="1"/>
  <c r="F5927" i="1"/>
  <c r="D5927" i="1"/>
  <c r="C5927" i="1"/>
  <c r="H5926" i="1"/>
  <c r="F5926" i="1"/>
  <c r="D5926" i="1"/>
  <c r="C5926" i="1"/>
  <c r="H5925" i="1"/>
  <c r="F5925" i="1"/>
  <c r="D5925" i="1"/>
  <c r="C5925" i="1"/>
  <c r="H5924" i="1"/>
  <c r="F5924" i="1"/>
  <c r="D5924" i="1"/>
  <c r="C5924" i="1"/>
  <c r="H5923" i="1"/>
  <c r="F5923" i="1"/>
  <c r="D5923" i="1"/>
  <c r="C5923" i="1"/>
  <c r="H5922" i="1"/>
  <c r="F5922" i="1"/>
  <c r="D5922" i="1"/>
  <c r="C5922" i="1"/>
  <c r="H5921" i="1"/>
  <c r="F5921" i="1"/>
  <c r="D5921" i="1"/>
  <c r="C5921" i="1"/>
  <c r="H5920" i="1"/>
  <c r="F5920" i="1"/>
  <c r="D5920" i="1"/>
  <c r="C5920" i="1"/>
  <c r="H5919" i="1"/>
  <c r="F5919" i="1"/>
  <c r="D5919" i="1"/>
  <c r="C5919" i="1"/>
  <c r="H5918" i="1"/>
  <c r="F5918" i="1"/>
  <c r="D5918" i="1"/>
  <c r="C5918" i="1"/>
  <c r="H5917" i="1"/>
  <c r="F5917" i="1"/>
  <c r="D5917" i="1"/>
  <c r="C5917" i="1"/>
  <c r="H5916" i="1"/>
  <c r="F5916" i="1"/>
  <c r="D5916" i="1"/>
  <c r="C5916" i="1"/>
  <c r="H5915" i="1"/>
  <c r="F5915" i="1"/>
  <c r="D5915" i="1"/>
  <c r="C5915" i="1"/>
  <c r="H5914" i="1"/>
  <c r="F5914" i="1"/>
  <c r="D5914" i="1"/>
  <c r="C5914" i="1"/>
  <c r="H5913" i="1"/>
  <c r="F5913" i="1"/>
  <c r="D5913" i="1"/>
  <c r="C5913" i="1"/>
  <c r="H5912" i="1"/>
  <c r="F5912" i="1"/>
  <c r="D5912" i="1"/>
  <c r="C5912" i="1"/>
  <c r="H5911" i="1"/>
  <c r="F5911" i="1"/>
  <c r="D5911" i="1"/>
  <c r="C5911" i="1"/>
  <c r="H5910" i="1"/>
  <c r="F5910" i="1"/>
  <c r="D5910" i="1"/>
  <c r="C5910" i="1"/>
  <c r="H5909" i="1"/>
  <c r="F5909" i="1"/>
  <c r="D5909" i="1"/>
  <c r="C5909" i="1"/>
  <c r="H5908" i="1"/>
  <c r="F5908" i="1"/>
  <c r="D5908" i="1"/>
  <c r="C5908" i="1"/>
  <c r="H5907" i="1"/>
  <c r="F5907" i="1"/>
  <c r="D5907" i="1"/>
  <c r="C5907" i="1"/>
  <c r="H5906" i="1"/>
  <c r="F5906" i="1"/>
  <c r="D5906" i="1"/>
  <c r="C5906" i="1"/>
  <c r="H5905" i="1"/>
  <c r="F5905" i="1"/>
  <c r="D5905" i="1"/>
  <c r="C5905" i="1"/>
  <c r="H5904" i="1"/>
  <c r="F5904" i="1"/>
  <c r="D5904" i="1"/>
  <c r="C5904" i="1"/>
  <c r="H5903" i="1"/>
  <c r="F5903" i="1"/>
  <c r="D5903" i="1"/>
  <c r="C5903" i="1"/>
  <c r="H5902" i="1"/>
  <c r="F5902" i="1"/>
  <c r="D5902" i="1"/>
  <c r="C5902" i="1"/>
  <c r="H5901" i="1"/>
  <c r="F5901" i="1"/>
  <c r="D5901" i="1"/>
  <c r="C5901" i="1"/>
  <c r="H5900" i="1"/>
  <c r="F5900" i="1"/>
  <c r="D5900" i="1"/>
  <c r="C5900" i="1"/>
  <c r="H5899" i="1"/>
  <c r="F5899" i="1"/>
  <c r="D5899" i="1"/>
  <c r="C5899" i="1"/>
  <c r="H5898" i="1"/>
  <c r="F5898" i="1"/>
  <c r="D5898" i="1"/>
  <c r="C5898" i="1"/>
  <c r="H5897" i="1"/>
  <c r="F5897" i="1"/>
  <c r="D5897" i="1"/>
  <c r="C5897" i="1"/>
  <c r="H5896" i="1"/>
  <c r="F5896" i="1"/>
  <c r="D5896" i="1"/>
  <c r="C5896" i="1"/>
  <c r="H5895" i="1"/>
  <c r="F5895" i="1"/>
  <c r="D5895" i="1"/>
  <c r="C5895" i="1"/>
  <c r="H5894" i="1"/>
  <c r="F5894" i="1"/>
  <c r="D5894" i="1"/>
  <c r="C5894" i="1"/>
  <c r="H5893" i="1"/>
  <c r="F5893" i="1"/>
  <c r="D5893" i="1"/>
  <c r="C5893" i="1"/>
  <c r="H5892" i="1"/>
  <c r="F5892" i="1"/>
  <c r="D5892" i="1"/>
  <c r="C5892" i="1"/>
  <c r="H5891" i="1"/>
  <c r="F5891" i="1"/>
  <c r="D5891" i="1"/>
  <c r="C5891" i="1"/>
  <c r="H5890" i="1"/>
  <c r="F5890" i="1"/>
  <c r="D5890" i="1"/>
  <c r="C5890" i="1"/>
  <c r="H5889" i="1"/>
  <c r="F5889" i="1"/>
  <c r="D5889" i="1"/>
  <c r="C5889" i="1"/>
  <c r="H5888" i="1"/>
  <c r="F5888" i="1"/>
  <c r="D5888" i="1"/>
  <c r="C5888" i="1"/>
  <c r="H5887" i="1"/>
  <c r="F5887" i="1"/>
  <c r="D5887" i="1"/>
  <c r="C5887" i="1"/>
  <c r="H5886" i="1"/>
  <c r="F5886" i="1"/>
  <c r="D5886" i="1"/>
  <c r="C5886" i="1"/>
  <c r="H5885" i="1"/>
  <c r="F5885" i="1"/>
  <c r="D5885" i="1"/>
  <c r="C5885" i="1"/>
  <c r="H5884" i="1"/>
  <c r="F5884" i="1"/>
  <c r="D5884" i="1"/>
  <c r="C5884" i="1"/>
  <c r="H5883" i="1"/>
  <c r="F5883" i="1"/>
  <c r="D5883" i="1"/>
  <c r="C5883" i="1"/>
  <c r="H5882" i="1"/>
  <c r="F5882" i="1"/>
  <c r="D5882" i="1"/>
  <c r="C5882" i="1"/>
  <c r="H5881" i="1"/>
  <c r="F5881" i="1"/>
  <c r="D5881" i="1"/>
  <c r="C5881" i="1"/>
  <c r="H5880" i="1"/>
  <c r="F5880" i="1"/>
  <c r="D5880" i="1"/>
  <c r="C5880" i="1"/>
  <c r="H5879" i="1"/>
  <c r="F5879" i="1"/>
  <c r="D5879" i="1"/>
  <c r="C5879" i="1"/>
  <c r="H5878" i="1"/>
  <c r="F5878" i="1"/>
  <c r="D5878" i="1"/>
  <c r="C5878" i="1"/>
  <c r="H5877" i="1"/>
  <c r="F5877" i="1"/>
  <c r="D5877" i="1"/>
  <c r="C5877" i="1"/>
  <c r="H5876" i="1"/>
  <c r="F5876" i="1"/>
  <c r="D5876" i="1"/>
  <c r="C5876" i="1"/>
  <c r="H5875" i="1"/>
  <c r="F5875" i="1"/>
  <c r="D5875" i="1"/>
  <c r="C5875" i="1"/>
  <c r="H5874" i="1"/>
  <c r="F5874" i="1"/>
  <c r="D5874" i="1"/>
  <c r="C5874" i="1"/>
  <c r="H5873" i="1"/>
  <c r="F5873" i="1"/>
  <c r="D5873" i="1"/>
  <c r="C5873" i="1"/>
  <c r="H5872" i="1"/>
  <c r="F5872" i="1"/>
  <c r="D5872" i="1"/>
  <c r="C5872" i="1"/>
  <c r="H5871" i="1"/>
  <c r="F5871" i="1"/>
  <c r="D5871" i="1"/>
  <c r="C5871" i="1"/>
  <c r="H5870" i="1"/>
  <c r="F5870" i="1"/>
  <c r="D5870" i="1"/>
  <c r="C5870" i="1"/>
  <c r="H5869" i="1"/>
  <c r="F5869" i="1"/>
  <c r="D5869" i="1"/>
  <c r="C5869" i="1"/>
  <c r="H5868" i="1"/>
  <c r="F5868" i="1"/>
  <c r="D5868" i="1"/>
  <c r="C5868" i="1"/>
  <c r="H5867" i="1"/>
  <c r="F5867" i="1"/>
  <c r="D5867" i="1"/>
  <c r="C5867" i="1"/>
  <c r="H5866" i="1"/>
  <c r="F5866" i="1"/>
  <c r="D5866" i="1"/>
  <c r="C5866" i="1"/>
  <c r="H5865" i="1"/>
  <c r="F5865" i="1"/>
  <c r="D5865" i="1"/>
  <c r="C5865" i="1"/>
  <c r="H5864" i="1"/>
  <c r="F5864" i="1"/>
  <c r="D5864" i="1"/>
  <c r="C5864" i="1"/>
  <c r="H5863" i="1"/>
  <c r="F5863" i="1"/>
  <c r="D5863" i="1"/>
  <c r="C5863" i="1"/>
  <c r="H5862" i="1"/>
  <c r="F5862" i="1"/>
  <c r="D5862" i="1"/>
  <c r="C5862" i="1"/>
  <c r="H5861" i="1"/>
  <c r="F5861" i="1"/>
  <c r="D5861" i="1"/>
  <c r="C5861" i="1"/>
  <c r="H5860" i="1"/>
  <c r="F5860" i="1"/>
  <c r="D5860" i="1"/>
  <c r="C5860" i="1"/>
  <c r="H5859" i="1"/>
  <c r="F5859" i="1"/>
  <c r="D5859" i="1"/>
  <c r="C5859" i="1"/>
  <c r="H5858" i="1"/>
  <c r="F5858" i="1"/>
  <c r="D5858" i="1"/>
  <c r="C5858" i="1"/>
  <c r="H5857" i="1"/>
  <c r="F5857" i="1"/>
  <c r="D5857" i="1"/>
  <c r="C5857" i="1"/>
  <c r="H5856" i="1"/>
  <c r="F5856" i="1"/>
  <c r="D5856" i="1"/>
  <c r="C5856" i="1"/>
  <c r="H5855" i="1"/>
  <c r="F5855" i="1"/>
  <c r="D5855" i="1"/>
  <c r="C5855" i="1"/>
  <c r="H5854" i="1"/>
  <c r="F5854" i="1"/>
  <c r="D5854" i="1"/>
  <c r="C5854" i="1"/>
  <c r="H5853" i="1"/>
  <c r="F5853" i="1"/>
  <c r="D5853" i="1"/>
  <c r="C5853" i="1"/>
  <c r="H5852" i="1"/>
  <c r="F5852" i="1"/>
  <c r="D5852" i="1"/>
  <c r="C5852" i="1"/>
  <c r="H5851" i="1"/>
  <c r="F5851" i="1"/>
  <c r="D5851" i="1"/>
  <c r="C5851" i="1"/>
  <c r="H5850" i="1"/>
  <c r="F5850" i="1"/>
  <c r="D5850" i="1"/>
  <c r="C5850" i="1"/>
  <c r="H5849" i="1"/>
  <c r="F5849" i="1"/>
  <c r="D5849" i="1"/>
  <c r="C5849" i="1"/>
  <c r="H5848" i="1"/>
  <c r="F5848" i="1"/>
  <c r="D5848" i="1"/>
  <c r="C5848" i="1"/>
  <c r="H5847" i="1"/>
  <c r="F5847" i="1"/>
  <c r="D5847" i="1"/>
  <c r="C5847" i="1"/>
  <c r="H5846" i="1"/>
  <c r="F5846" i="1"/>
  <c r="D5846" i="1"/>
  <c r="C5846" i="1"/>
  <c r="H5845" i="1"/>
  <c r="F5845" i="1"/>
  <c r="D5845" i="1"/>
  <c r="C5845" i="1"/>
  <c r="H5844" i="1"/>
  <c r="F5844" i="1"/>
  <c r="D5844" i="1"/>
  <c r="C5844" i="1"/>
  <c r="H5843" i="1"/>
  <c r="F5843" i="1"/>
  <c r="D5843" i="1"/>
  <c r="C5843" i="1"/>
  <c r="H5842" i="1"/>
  <c r="F5842" i="1"/>
  <c r="D5842" i="1"/>
  <c r="C5842" i="1"/>
  <c r="H5841" i="1"/>
  <c r="F5841" i="1"/>
  <c r="D5841" i="1"/>
  <c r="C5841" i="1"/>
  <c r="H5840" i="1"/>
  <c r="F5840" i="1"/>
  <c r="D5840" i="1"/>
  <c r="C5840" i="1"/>
  <c r="H5839" i="1"/>
  <c r="F5839" i="1"/>
  <c r="D5839" i="1"/>
  <c r="C5839" i="1"/>
  <c r="H5838" i="1"/>
  <c r="F5838" i="1"/>
  <c r="D5838" i="1"/>
  <c r="C5838" i="1"/>
  <c r="H5837" i="1"/>
  <c r="F5837" i="1"/>
  <c r="D5837" i="1"/>
  <c r="C5837" i="1"/>
  <c r="H5836" i="1"/>
  <c r="F5836" i="1"/>
  <c r="D5836" i="1"/>
  <c r="C5836" i="1"/>
  <c r="H5835" i="1"/>
  <c r="F5835" i="1"/>
  <c r="D5835" i="1"/>
  <c r="C5835" i="1"/>
  <c r="H5834" i="1"/>
  <c r="F5834" i="1"/>
  <c r="D5834" i="1"/>
  <c r="C5834" i="1"/>
  <c r="H5833" i="1"/>
  <c r="F5833" i="1"/>
  <c r="D5833" i="1"/>
  <c r="C5833" i="1"/>
  <c r="H5832" i="1"/>
  <c r="F5832" i="1"/>
  <c r="D5832" i="1"/>
  <c r="C5832" i="1"/>
  <c r="H5831" i="1"/>
  <c r="F5831" i="1"/>
  <c r="D5831" i="1"/>
  <c r="C5831" i="1"/>
  <c r="H5830" i="1"/>
  <c r="F5830" i="1"/>
  <c r="D5830" i="1"/>
  <c r="C5830" i="1"/>
  <c r="H5829" i="1"/>
  <c r="F5829" i="1"/>
  <c r="D5829" i="1"/>
  <c r="C5829" i="1"/>
  <c r="H5828" i="1"/>
  <c r="F5828" i="1"/>
  <c r="D5828" i="1"/>
  <c r="C5828" i="1"/>
  <c r="H5827" i="1"/>
  <c r="F5827" i="1"/>
  <c r="D5827" i="1"/>
  <c r="C5827" i="1"/>
  <c r="H5826" i="1"/>
  <c r="F5826" i="1"/>
  <c r="D5826" i="1"/>
  <c r="C5826" i="1"/>
  <c r="H5825" i="1"/>
  <c r="F5825" i="1"/>
  <c r="D5825" i="1"/>
  <c r="C5825" i="1"/>
  <c r="H5824" i="1"/>
  <c r="F5824" i="1"/>
  <c r="D5824" i="1"/>
  <c r="C5824" i="1"/>
  <c r="H5823" i="1"/>
  <c r="F5823" i="1"/>
  <c r="D5823" i="1"/>
  <c r="C5823" i="1"/>
  <c r="H5822" i="1"/>
  <c r="F5822" i="1"/>
  <c r="D5822" i="1"/>
  <c r="C5822" i="1"/>
  <c r="H5821" i="1"/>
  <c r="F5821" i="1"/>
  <c r="D5821" i="1"/>
  <c r="C5821" i="1"/>
  <c r="H5820" i="1"/>
  <c r="F5820" i="1"/>
  <c r="D5820" i="1"/>
  <c r="C5820" i="1"/>
  <c r="H5819" i="1"/>
  <c r="F5819" i="1"/>
  <c r="D5819" i="1"/>
  <c r="C5819" i="1"/>
  <c r="H5818" i="1"/>
  <c r="F5818" i="1"/>
  <c r="D5818" i="1"/>
  <c r="C5818" i="1"/>
  <c r="H5817" i="1"/>
  <c r="F5817" i="1"/>
  <c r="D5817" i="1"/>
  <c r="C5817" i="1"/>
  <c r="H5816" i="1"/>
  <c r="F5816" i="1"/>
  <c r="D5816" i="1"/>
  <c r="C5816" i="1"/>
  <c r="H5815" i="1"/>
  <c r="F5815" i="1"/>
  <c r="D5815" i="1"/>
  <c r="C5815" i="1"/>
  <c r="H5814" i="1"/>
  <c r="F5814" i="1"/>
  <c r="D5814" i="1"/>
  <c r="C5814" i="1"/>
  <c r="H5813" i="1"/>
  <c r="F5813" i="1"/>
  <c r="D5813" i="1"/>
  <c r="C5813" i="1"/>
  <c r="H5812" i="1"/>
  <c r="F5812" i="1"/>
  <c r="D5812" i="1"/>
  <c r="C5812" i="1"/>
  <c r="H5811" i="1"/>
  <c r="F5811" i="1"/>
  <c r="D5811" i="1"/>
  <c r="C5811" i="1"/>
  <c r="H5810" i="1"/>
  <c r="F5810" i="1"/>
  <c r="D5810" i="1"/>
  <c r="C5810" i="1"/>
  <c r="H5809" i="1"/>
  <c r="F5809" i="1"/>
  <c r="D5809" i="1"/>
  <c r="C5809" i="1"/>
  <c r="H5808" i="1"/>
  <c r="F5808" i="1"/>
  <c r="D5808" i="1"/>
  <c r="C5808" i="1"/>
  <c r="H5807" i="1"/>
  <c r="F5807" i="1"/>
  <c r="D5807" i="1"/>
  <c r="C5807" i="1"/>
  <c r="H5806" i="1"/>
  <c r="F5806" i="1"/>
  <c r="D5806" i="1"/>
  <c r="C5806" i="1"/>
  <c r="H5805" i="1"/>
  <c r="F5805" i="1"/>
  <c r="D5805" i="1"/>
  <c r="C5805" i="1"/>
  <c r="H5804" i="1"/>
  <c r="F5804" i="1"/>
  <c r="D5804" i="1"/>
  <c r="C5804" i="1"/>
  <c r="H5803" i="1"/>
  <c r="F5803" i="1"/>
  <c r="D5803" i="1"/>
  <c r="C5803" i="1"/>
  <c r="H5802" i="1"/>
  <c r="F5802" i="1"/>
  <c r="D5802" i="1"/>
  <c r="C5802" i="1"/>
  <c r="H5801" i="1"/>
  <c r="F5801" i="1"/>
  <c r="D5801" i="1"/>
  <c r="C5801" i="1"/>
  <c r="H5800" i="1"/>
  <c r="F5800" i="1"/>
  <c r="D5800" i="1"/>
  <c r="C5800" i="1"/>
  <c r="H5799" i="1"/>
  <c r="F5799" i="1"/>
  <c r="D5799" i="1"/>
  <c r="C5799" i="1"/>
  <c r="H5798" i="1"/>
  <c r="F5798" i="1"/>
  <c r="D5798" i="1"/>
  <c r="C5798" i="1"/>
  <c r="H5797" i="1"/>
  <c r="F5797" i="1"/>
  <c r="D5797" i="1"/>
  <c r="C5797" i="1"/>
  <c r="H5796" i="1"/>
  <c r="F5796" i="1"/>
  <c r="D5796" i="1"/>
  <c r="C5796" i="1"/>
  <c r="H5795" i="1"/>
  <c r="F5795" i="1"/>
  <c r="D5795" i="1"/>
  <c r="C5795" i="1"/>
  <c r="H5794" i="1"/>
  <c r="F5794" i="1"/>
  <c r="D5794" i="1"/>
  <c r="C5794" i="1"/>
  <c r="H5793" i="1"/>
  <c r="F5793" i="1"/>
  <c r="D5793" i="1"/>
  <c r="C5793" i="1"/>
  <c r="H5792" i="1"/>
  <c r="F5792" i="1"/>
  <c r="D5792" i="1"/>
  <c r="C5792" i="1"/>
  <c r="H5791" i="1"/>
  <c r="F5791" i="1"/>
  <c r="D5791" i="1"/>
  <c r="C5791" i="1"/>
  <c r="H5790" i="1"/>
  <c r="F5790" i="1"/>
  <c r="D5790" i="1"/>
  <c r="C5790" i="1"/>
  <c r="H5789" i="1"/>
  <c r="F5789" i="1"/>
  <c r="D5789" i="1"/>
  <c r="C5789" i="1"/>
  <c r="H5788" i="1"/>
  <c r="F5788" i="1"/>
  <c r="D5788" i="1"/>
  <c r="C5788" i="1"/>
  <c r="H5787" i="1"/>
  <c r="F5787" i="1"/>
  <c r="D5787" i="1"/>
  <c r="C5787" i="1"/>
  <c r="H5786" i="1"/>
  <c r="F5786" i="1"/>
  <c r="D5786" i="1"/>
  <c r="C5786" i="1"/>
  <c r="H5785" i="1"/>
  <c r="F5785" i="1"/>
  <c r="D5785" i="1"/>
  <c r="C5785" i="1"/>
  <c r="H5784" i="1"/>
  <c r="F5784" i="1"/>
  <c r="D5784" i="1"/>
  <c r="C5784" i="1"/>
  <c r="H5783" i="1"/>
  <c r="F5783" i="1"/>
  <c r="D5783" i="1"/>
  <c r="C5783" i="1"/>
  <c r="H5782" i="1"/>
  <c r="F5782" i="1"/>
  <c r="D5782" i="1"/>
  <c r="C5782" i="1"/>
  <c r="H5781" i="1"/>
  <c r="F5781" i="1"/>
  <c r="D5781" i="1"/>
  <c r="C5781" i="1"/>
  <c r="H5780" i="1"/>
  <c r="F5780" i="1"/>
  <c r="D5780" i="1"/>
  <c r="C5780" i="1"/>
  <c r="H5779" i="1"/>
  <c r="F5779" i="1"/>
  <c r="D5779" i="1"/>
  <c r="C5779" i="1"/>
  <c r="H5778" i="1"/>
  <c r="F5778" i="1"/>
  <c r="D5778" i="1"/>
  <c r="C5778" i="1"/>
  <c r="H5777" i="1"/>
  <c r="F5777" i="1"/>
  <c r="D5777" i="1"/>
  <c r="C5777" i="1"/>
  <c r="H5776" i="1"/>
  <c r="F5776" i="1"/>
  <c r="D5776" i="1"/>
  <c r="C5776" i="1"/>
  <c r="H5775" i="1"/>
  <c r="F5775" i="1"/>
  <c r="D5775" i="1"/>
  <c r="C5775" i="1"/>
  <c r="H5774" i="1"/>
  <c r="F5774" i="1"/>
  <c r="D5774" i="1"/>
  <c r="C5774" i="1"/>
  <c r="H5773" i="1"/>
  <c r="F5773" i="1"/>
  <c r="D5773" i="1"/>
  <c r="C5773" i="1"/>
  <c r="H5772" i="1"/>
  <c r="F5772" i="1"/>
  <c r="D5772" i="1"/>
  <c r="C5772" i="1"/>
  <c r="H5771" i="1"/>
  <c r="F5771" i="1"/>
  <c r="D5771" i="1"/>
  <c r="C5771" i="1"/>
  <c r="H5770" i="1"/>
  <c r="F5770" i="1"/>
  <c r="D5770" i="1"/>
  <c r="C5770" i="1"/>
  <c r="H5769" i="1"/>
  <c r="F5769" i="1"/>
  <c r="D5769" i="1"/>
  <c r="C5769" i="1"/>
  <c r="H5768" i="1"/>
  <c r="F5768" i="1"/>
  <c r="D5768" i="1"/>
  <c r="C5768" i="1"/>
  <c r="H5767" i="1"/>
  <c r="F5767" i="1"/>
  <c r="D5767" i="1"/>
  <c r="C5767" i="1"/>
  <c r="H5766" i="1"/>
  <c r="F5766" i="1"/>
  <c r="D5766" i="1"/>
  <c r="C5766" i="1"/>
  <c r="H5765" i="1"/>
  <c r="F5765" i="1"/>
  <c r="D5765" i="1"/>
  <c r="C5765" i="1"/>
  <c r="H5764" i="1"/>
  <c r="F5764" i="1"/>
  <c r="D5764" i="1"/>
  <c r="C5764" i="1"/>
  <c r="H5763" i="1"/>
  <c r="F5763" i="1"/>
  <c r="D5763" i="1"/>
  <c r="C5763" i="1"/>
  <c r="H5762" i="1"/>
  <c r="F5762" i="1"/>
  <c r="D5762" i="1"/>
  <c r="C5762" i="1"/>
  <c r="H5761" i="1"/>
  <c r="F5761" i="1"/>
  <c r="D5761" i="1"/>
  <c r="C5761" i="1"/>
  <c r="H5760" i="1"/>
  <c r="F5760" i="1"/>
  <c r="D5760" i="1"/>
  <c r="C5760" i="1"/>
  <c r="H5759" i="1"/>
  <c r="F5759" i="1"/>
  <c r="D5759" i="1"/>
  <c r="C5759" i="1"/>
  <c r="H5758" i="1"/>
  <c r="F5758" i="1"/>
  <c r="D5758" i="1"/>
  <c r="C5758" i="1"/>
  <c r="H5757" i="1"/>
  <c r="F5757" i="1"/>
  <c r="D5757" i="1"/>
  <c r="C5757" i="1"/>
  <c r="H5756" i="1"/>
  <c r="F5756" i="1"/>
  <c r="D5756" i="1"/>
  <c r="C5756" i="1"/>
  <c r="H5755" i="1"/>
  <c r="F5755" i="1"/>
  <c r="D5755" i="1"/>
  <c r="C5755" i="1"/>
  <c r="H5754" i="1"/>
  <c r="F5754" i="1"/>
  <c r="D5754" i="1"/>
  <c r="C5754" i="1"/>
  <c r="H5753" i="1"/>
  <c r="F5753" i="1"/>
  <c r="D5753" i="1"/>
  <c r="C5753" i="1"/>
  <c r="H5752" i="1"/>
  <c r="F5752" i="1"/>
  <c r="D5752" i="1"/>
  <c r="C5752" i="1"/>
  <c r="H5751" i="1"/>
  <c r="F5751" i="1"/>
  <c r="D5751" i="1"/>
  <c r="C5751" i="1"/>
  <c r="H5750" i="1"/>
  <c r="F5750" i="1"/>
  <c r="D5750" i="1"/>
  <c r="C5750" i="1"/>
  <c r="H5749" i="1"/>
  <c r="F5749" i="1"/>
  <c r="D5749" i="1"/>
  <c r="C5749" i="1"/>
  <c r="H5748" i="1"/>
  <c r="F5748" i="1"/>
  <c r="D5748" i="1"/>
  <c r="C5748" i="1"/>
  <c r="H5747" i="1"/>
  <c r="F5747" i="1"/>
  <c r="D5747" i="1"/>
  <c r="C5747" i="1"/>
  <c r="H5746" i="1"/>
  <c r="F5746" i="1"/>
  <c r="D5746" i="1"/>
  <c r="C5746" i="1"/>
  <c r="H5745" i="1"/>
  <c r="F5745" i="1"/>
  <c r="D5745" i="1"/>
  <c r="C5745" i="1"/>
  <c r="H5744" i="1"/>
  <c r="F5744" i="1"/>
  <c r="D5744" i="1"/>
  <c r="C5744" i="1"/>
  <c r="H5743" i="1"/>
  <c r="F5743" i="1"/>
  <c r="D5743" i="1"/>
  <c r="C5743" i="1"/>
  <c r="H5742" i="1"/>
  <c r="F5742" i="1"/>
  <c r="D5742" i="1"/>
  <c r="C5742" i="1"/>
  <c r="H5741" i="1"/>
  <c r="F5741" i="1"/>
  <c r="D5741" i="1"/>
  <c r="C5741" i="1"/>
  <c r="H5740" i="1"/>
  <c r="F5740" i="1"/>
  <c r="D5740" i="1"/>
  <c r="C5740" i="1"/>
  <c r="H5739" i="1"/>
  <c r="F5739" i="1"/>
  <c r="D5739" i="1"/>
  <c r="C5739" i="1"/>
  <c r="H5738" i="1"/>
  <c r="F5738" i="1"/>
  <c r="D5738" i="1"/>
  <c r="C5738" i="1"/>
  <c r="H5737" i="1"/>
  <c r="F5737" i="1"/>
  <c r="D5737" i="1"/>
  <c r="C5737" i="1"/>
  <c r="H5736" i="1"/>
  <c r="F5736" i="1"/>
  <c r="D5736" i="1"/>
  <c r="C5736" i="1"/>
  <c r="H5735" i="1"/>
  <c r="F5735" i="1"/>
  <c r="D5735" i="1"/>
  <c r="C5735" i="1"/>
  <c r="H5734" i="1"/>
  <c r="F5734" i="1"/>
  <c r="D5734" i="1"/>
  <c r="C5734" i="1"/>
  <c r="H5733" i="1"/>
  <c r="F5733" i="1"/>
  <c r="D5733" i="1"/>
  <c r="C5733" i="1"/>
  <c r="H5732" i="1"/>
  <c r="F5732" i="1"/>
  <c r="D5732" i="1"/>
  <c r="C5732" i="1"/>
  <c r="H5731" i="1"/>
  <c r="F5731" i="1"/>
  <c r="D5731" i="1"/>
  <c r="C5731" i="1"/>
  <c r="H5730" i="1"/>
  <c r="F5730" i="1"/>
  <c r="D5730" i="1"/>
  <c r="C5730" i="1"/>
  <c r="H5729" i="1"/>
  <c r="F5729" i="1"/>
  <c r="D5729" i="1"/>
  <c r="C5729" i="1"/>
  <c r="H5728" i="1"/>
  <c r="F5728" i="1"/>
  <c r="D5728" i="1"/>
  <c r="C5728" i="1"/>
  <c r="H5727" i="1"/>
  <c r="F5727" i="1"/>
  <c r="D5727" i="1"/>
  <c r="C5727" i="1"/>
  <c r="H5726" i="1"/>
  <c r="F5726" i="1"/>
  <c r="D5726" i="1"/>
  <c r="C5726" i="1"/>
  <c r="H5725" i="1"/>
  <c r="F5725" i="1"/>
  <c r="D5725" i="1"/>
  <c r="C5725" i="1"/>
  <c r="H5724" i="1"/>
  <c r="F5724" i="1"/>
  <c r="D5724" i="1"/>
  <c r="C5724" i="1"/>
  <c r="H5723" i="1"/>
  <c r="F5723" i="1"/>
  <c r="D5723" i="1"/>
  <c r="C5723" i="1"/>
  <c r="H5722" i="1"/>
  <c r="F5722" i="1"/>
  <c r="D5722" i="1"/>
  <c r="C5722" i="1"/>
  <c r="H5721" i="1"/>
  <c r="F5721" i="1"/>
  <c r="D5721" i="1"/>
  <c r="C5721" i="1"/>
  <c r="H5720" i="1"/>
  <c r="F5720" i="1"/>
  <c r="D5720" i="1"/>
  <c r="C5720" i="1"/>
  <c r="H5719" i="1"/>
  <c r="F5719" i="1"/>
  <c r="D5719" i="1"/>
  <c r="C5719" i="1"/>
  <c r="H5718" i="1"/>
  <c r="F5718" i="1"/>
  <c r="D5718" i="1"/>
  <c r="C5718" i="1"/>
  <c r="H5717" i="1"/>
  <c r="F5717" i="1"/>
  <c r="D5717" i="1"/>
  <c r="C5717" i="1"/>
  <c r="H5716" i="1"/>
  <c r="F5716" i="1"/>
  <c r="D5716" i="1"/>
  <c r="C5716" i="1"/>
  <c r="H5715" i="1"/>
  <c r="F5715" i="1"/>
  <c r="D5715" i="1"/>
  <c r="C5715" i="1"/>
  <c r="H5714" i="1"/>
  <c r="F5714" i="1"/>
  <c r="D5714" i="1"/>
  <c r="C5714" i="1"/>
  <c r="H5713" i="1"/>
  <c r="F5713" i="1"/>
  <c r="D5713" i="1"/>
  <c r="C5713" i="1"/>
  <c r="H5712" i="1"/>
  <c r="F5712" i="1"/>
  <c r="D5712" i="1"/>
  <c r="C5712" i="1"/>
  <c r="H5711" i="1"/>
  <c r="F5711" i="1"/>
  <c r="D5711" i="1"/>
  <c r="C5711" i="1"/>
  <c r="H5710" i="1"/>
  <c r="F5710" i="1"/>
  <c r="D5710" i="1"/>
  <c r="C5710" i="1"/>
  <c r="H5709" i="1"/>
  <c r="F5709" i="1"/>
  <c r="D5709" i="1"/>
  <c r="C5709" i="1"/>
  <c r="H5708" i="1"/>
  <c r="F5708" i="1"/>
  <c r="D5708" i="1"/>
  <c r="C5708" i="1"/>
  <c r="H5707" i="1"/>
  <c r="F5707" i="1"/>
  <c r="D5707" i="1"/>
  <c r="C5707" i="1"/>
  <c r="H5706" i="1"/>
  <c r="F5706" i="1"/>
  <c r="D5706" i="1"/>
  <c r="C5706" i="1"/>
  <c r="H5705" i="1"/>
  <c r="F5705" i="1"/>
  <c r="D5705" i="1"/>
  <c r="C5705" i="1"/>
  <c r="H5704" i="1"/>
  <c r="F5704" i="1"/>
  <c r="D5704" i="1"/>
  <c r="C5704" i="1"/>
  <c r="H5703" i="1"/>
  <c r="F5703" i="1"/>
  <c r="D5703" i="1"/>
  <c r="C5703" i="1"/>
  <c r="H5702" i="1"/>
  <c r="F5702" i="1"/>
  <c r="D5702" i="1"/>
  <c r="C5702" i="1"/>
  <c r="H5701" i="1"/>
  <c r="F5701" i="1"/>
  <c r="D5701" i="1"/>
  <c r="C5701" i="1"/>
  <c r="H5700" i="1"/>
  <c r="F5700" i="1"/>
  <c r="D5700" i="1"/>
  <c r="C5700" i="1"/>
  <c r="H5699" i="1"/>
  <c r="F5699" i="1"/>
  <c r="D5699" i="1"/>
  <c r="C5699" i="1"/>
  <c r="H5698" i="1"/>
  <c r="F5698" i="1"/>
  <c r="D5698" i="1"/>
  <c r="C5698" i="1"/>
  <c r="H5697" i="1"/>
  <c r="F5697" i="1"/>
  <c r="D5697" i="1"/>
  <c r="C5697" i="1"/>
  <c r="H5696" i="1"/>
  <c r="F5696" i="1"/>
  <c r="D5696" i="1"/>
  <c r="C5696" i="1"/>
  <c r="H5695" i="1"/>
  <c r="F5695" i="1"/>
  <c r="D5695" i="1"/>
  <c r="C5695" i="1"/>
  <c r="H5694" i="1"/>
  <c r="F5694" i="1"/>
  <c r="D5694" i="1"/>
  <c r="C5694" i="1"/>
  <c r="H5693" i="1"/>
  <c r="F5693" i="1"/>
  <c r="D5693" i="1"/>
  <c r="C5693" i="1"/>
  <c r="H5692" i="1"/>
  <c r="F5692" i="1"/>
  <c r="D5692" i="1"/>
  <c r="C5692" i="1"/>
  <c r="H5691" i="1"/>
  <c r="F5691" i="1"/>
  <c r="D5691" i="1"/>
  <c r="C5691" i="1"/>
  <c r="H5690" i="1"/>
  <c r="F5690" i="1"/>
  <c r="D5690" i="1"/>
  <c r="C5690" i="1"/>
  <c r="H5689" i="1"/>
  <c r="F5689" i="1"/>
  <c r="D5689" i="1"/>
  <c r="C5689" i="1"/>
  <c r="H5688" i="1"/>
  <c r="F5688" i="1"/>
  <c r="D5688" i="1"/>
  <c r="C5688" i="1"/>
  <c r="H5687" i="1"/>
  <c r="F5687" i="1"/>
  <c r="D5687" i="1"/>
  <c r="C5687" i="1"/>
  <c r="H5686" i="1"/>
  <c r="F5686" i="1"/>
  <c r="D5686" i="1"/>
  <c r="C5686" i="1"/>
  <c r="H5685" i="1"/>
  <c r="F5685" i="1"/>
  <c r="D5685" i="1"/>
  <c r="C5685" i="1"/>
  <c r="H5684" i="1"/>
  <c r="F5684" i="1"/>
  <c r="D5684" i="1"/>
  <c r="C5684" i="1"/>
  <c r="H5683" i="1"/>
  <c r="F5683" i="1"/>
  <c r="D5683" i="1"/>
  <c r="C5683" i="1"/>
  <c r="H5682" i="1"/>
  <c r="F5682" i="1"/>
  <c r="D5682" i="1"/>
  <c r="C5682" i="1"/>
  <c r="H5681" i="1"/>
  <c r="F5681" i="1"/>
  <c r="D5681" i="1"/>
  <c r="C5681" i="1"/>
  <c r="H5680" i="1"/>
  <c r="F5680" i="1"/>
  <c r="D5680" i="1"/>
  <c r="C5680" i="1"/>
  <c r="H5679" i="1"/>
  <c r="F5679" i="1"/>
  <c r="D5679" i="1"/>
  <c r="C5679" i="1"/>
  <c r="H5678" i="1"/>
  <c r="F5678" i="1"/>
  <c r="D5678" i="1"/>
  <c r="C5678" i="1"/>
  <c r="H5677" i="1"/>
  <c r="F5677" i="1"/>
  <c r="D5677" i="1"/>
  <c r="C5677" i="1"/>
  <c r="H5676" i="1"/>
  <c r="F5676" i="1"/>
  <c r="D5676" i="1"/>
  <c r="C5676" i="1"/>
  <c r="H5675" i="1"/>
  <c r="F5675" i="1"/>
  <c r="D5675" i="1"/>
  <c r="C5675" i="1"/>
  <c r="H5674" i="1"/>
  <c r="F5674" i="1"/>
  <c r="D5674" i="1"/>
  <c r="C5674" i="1"/>
  <c r="H5673" i="1"/>
  <c r="F5673" i="1"/>
  <c r="D5673" i="1"/>
  <c r="C5673" i="1"/>
  <c r="H5672" i="1"/>
  <c r="F5672" i="1"/>
  <c r="D5672" i="1"/>
  <c r="C5672" i="1"/>
  <c r="H5671" i="1"/>
  <c r="F5671" i="1"/>
  <c r="D5671" i="1"/>
  <c r="C5671" i="1"/>
  <c r="H5670" i="1"/>
  <c r="F5670" i="1"/>
  <c r="D5670" i="1"/>
  <c r="C5670" i="1"/>
  <c r="H5669" i="1"/>
  <c r="F5669" i="1"/>
  <c r="D5669" i="1"/>
  <c r="C5669" i="1"/>
  <c r="H5668" i="1"/>
  <c r="F5668" i="1"/>
  <c r="D5668" i="1"/>
  <c r="C5668" i="1"/>
  <c r="H5667" i="1"/>
  <c r="F5667" i="1"/>
  <c r="D5667" i="1"/>
  <c r="C5667" i="1"/>
  <c r="H5666" i="1"/>
  <c r="F5666" i="1"/>
  <c r="D5666" i="1"/>
  <c r="C5666" i="1"/>
  <c r="H5665" i="1"/>
  <c r="F5665" i="1"/>
  <c r="D5665" i="1"/>
  <c r="C5665" i="1"/>
  <c r="H5664" i="1"/>
  <c r="F5664" i="1"/>
  <c r="D5664" i="1"/>
  <c r="C5664" i="1"/>
  <c r="H5663" i="1"/>
  <c r="F5663" i="1"/>
  <c r="D5663" i="1"/>
  <c r="C5663" i="1"/>
  <c r="H5662" i="1"/>
  <c r="F5662" i="1"/>
  <c r="D5662" i="1"/>
  <c r="C5662" i="1"/>
  <c r="H5661" i="1"/>
  <c r="F5661" i="1"/>
  <c r="D5661" i="1"/>
  <c r="C5661" i="1"/>
  <c r="H5660" i="1"/>
  <c r="F5660" i="1"/>
  <c r="D5660" i="1"/>
  <c r="C5660" i="1"/>
  <c r="H5659" i="1"/>
  <c r="F5659" i="1"/>
  <c r="D5659" i="1"/>
  <c r="C5659" i="1"/>
  <c r="H5658" i="1"/>
  <c r="F5658" i="1"/>
  <c r="D5658" i="1"/>
  <c r="C5658" i="1"/>
  <c r="H5657" i="1"/>
  <c r="F5657" i="1"/>
  <c r="D5657" i="1"/>
  <c r="C5657" i="1"/>
  <c r="H5656" i="1"/>
  <c r="F5656" i="1"/>
  <c r="D5656" i="1"/>
  <c r="C5656" i="1"/>
  <c r="H5655" i="1"/>
  <c r="F5655" i="1"/>
  <c r="D5655" i="1"/>
  <c r="C5655" i="1"/>
  <c r="H5654" i="1"/>
  <c r="F5654" i="1"/>
  <c r="D5654" i="1"/>
  <c r="C5654" i="1"/>
  <c r="H5653" i="1"/>
  <c r="F5653" i="1"/>
  <c r="D5653" i="1"/>
  <c r="C5653" i="1"/>
  <c r="H5652" i="1"/>
  <c r="F5652" i="1"/>
  <c r="D5652" i="1"/>
  <c r="C5652" i="1"/>
  <c r="H5651" i="1"/>
  <c r="F5651" i="1"/>
  <c r="D5651" i="1"/>
  <c r="C5651" i="1"/>
  <c r="H5650" i="1"/>
  <c r="F5650" i="1"/>
  <c r="D5650" i="1"/>
  <c r="C5650" i="1"/>
  <c r="H5649" i="1"/>
  <c r="F5649" i="1"/>
  <c r="D5649" i="1"/>
  <c r="C5649" i="1"/>
  <c r="H5648" i="1"/>
  <c r="F5648" i="1"/>
  <c r="D5648" i="1"/>
  <c r="C5648" i="1"/>
  <c r="H5647" i="1"/>
  <c r="F5647" i="1"/>
  <c r="D5647" i="1"/>
  <c r="C5647" i="1"/>
  <c r="H5646" i="1"/>
  <c r="F5646" i="1"/>
  <c r="D5646" i="1"/>
  <c r="C5646" i="1"/>
  <c r="H5645" i="1"/>
  <c r="F5645" i="1"/>
  <c r="D5645" i="1"/>
  <c r="C5645" i="1"/>
  <c r="H5644" i="1"/>
  <c r="F5644" i="1"/>
  <c r="D5644" i="1"/>
  <c r="C5644" i="1"/>
  <c r="H5643" i="1"/>
  <c r="F5643" i="1"/>
  <c r="D5643" i="1"/>
  <c r="C5643" i="1"/>
  <c r="H5642" i="1"/>
  <c r="F5642" i="1"/>
  <c r="D5642" i="1"/>
  <c r="C5642" i="1"/>
  <c r="H5641" i="1"/>
  <c r="F5641" i="1"/>
  <c r="D5641" i="1"/>
  <c r="C5641" i="1"/>
  <c r="H5640" i="1"/>
  <c r="F5640" i="1"/>
  <c r="D5640" i="1"/>
  <c r="C5640" i="1"/>
  <c r="H5639" i="1"/>
  <c r="F5639" i="1"/>
  <c r="D5639" i="1"/>
  <c r="C5639" i="1"/>
  <c r="H5638" i="1"/>
  <c r="F5638" i="1"/>
  <c r="D5638" i="1"/>
  <c r="C5638" i="1"/>
  <c r="H5637" i="1"/>
  <c r="F5637" i="1"/>
  <c r="D5637" i="1"/>
  <c r="C5637" i="1"/>
  <c r="H5636" i="1"/>
  <c r="F5636" i="1"/>
  <c r="D5636" i="1"/>
  <c r="C5636" i="1"/>
  <c r="H5635" i="1"/>
  <c r="F5635" i="1"/>
  <c r="D5635" i="1"/>
  <c r="C5635" i="1"/>
  <c r="H5634" i="1"/>
  <c r="F5634" i="1"/>
  <c r="D5634" i="1"/>
  <c r="C5634" i="1"/>
  <c r="H5633" i="1"/>
  <c r="F5633" i="1"/>
  <c r="D5633" i="1"/>
  <c r="C5633" i="1"/>
  <c r="H5632" i="1"/>
  <c r="F5632" i="1"/>
  <c r="D5632" i="1"/>
  <c r="C5632" i="1"/>
  <c r="H5631" i="1"/>
  <c r="F5631" i="1"/>
  <c r="D5631" i="1"/>
  <c r="C5631" i="1"/>
  <c r="H5630" i="1"/>
  <c r="F5630" i="1"/>
  <c r="D5630" i="1"/>
  <c r="C5630" i="1"/>
  <c r="H5629" i="1"/>
  <c r="F5629" i="1"/>
  <c r="D5629" i="1"/>
  <c r="C5629" i="1"/>
  <c r="H5628" i="1"/>
  <c r="F5628" i="1"/>
  <c r="D5628" i="1"/>
  <c r="C5628" i="1"/>
  <c r="H5627" i="1"/>
  <c r="F5627" i="1"/>
  <c r="D5627" i="1"/>
  <c r="C5627" i="1"/>
  <c r="H5626" i="1"/>
  <c r="F5626" i="1"/>
  <c r="D5626" i="1"/>
  <c r="C5626" i="1"/>
  <c r="H5625" i="1"/>
  <c r="F5625" i="1"/>
  <c r="D5625" i="1"/>
  <c r="C5625" i="1"/>
  <c r="H5624" i="1"/>
  <c r="F5624" i="1"/>
  <c r="D5624" i="1"/>
  <c r="C5624" i="1"/>
  <c r="H5623" i="1"/>
  <c r="F5623" i="1"/>
  <c r="D5623" i="1"/>
  <c r="C5623" i="1"/>
  <c r="H5622" i="1"/>
  <c r="F5622" i="1"/>
  <c r="D5622" i="1"/>
  <c r="C5622" i="1"/>
  <c r="H5621" i="1"/>
  <c r="F5621" i="1"/>
  <c r="D5621" i="1"/>
  <c r="C5621" i="1"/>
  <c r="H5620" i="1"/>
  <c r="F5620" i="1"/>
  <c r="D5620" i="1"/>
  <c r="C5620" i="1"/>
  <c r="H5619" i="1"/>
  <c r="F5619" i="1"/>
  <c r="D5619" i="1"/>
  <c r="C5619" i="1"/>
  <c r="H5618" i="1"/>
  <c r="F5618" i="1"/>
  <c r="D5618" i="1"/>
  <c r="C5618" i="1"/>
  <c r="H5617" i="1"/>
  <c r="F5617" i="1"/>
  <c r="D5617" i="1"/>
  <c r="C5617" i="1"/>
  <c r="H5616" i="1"/>
  <c r="F5616" i="1"/>
  <c r="D5616" i="1"/>
  <c r="C5616" i="1"/>
  <c r="H5615" i="1"/>
  <c r="F5615" i="1"/>
  <c r="D5615" i="1"/>
  <c r="C5615" i="1"/>
  <c r="H5614" i="1"/>
  <c r="F5614" i="1"/>
  <c r="D5614" i="1"/>
  <c r="C5614" i="1"/>
  <c r="H5613" i="1"/>
  <c r="F5613" i="1"/>
  <c r="D5613" i="1"/>
  <c r="C5613" i="1"/>
  <c r="H5612" i="1"/>
  <c r="F5612" i="1"/>
  <c r="D5612" i="1"/>
  <c r="C5612" i="1"/>
  <c r="H5611" i="1"/>
  <c r="F5611" i="1"/>
  <c r="D5611" i="1"/>
  <c r="C5611" i="1"/>
  <c r="H5610" i="1"/>
  <c r="F5610" i="1"/>
  <c r="D5610" i="1"/>
  <c r="C5610" i="1"/>
  <c r="H5609" i="1"/>
  <c r="F5609" i="1"/>
  <c r="D5609" i="1"/>
  <c r="C5609" i="1"/>
  <c r="H5608" i="1"/>
  <c r="F5608" i="1"/>
  <c r="D5608" i="1"/>
  <c r="C5608" i="1"/>
  <c r="H5607" i="1"/>
  <c r="F5607" i="1"/>
  <c r="D5607" i="1"/>
  <c r="C5607" i="1"/>
  <c r="H5606" i="1"/>
  <c r="F5606" i="1"/>
  <c r="D5606" i="1"/>
  <c r="C5606" i="1"/>
  <c r="H5605" i="1"/>
  <c r="F5605" i="1"/>
  <c r="D5605" i="1"/>
  <c r="C5605" i="1"/>
  <c r="H5604" i="1"/>
  <c r="F5604" i="1"/>
  <c r="D5604" i="1"/>
  <c r="C5604" i="1"/>
  <c r="H5603" i="1"/>
  <c r="F5603" i="1"/>
  <c r="D5603" i="1"/>
  <c r="C5603" i="1"/>
  <c r="H5602" i="1"/>
  <c r="F5602" i="1"/>
  <c r="D5602" i="1"/>
  <c r="C5602" i="1"/>
  <c r="H5601" i="1"/>
  <c r="F5601" i="1"/>
  <c r="D5601" i="1"/>
  <c r="C5601" i="1"/>
  <c r="H5600" i="1"/>
  <c r="F5600" i="1"/>
  <c r="D5600" i="1"/>
  <c r="C5600" i="1"/>
  <c r="H5599" i="1"/>
  <c r="F5599" i="1"/>
  <c r="D5599" i="1"/>
  <c r="C5599" i="1"/>
  <c r="H5598" i="1"/>
  <c r="F5598" i="1"/>
  <c r="D5598" i="1"/>
  <c r="C5598" i="1"/>
  <c r="H5597" i="1"/>
  <c r="F5597" i="1"/>
  <c r="D5597" i="1"/>
  <c r="C5597" i="1"/>
  <c r="H5596" i="1"/>
  <c r="F5596" i="1"/>
  <c r="D5596" i="1"/>
  <c r="C5596" i="1"/>
  <c r="H5595" i="1"/>
  <c r="F5595" i="1"/>
  <c r="D5595" i="1"/>
  <c r="C5595" i="1"/>
  <c r="H5594" i="1"/>
  <c r="F5594" i="1"/>
  <c r="D5594" i="1"/>
  <c r="C5594" i="1"/>
  <c r="H5593" i="1"/>
  <c r="F5593" i="1"/>
  <c r="D5593" i="1"/>
  <c r="C5593" i="1"/>
  <c r="H5592" i="1"/>
  <c r="F5592" i="1"/>
  <c r="D5592" i="1"/>
  <c r="C5592" i="1"/>
  <c r="H5591" i="1"/>
  <c r="F5591" i="1"/>
  <c r="D5591" i="1"/>
  <c r="C5591" i="1"/>
  <c r="H5590" i="1"/>
  <c r="F5590" i="1"/>
  <c r="D5590" i="1"/>
  <c r="C5590" i="1"/>
  <c r="H5589" i="1"/>
  <c r="F5589" i="1"/>
  <c r="D5589" i="1"/>
  <c r="C5589" i="1"/>
  <c r="H5588" i="1"/>
  <c r="F5588" i="1"/>
  <c r="D5588" i="1"/>
  <c r="C5588" i="1"/>
  <c r="H5587" i="1"/>
  <c r="F5587" i="1"/>
  <c r="D5587" i="1"/>
  <c r="C5587" i="1"/>
  <c r="H5586" i="1"/>
  <c r="F5586" i="1"/>
  <c r="D5586" i="1"/>
  <c r="C5586" i="1"/>
  <c r="H5585" i="1"/>
  <c r="F5585" i="1"/>
  <c r="D5585" i="1"/>
  <c r="C5585" i="1"/>
  <c r="H5584" i="1"/>
  <c r="F5584" i="1"/>
  <c r="D5584" i="1"/>
  <c r="C5584" i="1"/>
  <c r="H5583" i="1"/>
  <c r="F5583" i="1"/>
  <c r="D5583" i="1"/>
  <c r="C5583" i="1"/>
  <c r="H5582" i="1"/>
  <c r="F5582" i="1"/>
  <c r="D5582" i="1"/>
  <c r="C5582" i="1"/>
  <c r="H5581" i="1"/>
  <c r="F5581" i="1"/>
  <c r="D5581" i="1"/>
  <c r="C5581" i="1"/>
  <c r="H5580" i="1"/>
  <c r="F5580" i="1"/>
  <c r="D5580" i="1"/>
  <c r="C5580" i="1"/>
  <c r="H5579" i="1"/>
  <c r="F5579" i="1"/>
  <c r="D5579" i="1"/>
  <c r="C5579" i="1"/>
  <c r="H5578" i="1"/>
  <c r="F5578" i="1"/>
  <c r="D5578" i="1"/>
  <c r="C5578" i="1"/>
  <c r="H5577" i="1"/>
  <c r="F5577" i="1"/>
  <c r="D5577" i="1"/>
  <c r="C5577" i="1"/>
  <c r="H5576" i="1"/>
  <c r="F5576" i="1"/>
  <c r="D5576" i="1"/>
  <c r="C5576" i="1"/>
  <c r="H5575" i="1"/>
  <c r="F5575" i="1"/>
  <c r="D5575" i="1"/>
  <c r="C5575" i="1"/>
  <c r="H5574" i="1"/>
  <c r="F5574" i="1"/>
  <c r="D5574" i="1"/>
  <c r="C5574" i="1"/>
  <c r="H5573" i="1"/>
  <c r="F5573" i="1"/>
  <c r="D5573" i="1"/>
  <c r="C5573" i="1"/>
  <c r="H5572" i="1"/>
  <c r="F5572" i="1"/>
  <c r="D5572" i="1"/>
  <c r="C5572" i="1"/>
  <c r="H5571" i="1"/>
  <c r="F5571" i="1"/>
  <c r="D5571" i="1"/>
  <c r="C5571" i="1"/>
  <c r="H5570" i="1"/>
  <c r="F5570" i="1"/>
  <c r="D5570" i="1"/>
  <c r="C5570" i="1"/>
  <c r="H5569" i="1"/>
  <c r="F5569" i="1"/>
  <c r="D5569" i="1"/>
  <c r="C5569" i="1"/>
  <c r="H5568" i="1"/>
  <c r="F5568" i="1"/>
  <c r="D5568" i="1"/>
  <c r="C5568" i="1"/>
  <c r="H5567" i="1"/>
  <c r="F5567" i="1"/>
  <c r="D5567" i="1"/>
  <c r="C5567" i="1"/>
  <c r="H5566" i="1"/>
  <c r="F5566" i="1"/>
  <c r="D5566" i="1"/>
  <c r="C5566" i="1"/>
  <c r="H5565" i="1"/>
  <c r="F5565" i="1"/>
  <c r="D5565" i="1"/>
  <c r="C5565" i="1"/>
  <c r="H5564" i="1"/>
  <c r="F5564" i="1"/>
  <c r="D5564" i="1"/>
  <c r="C5564" i="1"/>
  <c r="H5563" i="1"/>
  <c r="F5563" i="1"/>
  <c r="D5563" i="1"/>
  <c r="C5563" i="1"/>
  <c r="H5562" i="1"/>
  <c r="F5562" i="1"/>
  <c r="D5562" i="1"/>
  <c r="C5562" i="1"/>
  <c r="H5561" i="1"/>
  <c r="F5561" i="1"/>
  <c r="D5561" i="1"/>
  <c r="C5561" i="1"/>
  <c r="H5560" i="1"/>
  <c r="F5560" i="1"/>
  <c r="D5560" i="1"/>
  <c r="C5560" i="1"/>
  <c r="H5559" i="1"/>
  <c r="F5559" i="1"/>
  <c r="D5559" i="1"/>
  <c r="C5559" i="1"/>
  <c r="H5558" i="1"/>
  <c r="F5558" i="1"/>
  <c r="D5558" i="1"/>
  <c r="C5558" i="1"/>
  <c r="H5557" i="1"/>
  <c r="F5557" i="1"/>
  <c r="D5557" i="1"/>
  <c r="C5557" i="1"/>
  <c r="H5556" i="1"/>
  <c r="F5556" i="1"/>
  <c r="D5556" i="1"/>
  <c r="C5556" i="1"/>
  <c r="H5555" i="1"/>
  <c r="F5555" i="1"/>
  <c r="D5555" i="1"/>
  <c r="C5555" i="1"/>
  <c r="H5554" i="1"/>
  <c r="F5554" i="1"/>
  <c r="D5554" i="1"/>
  <c r="C5554" i="1"/>
  <c r="H5553" i="1"/>
  <c r="F5553" i="1"/>
  <c r="D5553" i="1"/>
  <c r="C5553" i="1"/>
  <c r="H5552" i="1"/>
  <c r="F5552" i="1"/>
  <c r="D5552" i="1"/>
  <c r="C5552" i="1"/>
  <c r="H5551" i="1"/>
  <c r="F5551" i="1"/>
  <c r="D5551" i="1"/>
  <c r="C5551" i="1"/>
  <c r="H5550" i="1"/>
  <c r="F5550" i="1"/>
  <c r="D5550" i="1"/>
  <c r="C5550" i="1"/>
  <c r="H5549" i="1"/>
  <c r="F5549" i="1"/>
  <c r="D5549" i="1"/>
  <c r="C5549" i="1"/>
  <c r="H5548" i="1"/>
  <c r="F5548" i="1"/>
  <c r="D5548" i="1"/>
  <c r="C5548" i="1"/>
  <c r="H5547" i="1"/>
  <c r="F5547" i="1"/>
  <c r="D5547" i="1"/>
  <c r="C5547" i="1"/>
  <c r="H5546" i="1"/>
  <c r="F5546" i="1"/>
  <c r="D5546" i="1"/>
  <c r="C5546" i="1"/>
  <c r="H5545" i="1"/>
  <c r="F5545" i="1"/>
  <c r="D5545" i="1"/>
  <c r="C5545" i="1"/>
  <c r="H5544" i="1"/>
  <c r="F5544" i="1"/>
  <c r="D5544" i="1"/>
  <c r="C5544" i="1"/>
  <c r="H5543" i="1"/>
  <c r="F5543" i="1"/>
  <c r="D5543" i="1"/>
  <c r="C5543" i="1"/>
  <c r="H5542" i="1"/>
  <c r="F5542" i="1"/>
  <c r="D5542" i="1"/>
  <c r="C5542" i="1"/>
  <c r="H5541" i="1"/>
  <c r="F5541" i="1"/>
  <c r="D5541" i="1"/>
  <c r="C5541" i="1"/>
  <c r="H5540" i="1"/>
  <c r="F5540" i="1"/>
  <c r="D5540" i="1"/>
  <c r="C5540" i="1"/>
  <c r="H5539" i="1"/>
  <c r="F5539" i="1"/>
  <c r="D5539" i="1"/>
  <c r="C5539" i="1"/>
  <c r="H5538" i="1"/>
  <c r="F5538" i="1"/>
  <c r="D5538" i="1"/>
  <c r="C5538" i="1"/>
  <c r="H5537" i="1"/>
  <c r="F5537" i="1"/>
  <c r="D5537" i="1"/>
  <c r="C5537" i="1"/>
  <c r="H5536" i="1"/>
  <c r="F5536" i="1"/>
  <c r="D5536" i="1"/>
  <c r="C5536" i="1"/>
  <c r="H5535" i="1"/>
  <c r="F5535" i="1"/>
  <c r="D5535" i="1"/>
  <c r="C5535" i="1"/>
  <c r="H5534" i="1"/>
  <c r="F5534" i="1"/>
  <c r="D5534" i="1"/>
  <c r="C5534" i="1"/>
  <c r="H5533" i="1"/>
  <c r="F5533" i="1"/>
  <c r="D5533" i="1"/>
  <c r="C5533" i="1"/>
  <c r="H5532" i="1"/>
  <c r="F5532" i="1"/>
  <c r="D5532" i="1"/>
  <c r="C5532" i="1"/>
  <c r="H5531" i="1"/>
  <c r="F5531" i="1"/>
  <c r="D5531" i="1"/>
  <c r="C5531" i="1"/>
  <c r="H5530" i="1"/>
  <c r="F5530" i="1"/>
  <c r="D5530" i="1"/>
  <c r="C5530" i="1"/>
  <c r="H5529" i="1"/>
  <c r="F5529" i="1"/>
  <c r="D5529" i="1"/>
  <c r="C5529" i="1"/>
  <c r="H5528" i="1"/>
  <c r="F5528" i="1"/>
  <c r="D5528" i="1"/>
  <c r="C5528" i="1"/>
  <c r="H5527" i="1"/>
  <c r="F5527" i="1"/>
  <c r="D5527" i="1"/>
  <c r="C5527" i="1"/>
  <c r="H5526" i="1"/>
  <c r="F5526" i="1"/>
  <c r="D5526" i="1"/>
  <c r="C5526" i="1"/>
  <c r="H5525" i="1"/>
  <c r="F5525" i="1"/>
  <c r="D5525" i="1"/>
  <c r="C5525" i="1"/>
  <c r="H5524" i="1"/>
  <c r="F5524" i="1"/>
  <c r="D5524" i="1"/>
  <c r="C5524" i="1"/>
  <c r="H5523" i="1"/>
  <c r="F5523" i="1"/>
  <c r="D5523" i="1"/>
  <c r="C5523" i="1"/>
  <c r="H5522" i="1"/>
  <c r="F5522" i="1"/>
  <c r="D5522" i="1"/>
  <c r="C5522" i="1"/>
  <c r="H5521" i="1"/>
  <c r="F5521" i="1"/>
  <c r="D5521" i="1"/>
  <c r="C5521" i="1"/>
  <c r="H5520" i="1"/>
  <c r="F5520" i="1"/>
  <c r="D5520" i="1"/>
  <c r="C5520" i="1"/>
  <c r="H5519" i="1"/>
  <c r="F5519" i="1"/>
  <c r="D5519" i="1"/>
  <c r="C5519" i="1"/>
  <c r="H5518" i="1"/>
  <c r="F5518" i="1"/>
  <c r="D5518" i="1"/>
  <c r="C5518" i="1"/>
  <c r="H5517" i="1"/>
  <c r="F5517" i="1"/>
  <c r="D5517" i="1"/>
  <c r="C5517" i="1"/>
  <c r="H5516" i="1"/>
  <c r="F5516" i="1"/>
  <c r="D5516" i="1"/>
  <c r="C5516" i="1"/>
  <c r="H5515" i="1"/>
  <c r="F5515" i="1"/>
  <c r="D5515" i="1"/>
  <c r="C5515" i="1"/>
  <c r="H5514" i="1"/>
  <c r="F5514" i="1"/>
  <c r="D5514" i="1"/>
  <c r="C5514" i="1"/>
  <c r="H5513" i="1"/>
  <c r="F5513" i="1"/>
  <c r="D5513" i="1"/>
  <c r="C5513" i="1"/>
  <c r="H5512" i="1"/>
  <c r="F5512" i="1"/>
  <c r="D5512" i="1"/>
  <c r="C5512" i="1"/>
  <c r="H5511" i="1"/>
  <c r="F5511" i="1"/>
  <c r="D5511" i="1"/>
  <c r="C5511" i="1"/>
  <c r="H5510" i="1"/>
  <c r="F5510" i="1"/>
  <c r="D5510" i="1"/>
  <c r="C5510" i="1"/>
  <c r="H5509" i="1"/>
  <c r="F5509" i="1"/>
  <c r="D5509" i="1"/>
  <c r="C5509" i="1"/>
  <c r="H5508" i="1"/>
  <c r="F5508" i="1"/>
  <c r="D5508" i="1"/>
  <c r="C5508" i="1"/>
  <c r="H5507" i="1"/>
  <c r="F5507" i="1"/>
  <c r="D5507" i="1"/>
  <c r="C5507" i="1"/>
  <c r="H5506" i="1"/>
  <c r="F5506" i="1"/>
  <c r="D5506" i="1"/>
  <c r="C5506" i="1"/>
  <c r="H5505" i="1"/>
  <c r="F5505" i="1"/>
  <c r="D5505" i="1"/>
  <c r="C5505" i="1"/>
  <c r="H5504" i="1"/>
  <c r="F5504" i="1"/>
  <c r="D5504" i="1"/>
  <c r="C5504" i="1"/>
  <c r="H5503" i="1"/>
  <c r="F5503" i="1"/>
  <c r="D5503" i="1"/>
  <c r="C5503" i="1"/>
  <c r="H5502" i="1"/>
  <c r="F5502" i="1"/>
  <c r="D5502" i="1"/>
  <c r="C5502" i="1"/>
  <c r="H5501" i="1"/>
  <c r="F5501" i="1"/>
  <c r="D5501" i="1"/>
  <c r="C5501" i="1"/>
  <c r="H5500" i="1"/>
  <c r="F5500" i="1"/>
  <c r="D5500" i="1"/>
  <c r="C5500" i="1"/>
  <c r="H5499" i="1"/>
  <c r="F5499" i="1"/>
  <c r="D5499" i="1"/>
  <c r="C5499" i="1"/>
  <c r="H5498" i="1"/>
  <c r="F5498" i="1"/>
  <c r="D5498" i="1"/>
  <c r="C5498" i="1"/>
  <c r="H5497" i="1"/>
  <c r="F5497" i="1"/>
  <c r="D5497" i="1"/>
  <c r="C5497" i="1"/>
  <c r="H5496" i="1"/>
  <c r="F5496" i="1"/>
  <c r="D5496" i="1"/>
  <c r="C5496" i="1"/>
  <c r="H5495" i="1"/>
  <c r="F5495" i="1"/>
  <c r="D5495" i="1"/>
  <c r="C5495" i="1"/>
  <c r="H5494" i="1"/>
  <c r="F5494" i="1"/>
  <c r="D5494" i="1"/>
  <c r="C5494" i="1"/>
  <c r="H5493" i="1"/>
  <c r="F5493" i="1"/>
  <c r="D5493" i="1"/>
  <c r="C5493" i="1"/>
  <c r="H5492" i="1"/>
  <c r="F5492" i="1"/>
  <c r="D5492" i="1"/>
  <c r="C5492" i="1"/>
  <c r="H5491" i="1"/>
  <c r="F5491" i="1"/>
  <c r="D5491" i="1"/>
  <c r="C5491" i="1"/>
  <c r="H5490" i="1"/>
  <c r="F5490" i="1"/>
  <c r="D5490" i="1"/>
  <c r="C5490" i="1"/>
  <c r="H5489" i="1"/>
  <c r="F5489" i="1"/>
  <c r="D5489" i="1"/>
  <c r="C5489" i="1"/>
  <c r="H5488" i="1"/>
  <c r="F5488" i="1"/>
  <c r="D5488" i="1"/>
  <c r="C5488" i="1"/>
  <c r="H5487" i="1"/>
  <c r="F5487" i="1"/>
  <c r="D5487" i="1"/>
  <c r="C5487" i="1"/>
  <c r="H5486" i="1"/>
  <c r="F5486" i="1"/>
  <c r="D5486" i="1"/>
  <c r="C5486" i="1"/>
  <c r="H5485" i="1"/>
  <c r="F5485" i="1"/>
  <c r="D5485" i="1"/>
  <c r="C5485" i="1"/>
  <c r="H5484" i="1"/>
  <c r="F5484" i="1"/>
  <c r="D5484" i="1"/>
  <c r="C5484" i="1"/>
  <c r="H5483" i="1"/>
  <c r="F5483" i="1"/>
  <c r="D5483" i="1"/>
  <c r="C5483" i="1"/>
  <c r="H5482" i="1"/>
  <c r="F5482" i="1"/>
  <c r="D5482" i="1"/>
  <c r="C5482" i="1"/>
  <c r="H5481" i="1"/>
  <c r="F5481" i="1"/>
  <c r="D5481" i="1"/>
  <c r="C5481" i="1"/>
  <c r="H5480" i="1"/>
  <c r="F5480" i="1"/>
  <c r="D5480" i="1"/>
  <c r="C5480" i="1"/>
  <c r="H5479" i="1"/>
  <c r="F5479" i="1"/>
  <c r="D5479" i="1"/>
  <c r="C5479" i="1"/>
  <c r="H5478" i="1"/>
  <c r="F5478" i="1"/>
  <c r="D5478" i="1"/>
  <c r="C5478" i="1"/>
  <c r="H5477" i="1"/>
  <c r="F5477" i="1"/>
  <c r="D5477" i="1"/>
  <c r="C5477" i="1"/>
  <c r="H5476" i="1"/>
  <c r="F5476" i="1"/>
  <c r="D5476" i="1"/>
  <c r="C5476" i="1"/>
  <c r="H5475" i="1"/>
  <c r="F5475" i="1"/>
  <c r="D5475" i="1"/>
  <c r="C5475" i="1"/>
  <c r="H5474" i="1"/>
  <c r="F5474" i="1"/>
  <c r="D5474" i="1"/>
  <c r="C5474" i="1"/>
  <c r="H5473" i="1"/>
  <c r="F5473" i="1"/>
  <c r="D5473" i="1"/>
  <c r="C5473" i="1"/>
  <c r="H5472" i="1"/>
  <c r="F5472" i="1"/>
  <c r="D5472" i="1"/>
  <c r="C5472" i="1"/>
  <c r="H5471" i="1"/>
  <c r="F5471" i="1"/>
  <c r="D5471" i="1"/>
  <c r="C5471" i="1"/>
  <c r="H5470" i="1"/>
  <c r="F5470" i="1"/>
  <c r="D5470" i="1"/>
  <c r="C5470" i="1"/>
  <c r="H5469" i="1"/>
  <c r="F5469" i="1"/>
  <c r="D5469" i="1"/>
  <c r="C5469" i="1"/>
  <c r="H5468" i="1"/>
  <c r="F5468" i="1"/>
  <c r="D5468" i="1"/>
  <c r="C5468" i="1"/>
  <c r="H5467" i="1"/>
  <c r="F5467" i="1"/>
  <c r="D5467" i="1"/>
  <c r="C5467" i="1"/>
  <c r="H5466" i="1"/>
  <c r="F5466" i="1"/>
  <c r="D5466" i="1"/>
  <c r="C5466" i="1"/>
  <c r="H5465" i="1"/>
  <c r="F5465" i="1"/>
  <c r="D5465" i="1"/>
  <c r="C5465" i="1"/>
  <c r="H5464" i="1"/>
  <c r="F5464" i="1"/>
  <c r="D5464" i="1"/>
  <c r="C5464" i="1"/>
  <c r="H5463" i="1"/>
  <c r="F5463" i="1"/>
  <c r="D5463" i="1"/>
  <c r="C5463" i="1"/>
  <c r="H5462" i="1"/>
  <c r="F5462" i="1"/>
  <c r="D5462" i="1"/>
  <c r="C5462" i="1"/>
  <c r="H5461" i="1"/>
  <c r="F5461" i="1"/>
  <c r="D5461" i="1"/>
  <c r="C5461" i="1"/>
  <c r="H5460" i="1"/>
  <c r="F5460" i="1"/>
  <c r="D5460" i="1"/>
  <c r="C5460" i="1"/>
  <c r="H5459" i="1"/>
  <c r="F5459" i="1"/>
  <c r="D5459" i="1"/>
  <c r="C5459" i="1"/>
  <c r="H5458" i="1"/>
  <c r="F5458" i="1"/>
  <c r="D5458" i="1"/>
  <c r="C5458" i="1"/>
  <c r="H5457" i="1"/>
  <c r="F5457" i="1"/>
  <c r="D5457" i="1"/>
  <c r="C5457" i="1"/>
  <c r="H5456" i="1"/>
  <c r="F5456" i="1"/>
  <c r="D5456" i="1"/>
  <c r="C5456" i="1"/>
  <c r="H5455" i="1"/>
  <c r="F5455" i="1"/>
  <c r="D5455" i="1"/>
  <c r="C5455" i="1"/>
  <c r="H5454" i="1"/>
  <c r="F5454" i="1"/>
  <c r="D5454" i="1"/>
  <c r="C5454" i="1"/>
  <c r="H5453" i="1"/>
  <c r="F5453" i="1"/>
  <c r="D5453" i="1"/>
  <c r="C5453" i="1"/>
  <c r="H5452" i="1"/>
  <c r="F5452" i="1"/>
  <c r="D5452" i="1"/>
  <c r="C5452" i="1"/>
  <c r="H5451" i="1"/>
  <c r="F5451" i="1"/>
  <c r="D5451" i="1"/>
  <c r="C5451" i="1"/>
  <c r="H5450" i="1"/>
  <c r="F5450" i="1"/>
  <c r="D5450" i="1"/>
  <c r="C5450" i="1"/>
  <c r="H5449" i="1"/>
  <c r="F5449" i="1"/>
  <c r="D5449" i="1"/>
  <c r="C5449" i="1"/>
  <c r="H5448" i="1"/>
  <c r="F5448" i="1"/>
  <c r="D5448" i="1"/>
  <c r="C5448" i="1"/>
  <c r="H5447" i="1"/>
  <c r="F5447" i="1"/>
  <c r="D5447" i="1"/>
  <c r="C5447" i="1"/>
  <c r="H5446" i="1"/>
  <c r="F5446" i="1"/>
  <c r="D5446" i="1"/>
  <c r="C5446" i="1"/>
  <c r="H5445" i="1"/>
  <c r="F5445" i="1"/>
  <c r="D5445" i="1"/>
  <c r="C5445" i="1"/>
  <c r="H5444" i="1"/>
  <c r="F5444" i="1"/>
  <c r="D5444" i="1"/>
  <c r="C5444" i="1"/>
  <c r="H5443" i="1"/>
  <c r="F5443" i="1"/>
  <c r="D5443" i="1"/>
  <c r="C5443" i="1"/>
  <c r="H5442" i="1"/>
  <c r="F5442" i="1"/>
  <c r="D5442" i="1"/>
  <c r="C5442" i="1"/>
  <c r="H5441" i="1"/>
  <c r="F5441" i="1"/>
  <c r="D5441" i="1"/>
  <c r="C5441" i="1"/>
  <c r="H5440" i="1"/>
  <c r="F5440" i="1"/>
  <c r="D5440" i="1"/>
  <c r="C5440" i="1"/>
  <c r="H5439" i="1"/>
  <c r="F5439" i="1"/>
  <c r="D5439" i="1"/>
  <c r="C5439" i="1"/>
  <c r="H5438" i="1"/>
  <c r="F5438" i="1"/>
  <c r="D5438" i="1"/>
  <c r="C5438" i="1"/>
  <c r="H5437" i="1"/>
  <c r="F5437" i="1"/>
  <c r="D5437" i="1"/>
  <c r="C5437" i="1"/>
  <c r="H5436" i="1"/>
  <c r="F5436" i="1"/>
  <c r="D5436" i="1"/>
  <c r="C5436" i="1"/>
  <c r="H5435" i="1"/>
  <c r="F5435" i="1"/>
  <c r="D5435" i="1"/>
  <c r="C5435" i="1"/>
  <c r="H5434" i="1"/>
  <c r="F5434" i="1"/>
  <c r="D5434" i="1"/>
  <c r="C5434" i="1"/>
  <c r="H5433" i="1"/>
  <c r="F5433" i="1"/>
  <c r="D5433" i="1"/>
  <c r="C5433" i="1"/>
  <c r="H5432" i="1"/>
  <c r="F5432" i="1"/>
  <c r="D5432" i="1"/>
  <c r="C5432" i="1"/>
  <c r="H5431" i="1"/>
  <c r="F5431" i="1"/>
  <c r="D5431" i="1"/>
  <c r="C5431" i="1"/>
  <c r="H5430" i="1"/>
  <c r="F5430" i="1"/>
  <c r="D5430" i="1"/>
  <c r="C5430" i="1"/>
  <c r="H5429" i="1"/>
  <c r="F5429" i="1"/>
  <c r="D5429" i="1"/>
  <c r="C5429" i="1"/>
  <c r="H5428" i="1"/>
  <c r="F5428" i="1"/>
  <c r="D5428" i="1"/>
  <c r="C5428" i="1"/>
  <c r="H5427" i="1"/>
  <c r="F5427" i="1"/>
  <c r="D5427" i="1"/>
  <c r="C5427" i="1"/>
  <c r="H5426" i="1"/>
  <c r="F5426" i="1"/>
  <c r="D5426" i="1"/>
  <c r="C5426" i="1"/>
  <c r="H5425" i="1"/>
  <c r="F5425" i="1"/>
  <c r="D5425" i="1"/>
  <c r="C5425" i="1"/>
  <c r="H5424" i="1"/>
  <c r="F5424" i="1"/>
  <c r="D5424" i="1"/>
  <c r="C5424" i="1"/>
  <c r="H5423" i="1"/>
  <c r="F5423" i="1"/>
  <c r="D5423" i="1"/>
  <c r="C5423" i="1"/>
  <c r="H5422" i="1"/>
  <c r="F5422" i="1"/>
  <c r="D5422" i="1"/>
  <c r="C5422" i="1"/>
  <c r="H5421" i="1"/>
  <c r="F5421" i="1"/>
  <c r="D5421" i="1"/>
  <c r="C5421" i="1"/>
  <c r="H5420" i="1"/>
  <c r="F5420" i="1"/>
  <c r="D5420" i="1"/>
  <c r="C5420" i="1"/>
  <c r="H5419" i="1"/>
  <c r="F5419" i="1"/>
  <c r="D5419" i="1"/>
  <c r="C5419" i="1"/>
  <c r="H5418" i="1"/>
  <c r="F5418" i="1"/>
  <c r="D5418" i="1"/>
  <c r="C5418" i="1"/>
  <c r="H5417" i="1"/>
  <c r="F5417" i="1"/>
  <c r="D5417" i="1"/>
  <c r="C5417" i="1"/>
  <c r="H5416" i="1"/>
  <c r="F5416" i="1"/>
  <c r="D5416" i="1"/>
  <c r="C5416" i="1"/>
  <c r="H5415" i="1"/>
  <c r="F5415" i="1"/>
  <c r="D5415" i="1"/>
  <c r="C5415" i="1"/>
  <c r="H5414" i="1"/>
  <c r="F5414" i="1"/>
  <c r="D5414" i="1"/>
  <c r="C5414" i="1"/>
  <c r="H5413" i="1"/>
  <c r="F5413" i="1"/>
  <c r="D5413" i="1"/>
  <c r="C5413" i="1"/>
  <c r="H5412" i="1"/>
  <c r="F5412" i="1"/>
  <c r="D5412" i="1"/>
  <c r="C5412" i="1"/>
  <c r="H5411" i="1"/>
  <c r="F5411" i="1"/>
  <c r="D5411" i="1"/>
  <c r="C5411" i="1"/>
  <c r="H5410" i="1"/>
  <c r="F5410" i="1"/>
  <c r="D5410" i="1"/>
  <c r="C5410" i="1"/>
  <c r="H5409" i="1"/>
  <c r="F5409" i="1"/>
  <c r="D5409" i="1"/>
  <c r="C5409" i="1"/>
  <c r="H5408" i="1"/>
  <c r="F5408" i="1"/>
  <c r="D5408" i="1"/>
  <c r="C5408" i="1"/>
  <c r="H5407" i="1"/>
  <c r="F5407" i="1"/>
  <c r="D5407" i="1"/>
  <c r="C5407" i="1"/>
  <c r="H5406" i="1"/>
  <c r="F5406" i="1"/>
  <c r="D5406" i="1"/>
  <c r="C5406" i="1"/>
  <c r="H5405" i="1"/>
  <c r="F5405" i="1"/>
  <c r="D5405" i="1"/>
  <c r="C5405" i="1"/>
  <c r="H5404" i="1"/>
  <c r="F5404" i="1"/>
  <c r="D5404" i="1"/>
  <c r="C5404" i="1"/>
  <c r="H5403" i="1"/>
  <c r="F5403" i="1"/>
  <c r="D5403" i="1"/>
  <c r="C5403" i="1"/>
  <c r="H5402" i="1"/>
  <c r="F5402" i="1"/>
  <c r="D5402" i="1"/>
  <c r="C5402" i="1"/>
  <c r="H5401" i="1"/>
  <c r="F5401" i="1"/>
  <c r="D5401" i="1"/>
  <c r="C5401" i="1"/>
  <c r="H5400" i="1"/>
  <c r="F5400" i="1"/>
  <c r="D5400" i="1"/>
  <c r="C5400" i="1"/>
  <c r="H5399" i="1"/>
  <c r="F5399" i="1"/>
  <c r="D5399" i="1"/>
  <c r="C5399" i="1"/>
  <c r="H5398" i="1"/>
  <c r="F5398" i="1"/>
  <c r="D5398" i="1"/>
  <c r="C5398" i="1"/>
  <c r="H5397" i="1"/>
  <c r="F5397" i="1"/>
  <c r="D5397" i="1"/>
  <c r="C5397" i="1"/>
  <c r="H5396" i="1"/>
  <c r="F5396" i="1"/>
  <c r="D5396" i="1"/>
  <c r="C5396" i="1"/>
  <c r="H5395" i="1"/>
  <c r="F5395" i="1"/>
  <c r="D5395" i="1"/>
  <c r="C5395" i="1"/>
  <c r="H5394" i="1"/>
  <c r="F5394" i="1"/>
  <c r="D5394" i="1"/>
  <c r="C5394" i="1"/>
  <c r="H5393" i="1"/>
  <c r="F5393" i="1"/>
  <c r="D5393" i="1"/>
  <c r="C5393" i="1"/>
  <c r="H5392" i="1"/>
  <c r="F5392" i="1"/>
  <c r="D5392" i="1"/>
  <c r="C5392" i="1"/>
  <c r="H5391" i="1"/>
  <c r="F5391" i="1"/>
  <c r="D5391" i="1"/>
  <c r="C5391" i="1"/>
  <c r="H5390" i="1"/>
  <c r="F5390" i="1"/>
  <c r="D5390" i="1"/>
  <c r="C5390" i="1"/>
  <c r="H5389" i="1"/>
  <c r="F5389" i="1"/>
  <c r="D5389" i="1"/>
  <c r="C5389" i="1"/>
  <c r="H5388" i="1"/>
  <c r="F5388" i="1"/>
  <c r="D5388" i="1"/>
  <c r="C5388" i="1"/>
  <c r="H5387" i="1"/>
  <c r="F5387" i="1"/>
  <c r="D5387" i="1"/>
  <c r="C5387" i="1"/>
  <c r="H5386" i="1"/>
  <c r="F5386" i="1"/>
  <c r="D5386" i="1"/>
  <c r="C5386" i="1"/>
  <c r="H5385" i="1"/>
  <c r="F5385" i="1"/>
  <c r="D5385" i="1"/>
  <c r="C5385" i="1"/>
  <c r="H5384" i="1"/>
  <c r="F5384" i="1"/>
  <c r="D5384" i="1"/>
  <c r="C5384" i="1"/>
  <c r="H5383" i="1"/>
  <c r="F5383" i="1"/>
  <c r="D5383" i="1"/>
  <c r="C5383" i="1"/>
  <c r="H5382" i="1"/>
  <c r="F5382" i="1"/>
  <c r="D5382" i="1"/>
  <c r="C5382" i="1"/>
  <c r="H5381" i="1"/>
  <c r="F5381" i="1"/>
  <c r="D5381" i="1"/>
  <c r="C5381" i="1"/>
  <c r="H5380" i="1"/>
  <c r="F5380" i="1"/>
  <c r="D5380" i="1"/>
  <c r="C5380" i="1"/>
  <c r="H5379" i="1"/>
  <c r="F5379" i="1"/>
  <c r="D5379" i="1"/>
  <c r="C5379" i="1"/>
  <c r="H5378" i="1"/>
  <c r="F5378" i="1"/>
  <c r="D5378" i="1"/>
  <c r="C5378" i="1"/>
  <c r="H5377" i="1"/>
  <c r="F5377" i="1"/>
  <c r="D5377" i="1"/>
  <c r="C5377" i="1"/>
  <c r="H5376" i="1"/>
  <c r="F5376" i="1"/>
  <c r="D5376" i="1"/>
  <c r="C5376" i="1"/>
  <c r="H5375" i="1"/>
  <c r="F5375" i="1"/>
  <c r="D5375" i="1"/>
  <c r="C5375" i="1"/>
  <c r="H5374" i="1"/>
  <c r="F5374" i="1"/>
  <c r="D5374" i="1"/>
  <c r="C5374" i="1"/>
  <c r="H5373" i="1"/>
  <c r="F5373" i="1"/>
  <c r="D5373" i="1"/>
  <c r="C5373" i="1"/>
  <c r="H5372" i="1"/>
  <c r="F5372" i="1"/>
  <c r="D5372" i="1"/>
  <c r="C5372" i="1"/>
  <c r="H5371" i="1"/>
  <c r="F5371" i="1"/>
  <c r="D5371" i="1"/>
  <c r="C5371" i="1"/>
  <c r="H5370" i="1"/>
  <c r="F5370" i="1"/>
  <c r="D5370" i="1"/>
  <c r="C5370" i="1"/>
  <c r="H5369" i="1"/>
  <c r="F5369" i="1"/>
  <c r="D5369" i="1"/>
  <c r="C5369" i="1"/>
  <c r="H5368" i="1"/>
  <c r="F5368" i="1"/>
  <c r="D5368" i="1"/>
  <c r="C5368" i="1"/>
  <c r="H5367" i="1"/>
  <c r="F5367" i="1"/>
  <c r="D5367" i="1"/>
  <c r="C5367" i="1"/>
  <c r="H5366" i="1"/>
  <c r="F5366" i="1"/>
  <c r="D5366" i="1"/>
  <c r="C5366" i="1"/>
  <c r="H5365" i="1"/>
  <c r="F5365" i="1"/>
  <c r="D5365" i="1"/>
  <c r="C5365" i="1"/>
  <c r="H5364" i="1"/>
  <c r="F5364" i="1"/>
  <c r="D5364" i="1"/>
  <c r="C5364" i="1"/>
  <c r="H5363" i="1"/>
  <c r="F5363" i="1"/>
  <c r="D5363" i="1"/>
  <c r="C5363" i="1"/>
  <c r="H5362" i="1"/>
  <c r="F5362" i="1"/>
  <c r="D5362" i="1"/>
  <c r="C5362" i="1"/>
  <c r="H5361" i="1"/>
  <c r="F5361" i="1"/>
  <c r="D5361" i="1"/>
  <c r="C5361" i="1"/>
  <c r="H5360" i="1"/>
  <c r="F5360" i="1"/>
  <c r="D5360" i="1"/>
  <c r="C5360" i="1"/>
  <c r="H5359" i="1"/>
  <c r="F5359" i="1"/>
  <c r="D5359" i="1"/>
  <c r="C5359" i="1"/>
  <c r="H5358" i="1"/>
  <c r="F5358" i="1"/>
  <c r="D5358" i="1"/>
  <c r="C5358" i="1"/>
  <c r="H5357" i="1"/>
  <c r="F5357" i="1"/>
  <c r="D5357" i="1"/>
  <c r="C5357" i="1"/>
  <c r="H5356" i="1"/>
  <c r="F5356" i="1"/>
  <c r="D5356" i="1"/>
  <c r="C5356" i="1"/>
  <c r="H5355" i="1"/>
  <c r="F5355" i="1"/>
  <c r="D5355" i="1"/>
  <c r="C5355" i="1"/>
  <c r="H5354" i="1"/>
  <c r="F5354" i="1"/>
  <c r="D5354" i="1"/>
  <c r="C5354" i="1"/>
  <c r="H5353" i="1"/>
  <c r="F5353" i="1"/>
  <c r="D5353" i="1"/>
  <c r="C5353" i="1"/>
  <c r="H5352" i="1"/>
  <c r="F5352" i="1"/>
  <c r="D5352" i="1"/>
  <c r="C5352" i="1"/>
  <c r="H5351" i="1"/>
  <c r="F5351" i="1"/>
  <c r="D5351" i="1"/>
  <c r="C5351" i="1"/>
  <c r="H5350" i="1"/>
  <c r="F5350" i="1"/>
  <c r="D5350" i="1"/>
  <c r="C5350" i="1"/>
  <c r="H5349" i="1"/>
  <c r="F5349" i="1"/>
  <c r="D5349" i="1"/>
  <c r="C5349" i="1"/>
  <c r="H5348" i="1"/>
  <c r="F5348" i="1"/>
  <c r="D5348" i="1"/>
  <c r="C5348" i="1"/>
  <c r="H5347" i="1"/>
  <c r="F5347" i="1"/>
  <c r="D5347" i="1"/>
  <c r="C5347" i="1"/>
  <c r="H5346" i="1"/>
  <c r="F5346" i="1"/>
  <c r="D5346" i="1"/>
  <c r="C5346" i="1"/>
  <c r="H5345" i="1"/>
  <c r="F5345" i="1"/>
  <c r="D5345" i="1"/>
  <c r="C5345" i="1"/>
  <c r="H5344" i="1"/>
  <c r="F5344" i="1"/>
  <c r="D5344" i="1"/>
  <c r="C5344" i="1"/>
  <c r="H5343" i="1"/>
  <c r="F5343" i="1"/>
  <c r="D5343" i="1"/>
  <c r="C5343" i="1"/>
  <c r="H5342" i="1"/>
  <c r="F5342" i="1"/>
  <c r="D5342" i="1"/>
  <c r="C5342" i="1"/>
  <c r="H5341" i="1"/>
  <c r="F5341" i="1"/>
  <c r="D5341" i="1"/>
  <c r="C5341" i="1"/>
  <c r="H5340" i="1"/>
  <c r="F5340" i="1"/>
  <c r="D5340" i="1"/>
  <c r="C5340" i="1"/>
  <c r="H5339" i="1"/>
  <c r="F5339" i="1"/>
  <c r="D5339" i="1"/>
  <c r="C5339" i="1"/>
  <c r="H5338" i="1"/>
  <c r="F5338" i="1"/>
  <c r="D5338" i="1"/>
  <c r="C5338" i="1"/>
  <c r="H5337" i="1"/>
  <c r="F5337" i="1"/>
  <c r="D5337" i="1"/>
  <c r="C5337" i="1"/>
  <c r="H5336" i="1"/>
  <c r="F5336" i="1"/>
  <c r="D5336" i="1"/>
  <c r="C5336" i="1"/>
  <c r="H5335" i="1"/>
  <c r="F5335" i="1"/>
  <c r="D5335" i="1"/>
  <c r="C5335" i="1"/>
  <c r="H5334" i="1"/>
  <c r="F5334" i="1"/>
  <c r="D5334" i="1"/>
  <c r="C5334" i="1"/>
  <c r="H5333" i="1"/>
  <c r="F5333" i="1"/>
  <c r="D5333" i="1"/>
  <c r="C5333" i="1"/>
  <c r="H5332" i="1"/>
  <c r="F5332" i="1"/>
  <c r="D5332" i="1"/>
  <c r="C5332" i="1"/>
  <c r="H5331" i="1"/>
  <c r="F5331" i="1"/>
  <c r="D5331" i="1"/>
  <c r="C5331" i="1"/>
  <c r="H5330" i="1"/>
  <c r="F5330" i="1"/>
  <c r="D5330" i="1"/>
  <c r="C5330" i="1"/>
  <c r="H5329" i="1"/>
  <c r="F5329" i="1"/>
  <c r="D5329" i="1"/>
  <c r="C5329" i="1"/>
  <c r="H5328" i="1"/>
  <c r="F5328" i="1"/>
  <c r="D5328" i="1"/>
  <c r="C5328" i="1"/>
  <c r="H5327" i="1"/>
  <c r="F5327" i="1"/>
  <c r="D5327" i="1"/>
  <c r="C5327" i="1"/>
  <c r="H5326" i="1"/>
  <c r="F5326" i="1"/>
  <c r="D5326" i="1"/>
  <c r="C5326" i="1"/>
  <c r="H5325" i="1"/>
  <c r="F5325" i="1"/>
  <c r="D5325" i="1"/>
  <c r="C5325" i="1"/>
  <c r="H5324" i="1"/>
  <c r="F5324" i="1"/>
  <c r="D5324" i="1"/>
  <c r="C5324" i="1"/>
  <c r="H5323" i="1"/>
  <c r="F5323" i="1"/>
  <c r="D5323" i="1"/>
  <c r="C5323" i="1"/>
  <c r="H5322" i="1"/>
  <c r="F5322" i="1"/>
  <c r="D5322" i="1"/>
  <c r="C5322" i="1"/>
  <c r="H5321" i="1"/>
  <c r="F5321" i="1"/>
  <c r="D5321" i="1"/>
  <c r="C5321" i="1"/>
  <c r="H5320" i="1"/>
  <c r="F5320" i="1"/>
  <c r="D5320" i="1"/>
  <c r="C5320" i="1"/>
  <c r="H5319" i="1"/>
  <c r="F5319" i="1"/>
  <c r="D5319" i="1"/>
  <c r="C5319" i="1"/>
  <c r="H5318" i="1"/>
  <c r="F5318" i="1"/>
  <c r="D5318" i="1"/>
  <c r="C5318" i="1"/>
  <c r="H5317" i="1"/>
  <c r="F5317" i="1"/>
  <c r="D5317" i="1"/>
  <c r="C5317" i="1"/>
  <c r="H5316" i="1"/>
  <c r="F5316" i="1"/>
  <c r="D5316" i="1"/>
  <c r="C5316" i="1"/>
  <c r="H5315" i="1"/>
  <c r="F5315" i="1"/>
  <c r="D5315" i="1"/>
  <c r="C5315" i="1"/>
  <c r="H5314" i="1"/>
  <c r="F5314" i="1"/>
  <c r="D5314" i="1"/>
  <c r="C5314" i="1"/>
  <c r="H5313" i="1"/>
  <c r="F5313" i="1"/>
  <c r="D5313" i="1"/>
  <c r="C5313" i="1"/>
  <c r="H5312" i="1"/>
  <c r="F5312" i="1"/>
  <c r="D5312" i="1"/>
  <c r="C5312" i="1"/>
  <c r="H5311" i="1"/>
  <c r="F5311" i="1"/>
  <c r="D5311" i="1"/>
  <c r="C5311" i="1"/>
  <c r="H5310" i="1"/>
  <c r="F5310" i="1"/>
  <c r="D5310" i="1"/>
  <c r="C5310" i="1"/>
  <c r="H5309" i="1"/>
  <c r="F5309" i="1"/>
  <c r="D5309" i="1"/>
  <c r="C5309" i="1"/>
  <c r="H5308" i="1"/>
  <c r="F5308" i="1"/>
  <c r="D5308" i="1"/>
  <c r="C5308" i="1"/>
  <c r="H5307" i="1"/>
  <c r="F5307" i="1"/>
  <c r="D5307" i="1"/>
  <c r="C5307" i="1"/>
  <c r="H5306" i="1"/>
  <c r="F5306" i="1"/>
  <c r="D5306" i="1"/>
  <c r="C5306" i="1"/>
  <c r="H5305" i="1"/>
  <c r="F5305" i="1"/>
  <c r="D5305" i="1"/>
  <c r="C5305" i="1"/>
  <c r="H5304" i="1"/>
  <c r="F5304" i="1"/>
  <c r="D5304" i="1"/>
  <c r="C5304" i="1"/>
  <c r="H5303" i="1"/>
  <c r="F5303" i="1"/>
  <c r="D5303" i="1"/>
  <c r="C5303" i="1"/>
  <c r="H5302" i="1"/>
  <c r="F5302" i="1"/>
  <c r="D5302" i="1"/>
  <c r="C5302" i="1"/>
  <c r="H5301" i="1"/>
  <c r="F5301" i="1"/>
  <c r="D5301" i="1"/>
  <c r="C5301" i="1"/>
  <c r="H5300" i="1"/>
  <c r="F5300" i="1"/>
  <c r="D5300" i="1"/>
  <c r="C5300" i="1"/>
  <c r="H5299" i="1"/>
  <c r="F5299" i="1"/>
  <c r="D5299" i="1"/>
  <c r="C5299" i="1"/>
  <c r="H5298" i="1"/>
  <c r="F5298" i="1"/>
  <c r="D5298" i="1"/>
  <c r="C5298" i="1"/>
  <c r="H5297" i="1"/>
  <c r="F5297" i="1"/>
  <c r="D5297" i="1"/>
  <c r="C5297" i="1"/>
  <c r="H5296" i="1"/>
  <c r="F5296" i="1"/>
  <c r="D5296" i="1"/>
  <c r="C5296" i="1"/>
  <c r="H5295" i="1"/>
  <c r="F5295" i="1"/>
  <c r="D5295" i="1"/>
  <c r="C5295" i="1"/>
  <c r="H5294" i="1"/>
  <c r="F5294" i="1"/>
  <c r="D5294" i="1"/>
  <c r="C5294" i="1"/>
  <c r="H5293" i="1"/>
  <c r="F5293" i="1"/>
  <c r="D5293" i="1"/>
  <c r="C5293" i="1"/>
  <c r="H5292" i="1"/>
  <c r="F5292" i="1"/>
  <c r="D5292" i="1"/>
  <c r="C5292" i="1"/>
  <c r="H5291" i="1"/>
  <c r="F5291" i="1"/>
  <c r="D5291" i="1"/>
  <c r="C5291" i="1"/>
  <c r="H5290" i="1"/>
  <c r="F5290" i="1"/>
  <c r="D5290" i="1"/>
  <c r="C5290" i="1"/>
  <c r="H5289" i="1"/>
  <c r="F5289" i="1"/>
  <c r="D5289" i="1"/>
  <c r="C5289" i="1"/>
  <c r="H5288" i="1"/>
  <c r="F5288" i="1"/>
  <c r="D5288" i="1"/>
  <c r="C5288" i="1"/>
  <c r="H5287" i="1"/>
  <c r="F5287" i="1"/>
  <c r="D5287" i="1"/>
  <c r="C5287" i="1"/>
  <c r="H5286" i="1"/>
  <c r="F5286" i="1"/>
  <c r="D5286" i="1"/>
  <c r="C5286" i="1"/>
  <c r="H5285" i="1"/>
  <c r="F5285" i="1"/>
  <c r="D5285" i="1"/>
  <c r="C5285" i="1"/>
  <c r="H5284" i="1"/>
  <c r="F5284" i="1"/>
  <c r="D5284" i="1"/>
  <c r="C5284" i="1"/>
  <c r="H5283" i="1"/>
  <c r="F5283" i="1"/>
  <c r="D5283" i="1"/>
  <c r="C5283" i="1"/>
  <c r="H5282" i="1"/>
  <c r="F5282" i="1"/>
  <c r="D5282" i="1"/>
  <c r="C5282" i="1"/>
  <c r="H5281" i="1"/>
  <c r="F5281" i="1"/>
  <c r="D5281" i="1"/>
  <c r="C5281" i="1"/>
  <c r="H5280" i="1"/>
  <c r="F5280" i="1"/>
  <c r="D5280" i="1"/>
  <c r="C5280" i="1"/>
  <c r="H5279" i="1"/>
  <c r="F5279" i="1"/>
  <c r="D5279" i="1"/>
  <c r="C5279" i="1"/>
  <c r="H5278" i="1"/>
  <c r="F5278" i="1"/>
  <c r="D5278" i="1"/>
  <c r="C5278" i="1"/>
  <c r="H5277" i="1"/>
  <c r="F5277" i="1"/>
  <c r="D5277" i="1"/>
  <c r="C5277" i="1"/>
  <c r="H5276" i="1"/>
  <c r="F5276" i="1"/>
  <c r="D5276" i="1"/>
  <c r="C5276" i="1"/>
  <c r="H5275" i="1"/>
  <c r="F5275" i="1"/>
  <c r="D5275" i="1"/>
  <c r="C5275" i="1"/>
  <c r="H5274" i="1"/>
  <c r="F5274" i="1"/>
  <c r="D5274" i="1"/>
  <c r="C5274" i="1"/>
  <c r="H5273" i="1"/>
  <c r="F5273" i="1"/>
  <c r="D5273" i="1"/>
  <c r="C5273" i="1"/>
  <c r="H5272" i="1"/>
  <c r="F5272" i="1"/>
  <c r="D5272" i="1"/>
  <c r="C5272" i="1"/>
  <c r="H5271" i="1"/>
  <c r="F5271" i="1"/>
  <c r="D5271" i="1"/>
  <c r="C5271" i="1"/>
  <c r="H5270" i="1"/>
  <c r="F5270" i="1"/>
  <c r="D5270" i="1"/>
  <c r="C5270" i="1"/>
  <c r="H5269" i="1"/>
  <c r="F5269" i="1"/>
  <c r="D5269" i="1"/>
  <c r="C5269" i="1"/>
  <c r="H5268" i="1"/>
  <c r="F5268" i="1"/>
  <c r="D5268" i="1"/>
  <c r="C5268" i="1"/>
  <c r="H5267" i="1"/>
  <c r="F5267" i="1"/>
  <c r="D5267" i="1"/>
  <c r="C5267" i="1"/>
  <c r="H5266" i="1"/>
  <c r="F5266" i="1"/>
  <c r="D5266" i="1"/>
  <c r="C5266" i="1"/>
  <c r="H5265" i="1"/>
  <c r="F5265" i="1"/>
  <c r="D5265" i="1"/>
  <c r="C5265" i="1"/>
  <c r="H5264" i="1"/>
  <c r="F5264" i="1"/>
  <c r="D5264" i="1"/>
  <c r="C5264" i="1"/>
  <c r="H5263" i="1"/>
  <c r="F5263" i="1"/>
  <c r="D5263" i="1"/>
  <c r="C5263" i="1"/>
  <c r="H5262" i="1"/>
  <c r="F5262" i="1"/>
  <c r="D5262" i="1"/>
  <c r="C5262" i="1"/>
  <c r="H5261" i="1"/>
  <c r="F5261" i="1"/>
  <c r="D5261" i="1"/>
  <c r="C5261" i="1"/>
  <c r="H5260" i="1"/>
  <c r="F5260" i="1"/>
  <c r="D5260" i="1"/>
  <c r="C5260" i="1"/>
  <c r="H5259" i="1"/>
  <c r="F5259" i="1"/>
  <c r="D5259" i="1"/>
  <c r="C5259" i="1"/>
  <c r="H5258" i="1"/>
  <c r="F5258" i="1"/>
  <c r="D5258" i="1"/>
  <c r="C5258" i="1"/>
  <c r="H5257" i="1"/>
  <c r="F5257" i="1"/>
  <c r="D5257" i="1"/>
  <c r="C5257" i="1"/>
  <c r="H5256" i="1"/>
  <c r="F5256" i="1"/>
  <c r="D5256" i="1"/>
  <c r="C5256" i="1"/>
  <c r="H5255" i="1"/>
  <c r="F5255" i="1"/>
  <c r="D5255" i="1"/>
  <c r="C5255" i="1"/>
  <c r="H5254" i="1"/>
  <c r="F5254" i="1"/>
  <c r="D5254" i="1"/>
  <c r="C5254" i="1"/>
  <c r="H5253" i="1"/>
  <c r="F5253" i="1"/>
  <c r="D5253" i="1"/>
  <c r="C5253" i="1"/>
  <c r="H5252" i="1"/>
  <c r="F5252" i="1"/>
  <c r="D5252" i="1"/>
  <c r="C5252" i="1"/>
  <c r="H5251" i="1"/>
  <c r="F5251" i="1"/>
  <c r="D5251" i="1"/>
  <c r="C5251" i="1"/>
  <c r="H5250" i="1"/>
  <c r="F5250" i="1"/>
  <c r="D5250" i="1"/>
  <c r="C5250" i="1"/>
  <c r="H5249" i="1"/>
  <c r="F5249" i="1"/>
  <c r="D5249" i="1"/>
  <c r="C5249" i="1"/>
  <c r="H5248" i="1"/>
  <c r="F5248" i="1"/>
  <c r="D5248" i="1"/>
  <c r="C5248" i="1"/>
  <c r="H5247" i="1"/>
  <c r="F5247" i="1"/>
  <c r="D5247" i="1"/>
  <c r="C5247" i="1"/>
  <c r="H5246" i="1"/>
  <c r="F5246" i="1"/>
  <c r="D5246" i="1"/>
  <c r="C5246" i="1"/>
  <c r="H5245" i="1"/>
  <c r="F5245" i="1"/>
  <c r="D5245" i="1"/>
  <c r="C5245" i="1"/>
  <c r="H5244" i="1"/>
  <c r="F5244" i="1"/>
  <c r="D5244" i="1"/>
  <c r="C5244" i="1"/>
  <c r="H5243" i="1"/>
  <c r="F5243" i="1"/>
  <c r="D5243" i="1"/>
  <c r="C5243" i="1"/>
  <c r="H5242" i="1"/>
  <c r="F5242" i="1"/>
  <c r="D5242" i="1"/>
  <c r="C5242" i="1"/>
  <c r="H5241" i="1"/>
  <c r="F5241" i="1"/>
  <c r="D5241" i="1"/>
  <c r="C5241" i="1"/>
  <c r="H5240" i="1"/>
  <c r="F5240" i="1"/>
  <c r="D5240" i="1"/>
  <c r="C5240" i="1"/>
  <c r="H5239" i="1"/>
  <c r="F5239" i="1"/>
  <c r="D5239" i="1"/>
  <c r="C5239" i="1"/>
  <c r="H5238" i="1"/>
  <c r="F5238" i="1"/>
  <c r="D5238" i="1"/>
  <c r="C5238" i="1"/>
  <c r="H5237" i="1"/>
  <c r="F5237" i="1"/>
  <c r="D5237" i="1"/>
  <c r="C5237" i="1"/>
  <c r="H5236" i="1"/>
  <c r="F5236" i="1"/>
  <c r="D5236" i="1"/>
  <c r="C5236" i="1"/>
  <c r="H5235" i="1"/>
  <c r="F5235" i="1"/>
  <c r="D5235" i="1"/>
  <c r="C5235" i="1"/>
  <c r="H5234" i="1"/>
  <c r="F5234" i="1"/>
  <c r="D5234" i="1"/>
  <c r="C5234" i="1"/>
  <c r="H5233" i="1"/>
  <c r="F5233" i="1"/>
  <c r="D5233" i="1"/>
  <c r="C5233" i="1"/>
  <c r="H5232" i="1"/>
  <c r="F5232" i="1"/>
  <c r="D5232" i="1"/>
  <c r="C5232" i="1"/>
  <c r="H5231" i="1"/>
  <c r="F5231" i="1"/>
  <c r="D5231" i="1"/>
  <c r="C5231" i="1"/>
  <c r="H5230" i="1"/>
  <c r="F5230" i="1"/>
  <c r="D5230" i="1"/>
  <c r="C5230" i="1"/>
  <c r="H5229" i="1"/>
  <c r="F5229" i="1"/>
  <c r="D5229" i="1"/>
  <c r="C5229" i="1"/>
  <c r="H5228" i="1"/>
  <c r="F5228" i="1"/>
  <c r="D5228" i="1"/>
  <c r="C5228" i="1"/>
  <c r="H5227" i="1"/>
  <c r="F5227" i="1"/>
  <c r="D5227" i="1"/>
  <c r="C5227" i="1"/>
  <c r="H5226" i="1"/>
  <c r="F5226" i="1"/>
  <c r="D5226" i="1"/>
  <c r="C5226" i="1"/>
  <c r="H5225" i="1"/>
  <c r="F5225" i="1"/>
  <c r="D5225" i="1"/>
  <c r="C5225" i="1"/>
  <c r="H5224" i="1"/>
  <c r="F5224" i="1"/>
  <c r="D5224" i="1"/>
  <c r="C5224" i="1"/>
  <c r="H5223" i="1"/>
  <c r="F5223" i="1"/>
  <c r="D5223" i="1"/>
  <c r="C5223" i="1"/>
  <c r="H5222" i="1"/>
  <c r="F5222" i="1"/>
  <c r="D5222" i="1"/>
  <c r="C5222" i="1"/>
  <c r="H5221" i="1"/>
  <c r="F5221" i="1"/>
  <c r="D5221" i="1"/>
  <c r="C5221" i="1"/>
  <c r="H5220" i="1"/>
  <c r="F5220" i="1"/>
  <c r="D5220" i="1"/>
  <c r="C5220" i="1"/>
  <c r="H5219" i="1"/>
  <c r="F5219" i="1"/>
  <c r="D5219" i="1"/>
  <c r="C5219" i="1"/>
  <c r="H5218" i="1"/>
  <c r="F5218" i="1"/>
  <c r="D5218" i="1"/>
  <c r="C5218" i="1"/>
  <c r="H5217" i="1"/>
  <c r="F5217" i="1"/>
  <c r="D5217" i="1"/>
  <c r="C5217" i="1"/>
  <c r="H5216" i="1"/>
  <c r="F5216" i="1"/>
  <c r="D5216" i="1"/>
  <c r="C5216" i="1"/>
  <c r="H5215" i="1"/>
  <c r="F5215" i="1"/>
  <c r="D5215" i="1"/>
  <c r="C5215" i="1"/>
  <c r="H5214" i="1"/>
  <c r="F5214" i="1"/>
  <c r="D5214" i="1"/>
  <c r="C5214" i="1"/>
  <c r="H5213" i="1"/>
  <c r="F5213" i="1"/>
  <c r="D5213" i="1"/>
  <c r="C5213" i="1"/>
  <c r="H5212" i="1"/>
  <c r="F5212" i="1"/>
  <c r="D5212" i="1"/>
  <c r="C5212" i="1"/>
  <c r="H5211" i="1"/>
  <c r="F5211" i="1"/>
  <c r="D5211" i="1"/>
  <c r="C5211" i="1"/>
  <c r="H5210" i="1"/>
  <c r="F5210" i="1"/>
  <c r="D5210" i="1"/>
  <c r="C5210" i="1"/>
  <c r="H5209" i="1"/>
  <c r="F5209" i="1"/>
  <c r="D5209" i="1"/>
  <c r="C5209" i="1"/>
  <c r="H5208" i="1"/>
  <c r="F5208" i="1"/>
  <c r="D5208" i="1"/>
  <c r="C5208" i="1"/>
  <c r="H5207" i="1"/>
  <c r="F5207" i="1"/>
  <c r="D5207" i="1"/>
  <c r="C5207" i="1"/>
  <c r="H5206" i="1"/>
  <c r="F5206" i="1"/>
  <c r="D5206" i="1"/>
  <c r="C5206" i="1"/>
  <c r="H5205" i="1"/>
  <c r="F5205" i="1"/>
  <c r="D5205" i="1"/>
  <c r="C5205" i="1"/>
  <c r="H5204" i="1"/>
  <c r="F5204" i="1"/>
  <c r="D5204" i="1"/>
  <c r="C5204" i="1"/>
  <c r="H5203" i="1"/>
  <c r="F5203" i="1"/>
  <c r="D5203" i="1"/>
  <c r="C5203" i="1"/>
  <c r="H5202" i="1"/>
  <c r="F5202" i="1"/>
  <c r="D5202" i="1"/>
  <c r="C5202" i="1"/>
  <c r="H5201" i="1"/>
  <c r="F5201" i="1"/>
  <c r="D5201" i="1"/>
  <c r="C5201" i="1"/>
  <c r="H5200" i="1"/>
  <c r="F5200" i="1"/>
  <c r="D5200" i="1"/>
  <c r="C5200" i="1"/>
  <c r="H5199" i="1"/>
  <c r="F5199" i="1"/>
  <c r="D5199" i="1"/>
  <c r="C5199" i="1"/>
  <c r="H5198" i="1"/>
  <c r="F5198" i="1"/>
  <c r="D5198" i="1"/>
  <c r="C5198" i="1"/>
  <c r="H5197" i="1"/>
  <c r="F5197" i="1"/>
  <c r="D5197" i="1"/>
  <c r="C5197" i="1"/>
  <c r="H5196" i="1"/>
  <c r="F5196" i="1"/>
  <c r="D5196" i="1"/>
  <c r="C5196" i="1"/>
  <c r="H5195" i="1"/>
  <c r="F5195" i="1"/>
  <c r="D5195" i="1"/>
  <c r="C5195" i="1"/>
  <c r="H5194" i="1"/>
  <c r="F5194" i="1"/>
  <c r="D5194" i="1"/>
  <c r="C5194" i="1"/>
  <c r="H5193" i="1"/>
  <c r="F5193" i="1"/>
  <c r="D5193" i="1"/>
  <c r="C5193" i="1"/>
  <c r="H5192" i="1"/>
  <c r="F5192" i="1"/>
  <c r="D5192" i="1"/>
  <c r="C5192" i="1"/>
  <c r="H5191" i="1"/>
  <c r="F5191" i="1"/>
  <c r="D5191" i="1"/>
  <c r="C5191" i="1"/>
  <c r="H5190" i="1"/>
  <c r="F5190" i="1"/>
  <c r="D5190" i="1"/>
  <c r="C5190" i="1"/>
  <c r="H5189" i="1"/>
  <c r="F5189" i="1"/>
  <c r="D5189" i="1"/>
  <c r="C5189" i="1"/>
  <c r="H5188" i="1"/>
  <c r="F5188" i="1"/>
  <c r="D5188" i="1"/>
  <c r="C5188" i="1"/>
  <c r="H5187" i="1"/>
  <c r="F5187" i="1"/>
  <c r="D5187" i="1"/>
  <c r="C5187" i="1"/>
  <c r="H5186" i="1"/>
  <c r="F5186" i="1"/>
  <c r="D5186" i="1"/>
  <c r="C5186" i="1"/>
  <c r="H5185" i="1"/>
  <c r="F5185" i="1"/>
  <c r="D5185" i="1"/>
  <c r="C5185" i="1"/>
  <c r="H5184" i="1"/>
  <c r="F5184" i="1"/>
  <c r="D5184" i="1"/>
  <c r="C5184" i="1"/>
  <c r="H5183" i="1"/>
  <c r="F5183" i="1"/>
  <c r="D5183" i="1"/>
  <c r="C5183" i="1"/>
  <c r="H5182" i="1"/>
  <c r="F5182" i="1"/>
  <c r="D5182" i="1"/>
  <c r="C5182" i="1"/>
  <c r="H5181" i="1"/>
  <c r="F5181" i="1"/>
  <c r="D5181" i="1"/>
  <c r="C5181" i="1"/>
  <c r="H5180" i="1"/>
  <c r="F5180" i="1"/>
  <c r="D5180" i="1"/>
  <c r="C5180" i="1"/>
  <c r="H5179" i="1"/>
  <c r="F5179" i="1"/>
  <c r="D5179" i="1"/>
  <c r="C5179" i="1"/>
  <c r="H5178" i="1"/>
  <c r="F5178" i="1"/>
  <c r="D5178" i="1"/>
  <c r="C5178" i="1"/>
  <c r="H5177" i="1"/>
  <c r="F5177" i="1"/>
  <c r="D5177" i="1"/>
  <c r="C5177" i="1"/>
  <c r="H5176" i="1"/>
  <c r="F5176" i="1"/>
  <c r="D5176" i="1"/>
  <c r="C5176" i="1"/>
  <c r="H5175" i="1"/>
  <c r="F5175" i="1"/>
  <c r="D5175" i="1"/>
  <c r="C5175" i="1"/>
  <c r="H5174" i="1"/>
  <c r="F5174" i="1"/>
  <c r="D5174" i="1"/>
  <c r="C5174" i="1"/>
  <c r="H5173" i="1"/>
  <c r="F5173" i="1"/>
  <c r="D5173" i="1"/>
  <c r="C5173" i="1"/>
  <c r="H5172" i="1"/>
  <c r="F5172" i="1"/>
  <c r="D5172" i="1"/>
  <c r="C5172" i="1"/>
  <c r="H5171" i="1"/>
  <c r="F5171" i="1"/>
  <c r="D5171" i="1"/>
  <c r="C5171" i="1"/>
  <c r="H5170" i="1"/>
  <c r="F5170" i="1"/>
  <c r="D5170" i="1"/>
  <c r="C5170" i="1"/>
  <c r="H5169" i="1"/>
  <c r="F5169" i="1"/>
  <c r="D5169" i="1"/>
  <c r="C5169" i="1"/>
  <c r="H5168" i="1"/>
  <c r="F5168" i="1"/>
  <c r="D5168" i="1"/>
  <c r="C5168" i="1"/>
  <c r="H5167" i="1"/>
  <c r="F5167" i="1"/>
  <c r="D5167" i="1"/>
  <c r="C5167" i="1"/>
  <c r="H5166" i="1"/>
  <c r="F5166" i="1"/>
  <c r="D5166" i="1"/>
  <c r="C5166" i="1"/>
  <c r="H5165" i="1"/>
  <c r="F5165" i="1"/>
  <c r="D5165" i="1"/>
  <c r="C5165" i="1"/>
  <c r="H5164" i="1"/>
  <c r="F5164" i="1"/>
  <c r="D5164" i="1"/>
  <c r="C5164" i="1"/>
  <c r="H5163" i="1"/>
  <c r="F5163" i="1"/>
  <c r="D5163" i="1"/>
  <c r="C5163" i="1"/>
  <c r="H5162" i="1"/>
  <c r="F5162" i="1"/>
  <c r="D5162" i="1"/>
  <c r="C5162" i="1"/>
  <c r="H5161" i="1"/>
  <c r="F5161" i="1"/>
  <c r="D5161" i="1"/>
  <c r="C5161" i="1"/>
  <c r="H5160" i="1"/>
  <c r="F5160" i="1"/>
  <c r="D5160" i="1"/>
  <c r="C5160" i="1"/>
  <c r="H5159" i="1"/>
  <c r="F5159" i="1"/>
  <c r="D5159" i="1"/>
  <c r="C5159" i="1"/>
  <c r="H5158" i="1"/>
  <c r="F5158" i="1"/>
  <c r="D5158" i="1"/>
  <c r="C5158" i="1"/>
  <c r="H5157" i="1"/>
  <c r="F5157" i="1"/>
  <c r="D5157" i="1"/>
  <c r="C5157" i="1"/>
  <c r="H5156" i="1"/>
  <c r="F5156" i="1"/>
  <c r="D5156" i="1"/>
  <c r="C5156" i="1"/>
  <c r="H5155" i="1"/>
  <c r="F5155" i="1"/>
  <c r="D5155" i="1"/>
  <c r="C5155" i="1"/>
  <c r="H5154" i="1"/>
  <c r="F5154" i="1"/>
  <c r="D5154" i="1"/>
  <c r="C5154" i="1"/>
  <c r="H5153" i="1"/>
  <c r="F5153" i="1"/>
  <c r="D5153" i="1"/>
  <c r="C5153" i="1"/>
  <c r="H5152" i="1"/>
  <c r="F5152" i="1"/>
  <c r="D5152" i="1"/>
  <c r="C5152" i="1"/>
  <c r="H5151" i="1"/>
  <c r="F5151" i="1"/>
  <c r="D5151" i="1"/>
  <c r="C5151" i="1"/>
  <c r="H5150" i="1"/>
  <c r="F5150" i="1"/>
  <c r="D5150" i="1"/>
  <c r="C5150" i="1"/>
  <c r="H5149" i="1"/>
  <c r="F5149" i="1"/>
  <c r="D5149" i="1"/>
  <c r="C5149" i="1"/>
  <c r="H5148" i="1"/>
  <c r="F5148" i="1"/>
  <c r="D5148" i="1"/>
  <c r="C5148" i="1"/>
  <c r="H5147" i="1"/>
  <c r="F5147" i="1"/>
  <c r="D5147" i="1"/>
  <c r="C5147" i="1"/>
  <c r="H5146" i="1"/>
  <c r="F5146" i="1"/>
  <c r="D5146" i="1"/>
  <c r="C5146" i="1"/>
  <c r="H5145" i="1"/>
  <c r="F5145" i="1"/>
  <c r="D5145" i="1"/>
  <c r="C5145" i="1"/>
  <c r="H5144" i="1"/>
  <c r="F5144" i="1"/>
  <c r="D5144" i="1"/>
  <c r="C5144" i="1"/>
  <c r="H5143" i="1"/>
  <c r="F5143" i="1"/>
  <c r="D5143" i="1"/>
  <c r="C5143" i="1"/>
  <c r="H5142" i="1"/>
  <c r="F5142" i="1"/>
  <c r="D5142" i="1"/>
  <c r="C5142" i="1"/>
  <c r="H5141" i="1"/>
  <c r="F5141" i="1"/>
  <c r="D5141" i="1"/>
  <c r="C5141" i="1"/>
  <c r="H5140" i="1"/>
  <c r="F5140" i="1"/>
  <c r="D5140" i="1"/>
  <c r="C5140" i="1"/>
  <c r="H5139" i="1"/>
  <c r="F5139" i="1"/>
  <c r="D5139" i="1"/>
  <c r="C5139" i="1"/>
  <c r="H5138" i="1"/>
  <c r="F5138" i="1"/>
  <c r="D5138" i="1"/>
  <c r="C5138" i="1"/>
  <c r="H5137" i="1"/>
  <c r="F5137" i="1"/>
  <c r="D5137" i="1"/>
  <c r="C5137" i="1"/>
  <c r="H5136" i="1"/>
  <c r="F5136" i="1"/>
  <c r="D5136" i="1"/>
  <c r="C5136" i="1"/>
  <c r="H5135" i="1"/>
  <c r="F5135" i="1"/>
  <c r="D5135" i="1"/>
  <c r="C5135" i="1"/>
  <c r="H5134" i="1"/>
  <c r="F5134" i="1"/>
  <c r="D5134" i="1"/>
  <c r="C5134" i="1"/>
  <c r="H5133" i="1"/>
  <c r="F5133" i="1"/>
  <c r="D5133" i="1"/>
  <c r="C5133" i="1"/>
  <c r="H5132" i="1"/>
  <c r="F5132" i="1"/>
  <c r="D5132" i="1"/>
  <c r="C5132" i="1"/>
  <c r="H5131" i="1"/>
  <c r="F5131" i="1"/>
  <c r="D5131" i="1"/>
  <c r="C5131" i="1"/>
  <c r="H5130" i="1"/>
  <c r="F5130" i="1"/>
  <c r="D5130" i="1"/>
  <c r="C5130" i="1"/>
  <c r="H5129" i="1"/>
  <c r="F5129" i="1"/>
  <c r="D5129" i="1"/>
  <c r="C5129" i="1"/>
  <c r="H5128" i="1"/>
  <c r="F5128" i="1"/>
  <c r="D5128" i="1"/>
  <c r="C5128" i="1"/>
  <c r="H5127" i="1"/>
  <c r="F5127" i="1"/>
  <c r="D5127" i="1"/>
  <c r="C5127" i="1"/>
  <c r="H5126" i="1"/>
  <c r="F5126" i="1"/>
  <c r="D5126" i="1"/>
  <c r="C5126" i="1"/>
  <c r="H5125" i="1"/>
  <c r="F5125" i="1"/>
  <c r="D5125" i="1"/>
  <c r="C5125" i="1"/>
  <c r="H5124" i="1"/>
  <c r="F5124" i="1"/>
  <c r="D5124" i="1"/>
  <c r="C5124" i="1"/>
  <c r="H5123" i="1"/>
  <c r="F5123" i="1"/>
  <c r="D5123" i="1"/>
  <c r="C5123" i="1"/>
  <c r="H5122" i="1"/>
  <c r="F5122" i="1"/>
  <c r="D5122" i="1"/>
  <c r="C5122" i="1"/>
  <c r="H5121" i="1"/>
  <c r="F5121" i="1"/>
  <c r="D5121" i="1"/>
  <c r="C5121" i="1"/>
  <c r="H5120" i="1"/>
  <c r="F5120" i="1"/>
  <c r="D5120" i="1"/>
  <c r="C5120" i="1"/>
  <c r="H5119" i="1"/>
  <c r="F5119" i="1"/>
  <c r="D5119" i="1"/>
  <c r="C5119" i="1"/>
  <c r="H5118" i="1"/>
  <c r="F5118" i="1"/>
  <c r="D5118" i="1"/>
  <c r="C5118" i="1"/>
  <c r="H5117" i="1"/>
  <c r="F5117" i="1"/>
  <c r="D5117" i="1"/>
  <c r="C5117" i="1"/>
  <c r="H5116" i="1"/>
  <c r="F5116" i="1"/>
  <c r="D5116" i="1"/>
  <c r="C5116" i="1"/>
  <c r="H5115" i="1"/>
  <c r="F5115" i="1"/>
  <c r="D5115" i="1"/>
  <c r="C5115" i="1"/>
  <c r="H5114" i="1"/>
  <c r="F5114" i="1"/>
  <c r="D5114" i="1"/>
  <c r="C5114" i="1"/>
  <c r="H5113" i="1"/>
  <c r="F5113" i="1"/>
  <c r="D5113" i="1"/>
  <c r="C5113" i="1"/>
  <c r="H5112" i="1"/>
  <c r="F5112" i="1"/>
  <c r="D5112" i="1"/>
  <c r="C5112" i="1"/>
  <c r="H5111" i="1"/>
  <c r="F5111" i="1"/>
  <c r="D5111" i="1"/>
  <c r="C5111" i="1"/>
  <c r="H5110" i="1"/>
  <c r="F5110" i="1"/>
  <c r="D5110" i="1"/>
  <c r="C5110" i="1"/>
  <c r="H5109" i="1"/>
  <c r="F5109" i="1"/>
  <c r="D5109" i="1"/>
  <c r="C5109" i="1"/>
  <c r="H5108" i="1"/>
  <c r="F5108" i="1"/>
  <c r="D5108" i="1"/>
  <c r="C5108" i="1"/>
  <c r="H5107" i="1"/>
  <c r="F5107" i="1"/>
  <c r="D5107" i="1"/>
  <c r="C5107" i="1"/>
  <c r="H5106" i="1"/>
  <c r="F5106" i="1"/>
  <c r="D5106" i="1"/>
  <c r="C5106" i="1"/>
  <c r="H5105" i="1"/>
  <c r="F5105" i="1"/>
  <c r="D5105" i="1"/>
  <c r="C5105" i="1"/>
  <c r="H5104" i="1"/>
  <c r="F5104" i="1"/>
  <c r="D5104" i="1"/>
  <c r="C5104" i="1"/>
  <c r="H5103" i="1"/>
  <c r="F5103" i="1"/>
  <c r="D5103" i="1"/>
  <c r="C5103" i="1"/>
  <c r="H5102" i="1"/>
  <c r="F5102" i="1"/>
  <c r="D5102" i="1"/>
  <c r="C5102" i="1"/>
  <c r="H5101" i="1"/>
  <c r="F5101" i="1"/>
  <c r="D5101" i="1"/>
  <c r="C5101" i="1"/>
  <c r="H5100" i="1"/>
  <c r="F5100" i="1"/>
  <c r="D5100" i="1"/>
  <c r="C5100" i="1"/>
  <c r="H5099" i="1"/>
  <c r="F5099" i="1"/>
  <c r="D5099" i="1"/>
  <c r="C5099" i="1"/>
  <c r="H5098" i="1"/>
  <c r="F5098" i="1"/>
  <c r="D5098" i="1"/>
  <c r="C5098" i="1"/>
  <c r="H5097" i="1"/>
  <c r="F5097" i="1"/>
  <c r="D5097" i="1"/>
  <c r="C5097" i="1"/>
  <c r="H5096" i="1"/>
  <c r="F5096" i="1"/>
  <c r="D5096" i="1"/>
  <c r="C5096" i="1"/>
  <c r="H5095" i="1"/>
  <c r="F5095" i="1"/>
  <c r="D5095" i="1"/>
  <c r="C5095" i="1"/>
  <c r="H5094" i="1"/>
  <c r="F5094" i="1"/>
  <c r="D5094" i="1"/>
  <c r="C5094" i="1"/>
  <c r="H5093" i="1"/>
  <c r="F5093" i="1"/>
  <c r="D5093" i="1"/>
  <c r="C5093" i="1"/>
  <c r="H5092" i="1"/>
  <c r="F5092" i="1"/>
  <c r="D5092" i="1"/>
  <c r="C5092" i="1"/>
  <c r="H5091" i="1"/>
  <c r="F5091" i="1"/>
  <c r="D5091" i="1"/>
  <c r="C5091" i="1"/>
  <c r="H5090" i="1"/>
  <c r="F5090" i="1"/>
  <c r="D5090" i="1"/>
  <c r="C5090" i="1"/>
  <c r="H5089" i="1"/>
  <c r="F5089" i="1"/>
  <c r="D5089" i="1"/>
  <c r="C5089" i="1"/>
  <c r="H5088" i="1"/>
  <c r="F5088" i="1"/>
  <c r="D5088" i="1"/>
  <c r="C5088" i="1"/>
  <c r="H5087" i="1"/>
  <c r="F5087" i="1"/>
  <c r="D5087" i="1"/>
  <c r="C5087" i="1"/>
  <c r="H5086" i="1"/>
  <c r="F5086" i="1"/>
  <c r="D5086" i="1"/>
  <c r="C5086" i="1"/>
  <c r="H5085" i="1"/>
  <c r="F5085" i="1"/>
  <c r="D5085" i="1"/>
  <c r="C5085" i="1"/>
  <c r="H5084" i="1"/>
  <c r="F5084" i="1"/>
  <c r="D5084" i="1"/>
  <c r="C5084" i="1"/>
  <c r="H5083" i="1"/>
  <c r="F5083" i="1"/>
  <c r="D5083" i="1"/>
  <c r="C5083" i="1"/>
  <c r="H5082" i="1"/>
  <c r="F5082" i="1"/>
  <c r="D5082" i="1"/>
  <c r="C5082" i="1"/>
  <c r="H5081" i="1"/>
  <c r="F5081" i="1"/>
  <c r="D5081" i="1"/>
  <c r="C5081" i="1"/>
  <c r="H5080" i="1"/>
  <c r="F5080" i="1"/>
  <c r="D5080" i="1"/>
  <c r="C5080" i="1"/>
  <c r="H5079" i="1"/>
  <c r="F5079" i="1"/>
  <c r="D5079" i="1"/>
  <c r="C5079" i="1"/>
  <c r="H5078" i="1"/>
  <c r="F5078" i="1"/>
  <c r="D5078" i="1"/>
  <c r="C5078" i="1"/>
  <c r="H5077" i="1"/>
  <c r="F5077" i="1"/>
  <c r="D5077" i="1"/>
  <c r="C5077" i="1"/>
  <c r="H5076" i="1"/>
  <c r="F5076" i="1"/>
  <c r="D5076" i="1"/>
  <c r="C5076" i="1"/>
  <c r="H5075" i="1"/>
  <c r="F5075" i="1"/>
  <c r="D5075" i="1"/>
  <c r="C5075" i="1"/>
  <c r="H5074" i="1"/>
  <c r="F5074" i="1"/>
  <c r="D5074" i="1"/>
  <c r="C5074" i="1"/>
  <c r="H5073" i="1"/>
  <c r="F5073" i="1"/>
  <c r="D5073" i="1"/>
  <c r="C5073" i="1"/>
  <c r="H5072" i="1"/>
  <c r="F5072" i="1"/>
  <c r="D5072" i="1"/>
  <c r="C5072" i="1"/>
  <c r="H5071" i="1"/>
  <c r="F5071" i="1"/>
  <c r="D5071" i="1"/>
  <c r="C5071" i="1"/>
  <c r="H5070" i="1"/>
  <c r="F5070" i="1"/>
  <c r="D5070" i="1"/>
  <c r="C5070" i="1"/>
  <c r="H5069" i="1"/>
  <c r="F5069" i="1"/>
  <c r="D5069" i="1"/>
  <c r="C5069" i="1"/>
  <c r="H5068" i="1"/>
  <c r="F5068" i="1"/>
  <c r="D5068" i="1"/>
  <c r="C5068" i="1"/>
  <c r="H5067" i="1"/>
  <c r="F5067" i="1"/>
  <c r="D5067" i="1"/>
  <c r="C5067" i="1"/>
  <c r="H5066" i="1"/>
  <c r="F5066" i="1"/>
  <c r="D5066" i="1"/>
  <c r="C5066" i="1"/>
  <c r="H5065" i="1"/>
  <c r="F5065" i="1"/>
  <c r="D5065" i="1"/>
  <c r="C5065" i="1"/>
  <c r="H5064" i="1"/>
  <c r="F5064" i="1"/>
  <c r="D5064" i="1"/>
  <c r="C5064" i="1"/>
  <c r="H5063" i="1"/>
  <c r="F5063" i="1"/>
  <c r="D5063" i="1"/>
  <c r="C5063" i="1"/>
  <c r="H5062" i="1"/>
  <c r="F5062" i="1"/>
  <c r="D5062" i="1"/>
  <c r="C5062" i="1"/>
  <c r="H5061" i="1"/>
  <c r="F5061" i="1"/>
  <c r="D5061" i="1"/>
  <c r="C5061" i="1"/>
  <c r="H5060" i="1"/>
  <c r="F5060" i="1"/>
  <c r="D5060" i="1"/>
  <c r="C5060" i="1"/>
  <c r="H5059" i="1"/>
  <c r="F5059" i="1"/>
  <c r="D5059" i="1"/>
  <c r="C5059" i="1"/>
  <c r="H5058" i="1"/>
  <c r="F5058" i="1"/>
  <c r="D5058" i="1"/>
  <c r="C5058" i="1"/>
  <c r="H5057" i="1"/>
  <c r="F5057" i="1"/>
  <c r="D5057" i="1"/>
  <c r="C5057" i="1"/>
  <c r="H5056" i="1"/>
  <c r="F5056" i="1"/>
  <c r="D5056" i="1"/>
  <c r="C5056" i="1"/>
  <c r="H5055" i="1"/>
  <c r="F5055" i="1"/>
  <c r="D5055" i="1"/>
  <c r="C5055" i="1"/>
  <c r="H5054" i="1"/>
  <c r="F5054" i="1"/>
  <c r="D5054" i="1"/>
  <c r="C5054" i="1"/>
  <c r="H5053" i="1"/>
  <c r="F5053" i="1"/>
  <c r="D5053" i="1"/>
  <c r="C5053" i="1"/>
  <c r="H5052" i="1"/>
  <c r="F5052" i="1"/>
  <c r="D5052" i="1"/>
  <c r="C5052" i="1"/>
  <c r="H5051" i="1"/>
  <c r="F5051" i="1"/>
  <c r="D5051" i="1"/>
  <c r="C5051" i="1"/>
  <c r="H5050" i="1"/>
  <c r="F5050" i="1"/>
  <c r="D5050" i="1"/>
  <c r="C5050" i="1"/>
  <c r="H5049" i="1"/>
  <c r="F5049" i="1"/>
  <c r="D5049" i="1"/>
  <c r="C5049" i="1"/>
  <c r="H5048" i="1"/>
  <c r="F5048" i="1"/>
  <c r="D5048" i="1"/>
  <c r="C5048" i="1"/>
  <c r="H5047" i="1"/>
  <c r="F5047" i="1"/>
  <c r="D5047" i="1"/>
  <c r="C5047" i="1"/>
  <c r="H5046" i="1"/>
  <c r="F5046" i="1"/>
  <c r="D5046" i="1"/>
  <c r="C5046" i="1"/>
  <c r="H5045" i="1"/>
  <c r="F5045" i="1"/>
  <c r="D5045" i="1"/>
  <c r="C5045" i="1"/>
  <c r="H5044" i="1"/>
  <c r="F5044" i="1"/>
  <c r="D5044" i="1"/>
  <c r="C5044" i="1"/>
  <c r="H5043" i="1"/>
  <c r="F5043" i="1"/>
  <c r="D5043" i="1"/>
  <c r="C5043" i="1"/>
  <c r="H5042" i="1"/>
  <c r="F5042" i="1"/>
  <c r="D5042" i="1"/>
  <c r="C5042" i="1"/>
  <c r="H5041" i="1"/>
  <c r="F5041" i="1"/>
  <c r="D5041" i="1"/>
  <c r="C5041" i="1"/>
  <c r="H5040" i="1"/>
  <c r="F5040" i="1"/>
  <c r="D5040" i="1"/>
  <c r="C5040" i="1"/>
  <c r="H5039" i="1"/>
  <c r="F5039" i="1"/>
  <c r="D5039" i="1"/>
  <c r="C5039" i="1"/>
  <c r="H5038" i="1"/>
  <c r="F5038" i="1"/>
  <c r="D5038" i="1"/>
  <c r="C5038" i="1"/>
  <c r="H5037" i="1"/>
  <c r="F5037" i="1"/>
  <c r="D5037" i="1"/>
  <c r="C5037" i="1"/>
  <c r="H5036" i="1"/>
  <c r="F5036" i="1"/>
  <c r="D5036" i="1"/>
  <c r="C5036" i="1"/>
  <c r="H5035" i="1"/>
  <c r="F5035" i="1"/>
  <c r="D5035" i="1"/>
  <c r="C5035" i="1"/>
  <c r="H5034" i="1"/>
  <c r="F5034" i="1"/>
  <c r="D5034" i="1"/>
  <c r="C5034" i="1"/>
  <c r="H5033" i="1"/>
  <c r="F5033" i="1"/>
  <c r="D5033" i="1"/>
  <c r="C5033" i="1"/>
  <c r="H5032" i="1"/>
  <c r="F5032" i="1"/>
  <c r="D5032" i="1"/>
  <c r="C5032" i="1"/>
  <c r="H5031" i="1"/>
  <c r="F5031" i="1"/>
  <c r="D5031" i="1"/>
  <c r="C5031" i="1"/>
  <c r="H5030" i="1"/>
  <c r="F5030" i="1"/>
  <c r="D5030" i="1"/>
  <c r="C5030" i="1"/>
  <c r="H5029" i="1"/>
  <c r="F5029" i="1"/>
  <c r="D5029" i="1"/>
  <c r="C5029" i="1"/>
  <c r="H5028" i="1"/>
  <c r="F5028" i="1"/>
  <c r="D5028" i="1"/>
  <c r="C5028" i="1"/>
  <c r="H5027" i="1"/>
  <c r="F5027" i="1"/>
  <c r="D5027" i="1"/>
  <c r="C5027" i="1"/>
  <c r="H5026" i="1"/>
  <c r="F5026" i="1"/>
  <c r="D5026" i="1"/>
  <c r="C5026" i="1"/>
  <c r="H5025" i="1"/>
  <c r="F5025" i="1"/>
  <c r="D5025" i="1"/>
  <c r="C5025" i="1"/>
  <c r="H5024" i="1"/>
  <c r="F5024" i="1"/>
  <c r="D5024" i="1"/>
  <c r="C5024" i="1"/>
  <c r="H5023" i="1"/>
  <c r="F5023" i="1"/>
  <c r="D5023" i="1"/>
  <c r="C5023" i="1"/>
  <c r="H5022" i="1"/>
  <c r="F5022" i="1"/>
  <c r="D5022" i="1"/>
  <c r="C5022" i="1"/>
  <c r="H5021" i="1"/>
  <c r="F5021" i="1"/>
  <c r="D5021" i="1"/>
  <c r="C5021" i="1"/>
  <c r="H5020" i="1"/>
  <c r="F5020" i="1"/>
  <c r="D5020" i="1"/>
  <c r="C5020" i="1"/>
  <c r="H5019" i="1"/>
  <c r="F5019" i="1"/>
  <c r="D5019" i="1"/>
  <c r="C5019" i="1"/>
  <c r="H5018" i="1"/>
  <c r="F5018" i="1"/>
  <c r="D5018" i="1"/>
  <c r="C5018" i="1"/>
  <c r="H5017" i="1"/>
  <c r="F5017" i="1"/>
  <c r="D5017" i="1"/>
  <c r="C5017" i="1"/>
  <c r="H5016" i="1"/>
  <c r="F5016" i="1"/>
  <c r="D5016" i="1"/>
  <c r="C5016" i="1"/>
  <c r="H5015" i="1"/>
  <c r="F5015" i="1"/>
  <c r="D5015" i="1"/>
  <c r="C5015" i="1"/>
  <c r="H5014" i="1"/>
  <c r="F5014" i="1"/>
  <c r="D5014" i="1"/>
  <c r="C5014" i="1"/>
  <c r="H5013" i="1"/>
  <c r="F5013" i="1"/>
  <c r="D5013" i="1"/>
  <c r="C5013" i="1"/>
  <c r="H5012" i="1"/>
  <c r="F5012" i="1"/>
  <c r="D5012" i="1"/>
  <c r="C5012" i="1"/>
  <c r="H5011" i="1"/>
  <c r="F5011" i="1"/>
  <c r="D5011" i="1"/>
  <c r="C5011" i="1"/>
  <c r="H5010" i="1"/>
  <c r="F5010" i="1"/>
  <c r="D5010" i="1"/>
  <c r="C5010" i="1"/>
  <c r="H5009" i="1"/>
  <c r="F5009" i="1"/>
  <c r="D5009" i="1"/>
  <c r="C5009" i="1"/>
  <c r="H5008" i="1"/>
  <c r="F5008" i="1"/>
  <c r="D5008" i="1"/>
  <c r="C5008" i="1"/>
  <c r="H5007" i="1"/>
  <c r="F5007" i="1"/>
  <c r="D5007" i="1"/>
  <c r="C5007" i="1"/>
  <c r="H5006" i="1"/>
  <c r="F5006" i="1"/>
  <c r="D5006" i="1"/>
  <c r="C5006" i="1"/>
  <c r="H5005" i="1"/>
  <c r="F5005" i="1"/>
  <c r="D5005" i="1"/>
  <c r="C5005" i="1"/>
  <c r="H5004" i="1"/>
  <c r="F5004" i="1"/>
  <c r="D5004" i="1"/>
  <c r="C5004" i="1"/>
  <c r="H5003" i="1"/>
  <c r="F5003" i="1"/>
  <c r="D5003" i="1"/>
  <c r="C5003" i="1"/>
  <c r="H5002" i="1"/>
  <c r="F5002" i="1"/>
  <c r="D5002" i="1"/>
  <c r="C5002" i="1"/>
  <c r="H5001" i="1"/>
  <c r="F5001" i="1"/>
  <c r="D5001" i="1"/>
  <c r="C5001" i="1"/>
  <c r="H5000" i="1"/>
  <c r="F5000" i="1"/>
  <c r="D5000" i="1"/>
  <c r="C5000" i="1"/>
  <c r="H4999" i="1"/>
  <c r="F4999" i="1"/>
  <c r="D4999" i="1"/>
  <c r="C4999" i="1"/>
  <c r="H4998" i="1"/>
  <c r="F4998" i="1"/>
  <c r="D4998" i="1"/>
  <c r="C4998" i="1"/>
  <c r="H4997" i="1"/>
  <c r="F4997" i="1"/>
  <c r="D4997" i="1"/>
  <c r="C4997" i="1"/>
  <c r="H4996" i="1"/>
  <c r="F4996" i="1"/>
  <c r="D4996" i="1"/>
  <c r="C4996" i="1"/>
  <c r="H4995" i="1"/>
  <c r="F4995" i="1"/>
  <c r="D4995" i="1"/>
  <c r="C4995" i="1"/>
  <c r="H4994" i="1"/>
  <c r="F4994" i="1"/>
  <c r="D4994" i="1"/>
  <c r="C4994" i="1"/>
  <c r="H4993" i="1"/>
  <c r="F4993" i="1"/>
  <c r="D4993" i="1"/>
  <c r="C4993" i="1"/>
  <c r="H4992" i="1"/>
  <c r="F4992" i="1"/>
  <c r="D4992" i="1"/>
  <c r="C4992" i="1"/>
  <c r="H4991" i="1"/>
  <c r="F4991" i="1"/>
  <c r="D4991" i="1"/>
  <c r="C4991" i="1"/>
  <c r="H4990" i="1"/>
  <c r="F4990" i="1"/>
  <c r="D4990" i="1"/>
  <c r="C4990" i="1"/>
  <c r="H4989" i="1"/>
  <c r="F4989" i="1"/>
  <c r="D4989" i="1"/>
  <c r="C4989" i="1"/>
  <c r="H4988" i="1"/>
  <c r="F4988" i="1"/>
  <c r="D4988" i="1"/>
  <c r="C4988" i="1"/>
  <c r="H4987" i="1"/>
  <c r="F4987" i="1"/>
  <c r="D4987" i="1"/>
  <c r="C4987" i="1"/>
  <c r="H4986" i="1"/>
  <c r="F4986" i="1"/>
  <c r="D4986" i="1"/>
  <c r="C4986" i="1"/>
  <c r="H4985" i="1"/>
  <c r="F4985" i="1"/>
  <c r="D4985" i="1"/>
  <c r="C4985" i="1"/>
  <c r="H4984" i="1"/>
  <c r="F4984" i="1"/>
  <c r="D4984" i="1"/>
  <c r="C4984" i="1"/>
  <c r="H4983" i="1"/>
  <c r="F4983" i="1"/>
  <c r="D4983" i="1"/>
  <c r="C4983" i="1"/>
  <c r="H4982" i="1"/>
  <c r="F4982" i="1"/>
  <c r="D4982" i="1"/>
  <c r="C4982" i="1"/>
  <c r="H4981" i="1"/>
  <c r="F4981" i="1"/>
  <c r="D4981" i="1"/>
  <c r="C4981" i="1"/>
  <c r="H4980" i="1"/>
  <c r="F4980" i="1"/>
  <c r="D4980" i="1"/>
  <c r="C4980" i="1"/>
  <c r="H4979" i="1"/>
  <c r="F4979" i="1"/>
  <c r="D4979" i="1"/>
  <c r="C4979" i="1"/>
  <c r="H4978" i="1"/>
  <c r="F4978" i="1"/>
  <c r="D4978" i="1"/>
  <c r="C4978" i="1"/>
  <c r="H4977" i="1"/>
  <c r="F4977" i="1"/>
  <c r="D4977" i="1"/>
  <c r="C4977" i="1"/>
  <c r="H4976" i="1"/>
  <c r="F4976" i="1"/>
  <c r="D4976" i="1"/>
  <c r="C4976" i="1"/>
  <c r="H4975" i="1"/>
  <c r="F4975" i="1"/>
  <c r="D4975" i="1"/>
  <c r="C4975" i="1"/>
  <c r="H4974" i="1"/>
  <c r="F4974" i="1"/>
  <c r="D4974" i="1"/>
  <c r="C4974" i="1"/>
  <c r="H4973" i="1"/>
  <c r="F4973" i="1"/>
  <c r="D4973" i="1"/>
  <c r="C4973" i="1"/>
  <c r="H4972" i="1"/>
  <c r="F4972" i="1"/>
  <c r="D4972" i="1"/>
  <c r="C4972" i="1"/>
  <c r="H4971" i="1"/>
  <c r="F4971" i="1"/>
  <c r="D4971" i="1"/>
  <c r="C4971" i="1"/>
  <c r="H4970" i="1"/>
  <c r="F4970" i="1"/>
  <c r="D4970" i="1"/>
  <c r="C4970" i="1"/>
  <c r="H4969" i="1"/>
  <c r="F4969" i="1"/>
  <c r="D4969" i="1"/>
  <c r="C4969" i="1"/>
  <c r="H4968" i="1"/>
  <c r="F4968" i="1"/>
  <c r="D4968" i="1"/>
  <c r="C4968" i="1"/>
  <c r="H4967" i="1"/>
  <c r="F4967" i="1"/>
  <c r="D4967" i="1"/>
  <c r="C4967" i="1"/>
  <c r="H4966" i="1"/>
  <c r="F4966" i="1"/>
  <c r="D4966" i="1"/>
  <c r="C4966" i="1"/>
  <c r="H4965" i="1"/>
  <c r="F4965" i="1"/>
  <c r="D4965" i="1"/>
  <c r="C4965" i="1"/>
  <c r="H4964" i="1"/>
  <c r="F4964" i="1"/>
  <c r="D4964" i="1"/>
  <c r="C4964" i="1"/>
  <c r="H4963" i="1"/>
  <c r="F4963" i="1"/>
  <c r="D4963" i="1"/>
  <c r="C4963" i="1"/>
  <c r="H4962" i="1"/>
  <c r="F4962" i="1"/>
  <c r="D4962" i="1"/>
  <c r="C4962" i="1"/>
  <c r="H4961" i="1"/>
  <c r="F4961" i="1"/>
  <c r="D4961" i="1"/>
  <c r="C4961" i="1"/>
  <c r="H4960" i="1"/>
  <c r="F4960" i="1"/>
  <c r="D4960" i="1"/>
  <c r="C4960" i="1"/>
  <c r="H4959" i="1"/>
  <c r="F4959" i="1"/>
  <c r="D4959" i="1"/>
  <c r="C4959" i="1"/>
  <c r="H4958" i="1"/>
  <c r="F4958" i="1"/>
  <c r="D4958" i="1"/>
  <c r="C4958" i="1"/>
  <c r="H4957" i="1"/>
  <c r="F4957" i="1"/>
  <c r="D4957" i="1"/>
  <c r="C4957" i="1"/>
  <c r="H4956" i="1"/>
  <c r="F4956" i="1"/>
  <c r="D4956" i="1"/>
  <c r="C4956" i="1"/>
  <c r="H4955" i="1"/>
  <c r="F4955" i="1"/>
  <c r="D4955" i="1"/>
  <c r="C4955" i="1"/>
  <c r="H4954" i="1"/>
  <c r="F4954" i="1"/>
  <c r="D4954" i="1"/>
  <c r="C4954" i="1"/>
  <c r="H4953" i="1"/>
  <c r="F4953" i="1"/>
  <c r="D4953" i="1"/>
  <c r="C4953" i="1"/>
  <c r="H4952" i="1"/>
  <c r="F4952" i="1"/>
  <c r="D4952" i="1"/>
  <c r="C4952" i="1"/>
  <c r="H4951" i="1"/>
  <c r="F4951" i="1"/>
  <c r="D4951" i="1"/>
  <c r="C4951" i="1"/>
  <c r="H4950" i="1"/>
  <c r="F4950" i="1"/>
  <c r="D4950" i="1"/>
  <c r="C4950" i="1"/>
  <c r="H4949" i="1"/>
  <c r="F4949" i="1"/>
  <c r="D4949" i="1"/>
  <c r="C4949" i="1"/>
  <c r="H4948" i="1"/>
  <c r="F4948" i="1"/>
  <c r="D4948" i="1"/>
  <c r="C4948" i="1"/>
  <c r="H4947" i="1"/>
  <c r="F4947" i="1"/>
  <c r="D4947" i="1"/>
  <c r="C4947" i="1"/>
  <c r="H4946" i="1"/>
  <c r="F4946" i="1"/>
  <c r="D4946" i="1"/>
  <c r="C4946" i="1"/>
  <c r="H4945" i="1"/>
  <c r="F4945" i="1"/>
  <c r="D4945" i="1"/>
  <c r="C4945" i="1"/>
  <c r="H4944" i="1"/>
  <c r="F4944" i="1"/>
  <c r="D4944" i="1"/>
  <c r="C4944" i="1"/>
  <c r="H4943" i="1"/>
  <c r="F4943" i="1"/>
  <c r="D4943" i="1"/>
  <c r="C4943" i="1"/>
  <c r="H4942" i="1"/>
  <c r="F4942" i="1"/>
  <c r="D4942" i="1"/>
  <c r="C4942" i="1"/>
  <c r="H4941" i="1"/>
  <c r="F4941" i="1"/>
  <c r="D4941" i="1"/>
  <c r="C4941" i="1"/>
  <c r="H4940" i="1"/>
  <c r="F4940" i="1"/>
  <c r="D4940" i="1"/>
  <c r="C4940" i="1"/>
  <c r="H4939" i="1"/>
  <c r="F4939" i="1"/>
  <c r="D4939" i="1"/>
  <c r="C4939" i="1"/>
  <c r="H4938" i="1"/>
  <c r="F4938" i="1"/>
  <c r="D4938" i="1"/>
  <c r="C4938" i="1"/>
  <c r="H4937" i="1"/>
  <c r="F4937" i="1"/>
  <c r="D4937" i="1"/>
  <c r="C4937" i="1"/>
  <c r="H4936" i="1"/>
  <c r="F4936" i="1"/>
  <c r="D4936" i="1"/>
  <c r="C4936" i="1"/>
  <c r="H4935" i="1"/>
  <c r="F4935" i="1"/>
  <c r="D4935" i="1"/>
  <c r="C4935" i="1"/>
  <c r="H4934" i="1"/>
  <c r="F4934" i="1"/>
  <c r="D4934" i="1"/>
  <c r="C4934" i="1"/>
  <c r="H4933" i="1"/>
  <c r="F4933" i="1"/>
  <c r="D4933" i="1"/>
  <c r="C4933" i="1"/>
  <c r="H4932" i="1"/>
  <c r="F4932" i="1"/>
  <c r="D4932" i="1"/>
  <c r="C4932" i="1"/>
  <c r="H4931" i="1"/>
  <c r="F4931" i="1"/>
  <c r="D4931" i="1"/>
  <c r="C4931" i="1"/>
  <c r="H4930" i="1"/>
  <c r="F4930" i="1"/>
  <c r="D4930" i="1"/>
  <c r="C4930" i="1"/>
  <c r="H4929" i="1"/>
  <c r="F4929" i="1"/>
  <c r="D4929" i="1"/>
  <c r="C4929" i="1"/>
  <c r="H4928" i="1"/>
  <c r="F4928" i="1"/>
  <c r="D4928" i="1"/>
  <c r="C4928" i="1"/>
  <c r="H4927" i="1"/>
  <c r="F4927" i="1"/>
  <c r="D4927" i="1"/>
  <c r="C4927" i="1"/>
  <c r="H4926" i="1"/>
  <c r="F4926" i="1"/>
  <c r="D4926" i="1"/>
  <c r="C4926" i="1"/>
  <c r="H4925" i="1"/>
  <c r="F4925" i="1"/>
  <c r="D4925" i="1"/>
  <c r="C4925" i="1"/>
  <c r="H4924" i="1"/>
  <c r="F4924" i="1"/>
  <c r="D4924" i="1"/>
  <c r="C4924" i="1"/>
  <c r="H4923" i="1"/>
  <c r="F4923" i="1"/>
  <c r="D4923" i="1"/>
  <c r="C4923" i="1"/>
  <c r="H4922" i="1"/>
  <c r="F4922" i="1"/>
  <c r="D4922" i="1"/>
  <c r="C4922" i="1"/>
  <c r="H4921" i="1"/>
  <c r="F4921" i="1"/>
  <c r="D4921" i="1"/>
  <c r="C4921" i="1"/>
  <c r="H4920" i="1"/>
  <c r="F4920" i="1"/>
  <c r="D4920" i="1"/>
  <c r="C4920" i="1"/>
  <c r="H4919" i="1"/>
  <c r="F4919" i="1"/>
  <c r="D4919" i="1"/>
  <c r="C4919" i="1"/>
  <c r="H4918" i="1"/>
  <c r="F4918" i="1"/>
  <c r="D4918" i="1"/>
  <c r="C4918" i="1"/>
  <c r="H4917" i="1"/>
  <c r="F4917" i="1"/>
  <c r="D4917" i="1"/>
  <c r="C4917" i="1"/>
  <c r="H4916" i="1"/>
  <c r="F4916" i="1"/>
  <c r="D4916" i="1"/>
  <c r="C4916" i="1"/>
  <c r="H4915" i="1"/>
  <c r="F4915" i="1"/>
  <c r="D4915" i="1"/>
  <c r="C4915" i="1"/>
  <c r="H4914" i="1"/>
  <c r="F4914" i="1"/>
  <c r="D4914" i="1"/>
  <c r="C4914" i="1"/>
  <c r="H4913" i="1"/>
  <c r="F4913" i="1"/>
  <c r="D4913" i="1"/>
  <c r="C4913" i="1"/>
  <c r="H4912" i="1"/>
  <c r="F4912" i="1"/>
  <c r="D4912" i="1"/>
  <c r="C4912" i="1"/>
  <c r="H4911" i="1"/>
  <c r="F4911" i="1"/>
  <c r="D4911" i="1"/>
  <c r="C4911" i="1"/>
  <c r="H4910" i="1"/>
  <c r="F4910" i="1"/>
  <c r="D4910" i="1"/>
  <c r="C4910" i="1"/>
  <c r="H4909" i="1"/>
  <c r="F4909" i="1"/>
  <c r="D4909" i="1"/>
  <c r="C4909" i="1"/>
  <c r="H4908" i="1"/>
  <c r="F4908" i="1"/>
  <c r="D4908" i="1"/>
  <c r="C4908" i="1"/>
  <c r="H4907" i="1"/>
  <c r="F4907" i="1"/>
  <c r="D4907" i="1"/>
  <c r="C4907" i="1"/>
  <c r="H4906" i="1"/>
  <c r="F4906" i="1"/>
  <c r="D4906" i="1"/>
  <c r="C4906" i="1"/>
  <c r="H4905" i="1"/>
  <c r="F4905" i="1"/>
  <c r="D4905" i="1"/>
  <c r="C4905" i="1"/>
  <c r="H4904" i="1"/>
  <c r="F4904" i="1"/>
  <c r="D4904" i="1"/>
  <c r="C4904" i="1"/>
  <c r="H4903" i="1"/>
  <c r="F4903" i="1"/>
  <c r="D4903" i="1"/>
  <c r="C4903" i="1"/>
  <c r="H4902" i="1"/>
  <c r="F4902" i="1"/>
  <c r="D4902" i="1"/>
  <c r="C4902" i="1"/>
  <c r="H4901" i="1"/>
  <c r="F4901" i="1"/>
  <c r="D4901" i="1"/>
  <c r="C4901" i="1"/>
  <c r="H4900" i="1"/>
  <c r="F4900" i="1"/>
  <c r="D4900" i="1"/>
  <c r="C4900" i="1"/>
  <c r="H4899" i="1"/>
  <c r="F4899" i="1"/>
  <c r="D4899" i="1"/>
  <c r="C4899" i="1"/>
  <c r="H4898" i="1"/>
  <c r="F4898" i="1"/>
  <c r="D4898" i="1"/>
  <c r="C4898" i="1"/>
  <c r="H4897" i="1"/>
  <c r="F4897" i="1"/>
  <c r="D4897" i="1"/>
  <c r="C4897" i="1"/>
  <c r="H4896" i="1"/>
  <c r="F4896" i="1"/>
  <c r="D4896" i="1"/>
  <c r="C4896" i="1"/>
  <c r="H4895" i="1"/>
  <c r="F4895" i="1"/>
  <c r="D4895" i="1"/>
  <c r="C4895" i="1"/>
  <c r="H4894" i="1"/>
  <c r="F4894" i="1"/>
  <c r="D4894" i="1"/>
  <c r="C4894" i="1"/>
  <c r="H4893" i="1"/>
  <c r="F4893" i="1"/>
  <c r="D4893" i="1"/>
  <c r="C4893" i="1"/>
  <c r="H4892" i="1"/>
  <c r="F4892" i="1"/>
  <c r="D4892" i="1"/>
  <c r="C4892" i="1"/>
  <c r="H4891" i="1"/>
  <c r="F4891" i="1"/>
  <c r="D4891" i="1"/>
  <c r="C4891" i="1"/>
  <c r="H4890" i="1"/>
  <c r="F4890" i="1"/>
  <c r="D4890" i="1"/>
  <c r="C4890" i="1"/>
  <c r="H4889" i="1"/>
  <c r="F4889" i="1"/>
  <c r="D4889" i="1"/>
  <c r="C4889" i="1"/>
  <c r="H4888" i="1"/>
  <c r="F4888" i="1"/>
  <c r="D4888" i="1"/>
  <c r="C4888" i="1"/>
  <c r="H4887" i="1"/>
  <c r="F4887" i="1"/>
  <c r="D4887" i="1"/>
  <c r="C4887" i="1"/>
  <c r="H4886" i="1"/>
  <c r="F4886" i="1"/>
  <c r="D4886" i="1"/>
  <c r="C4886" i="1"/>
  <c r="H4885" i="1"/>
  <c r="F4885" i="1"/>
  <c r="D4885" i="1"/>
  <c r="C4885" i="1"/>
  <c r="H4884" i="1"/>
  <c r="F4884" i="1"/>
  <c r="D4884" i="1"/>
  <c r="C4884" i="1"/>
  <c r="H4883" i="1"/>
  <c r="F4883" i="1"/>
  <c r="D4883" i="1"/>
  <c r="C4883" i="1"/>
  <c r="H4882" i="1"/>
  <c r="F4882" i="1"/>
  <c r="D4882" i="1"/>
  <c r="C4882" i="1"/>
  <c r="H4881" i="1"/>
  <c r="F4881" i="1"/>
  <c r="D4881" i="1"/>
  <c r="C4881" i="1"/>
  <c r="H4880" i="1"/>
  <c r="F4880" i="1"/>
  <c r="D4880" i="1"/>
  <c r="C4880" i="1"/>
  <c r="H4879" i="1"/>
  <c r="F4879" i="1"/>
  <c r="D4879" i="1"/>
  <c r="C4879" i="1"/>
  <c r="H4878" i="1"/>
  <c r="F4878" i="1"/>
  <c r="D4878" i="1"/>
  <c r="C4878" i="1"/>
  <c r="H4877" i="1"/>
  <c r="F4877" i="1"/>
  <c r="D4877" i="1"/>
  <c r="C4877" i="1"/>
  <c r="H4876" i="1"/>
  <c r="F4876" i="1"/>
  <c r="D4876" i="1"/>
  <c r="C4876" i="1"/>
  <c r="H4875" i="1"/>
  <c r="F4875" i="1"/>
  <c r="D4875" i="1"/>
  <c r="C4875" i="1"/>
  <c r="H4874" i="1"/>
  <c r="F4874" i="1"/>
  <c r="D4874" i="1"/>
  <c r="C4874" i="1"/>
  <c r="H4873" i="1"/>
  <c r="F4873" i="1"/>
  <c r="D4873" i="1"/>
  <c r="C4873" i="1"/>
  <c r="H4872" i="1"/>
  <c r="F4872" i="1"/>
  <c r="D4872" i="1"/>
  <c r="C4872" i="1"/>
  <c r="H4871" i="1"/>
  <c r="F4871" i="1"/>
  <c r="D4871" i="1"/>
  <c r="C4871" i="1"/>
  <c r="H4870" i="1"/>
  <c r="F4870" i="1"/>
  <c r="D4870" i="1"/>
  <c r="C4870" i="1"/>
  <c r="H4869" i="1"/>
  <c r="F4869" i="1"/>
  <c r="D4869" i="1"/>
  <c r="C4869" i="1"/>
  <c r="H4868" i="1"/>
  <c r="F4868" i="1"/>
  <c r="D4868" i="1"/>
  <c r="C4868" i="1"/>
  <c r="H4867" i="1"/>
  <c r="F4867" i="1"/>
  <c r="D4867" i="1"/>
  <c r="C4867" i="1"/>
  <c r="H4866" i="1"/>
  <c r="F4866" i="1"/>
  <c r="D4866" i="1"/>
  <c r="C4866" i="1"/>
  <c r="H4865" i="1"/>
  <c r="F4865" i="1"/>
  <c r="D4865" i="1"/>
  <c r="C4865" i="1"/>
  <c r="H4864" i="1"/>
  <c r="F4864" i="1"/>
  <c r="D4864" i="1"/>
  <c r="C4864" i="1"/>
  <c r="H4863" i="1"/>
  <c r="F4863" i="1"/>
  <c r="D4863" i="1"/>
  <c r="C4863" i="1"/>
  <c r="H4862" i="1"/>
  <c r="F4862" i="1"/>
  <c r="D4862" i="1"/>
  <c r="C4862" i="1"/>
  <c r="H4861" i="1"/>
  <c r="F4861" i="1"/>
  <c r="D4861" i="1"/>
  <c r="C4861" i="1"/>
  <c r="H4860" i="1"/>
  <c r="F4860" i="1"/>
  <c r="D4860" i="1"/>
  <c r="C4860" i="1"/>
  <c r="H4859" i="1"/>
  <c r="F4859" i="1"/>
  <c r="D4859" i="1"/>
  <c r="C4859" i="1"/>
  <c r="H4858" i="1"/>
  <c r="F4858" i="1"/>
  <c r="D4858" i="1"/>
  <c r="C4858" i="1"/>
  <c r="H4857" i="1"/>
  <c r="F4857" i="1"/>
  <c r="D4857" i="1"/>
  <c r="C4857" i="1"/>
  <c r="H4856" i="1"/>
  <c r="F4856" i="1"/>
  <c r="D4856" i="1"/>
  <c r="C4856" i="1"/>
  <c r="H4855" i="1"/>
  <c r="F4855" i="1"/>
  <c r="D4855" i="1"/>
  <c r="C4855" i="1"/>
  <c r="H4854" i="1"/>
  <c r="F4854" i="1"/>
  <c r="D4854" i="1"/>
  <c r="C4854" i="1"/>
  <c r="H4853" i="1"/>
  <c r="F4853" i="1"/>
  <c r="D4853" i="1"/>
  <c r="C4853" i="1"/>
  <c r="H4852" i="1"/>
  <c r="F4852" i="1"/>
  <c r="D4852" i="1"/>
  <c r="C4852" i="1"/>
  <c r="H4851" i="1"/>
  <c r="F4851" i="1"/>
  <c r="D4851" i="1"/>
  <c r="C4851" i="1"/>
  <c r="H4850" i="1"/>
  <c r="F4850" i="1"/>
  <c r="D4850" i="1"/>
  <c r="C4850" i="1"/>
  <c r="H4849" i="1"/>
  <c r="F4849" i="1"/>
  <c r="D4849" i="1"/>
  <c r="C4849" i="1"/>
  <c r="H4848" i="1"/>
  <c r="F4848" i="1"/>
  <c r="D4848" i="1"/>
  <c r="C4848" i="1"/>
  <c r="H4847" i="1"/>
  <c r="F4847" i="1"/>
  <c r="D4847" i="1"/>
  <c r="C4847" i="1"/>
  <c r="H4846" i="1"/>
  <c r="F4846" i="1"/>
  <c r="D4846" i="1"/>
  <c r="C4846" i="1"/>
  <c r="H4845" i="1"/>
  <c r="F4845" i="1"/>
  <c r="D4845" i="1"/>
  <c r="C4845" i="1"/>
  <c r="H4844" i="1"/>
  <c r="F4844" i="1"/>
  <c r="D4844" i="1"/>
  <c r="C4844" i="1"/>
  <c r="H4843" i="1"/>
  <c r="F4843" i="1"/>
  <c r="D4843" i="1"/>
  <c r="C4843" i="1"/>
  <c r="H4842" i="1"/>
  <c r="F4842" i="1"/>
  <c r="D4842" i="1"/>
  <c r="C4842" i="1"/>
  <c r="H4841" i="1"/>
  <c r="F4841" i="1"/>
  <c r="D4841" i="1"/>
  <c r="C4841" i="1"/>
  <c r="H4840" i="1"/>
  <c r="F4840" i="1"/>
  <c r="D4840" i="1"/>
  <c r="C4840" i="1"/>
  <c r="H4839" i="1"/>
  <c r="F4839" i="1"/>
  <c r="D4839" i="1"/>
  <c r="C4839" i="1"/>
  <c r="H4838" i="1"/>
  <c r="F4838" i="1"/>
  <c r="D4838" i="1"/>
  <c r="C4838" i="1"/>
  <c r="H4837" i="1"/>
  <c r="F4837" i="1"/>
  <c r="D4837" i="1"/>
  <c r="C4837" i="1"/>
  <c r="H4836" i="1"/>
  <c r="F4836" i="1"/>
  <c r="D4836" i="1"/>
  <c r="C4836" i="1"/>
  <c r="H4835" i="1"/>
  <c r="F4835" i="1"/>
  <c r="D4835" i="1"/>
  <c r="C4835" i="1"/>
  <c r="H4834" i="1"/>
  <c r="F4834" i="1"/>
  <c r="D4834" i="1"/>
  <c r="C4834" i="1"/>
  <c r="H4833" i="1"/>
  <c r="F4833" i="1"/>
  <c r="D4833" i="1"/>
  <c r="C4833" i="1"/>
  <c r="H4832" i="1"/>
  <c r="F4832" i="1"/>
  <c r="D4832" i="1"/>
  <c r="C4832" i="1"/>
  <c r="H4831" i="1"/>
  <c r="F4831" i="1"/>
  <c r="D4831" i="1"/>
  <c r="C4831" i="1"/>
  <c r="H4830" i="1"/>
  <c r="F4830" i="1"/>
  <c r="D4830" i="1"/>
  <c r="C4830" i="1"/>
  <c r="H4829" i="1"/>
  <c r="F4829" i="1"/>
  <c r="D4829" i="1"/>
  <c r="C4829" i="1"/>
  <c r="H4828" i="1"/>
  <c r="F4828" i="1"/>
  <c r="D4828" i="1"/>
  <c r="C4828" i="1"/>
  <c r="H4827" i="1"/>
  <c r="F4827" i="1"/>
  <c r="D4827" i="1"/>
  <c r="C4827" i="1"/>
  <c r="H4826" i="1"/>
  <c r="F4826" i="1"/>
  <c r="D4826" i="1"/>
  <c r="C4826" i="1"/>
  <c r="H4825" i="1"/>
  <c r="F4825" i="1"/>
  <c r="D4825" i="1"/>
  <c r="C4825" i="1"/>
  <c r="H4824" i="1"/>
  <c r="F4824" i="1"/>
  <c r="D4824" i="1"/>
  <c r="C4824" i="1"/>
  <c r="H4823" i="1"/>
  <c r="F4823" i="1"/>
  <c r="D4823" i="1"/>
  <c r="C4823" i="1"/>
  <c r="H4822" i="1"/>
  <c r="F4822" i="1"/>
  <c r="D4822" i="1"/>
  <c r="C4822" i="1"/>
  <c r="H4821" i="1"/>
  <c r="F4821" i="1"/>
  <c r="D4821" i="1"/>
  <c r="C4821" i="1"/>
  <c r="H4820" i="1"/>
  <c r="F4820" i="1"/>
  <c r="D4820" i="1"/>
  <c r="C4820" i="1"/>
  <c r="H4819" i="1"/>
  <c r="F4819" i="1"/>
  <c r="D4819" i="1"/>
  <c r="C4819" i="1"/>
  <c r="H4818" i="1"/>
  <c r="F4818" i="1"/>
  <c r="D4818" i="1"/>
  <c r="C4818" i="1"/>
  <c r="H4817" i="1"/>
  <c r="F4817" i="1"/>
  <c r="D4817" i="1"/>
  <c r="C4817" i="1"/>
  <c r="H4816" i="1"/>
  <c r="F4816" i="1"/>
  <c r="D4816" i="1"/>
  <c r="C4816" i="1"/>
  <c r="H4815" i="1"/>
  <c r="F4815" i="1"/>
  <c r="D4815" i="1"/>
  <c r="C4815" i="1"/>
  <c r="H4814" i="1"/>
  <c r="F4814" i="1"/>
  <c r="D4814" i="1"/>
  <c r="C4814" i="1"/>
  <c r="H4813" i="1"/>
  <c r="F4813" i="1"/>
  <c r="D4813" i="1"/>
  <c r="C4813" i="1"/>
  <c r="H4812" i="1"/>
  <c r="F4812" i="1"/>
  <c r="D4812" i="1"/>
  <c r="C4812" i="1"/>
  <c r="H4811" i="1"/>
  <c r="F4811" i="1"/>
  <c r="D4811" i="1"/>
  <c r="C4811" i="1"/>
  <c r="H4810" i="1"/>
  <c r="F4810" i="1"/>
  <c r="D4810" i="1"/>
  <c r="C4810" i="1"/>
  <c r="H4809" i="1"/>
  <c r="F4809" i="1"/>
  <c r="D4809" i="1"/>
  <c r="C4809" i="1"/>
  <c r="H4808" i="1"/>
  <c r="F4808" i="1"/>
  <c r="D4808" i="1"/>
  <c r="C4808" i="1"/>
  <c r="H4807" i="1"/>
  <c r="F4807" i="1"/>
  <c r="D4807" i="1"/>
  <c r="C4807" i="1"/>
  <c r="H4806" i="1"/>
  <c r="F4806" i="1"/>
  <c r="D4806" i="1"/>
  <c r="C4806" i="1"/>
  <c r="H4805" i="1"/>
  <c r="F4805" i="1"/>
  <c r="D4805" i="1"/>
  <c r="C4805" i="1"/>
  <c r="H4804" i="1"/>
  <c r="F4804" i="1"/>
  <c r="D4804" i="1"/>
  <c r="C4804" i="1"/>
  <c r="H4803" i="1"/>
  <c r="F4803" i="1"/>
  <c r="D4803" i="1"/>
  <c r="C4803" i="1"/>
  <c r="H4802" i="1"/>
  <c r="F4802" i="1"/>
  <c r="D4802" i="1"/>
  <c r="C4802" i="1"/>
  <c r="H4801" i="1"/>
  <c r="F4801" i="1"/>
  <c r="D4801" i="1"/>
  <c r="C4801" i="1"/>
  <c r="H4800" i="1"/>
  <c r="F4800" i="1"/>
  <c r="D4800" i="1"/>
  <c r="C4800" i="1"/>
  <c r="H4799" i="1"/>
  <c r="F4799" i="1"/>
  <c r="D4799" i="1"/>
  <c r="C4799" i="1"/>
  <c r="H4798" i="1"/>
  <c r="F4798" i="1"/>
  <c r="D4798" i="1"/>
  <c r="C4798" i="1"/>
  <c r="H4797" i="1"/>
  <c r="F4797" i="1"/>
  <c r="D4797" i="1"/>
  <c r="C4797" i="1"/>
  <c r="H4796" i="1"/>
  <c r="F4796" i="1"/>
  <c r="D4796" i="1"/>
  <c r="C4796" i="1"/>
  <c r="H4795" i="1"/>
  <c r="F4795" i="1"/>
  <c r="D4795" i="1"/>
  <c r="C4795" i="1"/>
  <c r="H4794" i="1"/>
  <c r="F4794" i="1"/>
  <c r="D4794" i="1"/>
  <c r="C4794" i="1"/>
  <c r="H4793" i="1"/>
  <c r="F4793" i="1"/>
  <c r="D4793" i="1"/>
  <c r="C4793" i="1"/>
  <c r="H4792" i="1"/>
  <c r="F4792" i="1"/>
  <c r="D4792" i="1"/>
  <c r="C4792" i="1"/>
  <c r="H4791" i="1"/>
  <c r="F4791" i="1"/>
  <c r="D4791" i="1"/>
  <c r="C4791" i="1"/>
  <c r="H4790" i="1"/>
  <c r="F4790" i="1"/>
  <c r="D4790" i="1"/>
  <c r="C4790" i="1"/>
  <c r="H4789" i="1"/>
  <c r="F4789" i="1"/>
  <c r="D4789" i="1"/>
  <c r="C4789" i="1"/>
  <c r="H4788" i="1"/>
  <c r="F4788" i="1"/>
  <c r="D4788" i="1"/>
  <c r="C4788" i="1"/>
  <c r="H4787" i="1"/>
  <c r="F4787" i="1"/>
  <c r="D4787" i="1"/>
  <c r="C4787" i="1"/>
  <c r="H4786" i="1"/>
  <c r="F4786" i="1"/>
  <c r="D4786" i="1"/>
  <c r="C4786" i="1"/>
  <c r="H4785" i="1"/>
  <c r="F4785" i="1"/>
  <c r="D4785" i="1"/>
  <c r="C4785" i="1"/>
  <c r="H4784" i="1"/>
  <c r="F4784" i="1"/>
  <c r="D4784" i="1"/>
  <c r="C4784" i="1"/>
  <c r="H4783" i="1"/>
  <c r="F4783" i="1"/>
  <c r="D4783" i="1"/>
  <c r="C4783" i="1"/>
  <c r="H4782" i="1"/>
  <c r="F4782" i="1"/>
  <c r="D4782" i="1"/>
  <c r="C4782" i="1"/>
  <c r="H4781" i="1"/>
  <c r="F4781" i="1"/>
  <c r="D4781" i="1"/>
  <c r="C4781" i="1"/>
  <c r="H4780" i="1"/>
  <c r="F4780" i="1"/>
  <c r="D4780" i="1"/>
  <c r="C4780" i="1"/>
  <c r="H4779" i="1"/>
  <c r="F4779" i="1"/>
  <c r="D4779" i="1"/>
  <c r="C4779" i="1"/>
  <c r="H4778" i="1"/>
  <c r="F4778" i="1"/>
  <c r="D4778" i="1"/>
  <c r="C4778" i="1"/>
  <c r="H4777" i="1"/>
  <c r="F4777" i="1"/>
  <c r="D4777" i="1"/>
  <c r="C4777" i="1"/>
  <c r="H4776" i="1"/>
  <c r="F4776" i="1"/>
  <c r="D4776" i="1"/>
  <c r="C4776" i="1"/>
  <c r="H4775" i="1"/>
  <c r="F4775" i="1"/>
  <c r="D4775" i="1"/>
  <c r="C4775" i="1"/>
  <c r="H4774" i="1"/>
  <c r="F4774" i="1"/>
  <c r="D4774" i="1"/>
  <c r="C4774" i="1"/>
  <c r="H4773" i="1"/>
  <c r="F4773" i="1"/>
  <c r="D4773" i="1"/>
  <c r="C4773" i="1"/>
  <c r="H4772" i="1"/>
  <c r="F4772" i="1"/>
  <c r="D4772" i="1"/>
  <c r="C4772" i="1"/>
  <c r="H4771" i="1"/>
  <c r="F4771" i="1"/>
  <c r="D4771" i="1"/>
  <c r="C4771" i="1"/>
  <c r="H4770" i="1"/>
  <c r="F4770" i="1"/>
  <c r="D4770" i="1"/>
  <c r="C4770" i="1"/>
  <c r="H4769" i="1"/>
  <c r="F4769" i="1"/>
  <c r="D4769" i="1"/>
  <c r="C4769" i="1"/>
  <c r="H4768" i="1"/>
  <c r="F4768" i="1"/>
  <c r="D4768" i="1"/>
  <c r="C4768" i="1"/>
  <c r="H4767" i="1"/>
  <c r="F4767" i="1"/>
  <c r="D4767" i="1"/>
  <c r="C4767" i="1"/>
  <c r="H4766" i="1"/>
  <c r="F4766" i="1"/>
  <c r="D4766" i="1"/>
  <c r="C4766" i="1"/>
  <c r="H4765" i="1"/>
  <c r="F4765" i="1"/>
  <c r="D4765" i="1"/>
  <c r="C4765" i="1"/>
  <c r="H4764" i="1"/>
  <c r="F4764" i="1"/>
  <c r="D4764" i="1"/>
  <c r="C4764" i="1"/>
  <c r="H4763" i="1"/>
  <c r="F4763" i="1"/>
  <c r="D4763" i="1"/>
  <c r="C4763" i="1"/>
  <c r="H4762" i="1"/>
  <c r="F4762" i="1"/>
  <c r="D4762" i="1"/>
  <c r="C4762" i="1"/>
  <c r="H4761" i="1"/>
  <c r="F4761" i="1"/>
  <c r="D4761" i="1"/>
  <c r="C4761" i="1"/>
  <c r="H4760" i="1"/>
  <c r="F4760" i="1"/>
  <c r="D4760" i="1"/>
  <c r="C4760" i="1"/>
  <c r="H4759" i="1"/>
  <c r="F4759" i="1"/>
  <c r="D4759" i="1"/>
  <c r="C4759" i="1"/>
  <c r="H4758" i="1"/>
  <c r="F4758" i="1"/>
  <c r="D4758" i="1"/>
  <c r="C4758" i="1"/>
  <c r="H4757" i="1"/>
  <c r="F4757" i="1"/>
  <c r="D4757" i="1"/>
  <c r="C4757" i="1"/>
  <c r="H4756" i="1"/>
  <c r="F4756" i="1"/>
  <c r="D4756" i="1"/>
  <c r="C4756" i="1"/>
  <c r="H4755" i="1"/>
  <c r="F4755" i="1"/>
  <c r="D4755" i="1"/>
  <c r="C4755" i="1"/>
  <c r="H4754" i="1"/>
  <c r="F4754" i="1"/>
  <c r="D4754" i="1"/>
  <c r="C4754" i="1"/>
  <c r="H4753" i="1"/>
  <c r="F4753" i="1"/>
  <c r="D4753" i="1"/>
  <c r="C4753" i="1"/>
  <c r="H4752" i="1"/>
  <c r="F4752" i="1"/>
  <c r="D4752" i="1"/>
  <c r="C4752" i="1"/>
  <c r="H4751" i="1"/>
  <c r="F4751" i="1"/>
  <c r="D4751" i="1"/>
  <c r="C4751" i="1"/>
  <c r="H4750" i="1"/>
  <c r="F4750" i="1"/>
  <c r="D4750" i="1"/>
  <c r="C4750" i="1"/>
  <c r="H4749" i="1"/>
  <c r="F4749" i="1"/>
  <c r="D4749" i="1"/>
  <c r="C4749" i="1"/>
  <c r="H4748" i="1"/>
  <c r="F4748" i="1"/>
  <c r="D4748" i="1"/>
  <c r="C4748" i="1"/>
  <c r="H4747" i="1"/>
  <c r="F4747" i="1"/>
  <c r="D4747" i="1"/>
  <c r="C4747" i="1"/>
  <c r="H4746" i="1"/>
  <c r="F4746" i="1"/>
  <c r="D4746" i="1"/>
  <c r="C4746" i="1"/>
  <c r="H4745" i="1"/>
  <c r="F4745" i="1"/>
  <c r="D4745" i="1"/>
  <c r="C4745" i="1"/>
  <c r="H4744" i="1"/>
  <c r="F4744" i="1"/>
  <c r="D4744" i="1"/>
  <c r="C4744" i="1"/>
  <c r="H4743" i="1"/>
  <c r="F4743" i="1"/>
  <c r="D4743" i="1"/>
  <c r="C4743" i="1"/>
  <c r="H4742" i="1"/>
  <c r="F4742" i="1"/>
  <c r="D4742" i="1"/>
  <c r="C4742" i="1"/>
  <c r="H4741" i="1"/>
  <c r="F4741" i="1"/>
  <c r="D4741" i="1"/>
  <c r="C4741" i="1"/>
  <c r="H4740" i="1"/>
  <c r="F4740" i="1"/>
  <c r="D4740" i="1"/>
  <c r="C4740" i="1"/>
  <c r="H4739" i="1"/>
  <c r="F4739" i="1"/>
  <c r="D4739" i="1"/>
  <c r="C4739" i="1"/>
  <c r="H4738" i="1"/>
  <c r="F4738" i="1"/>
  <c r="D4738" i="1"/>
  <c r="C4738" i="1"/>
  <c r="H4737" i="1"/>
  <c r="F4737" i="1"/>
  <c r="D4737" i="1"/>
  <c r="C4737" i="1"/>
  <c r="H4736" i="1"/>
  <c r="F4736" i="1"/>
  <c r="D4736" i="1"/>
  <c r="C4736" i="1"/>
  <c r="H4735" i="1"/>
  <c r="F4735" i="1"/>
  <c r="D4735" i="1"/>
  <c r="C4735" i="1"/>
  <c r="H4734" i="1"/>
  <c r="F4734" i="1"/>
  <c r="D4734" i="1"/>
  <c r="C4734" i="1"/>
  <c r="H4733" i="1"/>
  <c r="F4733" i="1"/>
  <c r="D4733" i="1"/>
  <c r="C4733" i="1"/>
  <c r="H4732" i="1"/>
  <c r="F4732" i="1"/>
  <c r="D4732" i="1"/>
  <c r="C4732" i="1"/>
  <c r="H4731" i="1"/>
  <c r="F4731" i="1"/>
  <c r="D4731" i="1"/>
  <c r="C4731" i="1"/>
  <c r="H4730" i="1"/>
  <c r="F4730" i="1"/>
  <c r="D4730" i="1"/>
  <c r="C4730" i="1"/>
  <c r="H4729" i="1"/>
  <c r="F4729" i="1"/>
  <c r="D4729" i="1"/>
  <c r="C4729" i="1"/>
  <c r="H4728" i="1"/>
  <c r="F4728" i="1"/>
  <c r="D4728" i="1"/>
  <c r="C4728" i="1"/>
  <c r="H4727" i="1"/>
  <c r="F4727" i="1"/>
  <c r="D4727" i="1"/>
  <c r="C4727" i="1"/>
  <c r="H4726" i="1"/>
  <c r="F4726" i="1"/>
  <c r="D4726" i="1"/>
  <c r="C4726" i="1"/>
  <c r="H4725" i="1"/>
  <c r="F4725" i="1"/>
  <c r="D4725" i="1"/>
  <c r="C4725" i="1"/>
  <c r="H4724" i="1"/>
  <c r="F4724" i="1"/>
  <c r="D4724" i="1"/>
  <c r="C4724" i="1"/>
  <c r="H4723" i="1"/>
  <c r="F4723" i="1"/>
  <c r="D4723" i="1"/>
  <c r="C4723" i="1"/>
  <c r="H4722" i="1"/>
  <c r="F4722" i="1"/>
  <c r="D4722" i="1"/>
  <c r="C4722" i="1"/>
  <c r="H4721" i="1"/>
  <c r="F4721" i="1"/>
  <c r="D4721" i="1"/>
  <c r="C4721" i="1"/>
  <c r="H4720" i="1"/>
  <c r="F4720" i="1"/>
  <c r="D4720" i="1"/>
  <c r="C4720" i="1"/>
  <c r="H4719" i="1"/>
  <c r="F4719" i="1"/>
  <c r="D4719" i="1"/>
  <c r="C4719" i="1"/>
  <c r="H4718" i="1"/>
  <c r="F4718" i="1"/>
  <c r="D4718" i="1"/>
  <c r="C4718" i="1"/>
  <c r="H4717" i="1"/>
  <c r="F4717" i="1"/>
  <c r="D4717" i="1"/>
  <c r="C4717" i="1"/>
  <c r="H4716" i="1"/>
  <c r="F4716" i="1"/>
  <c r="D4716" i="1"/>
  <c r="C4716" i="1"/>
  <c r="H4715" i="1"/>
  <c r="F4715" i="1"/>
  <c r="D4715" i="1"/>
  <c r="C4715" i="1"/>
  <c r="H4714" i="1"/>
  <c r="F4714" i="1"/>
  <c r="D4714" i="1"/>
  <c r="C4714" i="1"/>
  <c r="H4713" i="1"/>
  <c r="F4713" i="1"/>
  <c r="D4713" i="1"/>
  <c r="C4713" i="1"/>
  <c r="H4712" i="1"/>
  <c r="F4712" i="1"/>
  <c r="D4712" i="1"/>
  <c r="C4712" i="1"/>
  <c r="H4711" i="1"/>
  <c r="F4711" i="1"/>
  <c r="D4711" i="1"/>
  <c r="C4711" i="1"/>
  <c r="H4710" i="1"/>
  <c r="F4710" i="1"/>
  <c r="D4710" i="1"/>
  <c r="C4710" i="1"/>
  <c r="H4709" i="1"/>
  <c r="F4709" i="1"/>
  <c r="D4709" i="1"/>
  <c r="C4709" i="1"/>
  <c r="H4708" i="1"/>
  <c r="F4708" i="1"/>
  <c r="D4708" i="1"/>
  <c r="C4708" i="1"/>
  <c r="H4707" i="1"/>
  <c r="F4707" i="1"/>
  <c r="D4707" i="1"/>
  <c r="C4707" i="1"/>
  <c r="H4706" i="1"/>
  <c r="F4706" i="1"/>
  <c r="D4706" i="1"/>
  <c r="C4706" i="1"/>
  <c r="H4705" i="1"/>
  <c r="F4705" i="1"/>
  <c r="D4705" i="1"/>
  <c r="C4705" i="1"/>
  <c r="H4704" i="1"/>
  <c r="F4704" i="1"/>
  <c r="D4704" i="1"/>
  <c r="C4704" i="1"/>
  <c r="H4703" i="1"/>
  <c r="F4703" i="1"/>
  <c r="D4703" i="1"/>
  <c r="C4703" i="1"/>
  <c r="H4702" i="1"/>
  <c r="F4702" i="1"/>
  <c r="D4702" i="1"/>
  <c r="C4702" i="1"/>
  <c r="H4701" i="1"/>
  <c r="F4701" i="1"/>
  <c r="D4701" i="1"/>
  <c r="C4701" i="1"/>
  <c r="H4700" i="1"/>
  <c r="F4700" i="1"/>
  <c r="D4700" i="1"/>
  <c r="C4700" i="1"/>
  <c r="H4699" i="1"/>
  <c r="F4699" i="1"/>
  <c r="D4699" i="1"/>
  <c r="C4699" i="1"/>
  <c r="H4698" i="1"/>
  <c r="F4698" i="1"/>
  <c r="D4698" i="1"/>
  <c r="C4698" i="1"/>
  <c r="H4697" i="1"/>
  <c r="F4697" i="1"/>
  <c r="D4697" i="1"/>
  <c r="C4697" i="1"/>
  <c r="H4696" i="1"/>
  <c r="F4696" i="1"/>
  <c r="D4696" i="1"/>
  <c r="C4696" i="1"/>
  <c r="H4695" i="1"/>
  <c r="F4695" i="1"/>
  <c r="D4695" i="1"/>
  <c r="C4695" i="1"/>
  <c r="H4694" i="1"/>
  <c r="F4694" i="1"/>
  <c r="D4694" i="1"/>
  <c r="C4694" i="1"/>
  <c r="H4693" i="1"/>
  <c r="F4693" i="1"/>
  <c r="D4693" i="1"/>
  <c r="C4693" i="1"/>
  <c r="H4692" i="1"/>
  <c r="F4692" i="1"/>
  <c r="D4692" i="1"/>
  <c r="C4692" i="1"/>
  <c r="H4691" i="1"/>
  <c r="F4691" i="1"/>
  <c r="D4691" i="1"/>
  <c r="C4691" i="1"/>
  <c r="H4690" i="1"/>
  <c r="F4690" i="1"/>
  <c r="D4690" i="1"/>
  <c r="C4690" i="1"/>
  <c r="H4689" i="1"/>
  <c r="F4689" i="1"/>
  <c r="D4689" i="1"/>
  <c r="C4689" i="1"/>
  <c r="H4688" i="1"/>
  <c r="F4688" i="1"/>
  <c r="D4688" i="1"/>
  <c r="C4688" i="1"/>
  <c r="H4687" i="1"/>
  <c r="F4687" i="1"/>
  <c r="D4687" i="1"/>
  <c r="C4687" i="1"/>
  <c r="H4686" i="1"/>
  <c r="F4686" i="1"/>
  <c r="D4686" i="1"/>
  <c r="C4686" i="1"/>
  <c r="H4685" i="1"/>
  <c r="F4685" i="1"/>
  <c r="D4685" i="1"/>
  <c r="C4685" i="1"/>
  <c r="H4684" i="1"/>
  <c r="F4684" i="1"/>
  <c r="D4684" i="1"/>
  <c r="C4684" i="1"/>
  <c r="H4683" i="1"/>
  <c r="F4683" i="1"/>
  <c r="D4683" i="1"/>
  <c r="C4683" i="1"/>
  <c r="H4682" i="1"/>
  <c r="F4682" i="1"/>
  <c r="D4682" i="1"/>
  <c r="C4682" i="1"/>
  <c r="H4681" i="1"/>
  <c r="F4681" i="1"/>
  <c r="D4681" i="1"/>
  <c r="C4681" i="1"/>
  <c r="H4680" i="1"/>
  <c r="F4680" i="1"/>
  <c r="D4680" i="1"/>
  <c r="C4680" i="1"/>
  <c r="H4679" i="1"/>
  <c r="F4679" i="1"/>
  <c r="D4679" i="1"/>
  <c r="C4679" i="1"/>
  <c r="H4678" i="1"/>
  <c r="F4678" i="1"/>
  <c r="D4678" i="1"/>
  <c r="C4678" i="1"/>
  <c r="H4677" i="1"/>
  <c r="F4677" i="1"/>
  <c r="D4677" i="1"/>
  <c r="C4677" i="1"/>
  <c r="H4676" i="1"/>
  <c r="F4676" i="1"/>
  <c r="D4676" i="1"/>
  <c r="C4676" i="1"/>
  <c r="H4675" i="1"/>
  <c r="F4675" i="1"/>
  <c r="D4675" i="1"/>
  <c r="C4675" i="1"/>
  <c r="H4674" i="1"/>
  <c r="F4674" i="1"/>
  <c r="D4674" i="1"/>
  <c r="C4674" i="1"/>
  <c r="H4673" i="1"/>
  <c r="F4673" i="1"/>
  <c r="D4673" i="1"/>
  <c r="C4673" i="1"/>
  <c r="H4672" i="1"/>
  <c r="F4672" i="1"/>
  <c r="D4672" i="1"/>
  <c r="C4672" i="1"/>
  <c r="H4671" i="1"/>
  <c r="F4671" i="1"/>
  <c r="D4671" i="1"/>
  <c r="C4671" i="1"/>
  <c r="H4670" i="1"/>
  <c r="F4670" i="1"/>
  <c r="D4670" i="1"/>
  <c r="C4670" i="1"/>
  <c r="H4669" i="1"/>
  <c r="F4669" i="1"/>
  <c r="D4669" i="1"/>
  <c r="C4669" i="1"/>
  <c r="H4668" i="1"/>
  <c r="F4668" i="1"/>
  <c r="D4668" i="1"/>
  <c r="C4668" i="1"/>
  <c r="H4667" i="1"/>
  <c r="F4667" i="1"/>
  <c r="D4667" i="1"/>
  <c r="C4667" i="1"/>
  <c r="H4666" i="1"/>
  <c r="F4666" i="1"/>
  <c r="D4666" i="1"/>
  <c r="C4666" i="1"/>
  <c r="H4665" i="1"/>
  <c r="F4665" i="1"/>
  <c r="D4665" i="1"/>
  <c r="C4665" i="1"/>
  <c r="H4664" i="1"/>
  <c r="F4664" i="1"/>
  <c r="D4664" i="1"/>
  <c r="C4664" i="1"/>
  <c r="H4663" i="1"/>
  <c r="F4663" i="1"/>
  <c r="D4663" i="1"/>
  <c r="C4663" i="1"/>
  <c r="H4662" i="1"/>
  <c r="F4662" i="1"/>
  <c r="D4662" i="1"/>
  <c r="C4662" i="1"/>
  <c r="H4661" i="1"/>
  <c r="F4661" i="1"/>
  <c r="D4661" i="1"/>
  <c r="C4661" i="1"/>
  <c r="H4660" i="1"/>
  <c r="F4660" i="1"/>
  <c r="D4660" i="1"/>
  <c r="C4660" i="1"/>
  <c r="H4659" i="1"/>
  <c r="F4659" i="1"/>
  <c r="D4659" i="1"/>
  <c r="C4659" i="1"/>
  <c r="H4658" i="1"/>
  <c r="F4658" i="1"/>
  <c r="D4658" i="1"/>
  <c r="C4658" i="1"/>
  <c r="H4657" i="1"/>
  <c r="F4657" i="1"/>
  <c r="D4657" i="1"/>
  <c r="C4657" i="1"/>
  <c r="H4656" i="1"/>
  <c r="F4656" i="1"/>
  <c r="D4656" i="1"/>
  <c r="C4656" i="1"/>
  <c r="H4655" i="1"/>
  <c r="F4655" i="1"/>
  <c r="D4655" i="1"/>
  <c r="C4655" i="1"/>
  <c r="H4654" i="1"/>
  <c r="F4654" i="1"/>
  <c r="D4654" i="1"/>
  <c r="C4654" i="1"/>
  <c r="H4653" i="1"/>
  <c r="F4653" i="1"/>
  <c r="D4653" i="1"/>
  <c r="C4653" i="1"/>
  <c r="H4652" i="1"/>
  <c r="F4652" i="1"/>
  <c r="D4652" i="1"/>
  <c r="C4652" i="1"/>
  <c r="H4651" i="1"/>
  <c r="F4651" i="1"/>
  <c r="D4651" i="1"/>
  <c r="C4651" i="1"/>
  <c r="H4650" i="1"/>
  <c r="F4650" i="1"/>
  <c r="D4650" i="1"/>
  <c r="C4650" i="1"/>
  <c r="H4649" i="1"/>
  <c r="F4649" i="1"/>
  <c r="D4649" i="1"/>
  <c r="C4649" i="1"/>
  <c r="H4648" i="1"/>
  <c r="F4648" i="1"/>
  <c r="D4648" i="1"/>
  <c r="C4648" i="1"/>
  <c r="H4647" i="1"/>
  <c r="F4647" i="1"/>
  <c r="D4647" i="1"/>
  <c r="C4647" i="1"/>
  <c r="H4646" i="1"/>
  <c r="F4646" i="1"/>
  <c r="D4646" i="1"/>
  <c r="C4646" i="1"/>
  <c r="H4645" i="1"/>
  <c r="F4645" i="1"/>
  <c r="D4645" i="1"/>
  <c r="C4645" i="1"/>
  <c r="H4644" i="1"/>
  <c r="F4644" i="1"/>
  <c r="D4644" i="1"/>
  <c r="C4644" i="1"/>
  <c r="H4643" i="1"/>
  <c r="F4643" i="1"/>
  <c r="D4643" i="1"/>
  <c r="C4643" i="1"/>
  <c r="H4642" i="1"/>
  <c r="F4642" i="1"/>
  <c r="D4642" i="1"/>
  <c r="C4642" i="1"/>
  <c r="H4641" i="1"/>
  <c r="F4641" i="1"/>
  <c r="D4641" i="1"/>
  <c r="C4641" i="1"/>
  <c r="H4640" i="1"/>
  <c r="F4640" i="1"/>
  <c r="D4640" i="1"/>
  <c r="C4640" i="1"/>
  <c r="H4639" i="1"/>
  <c r="F4639" i="1"/>
  <c r="D4639" i="1"/>
  <c r="C4639" i="1"/>
  <c r="H4638" i="1"/>
  <c r="F4638" i="1"/>
  <c r="D4638" i="1"/>
  <c r="C4638" i="1"/>
  <c r="H4637" i="1"/>
  <c r="F4637" i="1"/>
  <c r="D4637" i="1"/>
  <c r="C4637" i="1"/>
  <c r="H4636" i="1"/>
  <c r="F4636" i="1"/>
  <c r="D4636" i="1"/>
  <c r="C4636" i="1"/>
  <c r="H4635" i="1"/>
  <c r="F4635" i="1"/>
  <c r="D4635" i="1"/>
  <c r="C4635" i="1"/>
  <c r="H4634" i="1"/>
  <c r="F4634" i="1"/>
  <c r="D4634" i="1"/>
  <c r="C4634" i="1"/>
  <c r="H4633" i="1"/>
  <c r="F4633" i="1"/>
  <c r="D4633" i="1"/>
  <c r="C4633" i="1"/>
  <c r="H4632" i="1"/>
  <c r="F4632" i="1"/>
  <c r="D4632" i="1"/>
  <c r="C4632" i="1"/>
  <c r="H4631" i="1"/>
  <c r="F4631" i="1"/>
  <c r="D4631" i="1"/>
  <c r="C4631" i="1"/>
  <c r="H4630" i="1"/>
  <c r="F4630" i="1"/>
  <c r="D4630" i="1"/>
  <c r="C4630" i="1"/>
  <c r="H4629" i="1"/>
  <c r="F4629" i="1"/>
  <c r="D4629" i="1"/>
  <c r="C4629" i="1"/>
  <c r="H4628" i="1"/>
  <c r="F4628" i="1"/>
  <c r="D4628" i="1"/>
  <c r="C4628" i="1"/>
  <c r="H4627" i="1"/>
  <c r="F4627" i="1"/>
  <c r="D4627" i="1"/>
  <c r="C4627" i="1"/>
  <c r="H4626" i="1"/>
  <c r="F4626" i="1"/>
  <c r="D4626" i="1"/>
  <c r="C4626" i="1"/>
  <c r="H4625" i="1"/>
  <c r="F4625" i="1"/>
  <c r="D4625" i="1"/>
  <c r="C4625" i="1"/>
  <c r="H4624" i="1"/>
  <c r="F4624" i="1"/>
  <c r="D4624" i="1"/>
  <c r="C4624" i="1"/>
  <c r="H4623" i="1"/>
  <c r="F4623" i="1"/>
  <c r="D4623" i="1"/>
  <c r="C4623" i="1"/>
  <c r="H4622" i="1"/>
  <c r="F4622" i="1"/>
  <c r="D4622" i="1"/>
  <c r="C4622" i="1"/>
  <c r="H4621" i="1"/>
  <c r="F4621" i="1"/>
  <c r="D4621" i="1"/>
  <c r="C4621" i="1"/>
  <c r="H4620" i="1"/>
  <c r="F4620" i="1"/>
  <c r="D4620" i="1"/>
  <c r="C4620" i="1"/>
  <c r="H4619" i="1"/>
  <c r="F4619" i="1"/>
  <c r="D4619" i="1"/>
  <c r="C4619" i="1"/>
  <c r="H4618" i="1"/>
  <c r="F4618" i="1"/>
  <c r="D4618" i="1"/>
  <c r="C4618" i="1"/>
  <c r="H4617" i="1"/>
  <c r="F4617" i="1"/>
  <c r="D4617" i="1"/>
  <c r="C4617" i="1"/>
  <c r="H4616" i="1"/>
  <c r="F4616" i="1"/>
  <c r="D4616" i="1"/>
  <c r="C4616" i="1"/>
  <c r="H4615" i="1"/>
  <c r="F4615" i="1"/>
  <c r="D4615" i="1"/>
  <c r="C4615" i="1"/>
  <c r="H4614" i="1"/>
  <c r="F4614" i="1"/>
  <c r="D4614" i="1"/>
  <c r="C4614" i="1"/>
  <c r="H4613" i="1"/>
  <c r="F4613" i="1"/>
  <c r="D4613" i="1"/>
  <c r="C4613" i="1"/>
  <c r="H4612" i="1"/>
  <c r="F4612" i="1"/>
  <c r="D4612" i="1"/>
  <c r="C4612" i="1"/>
  <c r="H4611" i="1"/>
  <c r="F4611" i="1"/>
  <c r="D4611" i="1"/>
  <c r="C4611" i="1"/>
  <c r="H4610" i="1"/>
  <c r="F4610" i="1"/>
  <c r="D4610" i="1"/>
  <c r="C4610" i="1"/>
  <c r="H4609" i="1"/>
  <c r="F4609" i="1"/>
  <c r="D4609" i="1"/>
  <c r="C4609" i="1"/>
  <c r="H4608" i="1"/>
  <c r="F4608" i="1"/>
  <c r="D4608" i="1"/>
  <c r="C4608" i="1"/>
  <c r="H4607" i="1"/>
  <c r="F4607" i="1"/>
  <c r="D4607" i="1"/>
  <c r="C4607" i="1"/>
  <c r="H4606" i="1"/>
  <c r="F4606" i="1"/>
  <c r="D4606" i="1"/>
  <c r="C4606" i="1"/>
  <c r="H4605" i="1"/>
  <c r="F4605" i="1"/>
  <c r="D4605" i="1"/>
  <c r="C4605" i="1"/>
  <c r="H4604" i="1"/>
  <c r="F4604" i="1"/>
  <c r="D4604" i="1"/>
  <c r="C4604" i="1"/>
  <c r="H4603" i="1"/>
  <c r="F4603" i="1"/>
  <c r="D4603" i="1"/>
  <c r="C4603" i="1"/>
  <c r="H4602" i="1"/>
  <c r="F4602" i="1"/>
  <c r="D4602" i="1"/>
  <c r="C4602" i="1"/>
  <c r="H4601" i="1"/>
  <c r="F4601" i="1"/>
  <c r="D4601" i="1"/>
  <c r="C4601" i="1"/>
  <c r="H4600" i="1"/>
  <c r="F4600" i="1"/>
  <c r="D4600" i="1"/>
  <c r="C4600" i="1"/>
  <c r="H4599" i="1"/>
  <c r="F4599" i="1"/>
  <c r="D4599" i="1"/>
  <c r="C4599" i="1"/>
  <c r="H4598" i="1"/>
  <c r="F4598" i="1"/>
  <c r="D4598" i="1"/>
  <c r="C4598" i="1"/>
  <c r="H4597" i="1"/>
  <c r="F4597" i="1"/>
  <c r="D4597" i="1"/>
  <c r="C4597" i="1"/>
  <c r="H4596" i="1"/>
  <c r="F4596" i="1"/>
  <c r="D4596" i="1"/>
  <c r="C4596" i="1"/>
  <c r="H4595" i="1"/>
  <c r="F4595" i="1"/>
  <c r="D4595" i="1"/>
  <c r="C4595" i="1"/>
  <c r="H4594" i="1"/>
  <c r="F4594" i="1"/>
  <c r="D4594" i="1"/>
  <c r="C4594" i="1"/>
  <c r="H4593" i="1"/>
  <c r="F4593" i="1"/>
  <c r="D4593" i="1"/>
  <c r="C4593" i="1"/>
  <c r="H4592" i="1"/>
  <c r="F4592" i="1"/>
  <c r="D4592" i="1"/>
  <c r="C4592" i="1"/>
  <c r="H4591" i="1"/>
  <c r="F4591" i="1"/>
  <c r="D4591" i="1"/>
  <c r="C4591" i="1"/>
  <c r="H4590" i="1"/>
  <c r="F4590" i="1"/>
  <c r="D4590" i="1"/>
  <c r="C4590" i="1"/>
  <c r="H4589" i="1"/>
  <c r="F4589" i="1"/>
  <c r="D4589" i="1"/>
  <c r="C4589" i="1"/>
  <c r="H4588" i="1"/>
  <c r="F4588" i="1"/>
  <c r="D4588" i="1"/>
  <c r="C4588" i="1"/>
  <c r="H4587" i="1"/>
  <c r="F4587" i="1"/>
  <c r="D4587" i="1"/>
  <c r="C4587" i="1"/>
  <c r="H4586" i="1"/>
  <c r="F4586" i="1"/>
  <c r="D4586" i="1"/>
  <c r="C4586" i="1"/>
  <c r="H4585" i="1"/>
  <c r="F4585" i="1"/>
  <c r="D4585" i="1"/>
  <c r="C4585" i="1"/>
  <c r="H4584" i="1"/>
  <c r="F4584" i="1"/>
  <c r="D4584" i="1"/>
  <c r="C4584" i="1"/>
  <c r="H4583" i="1"/>
  <c r="F4583" i="1"/>
  <c r="D4583" i="1"/>
  <c r="C4583" i="1"/>
  <c r="H4582" i="1"/>
  <c r="F4582" i="1"/>
  <c r="D4582" i="1"/>
  <c r="C4582" i="1"/>
  <c r="H4581" i="1"/>
  <c r="F4581" i="1"/>
  <c r="D4581" i="1"/>
  <c r="C4581" i="1"/>
  <c r="H4580" i="1"/>
  <c r="F4580" i="1"/>
  <c r="D4580" i="1"/>
  <c r="C4580" i="1"/>
  <c r="H4579" i="1"/>
  <c r="F4579" i="1"/>
  <c r="D4579" i="1"/>
  <c r="C4579" i="1"/>
  <c r="H4578" i="1"/>
  <c r="F4578" i="1"/>
  <c r="D4578" i="1"/>
  <c r="C4578" i="1"/>
  <c r="H4577" i="1"/>
  <c r="F4577" i="1"/>
  <c r="D4577" i="1"/>
  <c r="C4577" i="1"/>
  <c r="H4576" i="1"/>
  <c r="F4576" i="1"/>
  <c r="D4576" i="1"/>
  <c r="C4576" i="1"/>
  <c r="H4575" i="1"/>
  <c r="F4575" i="1"/>
  <c r="D4575" i="1"/>
  <c r="C4575" i="1"/>
  <c r="H4574" i="1"/>
  <c r="F4574" i="1"/>
  <c r="D4574" i="1"/>
  <c r="C4574" i="1"/>
  <c r="H4573" i="1"/>
  <c r="F4573" i="1"/>
  <c r="D4573" i="1"/>
  <c r="C4573" i="1"/>
  <c r="H4572" i="1"/>
  <c r="F4572" i="1"/>
  <c r="D4572" i="1"/>
  <c r="C4572" i="1"/>
  <c r="H4571" i="1"/>
  <c r="F4571" i="1"/>
  <c r="D4571" i="1"/>
  <c r="C4571" i="1"/>
  <c r="H4570" i="1"/>
  <c r="F4570" i="1"/>
  <c r="D4570" i="1"/>
  <c r="C4570" i="1"/>
  <c r="H4569" i="1"/>
  <c r="F4569" i="1"/>
  <c r="D4569" i="1"/>
  <c r="C4569" i="1"/>
  <c r="H4568" i="1"/>
  <c r="F4568" i="1"/>
  <c r="D4568" i="1"/>
  <c r="C4568" i="1"/>
  <c r="H4567" i="1"/>
  <c r="F4567" i="1"/>
  <c r="D4567" i="1"/>
  <c r="C4567" i="1"/>
  <c r="H4566" i="1"/>
  <c r="F4566" i="1"/>
  <c r="D4566" i="1"/>
  <c r="C4566" i="1"/>
  <c r="H4565" i="1"/>
  <c r="F4565" i="1"/>
  <c r="D4565" i="1"/>
  <c r="C4565" i="1"/>
  <c r="H4564" i="1"/>
  <c r="F4564" i="1"/>
  <c r="D4564" i="1"/>
  <c r="C4564" i="1"/>
  <c r="H4563" i="1"/>
  <c r="F4563" i="1"/>
  <c r="D4563" i="1"/>
  <c r="C4563" i="1"/>
  <c r="H4562" i="1"/>
  <c r="F4562" i="1"/>
  <c r="D4562" i="1"/>
  <c r="C4562" i="1"/>
  <c r="H4561" i="1"/>
  <c r="F4561" i="1"/>
  <c r="D4561" i="1"/>
  <c r="C4561" i="1"/>
  <c r="H4560" i="1"/>
  <c r="F4560" i="1"/>
  <c r="D4560" i="1"/>
  <c r="C4560" i="1"/>
  <c r="H4559" i="1"/>
  <c r="F4559" i="1"/>
  <c r="D4559" i="1"/>
  <c r="C4559" i="1"/>
  <c r="H4558" i="1"/>
  <c r="F4558" i="1"/>
  <c r="D4558" i="1"/>
  <c r="C4558" i="1"/>
  <c r="H4557" i="1"/>
  <c r="F4557" i="1"/>
  <c r="D4557" i="1"/>
  <c r="C4557" i="1"/>
  <c r="H4556" i="1"/>
  <c r="F4556" i="1"/>
  <c r="D4556" i="1"/>
  <c r="C4556" i="1"/>
  <c r="H4555" i="1"/>
  <c r="F4555" i="1"/>
  <c r="D4555" i="1"/>
  <c r="C4555" i="1"/>
  <c r="H4554" i="1"/>
  <c r="F4554" i="1"/>
  <c r="D4554" i="1"/>
  <c r="C4554" i="1"/>
  <c r="H4553" i="1"/>
  <c r="F4553" i="1"/>
  <c r="D4553" i="1"/>
  <c r="C4553" i="1"/>
  <c r="H4552" i="1"/>
  <c r="F4552" i="1"/>
  <c r="D4552" i="1"/>
  <c r="C4552" i="1"/>
  <c r="H4551" i="1"/>
  <c r="F4551" i="1"/>
  <c r="D4551" i="1"/>
  <c r="C4551" i="1"/>
  <c r="H4550" i="1"/>
  <c r="F4550" i="1"/>
  <c r="D4550" i="1"/>
  <c r="C4550" i="1"/>
  <c r="H4549" i="1"/>
  <c r="F4549" i="1"/>
  <c r="D4549" i="1"/>
  <c r="C4549" i="1"/>
  <c r="H4548" i="1"/>
  <c r="F4548" i="1"/>
  <c r="D4548" i="1"/>
  <c r="C4548" i="1"/>
  <c r="H4547" i="1"/>
  <c r="F4547" i="1"/>
  <c r="D4547" i="1"/>
  <c r="C4547" i="1"/>
  <c r="H4546" i="1"/>
  <c r="F4546" i="1"/>
  <c r="D4546" i="1"/>
  <c r="C4546" i="1"/>
  <c r="H4545" i="1"/>
  <c r="F4545" i="1"/>
  <c r="D4545" i="1"/>
  <c r="C4545" i="1"/>
  <c r="H4544" i="1"/>
  <c r="F4544" i="1"/>
  <c r="D4544" i="1"/>
  <c r="C4544" i="1"/>
  <c r="H4543" i="1"/>
  <c r="F4543" i="1"/>
  <c r="D4543" i="1"/>
  <c r="C4543" i="1"/>
  <c r="H4542" i="1"/>
  <c r="F4542" i="1"/>
  <c r="D4542" i="1"/>
  <c r="C4542" i="1"/>
  <c r="H4541" i="1"/>
  <c r="F4541" i="1"/>
  <c r="D4541" i="1"/>
  <c r="C4541" i="1"/>
  <c r="H4540" i="1"/>
  <c r="F4540" i="1"/>
  <c r="D4540" i="1"/>
  <c r="C4540" i="1"/>
  <c r="H4539" i="1"/>
  <c r="F4539" i="1"/>
  <c r="D4539" i="1"/>
  <c r="C4539" i="1"/>
  <c r="H4538" i="1"/>
  <c r="F4538" i="1"/>
  <c r="D4538" i="1"/>
  <c r="C4538" i="1"/>
  <c r="H4537" i="1"/>
  <c r="F4537" i="1"/>
  <c r="D4537" i="1"/>
  <c r="C4537" i="1"/>
  <c r="H4536" i="1"/>
  <c r="F4536" i="1"/>
  <c r="D4536" i="1"/>
  <c r="C4536" i="1"/>
  <c r="H4535" i="1"/>
  <c r="F4535" i="1"/>
  <c r="D4535" i="1"/>
  <c r="C4535" i="1"/>
  <c r="H4534" i="1"/>
  <c r="F4534" i="1"/>
  <c r="D4534" i="1"/>
  <c r="C4534" i="1"/>
  <c r="H4533" i="1"/>
  <c r="F4533" i="1"/>
  <c r="D4533" i="1"/>
  <c r="C4533" i="1"/>
  <c r="H4532" i="1"/>
  <c r="F4532" i="1"/>
  <c r="D4532" i="1"/>
  <c r="C4532" i="1"/>
  <c r="H4531" i="1"/>
  <c r="F4531" i="1"/>
  <c r="D4531" i="1"/>
  <c r="C4531" i="1"/>
  <c r="H4530" i="1"/>
  <c r="F4530" i="1"/>
  <c r="D4530" i="1"/>
  <c r="C4530" i="1"/>
  <c r="H4529" i="1"/>
  <c r="F4529" i="1"/>
  <c r="D4529" i="1"/>
  <c r="C4529" i="1"/>
  <c r="H4528" i="1"/>
  <c r="F4528" i="1"/>
  <c r="D4528" i="1"/>
  <c r="C4528" i="1"/>
  <c r="H4527" i="1"/>
  <c r="F4527" i="1"/>
  <c r="D4527" i="1"/>
  <c r="C4527" i="1"/>
  <c r="H4526" i="1"/>
  <c r="F4526" i="1"/>
  <c r="D4526" i="1"/>
  <c r="C4526" i="1"/>
  <c r="H4525" i="1"/>
  <c r="F4525" i="1"/>
  <c r="D4525" i="1"/>
  <c r="C4525" i="1"/>
  <c r="H4524" i="1"/>
  <c r="F4524" i="1"/>
  <c r="D4524" i="1"/>
  <c r="C4524" i="1"/>
  <c r="H4523" i="1"/>
  <c r="F4523" i="1"/>
  <c r="D4523" i="1"/>
  <c r="C4523" i="1"/>
  <c r="H4522" i="1"/>
  <c r="F4522" i="1"/>
  <c r="D4522" i="1"/>
  <c r="C4522" i="1"/>
  <c r="H4521" i="1"/>
  <c r="F4521" i="1"/>
  <c r="D4521" i="1"/>
  <c r="C4521" i="1"/>
  <c r="H4520" i="1"/>
  <c r="F4520" i="1"/>
  <c r="D4520" i="1"/>
  <c r="C4520" i="1"/>
  <c r="H4519" i="1"/>
  <c r="F4519" i="1"/>
  <c r="D4519" i="1"/>
  <c r="C4519" i="1"/>
  <c r="H4518" i="1"/>
  <c r="F4518" i="1"/>
  <c r="D4518" i="1"/>
  <c r="C4518" i="1"/>
  <c r="H4517" i="1"/>
  <c r="F4517" i="1"/>
  <c r="D4517" i="1"/>
  <c r="C4517" i="1"/>
  <c r="H4516" i="1"/>
  <c r="F4516" i="1"/>
  <c r="D4516" i="1"/>
  <c r="C4516" i="1"/>
  <c r="H4515" i="1"/>
  <c r="F4515" i="1"/>
  <c r="D4515" i="1"/>
  <c r="C4515" i="1"/>
  <c r="H4514" i="1"/>
  <c r="F4514" i="1"/>
  <c r="D4514" i="1"/>
  <c r="C4514" i="1"/>
  <c r="H4513" i="1"/>
  <c r="F4513" i="1"/>
  <c r="D4513" i="1"/>
  <c r="C4513" i="1"/>
  <c r="H4512" i="1"/>
  <c r="F4512" i="1"/>
  <c r="D4512" i="1"/>
  <c r="C4512" i="1"/>
  <c r="H4511" i="1"/>
  <c r="F4511" i="1"/>
  <c r="D4511" i="1"/>
  <c r="C4511" i="1"/>
  <c r="H4510" i="1"/>
  <c r="F4510" i="1"/>
  <c r="D4510" i="1"/>
  <c r="C4510" i="1"/>
  <c r="H4509" i="1"/>
  <c r="F4509" i="1"/>
  <c r="D4509" i="1"/>
  <c r="C4509" i="1"/>
  <c r="H4508" i="1"/>
  <c r="F4508" i="1"/>
  <c r="D4508" i="1"/>
  <c r="C4508" i="1"/>
  <c r="H4507" i="1"/>
  <c r="F4507" i="1"/>
  <c r="D4507" i="1"/>
  <c r="C4507" i="1"/>
  <c r="H4506" i="1"/>
  <c r="F4506" i="1"/>
  <c r="D4506" i="1"/>
  <c r="C4506" i="1"/>
  <c r="H4505" i="1"/>
  <c r="F4505" i="1"/>
  <c r="D4505" i="1"/>
  <c r="C4505" i="1"/>
  <c r="H4504" i="1"/>
  <c r="F4504" i="1"/>
  <c r="D4504" i="1"/>
  <c r="C4504" i="1"/>
  <c r="H4503" i="1"/>
  <c r="F4503" i="1"/>
  <c r="D4503" i="1"/>
  <c r="C4503" i="1"/>
  <c r="H4502" i="1"/>
  <c r="F4502" i="1"/>
  <c r="D4502" i="1"/>
  <c r="C4502" i="1"/>
  <c r="H4501" i="1"/>
  <c r="F4501" i="1"/>
  <c r="D4501" i="1"/>
  <c r="C4501" i="1"/>
  <c r="H4500" i="1"/>
  <c r="F4500" i="1"/>
  <c r="D4500" i="1"/>
  <c r="C4500" i="1"/>
  <c r="H4499" i="1"/>
  <c r="F4499" i="1"/>
  <c r="D4499" i="1"/>
  <c r="C4499" i="1"/>
  <c r="H4498" i="1"/>
  <c r="F4498" i="1"/>
  <c r="D4498" i="1"/>
  <c r="C4498" i="1"/>
  <c r="H4497" i="1"/>
  <c r="F4497" i="1"/>
  <c r="D4497" i="1"/>
  <c r="C4497" i="1"/>
  <c r="H4496" i="1"/>
  <c r="F4496" i="1"/>
  <c r="D4496" i="1"/>
  <c r="C4496" i="1"/>
  <c r="H4495" i="1"/>
  <c r="F4495" i="1"/>
  <c r="D4495" i="1"/>
  <c r="C4495" i="1"/>
  <c r="H4494" i="1"/>
  <c r="F4494" i="1"/>
  <c r="D4494" i="1"/>
  <c r="C4494" i="1"/>
  <c r="H4493" i="1"/>
  <c r="F4493" i="1"/>
  <c r="D4493" i="1"/>
  <c r="C4493" i="1"/>
  <c r="H4492" i="1"/>
  <c r="F4492" i="1"/>
  <c r="D4492" i="1"/>
  <c r="C4492" i="1"/>
  <c r="H4491" i="1"/>
  <c r="F4491" i="1"/>
  <c r="D4491" i="1"/>
  <c r="C4491" i="1"/>
  <c r="H4490" i="1"/>
  <c r="F4490" i="1"/>
  <c r="D4490" i="1"/>
  <c r="C4490" i="1"/>
  <c r="H4489" i="1"/>
  <c r="F4489" i="1"/>
  <c r="D4489" i="1"/>
  <c r="C4489" i="1"/>
  <c r="H4488" i="1"/>
  <c r="F4488" i="1"/>
  <c r="D4488" i="1"/>
  <c r="C4488" i="1"/>
  <c r="H4487" i="1"/>
  <c r="F4487" i="1"/>
  <c r="D4487" i="1"/>
  <c r="C4487" i="1"/>
  <c r="H4486" i="1"/>
  <c r="F4486" i="1"/>
  <c r="D4486" i="1"/>
  <c r="C4486" i="1"/>
  <c r="H4485" i="1"/>
  <c r="F4485" i="1"/>
  <c r="D4485" i="1"/>
  <c r="C4485" i="1"/>
  <c r="H4484" i="1"/>
  <c r="F4484" i="1"/>
  <c r="D4484" i="1"/>
  <c r="C4484" i="1"/>
  <c r="H4483" i="1"/>
  <c r="F4483" i="1"/>
  <c r="D4483" i="1"/>
  <c r="C4483" i="1"/>
  <c r="H4482" i="1"/>
  <c r="F4482" i="1"/>
  <c r="D4482" i="1"/>
  <c r="C4482" i="1"/>
  <c r="H4481" i="1"/>
  <c r="F4481" i="1"/>
  <c r="D4481" i="1"/>
  <c r="C4481" i="1"/>
  <c r="H4480" i="1"/>
  <c r="F4480" i="1"/>
  <c r="D4480" i="1"/>
  <c r="C4480" i="1"/>
  <c r="H4479" i="1"/>
  <c r="F4479" i="1"/>
  <c r="D4479" i="1"/>
  <c r="C4479" i="1"/>
  <c r="H4478" i="1"/>
  <c r="F4478" i="1"/>
  <c r="D4478" i="1"/>
  <c r="C4478" i="1"/>
  <c r="H4477" i="1"/>
  <c r="F4477" i="1"/>
  <c r="D4477" i="1"/>
  <c r="C4477" i="1"/>
  <c r="H4476" i="1"/>
  <c r="F4476" i="1"/>
  <c r="D4476" i="1"/>
  <c r="C4476" i="1"/>
  <c r="H4475" i="1"/>
  <c r="F4475" i="1"/>
  <c r="D4475" i="1"/>
  <c r="C4475" i="1"/>
  <c r="H4474" i="1"/>
  <c r="F4474" i="1"/>
  <c r="D4474" i="1"/>
  <c r="C4474" i="1"/>
  <c r="H4473" i="1"/>
  <c r="F4473" i="1"/>
  <c r="D4473" i="1"/>
  <c r="C4473" i="1"/>
  <c r="H4472" i="1"/>
  <c r="F4472" i="1"/>
  <c r="D4472" i="1"/>
  <c r="C4472" i="1"/>
  <c r="H4471" i="1"/>
  <c r="F4471" i="1"/>
  <c r="D4471" i="1"/>
  <c r="C4471" i="1"/>
  <c r="H4470" i="1"/>
  <c r="F4470" i="1"/>
  <c r="D4470" i="1"/>
  <c r="C4470" i="1"/>
  <c r="H4469" i="1"/>
  <c r="F4469" i="1"/>
  <c r="D4469" i="1"/>
  <c r="C4469" i="1"/>
  <c r="H4468" i="1"/>
  <c r="F4468" i="1"/>
  <c r="D4468" i="1"/>
  <c r="C4468" i="1"/>
  <c r="H4467" i="1"/>
  <c r="F4467" i="1"/>
  <c r="D4467" i="1"/>
  <c r="C4467" i="1"/>
  <c r="H4466" i="1"/>
  <c r="F4466" i="1"/>
  <c r="D4466" i="1"/>
  <c r="C4466" i="1"/>
  <c r="H4465" i="1"/>
  <c r="F4465" i="1"/>
  <c r="D4465" i="1"/>
  <c r="C4465" i="1"/>
  <c r="H4464" i="1"/>
  <c r="F4464" i="1"/>
  <c r="D4464" i="1"/>
  <c r="C4464" i="1"/>
  <c r="H4463" i="1"/>
  <c r="F4463" i="1"/>
  <c r="D4463" i="1"/>
  <c r="C4463" i="1"/>
  <c r="H4462" i="1"/>
  <c r="F4462" i="1"/>
  <c r="D4462" i="1"/>
  <c r="C4462" i="1"/>
  <c r="H4461" i="1"/>
  <c r="F4461" i="1"/>
  <c r="D4461" i="1"/>
  <c r="C4461" i="1"/>
  <c r="H4460" i="1"/>
  <c r="F4460" i="1"/>
  <c r="D4460" i="1"/>
  <c r="C4460" i="1"/>
  <c r="H4459" i="1"/>
  <c r="F4459" i="1"/>
  <c r="D4459" i="1"/>
  <c r="C4459" i="1"/>
  <c r="H4458" i="1"/>
  <c r="F4458" i="1"/>
  <c r="D4458" i="1"/>
  <c r="C4458" i="1"/>
  <c r="H4457" i="1"/>
  <c r="F4457" i="1"/>
  <c r="D4457" i="1"/>
  <c r="C4457" i="1"/>
  <c r="H4456" i="1"/>
  <c r="F4456" i="1"/>
  <c r="D4456" i="1"/>
  <c r="C4456" i="1"/>
  <c r="H4455" i="1"/>
  <c r="F4455" i="1"/>
  <c r="D4455" i="1"/>
  <c r="C4455" i="1"/>
  <c r="H4454" i="1"/>
  <c r="F4454" i="1"/>
  <c r="D4454" i="1"/>
  <c r="C4454" i="1"/>
  <c r="H4453" i="1"/>
  <c r="F4453" i="1"/>
  <c r="D4453" i="1"/>
  <c r="C4453" i="1"/>
  <c r="H4452" i="1"/>
  <c r="F4452" i="1"/>
  <c r="D4452" i="1"/>
  <c r="C4452" i="1"/>
  <c r="H4451" i="1"/>
  <c r="F4451" i="1"/>
  <c r="D4451" i="1"/>
  <c r="C4451" i="1"/>
  <c r="H4450" i="1"/>
  <c r="F4450" i="1"/>
  <c r="D4450" i="1"/>
  <c r="C4450" i="1"/>
  <c r="H4449" i="1"/>
  <c r="F4449" i="1"/>
  <c r="D4449" i="1"/>
  <c r="C4449" i="1"/>
  <c r="H4448" i="1"/>
  <c r="F4448" i="1"/>
  <c r="D4448" i="1"/>
  <c r="C4448" i="1"/>
  <c r="H4447" i="1"/>
  <c r="F4447" i="1"/>
  <c r="D4447" i="1"/>
  <c r="C4447" i="1"/>
  <c r="H4446" i="1"/>
  <c r="F4446" i="1"/>
  <c r="D4446" i="1"/>
  <c r="C4446" i="1"/>
  <c r="H4445" i="1"/>
  <c r="F4445" i="1"/>
  <c r="D4445" i="1"/>
  <c r="C4445" i="1"/>
  <c r="H4444" i="1"/>
  <c r="F4444" i="1"/>
  <c r="D4444" i="1"/>
  <c r="C4444" i="1"/>
  <c r="H4443" i="1"/>
  <c r="F4443" i="1"/>
  <c r="D4443" i="1"/>
  <c r="C4443" i="1"/>
  <c r="H4442" i="1"/>
  <c r="F4442" i="1"/>
  <c r="D4442" i="1"/>
  <c r="C4442" i="1"/>
  <c r="H4441" i="1"/>
  <c r="F4441" i="1"/>
  <c r="D4441" i="1"/>
  <c r="C4441" i="1"/>
  <c r="H4440" i="1"/>
  <c r="F4440" i="1"/>
  <c r="D4440" i="1"/>
  <c r="C4440" i="1"/>
  <c r="H4439" i="1"/>
  <c r="F4439" i="1"/>
  <c r="D4439" i="1"/>
  <c r="C4439" i="1"/>
  <c r="H4438" i="1"/>
  <c r="F4438" i="1"/>
  <c r="D4438" i="1"/>
  <c r="C4438" i="1"/>
  <c r="H4437" i="1"/>
  <c r="F4437" i="1"/>
  <c r="D4437" i="1"/>
  <c r="C4437" i="1"/>
  <c r="H4436" i="1"/>
  <c r="F4436" i="1"/>
  <c r="D4436" i="1"/>
  <c r="C4436" i="1"/>
  <c r="H4435" i="1"/>
  <c r="F4435" i="1"/>
  <c r="D4435" i="1"/>
  <c r="C4435" i="1"/>
  <c r="H4434" i="1"/>
  <c r="F4434" i="1"/>
  <c r="D4434" i="1"/>
  <c r="C4434" i="1"/>
  <c r="H4433" i="1"/>
  <c r="F4433" i="1"/>
  <c r="D4433" i="1"/>
  <c r="C4433" i="1"/>
  <c r="H4432" i="1"/>
  <c r="F4432" i="1"/>
  <c r="D4432" i="1"/>
  <c r="C4432" i="1"/>
  <c r="H4431" i="1"/>
  <c r="F4431" i="1"/>
  <c r="D4431" i="1"/>
  <c r="C4431" i="1"/>
  <c r="H4430" i="1"/>
  <c r="F4430" i="1"/>
  <c r="D4430" i="1"/>
  <c r="C4430" i="1"/>
  <c r="H4429" i="1"/>
  <c r="F4429" i="1"/>
  <c r="D4429" i="1"/>
  <c r="C4429" i="1"/>
  <c r="H4428" i="1"/>
  <c r="F4428" i="1"/>
  <c r="D4428" i="1"/>
  <c r="C4428" i="1"/>
  <c r="H4427" i="1"/>
  <c r="F4427" i="1"/>
  <c r="D4427" i="1"/>
  <c r="C4427" i="1"/>
  <c r="H4426" i="1"/>
  <c r="F4426" i="1"/>
  <c r="D4426" i="1"/>
  <c r="C4426" i="1"/>
  <c r="H4425" i="1"/>
  <c r="F4425" i="1"/>
  <c r="D4425" i="1"/>
  <c r="C4425" i="1"/>
  <c r="H4424" i="1"/>
  <c r="F4424" i="1"/>
  <c r="D4424" i="1"/>
  <c r="C4424" i="1"/>
  <c r="H4423" i="1"/>
  <c r="F4423" i="1"/>
  <c r="D4423" i="1"/>
  <c r="C4423" i="1"/>
  <c r="H4422" i="1"/>
  <c r="F4422" i="1"/>
  <c r="D4422" i="1"/>
  <c r="C4422" i="1"/>
  <c r="H4421" i="1"/>
  <c r="F4421" i="1"/>
  <c r="D4421" i="1"/>
  <c r="C4421" i="1"/>
  <c r="H4420" i="1"/>
  <c r="F4420" i="1"/>
  <c r="D4420" i="1"/>
  <c r="C4420" i="1"/>
  <c r="H4419" i="1"/>
  <c r="F4419" i="1"/>
  <c r="D4419" i="1"/>
  <c r="C4419" i="1"/>
  <c r="H4418" i="1"/>
  <c r="F4418" i="1"/>
  <c r="D4418" i="1"/>
  <c r="C4418" i="1"/>
  <c r="H4417" i="1"/>
  <c r="F4417" i="1"/>
  <c r="D4417" i="1"/>
  <c r="C4417" i="1"/>
  <c r="H4416" i="1"/>
  <c r="F4416" i="1"/>
  <c r="D4416" i="1"/>
  <c r="C4416" i="1"/>
  <c r="H4415" i="1"/>
  <c r="F4415" i="1"/>
  <c r="D4415" i="1"/>
  <c r="C4415" i="1"/>
  <c r="H4414" i="1"/>
  <c r="F4414" i="1"/>
  <c r="D4414" i="1"/>
  <c r="C4414" i="1"/>
  <c r="H4413" i="1"/>
  <c r="F4413" i="1"/>
  <c r="D4413" i="1"/>
  <c r="C4413" i="1"/>
  <c r="H4412" i="1"/>
  <c r="F4412" i="1"/>
  <c r="D4412" i="1"/>
  <c r="C4412" i="1"/>
  <c r="H4411" i="1"/>
  <c r="F4411" i="1"/>
  <c r="D4411" i="1"/>
  <c r="C4411" i="1"/>
  <c r="H4410" i="1"/>
  <c r="F4410" i="1"/>
  <c r="D4410" i="1"/>
  <c r="C4410" i="1"/>
  <c r="H4409" i="1"/>
  <c r="F4409" i="1"/>
  <c r="D4409" i="1"/>
  <c r="C4409" i="1"/>
  <c r="H4408" i="1"/>
  <c r="F4408" i="1"/>
  <c r="D4408" i="1"/>
  <c r="C4408" i="1"/>
  <c r="H4407" i="1"/>
  <c r="F4407" i="1"/>
  <c r="D4407" i="1"/>
  <c r="C4407" i="1"/>
  <c r="H4406" i="1"/>
  <c r="F4406" i="1"/>
  <c r="D4406" i="1"/>
  <c r="C4406" i="1"/>
  <c r="H4405" i="1"/>
  <c r="F4405" i="1"/>
  <c r="D4405" i="1"/>
  <c r="C4405" i="1"/>
  <c r="H4404" i="1"/>
  <c r="F4404" i="1"/>
  <c r="D4404" i="1"/>
  <c r="C4404" i="1"/>
  <c r="H4403" i="1"/>
  <c r="F4403" i="1"/>
  <c r="D4403" i="1"/>
  <c r="C4403" i="1"/>
  <c r="H4402" i="1"/>
  <c r="F4402" i="1"/>
  <c r="D4402" i="1"/>
  <c r="C4402" i="1"/>
  <c r="H4401" i="1"/>
  <c r="F4401" i="1"/>
  <c r="D4401" i="1"/>
  <c r="C4401" i="1"/>
  <c r="H4400" i="1"/>
  <c r="F4400" i="1"/>
  <c r="D4400" i="1"/>
  <c r="C4400" i="1"/>
  <c r="H4399" i="1"/>
  <c r="F4399" i="1"/>
  <c r="D4399" i="1"/>
  <c r="C4399" i="1"/>
  <c r="H4398" i="1"/>
  <c r="F4398" i="1"/>
  <c r="D4398" i="1"/>
  <c r="C4398" i="1"/>
  <c r="H4397" i="1"/>
  <c r="F4397" i="1"/>
  <c r="D4397" i="1"/>
  <c r="C4397" i="1"/>
  <c r="H4396" i="1"/>
  <c r="F4396" i="1"/>
  <c r="D4396" i="1"/>
  <c r="C4396" i="1"/>
  <c r="H4395" i="1"/>
  <c r="F4395" i="1"/>
  <c r="D4395" i="1"/>
  <c r="C4395" i="1"/>
  <c r="H4394" i="1"/>
  <c r="F4394" i="1"/>
  <c r="D4394" i="1"/>
  <c r="C4394" i="1"/>
  <c r="H4393" i="1"/>
  <c r="F4393" i="1"/>
  <c r="D4393" i="1"/>
  <c r="C4393" i="1"/>
  <c r="H4392" i="1"/>
  <c r="F4392" i="1"/>
  <c r="D4392" i="1"/>
  <c r="C4392" i="1"/>
  <c r="H4391" i="1"/>
  <c r="F4391" i="1"/>
  <c r="D4391" i="1"/>
  <c r="C4391" i="1"/>
  <c r="H4390" i="1"/>
  <c r="F4390" i="1"/>
  <c r="D4390" i="1"/>
  <c r="C4390" i="1"/>
  <c r="H4389" i="1"/>
  <c r="F4389" i="1"/>
  <c r="D4389" i="1"/>
  <c r="C4389" i="1"/>
  <c r="H4388" i="1"/>
  <c r="F4388" i="1"/>
  <c r="D4388" i="1"/>
  <c r="C4388" i="1"/>
  <c r="H4387" i="1"/>
  <c r="F4387" i="1"/>
  <c r="D4387" i="1"/>
  <c r="C4387" i="1"/>
  <c r="H4386" i="1"/>
  <c r="F4386" i="1"/>
  <c r="D4386" i="1"/>
  <c r="C4386" i="1"/>
  <c r="H4385" i="1"/>
  <c r="F4385" i="1"/>
  <c r="D4385" i="1"/>
  <c r="C4385" i="1"/>
  <c r="H4384" i="1"/>
  <c r="F4384" i="1"/>
  <c r="D4384" i="1"/>
  <c r="C4384" i="1"/>
  <c r="H4383" i="1"/>
  <c r="F4383" i="1"/>
  <c r="D4383" i="1"/>
  <c r="C4383" i="1"/>
  <c r="H4382" i="1"/>
  <c r="F4382" i="1"/>
  <c r="D4382" i="1"/>
  <c r="C4382" i="1"/>
  <c r="H4381" i="1"/>
  <c r="F4381" i="1"/>
  <c r="D4381" i="1"/>
  <c r="C4381" i="1"/>
  <c r="H4380" i="1"/>
  <c r="F4380" i="1"/>
  <c r="D4380" i="1"/>
  <c r="C4380" i="1"/>
  <c r="H4379" i="1"/>
  <c r="F4379" i="1"/>
  <c r="D4379" i="1"/>
  <c r="C4379" i="1"/>
  <c r="H4378" i="1"/>
  <c r="F4378" i="1"/>
  <c r="D4378" i="1"/>
  <c r="C4378" i="1"/>
  <c r="H4377" i="1"/>
  <c r="F4377" i="1"/>
  <c r="D4377" i="1"/>
  <c r="C4377" i="1"/>
  <c r="H4376" i="1"/>
  <c r="F4376" i="1"/>
  <c r="D4376" i="1"/>
  <c r="C4376" i="1"/>
  <c r="H4375" i="1"/>
  <c r="F4375" i="1"/>
  <c r="D4375" i="1"/>
  <c r="C4375" i="1"/>
  <c r="H4374" i="1"/>
  <c r="F4374" i="1"/>
  <c r="D4374" i="1"/>
  <c r="C4374" i="1"/>
  <c r="H4373" i="1"/>
  <c r="F4373" i="1"/>
  <c r="D4373" i="1"/>
  <c r="C4373" i="1"/>
  <c r="H4372" i="1"/>
  <c r="F4372" i="1"/>
  <c r="D4372" i="1"/>
  <c r="C4372" i="1"/>
  <c r="H4371" i="1"/>
  <c r="F4371" i="1"/>
  <c r="D4371" i="1"/>
  <c r="C4371" i="1"/>
  <c r="H4370" i="1"/>
  <c r="F4370" i="1"/>
  <c r="D4370" i="1"/>
  <c r="C4370" i="1"/>
  <c r="H4369" i="1"/>
  <c r="F4369" i="1"/>
  <c r="D4369" i="1"/>
  <c r="C4369" i="1"/>
  <c r="H4368" i="1"/>
  <c r="F4368" i="1"/>
  <c r="D4368" i="1"/>
  <c r="C4368" i="1"/>
  <c r="H4367" i="1"/>
  <c r="F4367" i="1"/>
  <c r="D4367" i="1"/>
  <c r="C4367" i="1"/>
  <c r="H4366" i="1"/>
  <c r="F4366" i="1"/>
  <c r="D4366" i="1"/>
  <c r="C4366" i="1"/>
  <c r="H4365" i="1"/>
  <c r="F4365" i="1"/>
  <c r="D4365" i="1"/>
  <c r="C4365" i="1"/>
  <c r="H4364" i="1"/>
  <c r="F4364" i="1"/>
  <c r="D4364" i="1"/>
  <c r="C4364" i="1"/>
  <c r="H4363" i="1"/>
  <c r="F4363" i="1"/>
  <c r="D4363" i="1"/>
  <c r="C4363" i="1"/>
  <c r="H4362" i="1"/>
  <c r="F4362" i="1"/>
  <c r="D4362" i="1"/>
  <c r="C4362" i="1"/>
  <c r="H4361" i="1"/>
  <c r="F4361" i="1"/>
  <c r="D4361" i="1"/>
  <c r="C4361" i="1"/>
  <c r="H4360" i="1"/>
  <c r="F4360" i="1"/>
  <c r="D4360" i="1"/>
  <c r="C4360" i="1"/>
  <c r="H4359" i="1"/>
  <c r="F4359" i="1"/>
  <c r="D4359" i="1"/>
  <c r="C4359" i="1"/>
  <c r="H4358" i="1"/>
  <c r="F4358" i="1"/>
  <c r="D4358" i="1"/>
  <c r="C4358" i="1"/>
  <c r="H4357" i="1"/>
  <c r="F4357" i="1"/>
  <c r="D4357" i="1"/>
  <c r="C4357" i="1"/>
  <c r="H4356" i="1"/>
  <c r="F4356" i="1"/>
  <c r="D4356" i="1"/>
  <c r="C4356" i="1"/>
  <c r="H4355" i="1"/>
  <c r="F4355" i="1"/>
  <c r="D4355" i="1"/>
  <c r="C4355" i="1"/>
  <c r="H4354" i="1"/>
  <c r="F4354" i="1"/>
  <c r="D4354" i="1"/>
  <c r="C4354" i="1"/>
  <c r="H4353" i="1"/>
  <c r="F4353" i="1"/>
  <c r="D4353" i="1"/>
  <c r="C4353" i="1"/>
  <c r="H4352" i="1"/>
  <c r="F4352" i="1"/>
  <c r="D4352" i="1"/>
  <c r="C4352" i="1"/>
  <c r="H4351" i="1"/>
  <c r="F4351" i="1"/>
  <c r="D4351" i="1"/>
  <c r="C4351" i="1"/>
  <c r="H4350" i="1"/>
  <c r="F4350" i="1"/>
  <c r="D4350" i="1"/>
  <c r="C4350" i="1"/>
  <c r="H4349" i="1"/>
  <c r="F4349" i="1"/>
  <c r="D4349" i="1"/>
  <c r="C4349" i="1"/>
  <c r="H4348" i="1"/>
  <c r="F4348" i="1"/>
  <c r="D4348" i="1"/>
  <c r="C4348" i="1"/>
  <c r="H4347" i="1"/>
  <c r="F4347" i="1"/>
  <c r="D4347" i="1"/>
  <c r="C4347" i="1"/>
  <c r="H4346" i="1"/>
  <c r="F4346" i="1"/>
  <c r="D4346" i="1"/>
  <c r="C4346" i="1"/>
  <c r="H4345" i="1"/>
  <c r="F4345" i="1"/>
  <c r="D4345" i="1"/>
  <c r="C4345" i="1"/>
  <c r="H4344" i="1"/>
  <c r="F4344" i="1"/>
  <c r="D4344" i="1"/>
  <c r="C4344" i="1"/>
  <c r="H4343" i="1"/>
  <c r="F4343" i="1"/>
  <c r="D4343" i="1"/>
  <c r="C4343" i="1"/>
  <c r="H4342" i="1"/>
  <c r="F4342" i="1"/>
  <c r="D4342" i="1"/>
  <c r="C4342" i="1"/>
  <c r="H4341" i="1"/>
  <c r="F4341" i="1"/>
  <c r="D4341" i="1"/>
  <c r="C4341" i="1"/>
  <c r="H4340" i="1"/>
  <c r="F4340" i="1"/>
  <c r="D4340" i="1"/>
  <c r="C4340" i="1"/>
  <c r="H4339" i="1"/>
  <c r="F4339" i="1"/>
  <c r="D4339" i="1"/>
  <c r="C4339" i="1"/>
  <c r="H4338" i="1"/>
  <c r="F4338" i="1"/>
  <c r="D4338" i="1"/>
  <c r="C4338" i="1"/>
  <c r="H4337" i="1"/>
  <c r="F4337" i="1"/>
  <c r="D4337" i="1"/>
  <c r="C4337" i="1"/>
  <c r="H4336" i="1"/>
  <c r="F4336" i="1"/>
  <c r="D4336" i="1"/>
  <c r="C4336" i="1"/>
  <c r="H4335" i="1"/>
  <c r="F4335" i="1"/>
  <c r="D4335" i="1"/>
  <c r="C4335" i="1"/>
  <c r="H4334" i="1"/>
  <c r="F4334" i="1"/>
  <c r="D4334" i="1"/>
  <c r="C4334" i="1"/>
  <c r="H4333" i="1"/>
  <c r="F4333" i="1"/>
  <c r="D4333" i="1"/>
  <c r="C4333" i="1"/>
  <c r="H4332" i="1"/>
  <c r="F4332" i="1"/>
  <c r="D4332" i="1"/>
  <c r="C4332" i="1"/>
  <c r="H4331" i="1"/>
  <c r="F4331" i="1"/>
  <c r="D4331" i="1"/>
  <c r="C4331" i="1"/>
  <c r="H4330" i="1"/>
  <c r="F4330" i="1"/>
  <c r="D4330" i="1"/>
  <c r="C4330" i="1"/>
  <c r="H4329" i="1"/>
  <c r="F4329" i="1"/>
  <c r="D4329" i="1"/>
  <c r="C4329" i="1"/>
  <c r="H4328" i="1"/>
  <c r="F4328" i="1"/>
  <c r="D4328" i="1"/>
  <c r="C4328" i="1"/>
  <c r="H4327" i="1"/>
  <c r="F4327" i="1"/>
  <c r="D4327" i="1"/>
  <c r="C4327" i="1"/>
  <c r="H4326" i="1"/>
  <c r="F4326" i="1"/>
  <c r="D4326" i="1"/>
  <c r="C4326" i="1"/>
  <c r="H4325" i="1"/>
  <c r="F4325" i="1"/>
  <c r="D4325" i="1"/>
  <c r="C4325" i="1"/>
  <c r="H4324" i="1"/>
  <c r="F4324" i="1"/>
  <c r="D4324" i="1"/>
  <c r="C4324" i="1"/>
  <c r="H4323" i="1"/>
  <c r="F4323" i="1"/>
  <c r="D4323" i="1"/>
  <c r="C4323" i="1"/>
  <c r="H4322" i="1"/>
  <c r="F4322" i="1"/>
  <c r="D4322" i="1"/>
  <c r="C4322" i="1"/>
  <c r="H4321" i="1"/>
  <c r="F4321" i="1"/>
  <c r="D4321" i="1"/>
  <c r="C4321" i="1"/>
  <c r="H4320" i="1"/>
  <c r="F4320" i="1"/>
  <c r="D4320" i="1"/>
  <c r="C4320" i="1"/>
  <c r="H4319" i="1"/>
  <c r="F4319" i="1"/>
  <c r="D4319" i="1"/>
  <c r="C4319" i="1"/>
  <c r="H4318" i="1"/>
  <c r="F4318" i="1"/>
  <c r="D4318" i="1"/>
  <c r="C4318" i="1"/>
  <c r="H4317" i="1"/>
  <c r="F4317" i="1"/>
  <c r="D4317" i="1"/>
  <c r="C4317" i="1"/>
  <c r="H4316" i="1"/>
  <c r="F4316" i="1"/>
  <c r="D4316" i="1"/>
  <c r="C4316" i="1"/>
  <c r="H4315" i="1"/>
  <c r="F4315" i="1"/>
  <c r="D4315" i="1"/>
  <c r="C4315" i="1"/>
  <c r="H4314" i="1"/>
  <c r="F4314" i="1"/>
  <c r="D4314" i="1"/>
  <c r="C4314" i="1"/>
  <c r="H4313" i="1"/>
  <c r="F4313" i="1"/>
  <c r="D4313" i="1"/>
  <c r="C4313" i="1"/>
  <c r="H4312" i="1"/>
  <c r="F4312" i="1"/>
  <c r="D4312" i="1"/>
  <c r="C4312" i="1"/>
  <c r="H4311" i="1"/>
  <c r="F4311" i="1"/>
  <c r="D4311" i="1"/>
  <c r="C4311" i="1"/>
  <c r="H4310" i="1"/>
  <c r="F4310" i="1"/>
  <c r="D4310" i="1"/>
  <c r="C4310" i="1"/>
  <c r="H4309" i="1"/>
  <c r="F4309" i="1"/>
  <c r="D4309" i="1"/>
  <c r="C4309" i="1"/>
  <c r="H4308" i="1"/>
  <c r="F4308" i="1"/>
  <c r="D4308" i="1"/>
  <c r="C4308" i="1"/>
  <c r="H4307" i="1"/>
  <c r="F4307" i="1"/>
  <c r="D4307" i="1"/>
  <c r="C4307" i="1"/>
  <c r="H4306" i="1"/>
  <c r="F4306" i="1"/>
  <c r="D4306" i="1"/>
  <c r="C4306" i="1"/>
  <c r="H4305" i="1"/>
  <c r="F4305" i="1"/>
  <c r="D4305" i="1"/>
  <c r="C4305" i="1"/>
  <c r="H4304" i="1"/>
  <c r="F4304" i="1"/>
  <c r="D4304" i="1"/>
  <c r="C4304" i="1"/>
  <c r="H4303" i="1"/>
  <c r="F4303" i="1"/>
  <c r="D4303" i="1"/>
  <c r="C4303" i="1"/>
  <c r="H4302" i="1"/>
  <c r="F4302" i="1"/>
  <c r="D4302" i="1"/>
  <c r="C4302" i="1"/>
  <c r="H4301" i="1"/>
  <c r="F4301" i="1"/>
  <c r="D4301" i="1"/>
  <c r="C4301" i="1"/>
  <c r="H4300" i="1"/>
  <c r="F4300" i="1"/>
  <c r="D4300" i="1"/>
  <c r="C4300" i="1"/>
  <c r="H4299" i="1"/>
  <c r="F4299" i="1"/>
  <c r="D4299" i="1"/>
  <c r="C4299" i="1"/>
  <c r="H4298" i="1"/>
  <c r="F4298" i="1"/>
  <c r="D4298" i="1"/>
  <c r="C4298" i="1"/>
  <c r="H4297" i="1"/>
  <c r="F4297" i="1"/>
  <c r="D4297" i="1"/>
  <c r="C4297" i="1"/>
  <c r="H4296" i="1"/>
  <c r="F4296" i="1"/>
  <c r="D4296" i="1"/>
  <c r="C4296" i="1"/>
  <c r="H4295" i="1"/>
  <c r="F4295" i="1"/>
  <c r="D4295" i="1"/>
  <c r="C4295" i="1"/>
  <c r="H4294" i="1"/>
  <c r="F4294" i="1"/>
  <c r="D4294" i="1"/>
  <c r="C4294" i="1"/>
  <c r="H4293" i="1"/>
  <c r="F4293" i="1"/>
  <c r="D4293" i="1"/>
  <c r="C4293" i="1"/>
  <c r="H4292" i="1"/>
  <c r="F4292" i="1"/>
  <c r="D4292" i="1"/>
  <c r="C4292" i="1"/>
  <c r="H4291" i="1"/>
  <c r="F4291" i="1"/>
  <c r="D4291" i="1"/>
  <c r="C4291" i="1"/>
  <c r="H4290" i="1"/>
  <c r="F4290" i="1"/>
  <c r="D4290" i="1"/>
  <c r="C4290" i="1"/>
  <c r="H4289" i="1"/>
  <c r="F4289" i="1"/>
  <c r="D4289" i="1"/>
  <c r="C4289" i="1"/>
  <c r="H4288" i="1"/>
  <c r="F4288" i="1"/>
  <c r="D4288" i="1"/>
  <c r="C4288" i="1"/>
  <c r="H4287" i="1"/>
  <c r="F4287" i="1"/>
  <c r="D4287" i="1"/>
  <c r="C4287" i="1"/>
  <c r="H4286" i="1"/>
  <c r="F4286" i="1"/>
  <c r="D4286" i="1"/>
  <c r="C4286" i="1"/>
  <c r="H4285" i="1"/>
  <c r="F4285" i="1"/>
  <c r="D4285" i="1"/>
  <c r="C4285" i="1"/>
  <c r="H4284" i="1"/>
  <c r="F4284" i="1"/>
  <c r="D4284" i="1"/>
  <c r="C4284" i="1"/>
  <c r="H4283" i="1"/>
  <c r="F4283" i="1"/>
  <c r="D4283" i="1"/>
  <c r="C4283" i="1"/>
  <c r="H4282" i="1"/>
  <c r="F4282" i="1"/>
  <c r="D4282" i="1"/>
  <c r="C4282" i="1"/>
  <c r="H4281" i="1"/>
  <c r="F4281" i="1"/>
  <c r="D4281" i="1"/>
  <c r="C4281" i="1"/>
  <c r="H4280" i="1"/>
  <c r="F4280" i="1"/>
  <c r="D4280" i="1"/>
  <c r="C4280" i="1"/>
  <c r="H4279" i="1"/>
  <c r="F4279" i="1"/>
  <c r="D4279" i="1"/>
  <c r="C4279" i="1"/>
  <c r="H4278" i="1"/>
  <c r="F4278" i="1"/>
  <c r="D4278" i="1"/>
  <c r="C4278" i="1"/>
  <c r="H4277" i="1"/>
  <c r="F4277" i="1"/>
  <c r="D4277" i="1"/>
  <c r="C4277" i="1"/>
  <c r="H4276" i="1"/>
  <c r="F4276" i="1"/>
  <c r="D4276" i="1"/>
  <c r="C4276" i="1"/>
  <c r="H4275" i="1"/>
  <c r="F4275" i="1"/>
  <c r="D4275" i="1"/>
  <c r="C4275" i="1"/>
  <c r="H4274" i="1"/>
  <c r="F4274" i="1"/>
  <c r="D4274" i="1"/>
  <c r="C4274" i="1"/>
  <c r="H4273" i="1"/>
  <c r="F4273" i="1"/>
  <c r="D4273" i="1"/>
  <c r="C4273" i="1"/>
  <c r="H4272" i="1"/>
  <c r="F4272" i="1"/>
  <c r="D4272" i="1"/>
  <c r="C4272" i="1"/>
  <c r="H4271" i="1"/>
  <c r="F4271" i="1"/>
  <c r="D4271" i="1"/>
  <c r="C4271" i="1"/>
  <c r="H4270" i="1"/>
  <c r="F4270" i="1"/>
  <c r="D4270" i="1"/>
  <c r="C4270" i="1"/>
  <c r="H4269" i="1"/>
  <c r="F4269" i="1"/>
  <c r="D4269" i="1"/>
  <c r="C4269" i="1"/>
  <c r="H4268" i="1"/>
  <c r="F4268" i="1"/>
  <c r="D4268" i="1"/>
  <c r="C4268" i="1"/>
  <c r="H4267" i="1"/>
  <c r="F4267" i="1"/>
  <c r="D4267" i="1"/>
  <c r="C4267" i="1"/>
  <c r="H4266" i="1"/>
  <c r="F4266" i="1"/>
  <c r="D4266" i="1"/>
  <c r="C4266" i="1"/>
  <c r="H4265" i="1"/>
  <c r="F4265" i="1"/>
  <c r="D4265" i="1"/>
  <c r="C4265" i="1"/>
  <c r="H4264" i="1"/>
  <c r="F4264" i="1"/>
  <c r="D4264" i="1"/>
  <c r="C4264" i="1"/>
  <c r="H4263" i="1"/>
  <c r="F4263" i="1"/>
  <c r="D4263" i="1"/>
  <c r="C4263" i="1"/>
  <c r="H4262" i="1"/>
  <c r="F4262" i="1"/>
  <c r="D4262" i="1"/>
  <c r="C4262" i="1"/>
  <c r="H4261" i="1"/>
  <c r="F4261" i="1"/>
  <c r="D4261" i="1"/>
  <c r="C4261" i="1"/>
  <c r="H4260" i="1"/>
  <c r="F4260" i="1"/>
  <c r="D4260" i="1"/>
  <c r="C4260" i="1"/>
  <c r="H4259" i="1"/>
  <c r="F4259" i="1"/>
  <c r="D4259" i="1"/>
  <c r="C4259" i="1"/>
  <c r="H4258" i="1"/>
  <c r="F4258" i="1"/>
  <c r="D4258" i="1"/>
  <c r="C4258" i="1"/>
  <c r="H4257" i="1"/>
  <c r="F4257" i="1"/>
  <c r="D4257" i="1"/>
  <c r="C4257" i="1"/>
  <c r="H4256" i="1"/>
  <c r="F4256" i="1"/>
  <c r="D4256" i="1"/>
  <c r="C4256" i="1"/>
  <c r="H4255" i="1"/>
  <c r="F4255" i="1"/>
  <c r="D4255" i="1"/>
  <c r="C4255" i="1"/>
  <c r="H4254" i="1"/>
  <c r="F4254" i="1"/>
  <c r="D4254" i="1"/>
  <c r="C4254" i="1"/>
  <c r="H4253" i="1"/>
  <c r="F4253" i="1"/>
  <c r="D4253" i="1"/>
  <c r="C4253" i="1"/>
  <c r="H4252" i="1"/>
  <c r="F4252" i="1"/>
  <c r="D4252" i="1"/>
  <c r="C4252" i="1"/>
  <c r="H4251" i="1"/>
  <c r="F4251" i="1"/>
  <c r="D4251" i="1"/>
  <c r="C4251" i="1"/>
  <c r="H4250" i="1"/>
  <c r="F4250" i="1"/>
  <c r="D4250" i="1"/>
  <c r="C4250" i="1"/>
  <c r="H4249" i="1"/>
  <c r="F4249" i="1"/>
  <c r="D4249" i="1"/>
  <c r="C4249" i="1"/>
  <c r="H4248" i="1"/>
  <c r="F4248" i="1"/>
  <c r="D4248" i="1"/>
  <c r="C4248" i="1"/>
  <c r="H4247" i="1"/>
  <c r="F4247" i="1"/>
  <c r="D4247" i="1"/>
  <c r="C4247" i="1"/>
  <c r="H4246" i="1"/>
  <c r="F4246" i="1"/>
  <c r="D4246" i="1"/>
  <c r="C4246" i="1"/>
  <c r="H4245" i="1"/>
  <c r="F4245" i="1"/>
  <c r="D4245" i="1"/>
  <c r="C4245" i="1"/>
  <c r="H4244" i="1"/>
  <c r="F4244" i="1"/>
  <c r="D4244" i="1"/>
  <c r="C4244" i="1"/>
  <c r="H4243" i="1"/>
  <c r="F4243" i="1"/>
  <c r="D4243" i="1"/>
  <c r="C4243" i="1"/>
  <c r="H4242" i="1"/>
  <c r="F4242" i="1"/>
  <c r="D4242" i="1"/>
  <c r="C4242" i="1"/>
  <c r="H4241" i="1"/>
  <c r="F4241" i="1"/>
  <c r="D4241" i="1"/>
  <c r="C4241" i="1"/>
  <c r="H4240" i="1"/>
  <c r="F4240" i="1"/>
  <c r="D4240" i="1"/>
  <c r="C4240" i="1"/>
  <c r="H4239" i="1"/>
  <c r="F4239" i="1"/>
  <c r="D4239" i="1"/>
  <c r="C4239" i="1"/>
  <c r="H4238" i="1"/>
  <c r="F4238" i="1"/>
  <c r="D4238" i="1"/>
  <c r="C4238" i="1"/>
  <c r="H4237" i="1"/>
  <c r="F4237" i="1"/>
  <c r="D4237" i="1"/>
  <c r="C4237" i="1"/>
  <c r="H4236" i="1"/>
  <c r="F4236" i="1"/>
  <c r="D4236" i="1"/>
  <c r="C4236" i="1"/>
  <c r="H4235" i="1"/>
  <c r="F4235" i="1"/>
  <c r="D4235" i="1"/>
  <c r="C4235" i="1"/>
  <c r="H4234" i="1"/>
  <c r="F4234" i="1"/>
  <c r="D4234" i="1"/>
  <c r="C4234" i="1"/>
  <c r="H4233" i="1"/>
  <c r="F4233" i="1"/>
  <c r="D4233" i="1"/>
  <c r="C4233" i="1"/>
  <c r="H4232" i="1"/>
  <c r="F4232" i="1"/>
  <c r="D4232" i="1"/>
  <c r="C4232" i="1"/>
  <c r="H4231" i="1"/>
  <c r="F4231" i="1"/>
  <c r="D4231" i="1"/>
  <c r="C4231" i="1"/>
  <c r="H4230" i="1"/>
  <c r="F4230" i="1"/>
  <c r="D4230" i="1"/>
  <c r="C4230" i="1"/>
  <c r="H4229" i="1"/>
  <c r="F4229" i="1"/>
  <c r="D4229" i="1"/>
  <c r="C4229" i="1"/>
  <c r="H4228" i="1"/>
  <c r="F4228" i="1"/>
  <c r="D4228" i="1"/>
  <c r="C4228" i="1"/>
  <c r="H4227" i="1"/>
  <c r="F4227" i="1"/>
  <c r="D4227" i="1"/>
  <c r="C4227" i="1"/>
  <c r="H4226" i="1"/>
  <c r="F4226" i="1"/>
  <c r="D4226" i="1"/>
  <c r="C4226" i="1"/>
  <c r="H4225" i="1"/>
  <c r="F4225" i="1"/>
  <c r="D4225" i="1"/>
  <c r="C4225" i="1"/>
  <c r="H4224" i="1"/>
  <c r="F4224" i="1"/>
  <c r="D4224" i="1"/>
  <c r="C4224" i="1"/>
  <c r="H4223" i="1"/>
  <c r="F4223" i="1"/>
  <c r="D4223" i="1"/>
  <c r="C4223" i="1"/>
  <c r="H4222" i="1"/>
  <c r="F4222" i="1"/>
  <c r="D4222" i="1"/>
  <c r="C4222" i="1"/>
  <c r="H4221" i="1"/>
  <c r="F4221" i="1"/>
  <c r="D4221" i="1"/>
  <c r="C4221" i="1"/>
  <c r="H4220" i="1"/>
  <c r="F4220" i="1"/>
  <c r="D4220" i="1"/>
  <c r="C4220" i="1"/>
  <c r="H4219" i="1"/>
  <c r="F4219" i="1"/>
  <c r="D4219" i="1"/>
  <c r="C4219" i="1"/>
  <c r="H4218" i="1"/>
  <c r="F4218" i="1"/>
  <c r="D4218" i="1"/>
  <c r="C4218" i="1"/>
  <c r="H4217" i="1"/>
  <c r="F4217" i="1"/>
  <c r="D4217" i="1"/>
  <c r="C4217" i="1"/>
  <c r="H4216" i="1"/>
  <c r="F4216" i="1"/>
  <c r="D4216" i="1"/>
  <c r="C4216" i="1"/>
  <c r="H4215" i="1"/>
  <c r="F4215" i="1"/>
  <c r="D4215" i="1"/>
  <c r="C4215" i="1"/>
  <c r="H4214" i="1"/>
  <c r="F4214" i="1"/>
  <c r="D4214" i="1"/>
  <c r="C4214" i="1"/>
  <c r="H4213" i="1"/>
  <c r="F4213" i="1"/>
  <c r="D4213" i="1"/>
  <c r="C4213" i="1"/>
  <c r="H4212" i="1"/>
  <c r="F4212" i="1"/>
  <c r="D4212" i="1"/>
  <c r="C4212" i="1"/>
  <c r="H4211" i="1"/>
  <c r="F4211" i="1"/>
  <c r="D4211" i="1"/>
  <c r="C4211" i="1"/>
  <c r="H4210" i="1"/>
  <c r="F4210" i="1"/>
  <c r="D4210" i="1"/>
  <c r="C4210" i="1"/>
  <c r="H4209" i="1"/>
  <c r="F4209" i="1"/>
  <c r="D4209" i="1"/>
  <c r="C4209" i="1"/>
  <c r="H4208" i="1"/>
  <c r="F4208" i="1"/>
  <c r="D4208" i="1"/>
  <c r="C4208" i="1"/>
  <c r="H4207" i="1"/>
  <c r="F4207" i="1"/>
  <c r="D4207" i="1"/>
  <c r="C4207" i="1"/>
  <c r="H4206" i="1"/>
  <c r="F4206" i="1"/>
  <c r="D4206" i="1"/>
  <c r="C4206" i="1"/>
  <c r="H4205" i="1"/>
  <c r="F4205" i="1"/>
  <c r="D4205" i="1"/>
  <c r="C4205" i="1"/>
  <c r="H4204" i="1"/>
  <c r="F4204" i="1"/>
  <c r="D4204" i="1"/>
  <c r="C4204" i="1"/>
  <c r="H4203" i="1"/>
  <c r="F4203" i="1"/>
  <c r="D4203" i="1"/>
  <c r="C4203" i="1"/>
  <c r="H4202" i="1"/>
  <c r="F4202" i="1"/>
  <c r="D4202" i="1"/>
  <c r="C4202" i="1"/>
  <c r="H4201" i="1"/>
  <c r="F4201" i="1"/>
  <c r="D4201" i="1"/>
  <c r="C4201" i="1"/>
  <c r="H4200" i="1"/>
  <c r="F4200" i="1"/>
  <c r="D4200" i="1"/>
  <c r="C4200" i="1"/>
  <c r="H4199" i="1"/>
  <c r="F4199" i="1"/>
  <c r="D4199" i="1"/>
  <c r="C4199" i="1"/>
  <c r="H4198" i="1"/>
  <c r="F4198" i="1"/>
  <c r="D4198" i="1"/>
  <c r="C4198" i="1"/>
  <c r="H4197" i="1"/>
  <c r="F4197" i="1"/>
  <c r="D4197" i="1"/>
  <c r="C4197" i="1"/>
  <c r="H4196" i="1"/>
  <c r="F4196" i="1"/>
  <c r="D4196" i="1"/>
  <c r="C4196" i="1"/>
  <c r="H4195" i="1"/>
  <c r="F4195" i="1"/>
  <c r="D4195" i="1"/>
  <c r="C4195" i="1"/>
  <c r="H4194" i="1"/>
  <c r="F4194" i="1"/>
  <c r="D4194" i="1"/>
  <c r="C4194" i="1"/>
  <c r="H4193" i="1"/>
  <c r="F4193" i="1"/>
  <c r="D4193" i="1"/>
  <c r="C4193" i="1"/>
  <c r="H4192" i="1"/>
  <c r="F4192" i="1"/>
  <c r="D4192" i="1"/>
  <c r="C4192" i="1"/>
  <c r="H4191" i="1"/>
  <c r="F4191" i="1"/>
  <c r="D4191" i="1"/>
  <c r="C4191" i="1"/>
  <c r="H4190" i="1"/>
  <c r="F4190" i="1"/>
  <c r="D4190" i="1"/>
  <c r="C4190" i="1"/>
  <c r="H4189" i="1"/>
  <c r="F4189" i="1"/>
  <c r="D4189" i="1"/>
  <c r="C4189" i="1"/>
  <c r="H4188" i="1"/>
  <c r="F4188" i="1"/>
  <c r="D4188" i="1"/>
  <c r="C4188" i="1"/>
  <c r="H4187" i="1"/>
  <c r="F4187" i="1"/>
  <c r="D4187" i="1"/>
  <c r="C4187" i="1"/>
  <c r="H4186" i="1"/>
  <c r="F4186" i="1"/>
  <c r="D4186" i="1"/>
  <c r="C4186" i="1"/>
  <c r="H4185" i="1"/>
  <c r="F4185" i="1"/>
  <c r="D4185" i="1"/>
  <c r="C4185" i="1"/>
  <c r="H4184" i="1"/>
  <c r="F4184" i="1"/>
  <c r="D4184" i="1"/>
  <c r="C4184" i="1"/>
  <c r="H4183" i="1"/>
  <c r="F4183" i="1"/>
  <c r="D4183" i="1"/>
  <c r="C4183" i="1"/>
  <c r="H4182" i="1"/>
  <c r="F4182" i="1"/>
  <c r="D4182" i="1"/>
  <c r="C4182" i="1"/>
  <c r="H4181" i="1"/>
  <c r="F4181" i="1"/>
  <c r="D4181" i="1"/>
  <c r="C4181" i="1"/>
  <c r="H4180" i="1"/>
  <c r="F4180" i="1"/>
  <c r="D4180" i="1"/>
  <c r="C4180" i="1"/>
  <c r="H4179" i="1"/>
  <c r="F4179" i="1"/>
  <c r="D4179" i="1"/>
  <c r="C4179" i="1"/>
  <c r="H4178" i="1"/>
  <c r="F4178" i="1"/>
  <c r="D4178" i="1"/>
  <c r="C4178" i="1"/>
  <c r="H4177" i="1"/>
  <c r="F4177" i="1"/>
  <c r="D4177" i="1"/>
  <c r="C4177" i="1"/>
  <c r="H4176" i="1"/>
  <c r="F4176" i="1"/>
  <c r="D4176" i="1"/>
  <c r="C4176" i="1"/>
  <c r="H4175" i="1"/>
  <c r="F4175" i="1"/>
  <c r="D4175" i="1"/>
  <c r="C4175" i="1"/>
  <c r="H4174" i="1"/>
  <c r="F4174" i="1"/>
  <c r="D4174" i="1"/>
  <c r="C4174" i="1"/>
  <c r="H4173" i="1"/>
  <c r="F4173" i="1"/>
  <c r="D4173" i="1"/>
  <c r="C4173" i="1"/>
  <c r="H4172" i="1"/>
  <c r="F4172" i="1"/>
  <c r="D4172" i="1"/>
  <c r="C4172" i="1"/>
  <c r="H4171" i="1"/>
  <c r="F4171" i="1"/>
  <c r="D4171" i="1"/>
  <c r="C4171" i="1"/>
  <c r="H4170" i="1"/>
  <c r="F4170" i="1"/>
  <c r="D4170" i="1"/>
  <c r="C4170" i="1"/>
  <c r="H4169" i="1"/>
  <c r="F4169" i="1"/>
  <c r="D4169" i="1"/>
  <c r="C4169" i="1"/>
  <c r="H4168" i="1"/>
  <c r="F4168" i="1"/>
  <c r="D4168" i="1"/>
  <c r="C4168" i="1"/>
  <c r="H4167" i="1"/>
  <c r="F4167" i="1"/>
  <c r="D4167" i="1"/>
  <c r="C4167" i="1"/>
  <c r="H4166" i="1"/>
  <c r="F4166" i="1"/>
  <c r="D4166" i="1"/>
  <c r="C4166" i="1"/>
  <c r="H4165" i="1"/>
  <c r="F4165" i="1"/>
  <c r="D4165" i="1"/>
  <c r="C4165" i="1"/>
  <c r="H4164" i="1"/>
  <c r="F4164" i="1"/>
  <c r="D4164" i="1"/>
  <c r="C4164" i="1"/>
  <c r="H4163" i="1"/>
  <c r="F4163" i="1"/>
  <c r="D4163" i="1"/>
  <c r="C4163" i="1"/>
  <c r="H4162" i="1"/>
  <c r="F4162" i="1"/>
  <c r="D4162" i="1"/>
  <c r="C4162" i="1"/>
  <c r="H4161" i="1"/>
  <c r="F4161" i="1"/>
  <c r="D4161" i="1"/>
  <c r="C4161" i="1"/>
  <c r="H4160" i="1"/>
  <c r="F4160" i="1"/>
  <c r="D4160" i="1"/>
  <c r="C4160" i="1"/>
  <c r="H4159" i="1"/>
  <c r="F4159" i="1"/>
  <c r="D4159" i="1"/>
  <c r="C4159" i="1"/>
  <c r="H4158" i="1"/>
  <c r="F4158" i="1"/>
  <c r="D4158" i="1"/>
  <c r="C4158" i="1"/>
  <c r="H4157" i="1"/>
  <c r="F4157" i="1"/>
  <c r="D4157" i="1"/>
  <c r="C4157" i="1"/>
  <c r="H4156" i="1"/>
  <c r="F4156" i="1"/>
  <c r="D4156" i="1"/>
  <c r="C4156" i="1"/>
  <c r="H4155" i="1"/>
  <c r="F4155" i="1"/>
  <c r="D4155" i="1"/>
  <c r="C4155" i="1"/>
  <c r="H4154" i="1"/>
  <c r="F4154" i="1"/>
  <c r="D4154" i="1"/>
  <c r="C4154" i="1"/>
  <c r="H4153" i="1"/>
  <c r="F4153" i="1"/>
  <c r="D4153" i="1"/>
  <c r="C4153" i="1"/>
  <c r="H4152" i="1"/>
  <c r="F4152" i="1"/>
  <c r="D4152" i="1"/>
  <c r="C4152" i="1"/>
  <c r="H4151" i="1"/>
  <c r="F4151" i="1"/>
  <c r="D4151" i="1"/>
  <c r="C4151" i="1"/>
  <c r="H4150" i="1"/>
  <c r="F4150" i="1"/>
  <c r="D4150" i="1"/>
  <c r="C4150" i="1"/>
  <c r="H4149" i="1"/>
  <c r="F4149" i="1"/>
  <c r="D4149" i="1"/>
  <c r="C4149" i="1"/>
  <c r="H4148" i="1"/>
  <c r="F4148" i="1"/>
  <c r="D4148" i="1"/>
  <c r="C4148" i="1"/>
  <c r="H4147" i="1"/>
  <c r="F4147" i="1"/>
  <c r="D4147" i="1"/>
  <c r="C4147" i="1"/>
  <c r="H4146" i="1"/>
  <c r="F4146" i="1"/>
  <c r="D4146" i="1"/>
  <c r="C4146" i="1"/>
  <c r="H4145" i="1"/>
  <c r="F4145" i="1"/>
  <c r="D4145" i="1"/>
  <c r="C4145" i="1"/>
  <c r="H4144" i="1"/>
  <c r="F4144" i="1"/>
  <c r="D4144" i="1"/>
  <c r="C4144" i="1"/>
  <c r="H4143" i="1"/>
  <c r="F4143" i="1"/>
  <c r="D4143" i="1"/>
  <c r="C4143" i="1"/>
  <c r="H4142" i="1"/>
  <c r="F4142" i="1"/>
  <c r="D4142" i="1"/>
  <c r="C4142" i="1"/>
  <c r="H4141" i="1"/>
  <c r="F4141" i="1"/>
  <c r="D4141" i="1"/>
  <c r="C4141" i="1"/>
  <c r="H4140" i="1"/>
  <c r="F4140" i="1"/>
  <c r="D4140" i="1"/>
  <c r="C4140" i="1"/>
  <c r="H4139" i="1"/>
  <c r="F4139" i="1"/>
  <c r="D4139" i="1"/>
  <c r="C4139" i="1"/>
  <c r="H4138" i="1"/>
  <c r="F4138" i="1"/>
  <c r="D4138" i="1"/>
  <c r="C4138" i="1"/>
  <c r="H4137" i="1"/>
  <c r="F4137" i="1"/>
  <c r="D4137" i="1"/>
  <c r="C4137" i="1"/>
  <c r="H4136" i="1"/>
  <c r="F4136" i="1"/>
  <c r="D4136" i="1"/>
  <c r="C4136" i="1"/>
  <c r="H4135" i="1"/>
  <c r="F4135" i="1"/>
  <c r="D4135" i="1"/>
  <c r="C4135" i="1"/>
  <c r="H4134" i="1"/>
  <c r="F4134" i="1"/>
  <c r="D4134" i="1"/>
  <c r="C4134" i="1"/>
  <c r="H4133" i="1"/>
  <c r="F4133" i="1"/>
  <c r="D4133" i="1"/>
  <c r="C4133" i="1"/>
  <c r="H4132" i="1"/>
  <c r="F4132" i="1"/>
  <c r="D4132" i="1"/>
  <c r="C4132" i="1"/>
  <c r="H4131" i="1"/>
  <c r="F4131" i="1"/>
  <c r="D4131" i="1"/>
  <c r="C4131" i="1"/>
  <c r="H4130" i="1"/>
  <c r="F4130" i="1"/>
  <c r="D4130" i="1"/>
  <c r="C4130" i="1"/>
  <c r="H4129" i="1"/>
  <c r="F4129" i="1"/>
  <c r="D4129" i="1"/>
  <c r="C4129" i="1"/>
  <c r="H4128" i="1"/>
  <c r="F4128" i="1"/>
  <c r="D4128" i="1"/>
  <c r="C4128" i="1"/>
  <c r="H4127" i="1"/>
  <c r="F4127" i="1"/>
  <c r="D4127" i="1"/>
  <c r="C4127" i="1"/>
  <c r="H4126" i="1"/>
  <c r="F4126" i="1"/>
  <c r="D4126" i="1"/>
  <c r="C4126" i="1"/>
  <c r="H4125" i="1"/>
  <c r="F4125" i="1"/>
  <c r="D4125" i="1"/>
  <c r="C4125" i="1"/>
  <c r="H4124" i="1"/>
  <c r="F4124" i="1"/>
  <c r="D4124" i="1"/>
  <c r="C4124" i="1"/>
  <c r="H4123" i="1"/>
  <c r="F4123" i="1"/>
  <c r="D4123" i="1"/>
  <c r="C4123" i="1"/>
  <c r="H4122" i="1"/>
  <c r="F4122" i="1"/>
  <c r="D4122" i="1"/>
  <c r="C4122" i="1"/>
  <c r="H4121" i="1"/>
  <c r="F4121" i="1"/>
  <c r="D4121" i="1"/>
  <c r="C4121" i="1"/>
  <c r="H4120" i="1"/>
  <c r="F4120" i="1"/>
  <c r="D4120" i="1"/>
  <c r="C4120" i="1"/>
  <c r="H4119" i="1"/>
  <c r="F4119" i="1"/>
  <c r="D4119" i="1"/>
  <c r="C4119" i="1"/>
  <c r="H4118" i="1"/>
  <c r="F4118" i="1"/>
  <c r="D4118" i="1"/>
  <c r="C4118" i="1"/>
  <c r="H4117" i="1"/>
  <c r="F4117" i="1"/>
  <c r="D4117" i="1"/>
  <c r="C4117" i="1"/>
  <c r="H4116" i="1"/>
  <c r="F4116" i="1"/>
  <c r="D4116" i="1"/>
  <c r="C4116" i="1"/>
  <c r="H4115" i="1"/>
  <c r="F4115" i="1"/>
  <c r="D4115" i="1"/>
  <c r="C4115" i="1"/>
  <c r="H4114" i="1"/>
  <c r="F4114" i="1"/>
  <c r="D4114" i="1"/>
  <c r="C4114" i="1"/>
  <c r="H4113" i="1"/>
  <c r="F4113" i="1"/>
  <c r="D4113" i="1"/>
  <c r="C4113" i="1"/>
  <c r="H4112" i="1"/>
  <c r="F4112" i="1"/>
  <c r="D4112" i="1"/>
  <c r="C4112" i="1"/>
  <c r="H4111" i="1"/>
  <c r="F4111" i="1"/>
  <c r="D4111" i="1"/>
  <c r="C4111" i="1"/>
  <c r="H4110" i="1"/>
  <c r="F4110" i="1"/>
  <c r="D4110" i="1"/>
  <c r="C4110" i="1"/>
  <c r="H4109" i="1"/>
  <c r="F4109" i="1"/>
  <c r="D4109" i="1"/>
  <c r="C4109" i="1"/>
  <c r="H4108" i="1"/>
  <c r="F4108" i="1"/>
  <c r="D4108" i="1"/>
  <c r="C4108" i="1"/>
  <c r="H4107" i="1"/>
  <c r="F4107" i="1"/>
  <c r="D4107" i="1"/>
  <c r="C4107" i="1"/>
  <c r="H4106" i="1"/>
  <c r="F4106" i="1"/>
  <c r="D4106" i="1"/>
  <c r="C4106" i="1"/>
  <c r="H4105" i="1"/>
  <c r="F4105" i="1"/>
  <c r="D4105" i="1"/>
  <c r="C4105" i="1"/>
  <c r="H4104" i="1"/>
  <c r="F4104" i="1"/>
  <c r="D4104" i="1"/>
  <c r="C4104" i="1"/>
  <c r="H4103" i="1"/>
  <c r="F4103" i="1"/>
  <c r="D4103" i="1"/>
  <c r="C4103" i="1"/>
  <c r="H4102" i="1"/>
  <c r="F4102" i="1"/>
  <c r="D4102" i="1"/>
  <c r="C4102" i="1"/>
  <c r="H4101" i="1"/>
  <c r="F4101" i="1"/>
  <c r="D4101" i="1"/>
  <c r="C4101" i="1"/>
  <c r="H4100" i="1"/>
  <c r="F4100" i="1"/>
  <c r="D4100" i="1"/>
  <c r="C4100" i="1"/>
  <c r="H4099" i="1"/>
  <c r="F4099" i="1"/>
  <c r="D4099" i="1"/>
  <c r="C4099" i="1"/>
  <c r="H4098" i="1"/>
  <c r="F4098" i="1"/>
  <c r="D4098" i="1"/>
  <c r="C4098" i="1"/>
  <c r="H4097" i="1"/>
  <c r="F4097" i="1"/>
  <c r="D4097" i="1"/>
  <c r="C4097" i="1"/>
  <c r="H4096" i="1"/>
  <c r="F4096" i="1"/>
  <c r="D4096" i="1"/>
  <c r="C4096" i="1"/>
  <c r="H4095" i="1"/>
  <c r="F4095" i="1"/>
  <c r="D4095" i="1"/>
  <c r="C4095" i="1"/>
  <c r="H4094" i="1"/>
  <c r="F4094" i="1"/>
  <c r="D4094" i="1"/>
  <c r="C4094" i="1"/>
  <c r="H4093" i="1"/>
  <c r="F4093" i="1"/>
  <c r="D4093" i="1"/>
  <c r="C4093" i="1"/>
  <c r="H4092" i="1"/>
  <c r="F4092" i="1"/>
  <c r="D4092" i="1"/>
  <c r="C4092" i="1"/>
  <c r="H4091" i="1"/>
  <c r="F4091" i="1"/>
  <c r="D4091" i="1"/>
  <c r="C4091" i="1"/>
  <c r="H4090" i="1"/>
  <c r="F4090" i="1"/>
  <c r="D4090" i="1"/>
  <c r="C4090" i="1"/>
  <c r="H4089" i="1"/>
  <c r="F4089" i="1"/>
  <c r="D4089" i="1"/>
  <c r="C4089" i="1"/>
  <c r="H4088" i="1"/>
  <c r="F4088" i="1"/>
  <c r="D4088" i="1"/>
  <c r="C4088" i="1"/>
  <c r="H4087" i="1"/>
  <c r="F4087" i="1"/>
  <c r="D4087" i="1"/>
  <c r="C4087" i="1"/>
  <c r="H4086" i="1"/>
  <c r="F4086" i="1"/>
  <c r="D4086" i="1"/>
  <c r="C4086" i="1"/>
  <c r="H4085" i="1"/>
  <c r="F4085" i="1"/>
  <c r="D4085" i="1"/>
  <c r="C4085" i="1"/>
  <c r="H4084" i="1"/>
  <c r="F4084" i="1"/>
  <c r="D4084" i="1"/>
  <c r="C4084" i="1"/>
  <c r="H4083" i="1"/>
  <c r="F4083" i="1"/>
  <c r="D4083" i="1"/>
  <c r="C4083" i="1"/>
  <c r="H4082" i="1"/>
  <c r="F4082" i="1"/>
  <c r="D4082" i="1"/>
  <c r="C4082" i="1"/>
  <c r="H4081" i="1"/>
  <c r="F4081" i="1"/>
  <c r="D4081" i="1"/>
  <c r="C4081" i="1"/>
  <c r="H4080" i="1"/>
  <c r="F4080" i="1"/>
  <c r="D4080" i="1"/>
  <c r="C4080" i="1"/>
  <c r="H4079" i="1"/>
  <c r="F4079" i="1"/>
  <c r="D4079" i="1"/>
  <c r="C4079" i="1"/>
  <c r="H4078" i="1"/>
  <c r="F4078" i="1"/>
  <c r="D4078" i="1"/>
  <c r="C4078" i="1"/>
  <c r="H4077" i="1"/>
  <c r="F4077" i="1"/>
  <c r="D4077" i="1"/>
  <c r="C4077" i="1"/>
  <c r="H4076" i="1"/>
  <c r="F4076" i="1"/>
  <c r="D4076" i="1"/>
  <c r="C4076" i="1"/>
  <c r="H4075" i="1"/>
  <c r="F4075" i="1"/>
  <c r="D4075" i="1"/>
  <c r="C4075" i="1"/>
  <c r="H4074" i="1"/>
  <c r="F4074" i="1"/>
  <c r="D4074" i="1"/>
  <c r="C4074" i="1"/>
  <c r="H4073" i="1"/>
  <c r="F4073" i="1"/>
  <c r="D4073" i="1"/>
  <c r="C4073" i="1"/>
  <c r="H4072" i="1"/>
  <c r="F4072" i="1"/>
  <c r="D4072" i="1"/>
  <c r="C4072" i="1"/>
  <c r="H4071" i="1"/>
  <c r="F4071" i="1"/>
  <c r="D4071" i="1"/>
  <c r="C4071" i="1"/>
  <c r="H4070" i="1"/>
  <c r="F4070" i="1"/>
  <c r="D4070" i="1"/>
  <c r="C4070" i="1"/>
  <c r="H4069" i="1"/>
  <c r="F4069" i="1"/>
  <c r="D4069" i="1"/>
  <c r="C4069" i="1"/>
  <c r="H4068" i="1"/>
  <c r="F4068" i="1"/>
  <c r="D4068" i="1"/>
  <c r="C4068" i="1"/>
  <c r="H4067" i="1"/>
  <c r="F4067" i="1"/>
  <c r="D4067" i="1"/>
  <c r="C4067" i="1"/>
  <c r="H4066" i="1"/>
  <c r="F4066" i="1"/>
  <c r="D4066" i="1"/>
  <c r="C4066" i="1"/>
  <c r="H4065" i="1"/>
  <c r="F4065" i="1"/>
  <c r="D4065" i="1"/>
  <c r="C4065" i="1"/>
  <c r="H4064" i="1"/>
  <c r="F4064" i="1"/>
  <c r="D4064" i="1"/>
  <c r="C4064" i="1"/>
  <c r="H4063" i="1"/>
  <c r="F4063" i="1"/>
  <c r="D4063" i="1"/>
  <c r="C4063" i="1"/>
  <c r="H4062" i="1"/>
  <c r="F4062" i="1"/>
  <c r="D4062" i="1"/>
  <c r="C4062" i="1"/>
  <c r="H4061" i="1"/>
  <c r="F4061" i="1"/>
  <c r="D4061" i="1"/>
  <c r="C4061" i="1"/>
  <c r="H4060" i="1"/>
  <c r="F4060" i="1"/>
  <c r="D4060" i="1"/>
  <c r="C4060" i="1"/>
  <c r="H4059" i="1"/>
  <c r="F4059" i="1"/>
  <c r="D4059" i="1"/>
  <c r="C4059" i="1"/>
  <c r="H4058" i="1"/>
  <c r="F4058" i="1"/>
  <c r="D4058" i="1"/>
  <c r="C4058" i="1"/>
  <c r="H4057" i="1"/>
  <c r="F4057" i="1"/>
  <c r="D4057" i="1"/>
  <c r="C4057" i="1"/>
  <c r="H4056" i="1"/>
  <c r="F4056" i="1"/>
  <c r="D4056" i="1"/>
  <c r="C4056" i="1"/>
  <c r="H4055" i="1"/>
  <c r="F4055" i="1"/>
  <c r="D4055" i="1"/>
  <c r="C4055" i="1"/>
  <c r="H4054" i="1"/>
  <c r="F4054" i="1"/>
  <c r="D4054" i="1"/>
  <c r="C4054" i="1"/>
  <c r="H4053" i="1"/>
  <c r="F4053" i="1"/>
  <c r="D4053" i="1"/>
  <c r="C4053" i="1"/>
  <c r="H4052" i="1"/>
  <c r="F4052" i="1"/>
  <c r="D4052" i="1"/>
  <c r="C4052" i="1"/>
  <c r="H4051" i="1"/>
  <c r="F4051" i="1"/>
  <c r="D4051" i="1"/>
  <c r="C4051" i="1"/>
  <c r="H4050" i="1"/>
  <c r="F4050" i="1"/>
  <c r="D4050" i="1"/>
  <c r="C4050" i="1"/>
  <c r="H4049" i="1"/>
  <c r="F4049" i="1"/>
  <c r="D4049" i="1"/>
  <c r="C4049" i="1"/>
  <c r="H4048" i="1"/>
  <c r="F4048" i="1"/>
  <c r="D4048" i="1"/>
  <c r="C4048" i="1"/>
  <c r="H4047" i="1"/>
  <c r="F4047" i="1"/>
  <c r="D4047" i="1"/>
  <c r="C4047" i="1"/>
  <c r="H4046" i="1"/>
  <c r="F4046" i="1"/>
  <c r="D4046" i="1"/>
  <c r="C4046" i="1"/>
  <c r="H4045" i="1"/>
  <c r="F4045" i="1"/>
  <c r="D4045" i="1"/>
  <c r="C4045" i="1"/>
  <c r="H4044" i="1"/>
  <c r="F4044" i="1"/>
  <c r="D4044" i="1"/>
  <c r="C4044" i="1"/>
  <c r="H4043" i="1"/>
  <c r="F4043" i="1"/>
  <c r="D4043" i="1"/>
  <c r="C4043" i="1"/>
  <c r="H4042" i="1"/>
  <c r="F4042" i="1"/>
  <c r="D4042" i="1"/>
  <c r="C4042" i="1"/>
  <c r="H4041" i="1"/>
  <c r="F4041" i="1"/>
  <c r="D4041" i="1"/>
  <c r="C4041" i="1"/>
  <c r="H4040" i="1"/>
  <c r="F4040" i="1"/>
  <c r="D4040" i="1"/>
  <c r="C4040" i="1"/>
  <c r="H4039" i="1"/>
  <c r="F4039" i="1"/>
  <c r="D4039" i="1"/>
  <c r="C4039" i="1"/>
  <c r="H4038" i="1"/>
  <c r="F4038" i="1"/>
  <c r="D4038" i="1"/>
  <c r="C4038" i="1"/>
  <c r="H4037" i="1"/>
  <c r="F4037" i="1"/>
  <c r="D4037" i="1"/>
  <c r="C4037" i="1"/>
  <c r="H4036" i="1"/>
  <c r="F4036" i="1"/>
  <c r="D4036" i="1"/>
  <c r="C4036" i="1"/>
  <c r="H4035" i="1"/>
  <c r="F4035" i="1"/>
  <c r="D4035" i="1"/>
  <c r="C4035" i="1"/>
  <c r="H4034" i="1"/>
  <c r="F4034" i="1"/>
  <c r="D4034" i="1"/>
  <c r="C4034" i="1"/>
  <c r="H4033" i="1"/>
  <c r="F4033" i="1"/>
  <c r="D4033" i="1"/>
  <c r="C4033" i="1"/>
  <c r="H4032" i="1"/>
  <c r="F4032" i="1"/>
  <c r="D4032" i="1"/>
  <c r="C4032" i="1"/>
  <c r="H4031" i="1"/>
  <c r="F4031" i="1"/>
  <c r="D4031" i="1"/>
  <c r="C4031" i="1"/>
  <c r="H4030" i="1"/>
  <c r="F4030" i="1"/>
  <c r="D4030" i="1"/>
  <c r="C4030" i="1"/>
  <c r="H4029" i="1"/>
  <c r="F4029" i="1"/>
  <c r="D4029" i="1"/>
  <c r="C4029" i="1"/>
  <c r="H4028" i="1"/>
  <c r="F4028" i="1"/>
  <c r="D4028" i="1"/>
  <c r="C4028" i="1"/>
  <c r="H4027" i="1"/>
  <c r="F4027" i="1"/>
  <c r="D4027" i="1"/>
  <c r="C4027" i="1"/>
  <c r="H4026" i="1"/>
  <c r="F4026" i="1"/>
  <c r="D4026" i="1"/>
  <c r="C4026" i="1"/>
  <c r="H4025" i="1"/>
  <c r="F4025" i="1"/>
  <c r="D4025" i="1"/>
  <c r="C4025" i="1"/>
  <c r="H4024" i="1"/>
  <c r="F4024" i="1"/>
  <c r="D4024" i="1"/>
  <c r="C4024" i="1"/>
  <c r="H4023" i="1"/>
  <c r="F4023" i="1"/>
  <c r="D4023" i="1"/>
  <c r="C4023" i="1"/>
  <c r="H4022" i="1"/>
  <c r="F4022" i="1"/>
  <c r="D4022" i="1"/>
  <c r="C4022" i="1"/>
  <c r="H4021" i="1"/>
  <c r="F4021" i="1"/>
  <c r="D4021" i="1"/>
  <c r="C4021" i="1"/>
  <c r="H4020" i="1"/>
  <c r="F4020" i="1"/>
  <c r="D4020" i="1"/>
  <c r="C4020" i="1"/>
  <c r="H4019" i="1"/>
  <c r="F4019" i="1"/>
  <c r="D4019" i="1"/>
  <c r="C4019" i="1"/>
  <c r="H4018" i="1"/>
  <c r="F4018" i="1"/>
  <c r="D4018" i="1"/>
  <c r="C4018" i="1"/>
  <c r="H4017" i="1"/>
  <c r="F4017" i="1"/>
  <c r="D4017" i="1"/>
  <c r="C4017" i="1"/>
  <c r="H4016" i="1"/>
  <c r="F4016" i="1"/>
  <c r="D4016" i="1"/>
  <c r="C4016" i="1"/>
  <c r="H4015" i="1"/>
  <c r="F4015" i="1"/>
  <c r="D4015" i="1"/>
  <c r="C4015" i="1"/>
  <c r="H4014" i="1"/>
  <c r="F4014" i="1"/>
  <c r="D4014" i="1"/>
  <c r="C4014" i="1"/>
  <c r="H4013" i="1"/>
  <c r="F4013" i="1"/>
  <c r="D4013" i="1"/>
  <c r="C4013" i="1"/>
  <c r="H4012" i="1"/>
  <c r="F4012" i="1"/>
  <c r="D4012" i="1"/>
  <c r="C4012" i="1"/>
  <c r="H4011" i="1"/>
  <c r="F4011" i="1"/>
  <c r="D4011" i="1"/>
  <c r="C4011" i="1"/>
  <c r="H4010" i="1"/>
  <c r="F4010" i="1"/>
  <c r="D4010" i="1"/>
  <c r="C4010" i="1"/>
  <c r="H4009" i="1"/>
  <c r="F4009" i="1"/>
  <c r="D4009" i="1"/>
  <c r="C4009" i="1"/>
  <c r="H4008" i="1"/>
  <c r="F4008" i="1"/>
  <c r="D4008" i="1"/>
  <c r="C4008" i="1"/>
  <c r="H4007" i="1"/>
  <c r="F4007" i="1"/>
  <c r="D4007" i="1"/>
  <c r="C4007" i="1"/>
  <c r="H4006" i="1"/>
  <c r="F4006" i="1"/>
  <c r="D4006" i="1"/>
  <c r="C4006" i="1"/>
  <c r="H4005" i="1"/>
  <c r="F4005" i="1"/>
  <c r="D4005" i="1"/>
  <c r="C4005" i="1"/>
  <c r="H4004" i="1"/>
  <c r="F4004" i="1"/>
  <c r="D4004" i="1"/>
  <c r="C4004" i="1"/>
  <c r="H4003" i="1"/>
  <c r="F4003" i="1"/>
  <c r="D4003" i="1"/>
  <c r="C4003" i="1"/>
  <c r="H4002" i="1"/>
  <c r="F4002" i="1"/>
  <c r="D4002" i="1"/>
  <c r="C4002" i="1"/>
  <c r="H4001" i="1"/>
  <c r="F4001" i="1"/>
  <c r="D4001" i="1"/>
  <c r="C4001" i="1"/>
  <c r="H4000" i="1"/>
  <c r="F4000" i="1"/>
  <c r="D4000" i="1"/>
  <c r="C4000" i="1"/>
  <c r="H3999" i="1"/>
  <c r="F3999" i="1"/>
  <c r="D3999" i="1"/>
  <c r="C3999" i="1"/>
  <c r="H3998" i="1"/>
  <c r="F3998" i="1"/>
  <c r="D3998" i="1"/>
  <c r="C3998" i="1"/>
  <c r="H3997" i="1"/>
  <c r="F3997" i="1"/>
  <c r="D3997" i="1"/>
  <c r="C3997" i="1"/>
  <c r="H3996" i="1"/>
  <c r="F3996" i="1"/>
  <c r="D3996" i="1"/>
  <c r="C3996" i="1"/>
  <c r="H3995" i="1"/>
  <c r="F3995" i="1"/>
  <c r="D3995" i="1"/>
  <c r="C3995" i="1"/>
  <c r="H3994" i="1"/>
  <c r="F3994" i="1"/>
  <c r="D3994" i="1"/>
  <c r="C3994" i="1"/>
  <c r="H3993" i="1"/>
  <c r="F3993" i="1"/>
  <c r="D3993" i="1"/>
  <c r="C3993" i="1"/>
  <c r="H3992" i="1"/>
  <c r="F3992" i="1"/>
  <c r="D3992" i="1"/>
  <c r="C3992" i="1"/>
  <c r="H3991" i="1"/>
  <c r="F3991" i="1"/>
  <c r="D3991" i="1"/>
  <c r="C3991" i="1"/>
  <c r="H3990" i="1"/>
  <c r="F3990" i="1"/>
  <c r="D3990" i="1"/>
  <c r="C3990" i="1"/>
  <c r="H3989" i="1"/>
  <c r="F3989" i="1"/>
  <c r="D3989" i="1"/>
  <c r="C3989" i="1"/>
  <c r="H3988" i="1"/>
  <c r="F3988" i="1"/>
  <c r="D3988" i="1"/>
  <c r="C3988" i="1"/>
  <c r="H3987" i="1"/>
  <c r="F3987" i="1"/>
  <c r="D3987" i="1"/>
  <c r="C3987" i="1"/>
  <c r="H3986" i="1"/>
  <c r="F3986" i="1"/>
  <c r="D3986" i="1"/>
  <c r="C3986" i="1"/>
  <c r="H3985" i="1"/>
  <c r="F3985" i="1"/>
  <c r="D3985" i="1"/>
  <c r="C3985" i="1"/>
  <c r="H3984" i="1"/>
  <c r="F3984" i="1"/>
  <c r="D3984" i="1"/>
  <c r="C3984" i="1"/>
  <c r="H3983" i="1"/>
  <c r="F3983" i="1"/>
  <c r="D3983" i="1"/>
  <c r="C3983" i="1"/>
  <c r="H3982" i="1"/>
  <c r="F3982" i="1"/>
  <c r="D3982" i="1"/>
  <c r="C3982" i="1"/>
  <c r="H3981" i="1"/>
  <c r="F3981" i="1"/>
  <c r="D3981" i="1"/>
  <c r="C3981" i="1"/>
  <c r="H3980" i="1"/>
  <c r="F3980" i="1"/>
  <c r="D3980" i="1"/>
  <c r="C3980" i="1"/>
  <c r="H3979" i="1"/>
  <c r="F3979" i="1"/>
  <c r="D3979" i="1"/>
  <c r="C3979" i="1"/>
  <c r="H3978" i="1"/>
  <c r="F3978" i="1"/>
  <c r="D3978" i="1"/>
  <c r="C3978" i="1"/>
  <c r="H3977" i="1"/>
  <c r="F3977" i="1"/>
  <c r="D3977" i="1"/>
  <c r="C3977" i="1"/>
  <c r="H3976" i="1"/>
  <c r="F3976" i="1"/>
  <c r="D3976" i="1"/>
  <c r="C3976" i="1"/>
  <c r="H3975" i="1"/>
  <c r="F3975" i="1"/>
  <c r="D3975" i="1"/>
  <c r="C3975" i="1"/>
  <c r="H3974" i="1"/>
  <c r="F3974" i="1"/>
  <c r="D3974" i="1"/>
  <c r="C3974" i="1"/>
  <c r="H3973" i="1"/>
  <c r="F3973" i="1"/>
  <c r="D3973" i="1"/>
  <c r="C3973" i="1"/>
  <c r="H3972" i="1"/>
  <c r="F3972" i="1"/>
  <c r="D3972" i="1"/>
  <c r="C3972" i="1"/>
  <c r="H3971" i="1"/>
  <c r="F3971" i="1"/>
  <c r="D3971" i="1"/>
  <c r="C3971" i="1"/>
  <c r="H3970" i="1"/>
  <c r="F3970" i="1"/>
  <c r="D3970" i="1"/>
  <c r="C3970" i="1"/>
  <c r="H3969" i="1"/>
  <c r="F3969" i="1"/>
  <c r="D3969" i="1"/>
  <c r="C3969" i="1"/>
  <c r="H3968" i="1"/>
  <c r="F3968" i="1"/>
  <c r="D3968" i="1"/>
  <c r="C3968" i="1"/>
  <c r="H3967" i="1"/>
  <c r="F3967" i="1"/>
  <c r="D3967" i="1"/>
  <c r="C3967" i="1"/>
  <c r="H3966" i="1"/>
  <c r="F3966" i="1"/>
  <c r="D3966" i="1"/>
  <c r="C3966" i="1"/>
  <c r="H3965" i="1"/>
  <c r="F3965" i="1"/>
  <c r="D3965" i="1"/>
  <c r="C3965" i="1"/>
  <c r="H3964" i="1"/>
  <c r="F3964" i="1"/>
  <c r="D3964" i="1"/>
  <c r="C3964" i="1"/>
  <c r="H3963" i="1"/>
  <c r="F3963" i="1"/>
  <c r="D3963" i="1"/>
  <c r="C3963" i="1"/>
  <c r="H3962" i="1"/>
  <c r="F3962" i="1"/>
  <c r="D3962" i="1"/>
  <c r="C3962" i="1"/>
  <c r="H3961" i="1"/>
  <c r="F3961" i="1"/>
  <c r="D3961" i="1"/>
  <c r="C3961" i="1"/>
  <c r="H3960" i="1"/>
  <c r="F3960" i="1"/>
  <c r="D3960" i="1"/>
  <c r="C3960" i="1"/>
  <c r="H3959" i="1"/>
  <c r="F3959" i="1"/>
  <c r="D3959" i="1"/>
  <c r="C3959" i="1"/>
  <c r="H3958" i="1"/>
  <c r="F3958" i="1"/>
  <c r="D3958" i="1"/>
  <c r="C3958" i="1"/>
  <c r="H3957" i="1"/>
  <c r="F3957" i="1"/>
  <c r="D3957" i="1"/>
  <c r="C3957" i="1"/>
  <c r="H3956" i="1"/>
  <c r="F3956" i="1"/>
  <c r="D3956" i="1"/>
  <c r="C3956" i="1"/>
  <c r="H3955" i="1"/>
  <c r="F3955" i="1"/>
  <c r="D3955" i="1"/>
  <c r="C3955" i="1"/>
  <c r="H3954" i="1"/>
  <c r="F3954" i="1"/>
  <c r="D3954" i="1"/>
  <c r="C3954" i="1"/>
  <c r="H3953" i="1"/>
  <c r="F3953" i="1"/>
  <c r="D3953" i="1"/>
  <c r="C3953" i="1"/>
  <c r="H3952" i="1"/>
  <c r="F3952" i="1"/>
  <c r="D3952" i="1"/>
  <c r="C3952" i="1"/>
  <c r="H3951" i="1"/>
  <c r="F3951" i="1"/>
  <c r="D3951" i="1"/>
  <c r="C3951" i="1"/>
  <c r="H3950" i="1"/>
  <c r="F3950" i="1"/>
  <c r="D3950" i="1"/>
  <c r="C3950" i="1"/>
  <c r="H3949" i="1"/>
  <c r="F3949" i="1"/>
  <c r="D3949" i="1"/>
  <c r="C3949" i="1"/>
  <c r="H3948" i="1"/>
  <c r="F3948" i="1"/>
  <c r="D3948" i="1"/>
  <c r="C3948" i="1"/>
  <c r="H3947" i="1"/>
  <c r="F3947" i="1"/>
  <c r="D3947" i="1"/>
  <c r="C3947" i="1"/>
  <c r="H3946" i="1"/>
  <c r="F3946" i="1"/>
  <c r="D3946" i="1"/>
  <c r="C3946" i="1"/>
  <c r="H3945" i="1"/>
  <c r="F3945" i="1"/>
  <c r="D3945" i="1"/>
  <c r="C3945" i="1"/>
  <c r="H3944" i="1"/>
  <c r="F3944" i="1"/>
  <c r="D3944" i="1"/>
  <c r="C3944" i="1"/>
  <c r="H3943" i="1"/>
  <c r="F3943" i="1"/>
  <c r="D3943" i="1"/>
  <c r="C3943" i="1"/>
  <c r="H3942" i="1"/>
  <c r="F3942" i="1"/>
  <c r="D3942" i="1"/>
  <c r="C3942" i="1"/>
  <c r="H3941" i="1"/>
  <c r="F3941" i="1"/>
  <c r="D3941" i="1"/>
  <c r="C3941" i="1"/>
  <c r="H3940" i="1"/>
  <c r="F3940" i="1"/>
  <c r="D3940" i="1"/>
  <c r="C3940" i="1"/>
  <c r="H3939" i="1"/>
  <c r="F3939" i="1"/>
  <c r="D3939" i="1"/>
  <c r="C3939" i="1"/>
  <c r="H3938" i="1"/>
  <c r="F3938" i="1"/>
  <c r="D3938" i="1"/>
  <c r="C3938" i="1"/>
  <c r="H3937" i="1"/>
  <c r="F3937" i="1"/>
  <c r="D3937" i="1"/>
  <c r="C3937" i="1"/>
  <c r="H3936" i="1"/>
  <c r="F3936" i="1"/>
  <c r="D3936" i="1"/>
  <c r="C3936" i="1"/>
  <c r="H3935" i="1"/>
  <c r="F3935" i="1"/>
  <c r="D3935" i="1"/>
  <c r="C3935" i="1"/>
  <c r="H3934" i="1"/>
  <c r="F3934" i="1"/>
  <c r="D3934" i="1"/>
  <c r="C3934" i="1"/>
  <c r="H3933" i="1"/>
  <c r="F3933" i="1"/>
  <c r="D3933" i="1"/>
  <c r="C3933" i="1"/>
  <c r="H3932" i="1"/>
  <c r="F3932" i="1"/>
  <c r="D3932" i="1"/>
  <c r="C3932" i="1"/>
  <c r="H3931" i="1"/>
  <c r="F3931" i="1"/>
  <c r="D3931" i="1"/>
  <c r="C3931" i="1"/>
  <c r="H3930" i="1"/>
  <c r="F3930" i="1"/>
  <c r="D3930" i="1"/>
  <c r="C3930" i="1"/>
  <c r="H3929" i="1"/>
  <c r="F3929" i="1"/>
  <c r="D3929" i="1"/>
  <c r="C3929" i="1"/>
  <c r="H3928" i="1"/>
  <c r="F3928" i="1"/>
  <c r="D3928" i="1"/>
  <c r="C3928" i="1"/>
  <c r="H3927" i="1"/>
  <c r="F3927" i="1"/>
  <c r="D3927" i="1"/>
  <c r="C3927" i="1"/>
  <c r="H3926" i="1"/>
  <c r="F3926" i="1"/>
  <c r="D3926" i="1"/>
  <c r="C3926" i="1"/>
  <c r="H3925" i="1"/>
  <c r="F3925" i="1"/>
  <c r="D3925" i="1"/>
  <c r="C3925" i="1"/>
  <c r="H3924" i="1"/>
  <c r="F3924" i="1"/>
  <c r="D3924" i="1"/>
  <c r="C3924" i="1"/>
  <c r="H3923" i="1"/>
  <c r="F3923" i="1"/>
  <c r="D3923" i="1"/>
  <c r="C3923" i="1"/>
  <c r="H3922" i="1"/>
  <c r="F3922" i="1"/>
  <c r="D3922" i="1"/>
  <c r="C3922" i="1"/>
  <c r="H3921" i="1"/>
  <c r="F3921" i="1"/>
  <c r="D3921" i="1"/>
  <c r="C3921" i="1"/>
  <c r="H3920" i="1"/>
  <c r="F3920" i="1"/>
  <c r="D3920" i="1"/>
  <c r="C3920" i="1"/>
  <c r="H3919" i="1"/>
  <c r="F3919" i="1"/>
  <c r="D3919" i="1"/>
  <c r="C3919" i="1"/>
  <c r="H3918" i="1"/>
  <c r="F3918" i="1"/>
  <c r="D3918" i="1"/>
  <c r="C3918" i="1"/>
  <c r="H3917" i="1"/>
  <c r="F3917" i="1"/>
  <c r="D3917" i="1"/>
  <c r="C3917" i="1"/>
  <c r="H3916" i="1"/>
  <c r="F3916" i="1"/>
  <c r="D3916" i="1"/>
  <c r="C3916" i="1"/>
  <c r="H3915" i="1"/>
  <c r="F3915" i="1"/>
  <c r="D3915" i="1"/>
  <c r="C3915" i="1"/>
  <c r="H3914" i="1"/>
  <c r="F3914" i="1"/>
  <c r="D3914" i="1"/>
  <c r="C3914" i="1"/>
  <c r="H3913" i="1"/>
  <c r="F3913" i="1"/>
  <c r="D3913" i="1"/>
  <c r="C3913" i="1"/>
  <c r="H3912" i="1"/>
  <c r="F3912" i="1"/>
  <c r="D3912" i="1"/>
  <c r="C3912" i="1"/>
  <c r="H3911" i="1"/>
  <c r="F3911" i="1"/>
  <c r="D3911" i="1"/>
  <c r="C3911" i="1"/>
  <c r="H3910" i="1"/>
  <c r="F3910" i="1"/>
  <c r="D3910" i="1"/>
  <c r="C3910" i="1"/>
  <c r="H3909" i="1"/>
  <c r="F3909" i="1"/>
  <c r="D3909" i="1"/>
  <c r="C3909" i="1"/>
  <c r="H3908" i="1"/>
  <c r="F3908" i="1"/>
  <c r="D3908" i="1"/>
  <c r="C3908" i="1"/>
  <c r="H3907" i="1"/>
  <c r="F3907" i="1"/>
  <c r="D3907" i="1"/>
  <c r="C3907" i="1"/>
  <c r="H3906" i="1"/>
  <c r="F3906" i="1"/>
  <c r="D3906" i="1"/>
  <c r="C3906" i="1"/>
  <c r="H3905" i="1"/>
  <c r="F3905" i="1"/>
  <c r="D3905" i="1"/>
  <c r="C3905" i="1"/>
  <c r="H3904" i="1"/>
  <c r="F3904" i="1"/>
  <c r="D3904" i="1"/>
  <c r="C3904" i="1"/>
  <c r="H3903" i="1"/>
  <c r="F3903" i="1"/>
  <c r="D3903" i="1"/>
  <c r="C3903" i="1"/>
  <c r="H3902" i="1"/>
  <c r="F3902" i="1"/>
  <c r="D3902" i="1"/>
  <c r="C3902" i="1"/>
  <c r="H3901" i="1"/>
  <c r="F3901" i="1"/>
  <c r="D3901" i="1"/>
  <c r="C3901" i="1"/>
  <c r="H3900" i="1"/>
  <c r="F3900" i="1"/>
  <c r="D3900" i="1"/>
  <c r="C3900" i="1"/>
  <c r="H3899" i="1"/>
  <c r="F3899" i="1"/>
  <c r="D3899" i="1"/>
  <c r="C3899" i="1"/>
  <c r="H3898" i="1"/>
  <c r="F3898" i="1"/>
  <c r="D3898" i="1"/>
  <c r="C3898" i="1"/>
  <c r="H3897" i="1"/>
  <c r="F3897" i="1"/>
  <c r="D3897" i="1"/>
  <c r="C3897" i="1"/>
  <c r="H3896" i="1"/>
  <c r="F3896" i="1"/>
  <c r="D3896" i="1"/>
  <c r="C3896" i="1"/>
  <c r="H3895" i="1"/>
  <c r="F3895" i="1"/>
  <c r="D3895" i="1"/>
  <c r="C3895" i="1"/>
  <c r="H3894" i="1"/>
  <c r="F3894" i="1"/>
  <c r="D3894" i="1"/>
  <c r="C3894" i="1"/>
  <c r="H3893" i="1"/>
  <c r="F3893" i="1"/>
  <c r="D3893" i="1"/>
  <c r="C3893" i="1"/>
  <c r="H3892" i="1"/>
  <c r="F3892" i="1"/>
  <c r="D3892" i="1"/>
  <c r="C3892" i="1"/>
  <c r="H3891" i="1"/>
  <c r="F3891" i="1"/>
  <c r="D3891" i="1"/>
  <c r="C3891" i="1"/>
  <c r="H3890" i="1"/>
  <c r="F3890" i="1"/>
  <c r="D3890" i="1"/>
  <c r="C3890" i="1"/>
  <c r="H3889" i="1"/>
  <c r="F3889" i="1"/>
  <c r="D3889" i="1"/>
  <c r="C3889" i="1"/>
  <c r="H3888" i="1"/>
  <c r="F3888" i="1"/>
  <c r="D3888" i="1"/>
  <c r="C3888" i="1"/>
  <c r="H3887" i="1"/>
  <c r="F3887" i="1"/>
  <c r="D3887" i="1"/>
  <c r="C3887" i="1"/>
  <c r="H3886" i="1"/>
  <c r="F3886" i="1"/>
  <c r="D3886" i="1"/>
  <c r="C3886" i="1"/>
  <c r="H3885" i="1"/>
  <c r="F3885" i="1"/>
  <c r="D3885" i="1"/>
  <c r="C3885" i="1"/>
  <c r="H3884" i="1"/>
  <c r="F3884" i="1"/>
  <c r="D3884" i="1"/>
  <c r="C3884" i="1"/>
  <c r="H3883" i="1"/>
  <c r="F3883" i="1"/>
  <c r="D3883" i="1"/>
  <c r="C3883" i="1"/>
  <c r="H3882" i="1"/>
  <c r="F3882" i="1"/>
  <c r="D3882" i="1"/>
  <c r="C3882" i="1"/>
  <c r="H3881" i="1"/>
  <c r="F3881" i="1"/>
  <c r="D3881" i="1"/>
  <c r="C3881" i="1"/>
  <c r="H3880" i="1"/>
  <c r="F3880" i="1"/>
  <c r="D3880" i="1"/>
  <c r="C3880" i="1"/>
  <c r="H3879" i="1"/>
  <c r="F3879" i="1"/>
  <c r="D3879" i="1"/>
  <c r="C3879" i="1"/>
  <c r="H3878" i="1"/>
  <c r="F3878" i="1"/>
  <c r="D3878" i="1"/>
  <c r="C3878" i="1"/>
  <c r="H3877" i="1"/>
  <c r="F3877" i="1"/>
  <c r="D3877" i="1"/>
  <c r="C3877" i="1"/>
  <c r="H3876" i="1"/>
  <c r="F3876" i="1"/>
  <c r="D3876" i="1"/>
  <c r="C3876" i="1"/>
  <c r="H3875" i="1"/>
  <c r="F3875" i="1"/>
  <c r="D3875" i="1"/>
  <c r="C3875" i="1"/>
  <c r="H3874" i="1"/>
  <c r="F3874" i="1"/>
  <c r="D3874" i="1"/>
  <c r="C3874" i="1"/>
  <c r="H3873" i="1"/>
  <c r="F3873" i="1"/>
  <c r="D3873" i="1"/>
  <c r="C3873" i="1"/>
  <c r="H3872" i="1"/>
  <c r="F3872" i="1"/>
  <c r="D3872" i="1"/>
  <c r="C3872" i="1"/>
  <c r="H3871" i="1"/>
  <c r="F3871" i="1"/>
  <c r="D3871" i="1"/>
  <c r="C3871" i="1"/>
  <c r="H3870" i="1"/>
  <c r="F3870" i="1"/>
  <c r="D3870" i="1"/>
  <c r="C3870" i="1"/>
  <c r="H3869" i="1"/>
  <c r="F3869" i="1"/>
  <c r="D3869" i="1"/>
  <c r="C3869" i="1"/>
  <c r="H3868" i="1"/>
  <c r="F3868" i="1"/>
  <c r="D3868" i="1"/>
  <c r="C3868" i="1"/>
  <c r="H3867" i="1"/>
  <c r="F3867" i="1"/>
  <c r="D3867" i="1"/>
  <c r="C3867" i="1"/>
  <c r="H3866" i="1"/>
  <c r="F3866" i="1"/>
  <c r="D3866" i="1"/>
  <c r="C3866" i="1"/>
  <c r="H3865" i="1"/>
  <c r="F3865" i="1"/>
  <c r="D3865" i="1"/>
  <c r="C3865" i="1"/>
  <c r="H3864" i="1"/>
  <c r="F3864" i="1"/>
  <c r="D3864" i="1"/>
  <c r="C3864" i="1"/>
  <c r="H3863" i="1"/>
  <c r="F3863" i="1"/>
  <c r="D3863" i="1"/>
  <c r="C3863" i="1"/>
  <c r="H3862" i="1"/>
  <c r="F3862" i="1"/>
  <c r="D3862" i="1"/>
  <c r="C3862" i="1"/>
  <c r="H3861" i="1"/>
  <c r="F3861" i="1"/>
  <c r="D3861" i="1"/>
  <c r="C3861" i="1"/>
  <c r="H3860" i="1"/>
  <c r="F3860" i="1"/>
  <c r="D3860" i="1"/>
  <c r="C3860" i="1"/>
  <c r="H3859" i="1"/>
  <c r="F3859" i="1"/>
  <c r="D3859" i="1"/>
  <c r="C3859" i="1"/>
  <c r="H3858" i="1"/>
  <c r="F3858" i="1"/>
  <c r="D3858" i="1"/>
  <c r="C3858" i="1"/>
  <c r="H3857" i="1"/>
  <c r="F3857" i="1"/>
  <c r="D3857" i="1"/>
  <c r="C3857" i="1"/>
  <c r="H3856" i="1"/>
  <c r="F3856" i="1"/>
  <c r="D3856" i="1"/>
  <c r="C3856" i="1"/>
  <c r="H3855" i="1"/>
  <c r="F3855" i="1"/>
  <c r="D3855" i="1"/>
  <c r="C3855" i="1"/>
  <c r="H3854" i="1"/>
  <c r="F3854" i="1"/>
  <c r="D3854" i="1"/>
  <c r="C3854" i="1"/>
  <c r="H3853" i="1"/>
  <c r="F3853" i="1"/>
  <c r="D3853" i="1"/>
  <c r="C3853" i="1"/>
  <c r="H3852" i="1"/>
  <c r="F3852" i="1"/>
  <c r="D3852" i="1"/>
  <c r="C3852" i="1"/>
  <c r="H3851" i="1"/>
  <c r="F3851" i="1"/>
  <c r="D3851" i="1"/>
  <c r="C3851" i="1"/>
  <c r="H3850" i="1"/>
  <c r="F3850" i="1"/>
  <c r="D3850" i="1"/>
  <c r="C3850" i="1"/>
  <c r="H3849" i="1"/>
  <c r="F3849" i="1"/>
  <c r="D3849" i="1"/>
  <c r="C3849" i="1"/>
  <c r="H3848" i="1"/>
  <c r="F3848" i="1"/>
  <c r="D3848" i="1"/>
  <c r="C3848" i="1"/>
  <c r="H3847" i="1"/>
  <c r="F3847" i="1"/>
  <c r="D3847" i="1"/>
  <c r="C3847" i="1"/>
  <c r="H3846" i="1"/>
  <c r="F3846" i="1"/>
  <c r="D3846" i="1"/>
  <c r="C3846" i="1"/>
  <c r="H3845" i="1"/>
  <c r="F3845" i="1"/>
  <c r="D3845" i="1"/>
  <c r="C3845" i="1"/>
  <c r="H3844" i="1"/>
  <c r="F3844" i="1"/>
  <c r="D3844" i="1"/>
  <c r="C3844" i="1"/>
  <c r="H3843" i="1"/>
  <c r="F3843" i="1"/>
  <c r="D3843" i="1"/>
  <c r="C3843" i="1"/>
  <c r="H3842" i="1"/>
  <c r="F3842" i="1"/>
  <c r="D3842" i="1"/>
  <c r="C3842" i="1"/>
  <c r="H3841" i="1"/>
  <c r="F3841" i="1"/>
  <c r="D3841" i="1"/>
  <c r="C3841" i="1"/>
  <c r="H3840" i="1"/>
  <c r="F3840" i="1"/>
  <c r="D3840" i="1"/>
  <c r="C3840" i="1"/>
  <c r="H3839" i="1"/>
  <c r="F3839" i="1"/>
  <c r="D3839" i="1"/>
  <c r="C3839" i="1"/>
  <c r="H3838" i="1"/>
  <c r="F3838" i="1"/>
  <c r="D3838" i="1"/>
  <c r="C3838" i="1"/>
  <c r="H3837" i="1"/>
  <c r="F3837" i="1"/>
  <c r="D3837" i="1"/>
  <c r="C3837" i="1"/>
  <c r="H3836" i="1"/>
  <c r="F3836" i="1"/>
  <c r="D3836" i="1"/>
  <c r="C3836" i="1"/>
  <c r="H3835" i="1"/>
  <c r="F3835" i="1"/>
  <c r="D3835" i="1"/>
  <c r="C3835" i="1"/>
  <c r="H3834" i="1"/>
  <c r="F3834" i="1"/>
  <c r="D3834" i="1"/>
  <c r="C3834" i="1"/>
  <c r="H3833" i="1"/>
  <c r="F3833" i="1"/>
  <c r="D3833" i="1"/>
  <c r="C3833" i="1"/>
  <c r="H3832" i="1"/>
  <c r="F3832" i="1"/>
  <c r="D3832" i="1"/>
  <c r="C3832" i="1"/>
  <c r="H3831" i="1"/>
  <c r="F3831" i="1"/>
  <c r="D3831" i="1"/>
  <c r="C3831" i="1"/>
  <c r="H3830" i="1"/>
  <c r="F3830" i="1"/>
  <c r="D3830" i="1"/>
  <c r="C3830" i="1"/>
  <c r="H3829" i="1"/>
  <c r="F3829" i="1"/>
  <c r="D3829" i="1"/>
  <c r="C3829" i="1"/>
  <c r="H3828" i="1"/>
  <c r="F3828" i="1"/>
  <c r="D3828" i="1"/>
  <c r="C3828" i="1"/>
  <c r="H3827" i="1"/>
  <c r="F3827" i="1"/>
  <c r="D3827" i="1"/>
  <c r="C3827" i="1"/>
  <c r="H3826" i="1"/>
  <c r="F3826" i="1"/>
  <c r="D3826" i="1"/>
  <c r="C3826" i="1"/>
  <c r="H3825" i="1"/>
  <c r="F3825" i="1"/>
  <c r="D3825" i="1"/>
  <c r="C3825" i="1"/>
  <c r="H3824" i="1"/>
  <c r="F3824" i="1"/>
  <c r="D3824" i="1"/>
  <c r="C3824" i="1"/>
  <c r="H3823" i="1"/>
  <c r="F3823" i="1"/>
  <c r="D3823" i="1"/>
  <c r="C3823" i="1"/>
  <c r="H3822" i="1"/>
  <c r="F3822" i="1"/>
  <c r="D3822" i="1"/>
  <c r="C3822" i="1"/>
  <c r="H3821" i="1"/>
  <c r="F3821" i="1"/>
  <c r="D3821" i="1"/>
  <c r="C3821" i="1"/>
  <c r="H3820" i="1"/>
  <c r="F3820" i="1"/>
  <c r="D3820" i="1"/>
  <c r="C3820" i="1"/>
  <c r="H3819" i="1"/>
  <c r="F3819" i="1"/>
  <c r="D3819" i="1"/>
  <c r="C3819" i="1"/>
  <c r="H3818" i="1"/>
  <c r="F3818" i="1"/>
  <c r="D3818" i="1"/>
  <c r="C3818" i="1"/>
  <c r="H3817" i="1"/>
  <c r="F3817" i="1"/>
  <c r="D3817" i="1"/>
  <c r="C3817" i="1"/>
  <c r="H3816" i="1"/>
  <c r="F3816" i="1"/>
  <c r="D3816" i="1"/>
  <c r="C3816" i="1"/>
  <c r="H3815" i="1"/>
  <c r="F3815" i="1"/>
  <c r="D3815" i="1"/>
  <c r="C3815" i="1"/>
  <c r="H3814" i="1"/>
  <c r="F3814" i="1"/>
  <c r="D3814" i="1"/>
  <c r="C3814" i="1"/>
  <c r="H3813" i="1"/>
  <c r="F3813" i="1"/>
  <c r="D3813" i="1"/>
  <c r="C3813" i="1"/>
  <c r="H3812" i="1"/>
  <c r="F3812" i="1"/>
  <c r="D3812" i="1"/>
  <c r="C3812" i="1"/>
  <c r="H3811" i="1"/>
  <c r="F3811" i="1"/>
  <c r="D3811" i="1"/>
  <c r="C3811" i="1"/>
  <c r="H3810" i="1"/>
  <c r="F3810" i="1"/>
  <c r="D3810" i="1"/>
  <c r="C3810" i="1"/>
  <c r="H3809" i="1"/>
  <c r="F3809" i="1"/>
  <c r="D3809" i="1"/>
  <c r="C3809" i="1"/>
  <c r="H3808" i="1"/>
  <c r="F3808" i="1"/>
  <c r="D3808" i="1"/>
  <c r="C3808" i="1"/>
  <c r="H3807" i="1"/>
  <c r="F3807" i="1"/>
  <c r="D3807" i="1"/>
  <c r="C3807" i="1"/>
  <c r="H3806" i="1"/>
  <c r="F3806" i="1"/>
  <c r="D3806" i="1"/>
  <c r="C3806" i="1"/>
  <c r="H3805" i="1"/>
  <c r="F3805" i="1"/>
  <c r="D3805" i="1"/>
  <c r="C3805" i="1"/>
  <c r="H3804" i="1"/>
  <c r="F3804" i="1"/>
  <c r="D3804" i="1"/>
  <c r="C3804" i="1"/>
  <c r="H3803" i="1"/>
  <c r="F3803" i="1"/>
  <c r="D3803" i="1"/>
  <c r="C3803" i="1"/>
  <c r="H3802" i="1"/>
  <c r="F3802" i="1"/>
  <c r="D3802" i="1"/>
  <c r="C3802" i="1"/>
  <c r="H3801" i="1"/>
  <c r="F3801" i="1"/>
  <c r="D3801" i="1"/>
  <c r="C3801" i="1"/>
  <c r="H3800" i="1"/>
  <c r="F3800" i="1"/>
  <c r="D3800" i="1"/>
  <c r="C3800" i="1"/>
  <c r="H3799" i="1"/>
  <c r="F3799" i="1"/>
  <c r="D3799" i="1"/>
  <c r="C3799" i="1"/>
  <c r="H3798" i="1"/>
  <c r="F3798" i="1"/>
  <c r="D3798" i="1"/>
  <c r="C3798" i="1"/>
  <c r="H3797" i="1"/>
  <c r="F3797" i="1"/>
  <c r="D3797" i="1"/>
  <c r="C3797" i="1"/>
  <c r="H3796" i="1"/>
  <c r="F3796" i="1"/>
  <c r="D3796" i="1"/>
  <c r="C3796" i="1"/>
  <c r="H3795" i="1"/>
  <c r="F3795" i="1"/>
  <c r="D3795" i="1"/>
  <c r="C3795" i="1"/>
  <c r="H3794" i="1"/>
  <c r="F3794" i="1"/>
  <c r="D3794" i="1"/>
  <c r="C3794" i="1"/>
  <c r="H3793" i="1"/>
  <c r="F3793" i="1"/>
  <c r="D3793" i="1"/>
  <c r="C3793" i="1"/>
  <c r="H3792" i="1"/>
  <c r="F3792" i="1"/>
  <c r="D3792" i="1"/>
  <c r="C3792" i="1"/>
  <c r="H3791" i="1"/>
  <c r="F3791" i="1"/>
  <c r="D3791" i="1"/>
  <c r="C3791" i="1"/>
  <c r="H3790" i="1"/>
  <c r="F3790" i="1"/>
  <c r="D3790" i="1"/>
  <c r="C3790" i="1"/>
  <c r="H3789" i="1"/>
  <c r="F3789" i="1"/>
  <c r="D3789" i="1"/>
  <c r="C3789" i="1"/>
  <c r="H3788" i="1"/>
  <c r="F3788" i="1"/>
  <c r="D3788" i="1"/>
  <c r="C3788" i="1"/>
  <c r="H3787" i="1"/>
  <c r="F3787" i="1"/>
  <c r="D3787" i="1"/>
  <c r="C3787" i="1"/>
  <c r="H3786" i="1"/>
  <c r="F3786" i="1"/>
  <c r="D3786" i="1"/>
  <c r="C3786" i="1"/>
  <c r="H3785" i="1"/>
  <c r="F3785" i="1"/>
  <c r="D3785" i="1"/>
  <c r="C3785" i="1"/>
  <c r="H3784" i="1"/>
  <c r="F3784" i="1"/>
  <c r="D3784" i="1"/>
  <c r="C3784" i="1"/>
  <c r="H3783" i="1"/>
  <c r="F3783" i="1"/>
  <c r="D3783" i="1"/>
  <c r="C3783" i="1"/>
  <c r="H3782" i="1"/>
  <c r="F3782" i="1"/>
  <c r="D3782" i="1"/>
  <c r="C3782" i="1"/>
  <c r="H3781" i="1"/>
  <c r="F3781" i="1"/>
  <c r="D3781" i="1"/>
  <c r="C3781" i="1"/>
  <c r="H3780" i="1"/>
  <c r="F3780" i="1"/>
  <c r="D3780" i="1"/>
  <c r="C3780" i="1"/>
  <c r="H3779" i="1"/>
  <c r="F3779" i="1"/>
  <c r="D3779" i="1"/>
  <c r="C3779" i="1"/>
  <c r="H3778" i="1"/>
  <c r="F3778" i="1"/>
  <c r="D3778" i="1"/>
  <c r="C3778" i="1"/>
  <c r="H3777" i="1"/>
  <c r="F3777" i="1"/>
  <c r="D3777" i="1"/>
  <c r="C3777" i="1"/>
  <c r="H3776" i="1"/>
  <c r="F3776" i="1"/>
  <c r="D3776" i="1"/>
  <c r="C3776" i="1"/>
  <c r="H3775" i="1"/>
  <c r="F3775" i="1"/>
  <c r="D3775" i="1"/>
  <c r="C3775" i="1"/>
  <c r="H3774" i="1"/>
  <c r="F3774" i="1"/>
  <c r="D3774" i="1"/>
  <c r="C3774" i="1"/>
  <c r="H3773" i="1"/>
  <c r="F3773" i="1"/>
  <c r="D3773" i="1"/>
  <c r="C3773" i="1"/>
  <c r="H3772" i="1"/>
  <c r="F3772" i="1"/>
  <c r="D3772" i="1"/>
  <c r="C3772" i="1"/>
  <c r="H3771" i="1"/>
  <c r="F3771" i="1"/>
  <c r="D3771" i="1"/>
  <c r="C3771" i="1"/>
  <c r="H3770" i="1"/>
  <c r="F3770" i="1"/>
  <c r="D3770" i="1"/>
  <c r="C3770" i="1"/>
  <c r="H3769" i="1"/>
  <c r="F3769" i="1"/>
  <c r="D3769" i="1"/>
  <c r="C3769" i="1"/>
  <c r="H3768" i="1"/>
  <c r="F3768" i="1"/>
  <c r="D3768" i="1"/>
  <c r="C3768" i="1"/>
  <c r="H3767" i="1"/>
  <c r="F3767" i="1"/>
  <c r="D3767" i="1"/>
  <c r="C3767" i="1"/>
  <c r="H3766" i="1"/>
  <c r="F3766" i="1"/>
  <c r="D3766" i="1"/>
  <c r="C3766" i="1"/>
  <c r="H3765" i="1"/>
  <c r="F3765" i="1"/>
  <c r="D3765" i="1"/>
  <c r="C3765" i="1"/>
  <c r="H3764" i="1"/>
  <c r="F3764" i="1"/>
  <c r="D3764" i="1"/>
  <c r="C3764" i="1"/>
  <c r="H3763" i="1"/>
  <c r="F3763" i="1"/>
  <c r="D3763" i="1"/>
  <c r="C3763" i="1"/>
  <c r="H3762" i="1"/>
  <c r="F3762" i="1"/>
  <c r="D3762" i="1"/>
  <c r="C3762" i="1"/>
  <c r="H3761" i="1"/>
  <c r="F3761" i="1"/>
  <c r="D3761" i="1"/>
  <c r="C3761" i="1"/>
  <c r="H3760" i="1"/>
  <c r="F3760" i="1"/>
  <c r="D3760" i="1"/>
  <c r="C3760" i="1"/>
  <c r="H3759" i="1"/>
  <c r="F3759" i="1"/>
  <c r="D3759" i="1"/>
  <c r="C3759" i="1"/>
  <c r="H3758" i="1"/>
  <c r="F3758" i="1"/>
  <c r="D3758" i="1"/>
  <c r="C3758" i="1"/>
  <c r="H3757" i="1"/>
  <c r="F3757" i="1"/>
  <c r="D3757" i="1"/>
  <c r="C3757" i="1"/>
  <c r="H3756" i="1"/>
  <c r="F3756" i="1"/>
  <c r="D3756" i="1"/>
  <c r="C3756" i="1"/>
  <c r="H3755" i="1"/>
  <c r="F3755" i="1"/>
  <c r="D3755" i="1"/>
  <c r="C3755" i="1"/>
  <c r="H3754" i="1"/>
  <c r="F3754" i="1"/>
  <c r="D3754" i="1"/>
  <c r="C3754" i="1"/>
  <c r="H3753" i="1"/>
  <c r="F3753" i="1"/>
  <c r="D3753" i="1"/>
  <c r="C3753" i="1"/>
  <c r="H3752" i="1"/>
  <c r="F3752" i="1"/>
  <c r="D3752" i="1"/>
  <c r="C3752" i="1"/>
  <c r="H3751" i="1"/>
  <c r="F3751" i="1"/>
  <c r="D3751" i="1"/>
  <c r="C3751" i="1"/>
  <c r="H3750" i="1"/>
  <c r="F3750" i="1"/>
  <c r="D3750" i="1"/>
  <c r="C3750" i="1"/>
  <c r="H3749" i="1"/>
  <c r="F3749" i="1"/>
  <c r="D3749" i="1"/>
  <c r="C3749" i="1"/>
  <c r="H3748" i="1"/>
  <c r="F3748" i="1"/>
  <c r="D3748" i="1"/>
  <c r="C3748" i="1"/>
  <c r="H3747" i="1"/>
  <c r="F3747" i="1"/>
  <c r="D3747" i="1"/>
  <c r="C3747" i="1"/>
  <c r="H3746" i="1"/>
  <c r="F3746" i="1"/>
  <c r="D3746" i="1"/>
  <c r="C3746" i="1"/>
  <c r="H3745" i="1"/>
  <c r="F3745" i="1"/>
  <c r="D3745" i="1"/>
  <c r="C3745" i="1"/>
  <c r="H3744" i="1"/>
  <c r="F3744" i="1"/>
  <c r="D3744" i="1"/>
  <c r="C3744" i="1"/>
  <c r="H3743" i="1"/>
  <c r="F3743" i="1"/>
  <c r="D3743" i="1"/>
  <c r="C3743" i="1"/>
  <c r="H3742" i="1"/>
  <c r="F3742" i="1"/>
  <c r="D3742" i="1"/>
  <c r="C3742" i="1"/>
  <c r="H3741" i="1"/>
  <c r="F3741" i="1"/>
  <c r="D3741" i="1"/>
  <c r="C3741" i="1"/>
  <c r="H3740" i="1"/>
  <c r="F3740" i="1"/>
  <c r="D3740" i="1"/>
  <c r="C3740" i="1"/>
  <c r="H3739" i="1"/>
  <c r="F3739" i="1"/>
  <c r="D3739" i="1"/>
  <c r="C3739" i="1"/>
  <c r="H3738" i="1"/>
  <c r="F3738" i="1"/>
  <c r="D3738" i="1"/>
  <c r="C3738" i="1"/>
  <c r="H3737" i="1"/>
  <c r="F3737" i="1"/>
  <c r="D3737" i="1"/>
  <c r="C3737" i="1"/>
  <c r="H3736" i="1"/>
  <c r="F3736" i="1"/>
  <c r="D3736" i="1"/>
  <c r="C3736" i="1"/>
  <c r="H3735" i="1"/>
  <c r="F3735" i="1"/>
  <c r="D3735" i="1"/>
  <c r="C3735" i="1"/>
  <c r="H3734" i="1"/>
  <c r="F3734" i="1"/>
  <c r="D3734" i="1"/>
  <c r="C3734" i="1"/>
  <c r="H3733" i="1"/>
  <c r="F3733" i="1"/>
  <c r="D3733" i="1"/>
  <c r="C3733" i="1"/>
  <c r="H3732" i="1"/>
  <c r="F3732" i="1"/>
  <c r="D3732" i="1"/>
  <c r="C3732" i="1"/>
  <c r="H3731" i="1"/>
  <c r="F3731" i="1"/>
  <c r="D3731" i="1"/>
  <c r="C3731" i="1"/>
  <c r="H3730" i="1"/>
  <c r="F3730" i="1"/>
  <c r="D3730" i="1"/>
  <c r="C3730" i="1"/>
  <c r="H3729" i="1"/>
  <c r="F3729" i="1"/>
  <c r="D3729" i="1"/>
  <c r="C3729" i="1"/>
  <c r="H3728" i="1"/>
  <c r="F3728" i="1"/>
  <c r="D3728" i="1"/>
  <c r="C3728" i="1"/>
  <c r="H3727" i="1"/>
  <c r="F3727" i="1"/>
  <c r="D3727" i="1"/>
  <c r="C3727" i="1"/>
  <c r="H3726" i="1"/>
  <c r="F3726" i="1"/>
  <c r="D3726" i="1"/>
  <c r="C3726" i="1"/>
  <c r="H3725" i="1"/>
  <c r="F3725" i="1"/>
  <c r="D3725" i="1"/>
  <c r="C3725" i="1"/>
  <c r="H3724" i="1"/>
  <c r="F3724" i="1"/>
  <c r="D3724" i="1"/>
  <c r="C3724" i="1"/>
  <c r="H3723" i="1"/>
  <c r="F3723" i="1"/>
  <c r="D3723" i="1"/>
  <c r="C3723" i="1"/>
  <c r="H3722" i="1"/>
  <c r="F3722" i="1"/>
  <c r="D3722" i="1"/>
  <c r="C3722" i="1"/>
  <c r="H3721" i="1"/>
  <c r="F3721" i="1"/>
  <c r="D3721" i="1"/>
  <c r="C3721" i="1"/>
  <c r="H3720" i="1"/>
  <c r="F3720" i="1"/>
  <c r="D3720" i="1"/>
  <c r="C3720" i="1"/>
  <c r="H3719" i="1"/>
  <c r="F3719" i="1"/>
  <c r="D3719" i="1"/>
  <c r="C3719" i="1"/>
  <c r="H3718" i="1"/>
  <c r="F3718" i="1"/>
  <c r="D3718" i="1"/>
  <c r="C3718" i="1"/>
  <c r="H3717" i="1"/>
  <c r="F3717" i="1"/>
  <c r="D3717" i="1"/>
  <c r="C3717" i="1"/>
  <c r="H3716" i="1"/>
  <c r="F3716" i="1"/>
  <c r="D3716" i="1"/>
  <c r="C3716" i="1"/>
  <c r="H3715" i="1"/>
  <c r="F3715" i="1"/>
  <c r="D3715" i="1"/>
  <c r="C3715" i="1"/>
  <c r="H3714" i="1"/>
  <c r="F3714" i="1"/>
  <c r="D3714" i="1"/>
  <c r="C3714" i="1"/>
  <c r="H3713" i="1"/>
  <c r="F3713" i="1"/>
  <c r="D3713" i="1"/>
  <c r="C3713" i="1"/>
  <c r="H3712" i="1"/>
  <c r="F3712" i="1"/>
  <c r="D3712" i="1"/>
  <c r="C3712" i="1"/>
  <c r="H3711" i="1"/>
  <c r="F3711" i="1"/>
  <c r="D3711" i="1"/>
  <c r="C3711" i="1"/>
  <c r="H3710" i="1"/>
  <c r="F3710" i="1"/>
  <c r="D3710" i="1"/>
  <c r="C3710" i="1"/>
  <c r="H3709" i="1"/>
  <c r="F3709" i="1"/>
  <c r="D3709" i="1"/>
  <c r="C3709" i="1"/>
  <c r="H3708" i="1"/>
  <c r="F3708" i="1"/>
  <c r="D3708" i="1"/>
  <c r="C3708" i="1"/>
  <c r="H3707" i="1"/>
  <c r="F3707" i="1"/>
  <c r="D3707" i="1"/>
  <c r="C3707" i="1"/>
  <c r="H3706" i="1"/>
  <c r="F3706" i="1"/>
  <c r="D3706" i="1"/>
  <c r="C3706" i="1"/>
  <c r="H3705" i="1"/>
  <c r="F3705" i="1"/>
  <c r="D3705" i="1"/>
  <c r="C3705" i="1"/>
  <c r="H3704" i="1"/>
  <c r="F3704" i="1"/>
  <c r="D3704" i="1"/>
  <c r="C3704" i="1"/>
  <c r="H3703" i="1"/>
  <c r="F3703" i="1"/>
  <c r="D3703" i="1"/>
  <c r="C3703" i="1"/>
  <c r="H3702" i="1"/>
  <c r="F3702" i="1"/>
  <c r="D3702" i="1"/>
  <c r="C3702" i="1"/>
  <c r="H3701" i="1"/>
  <c r="F3701" i="1"/>
  <c r="D3701" i="1"/>
  <c r="C3701" i="1"/>
  <c r="H3700" i="1"/>
  <c r="F3700" i="1"/>
  <c r="D3700" i="1"/>
  <c r="C3700" i="1"/>
  <c r="H3699" i="1"/>
  <c r="F3699" i="1"/>
  <c r="D3699" i="1"/>
  <c r="C3699" i="1"/>
  <c r="H3698" i="1"/>
  <c r="F3698" i="1"/>
  <c r="D3698" i="1"/>
  <c r="C3698" i="1"/>
  <c r="H3697" i="1"/>
  <c r="F3697" i="1"/>
  <c r="D3697" i="1"/>
  <c r="C3697" i="1"/>
  <c r="H3696" i="1"/>
  <c r="F3696" i="1"/>
  <c r="D3696" i="1"/>
  <c r="C3696" i="1"/>
  <c r="H3695" i="1"/>
  <c r="F3695" i="1"/>
  <c r="D3695" i="1"/>
  <c r="C3695" i="1"/>
  <c r="H3694" i="1"/>
  <c r="F3694" i="1"/>
  <c r="D3694" i="1"/>
  <c r="C3694" i="1"/>
  <c r="H3693" i="1"/>
  <c r="F3693" i="1"/>
  <c r="D3693" i="1"/>
  <c r="C3693" i="1"/>
  <c r="H3692" i="1"/>
  <c r="F3692" i="1"/>
  <c r="D3692" i="1"/>
  <c r="C3692" i="1"/>
  <c r="H3691" i="1"/>
  <c r="F3691" i="1"/>
  <c r="D3691" i="1"/>
  <c r="C3691" i="1"/>
  <c r="H3690" i="1"/>
  <c r="F3690" i="1"/>
  <c r="D3690" i="1"/>
  <c r="C3690" i="1"/>
  <c r="H3689" i="1"/>
  <c r="F3689" i="1"/>
  <c r="D3689" i="1"/>
  <c r="C3689" i="1"/>
  <c r="H3688" i="1"/>
  <c r="F3688" i="1"/>
  <c r="D3688" i="1"/>
  <c r="C3688" i="1"/>
  <c r="H3687" i="1"/>
  <c r="F3687" i="1"/>
  <c r="D3687" i="1"/>
  <c r="C3687" i="1"/>
  <c r="H3686" i="1"/>
  <c r="F3686" i="1"/>
  <c r="D3686" i="1"/>
  <c r="C3686" i="1"/>
  <c r="H3685" i="1"/>
  <c r="F3685" i="1"/>
  <c r="D3685" i="1"/>
  <c r="C3685" i="1"/>
  <c r="H3684" i="1"/>
  <c r="F3684" i="1"/>
  <c r="D3684" i="1"/>
  <c r="C3684" i="1"/>
  <c r="H3683" i="1"/>
  <c r="F3683" i="1"/>
  <c r="D3683" i="1"/>
  <c r="C3683" i="1"/>
  <c r="H3682" i="1"/>
  <c r="F3682" i="1"/>
  <c r="D3682" i="1"/>
  <c r="C3682" i="1"/>
  <c r="H3681" i="1"/>
  <c r="F3681" i="1"/>
  <c r="D3681" i="1"/>
  <c r="C3681" i="1"/>
  <c r="H3680" i="1"/>
  <c r="F3680" i="1"/>
  <c r="D3680" i="1"/>
  <c r="C3680" i="1"/>
  <c r="H3679" i="1"/>
  <c r="F3679" i="1"/>
  <c r="D3679" i="1"/>
  <c r="C3679" i="1"/>
  <c r="H3678" i="1"/>
  <c r="F3678" i="1"/>
  <c r="D3678" i="1"/>
  <c r="C3678" i="1"/>
  <c r="H3677" i="1"/>
  <c r="F3677" i="1"/>
  <c r="D3677" i="1"/>
  <c r="C3677" i="1"/>
  <c r="H3676" i="1"/>
  <c r="F3676" i="1"/>
  <c r="D3676" i="1"/>
  <c r="C3676" i="1"/>
  <c r="H3675" i="1"/>
  <c r="F3675" i="1"/>
  <c r="D3675" i="1"/>
  <c r="C3675" i="1"/>
  <c r="H3674" i="1"/>
  <c r="F3674" i="1"/>
  <c r="D3674" i="1"/>
  <c r="C3674" i="1"/>
  <c r="H3673" i="1"/>
  <c r="F3673" i="1"/>
  <c r="D3673" i="1"/>
  <c r="C3673" i="1"/>
  <c r="H3672" i="1"/>
  <c r="F3672" i="1"/>
  <c r="D3672" i="1"/>
  <c r="C3672" i="1"/>
  <c r="H3671" i="1"/>
  <c r="F3671" i="1"/>
  <c r="D3671" i="1"/>
  <c r="C3671" i="1"/>
  <c r="H3670" i="1"/>
  <c r="F3670" i="1"/>
  <c r="D3670" i="1"/>
  <c r="C3670" i="1"/>
  <c r="H3669" i="1"/>
  <c r="F3669" i="1"/>
  <c r="D3669" i="1"/>
  <c r="C3669" i="1"/>
  <c r="H3668" i="1"/>
  <c r="F3668" i="1"/>
  <c r="D3668" i="1"/>
  <c r="C3668" i="1"/>
  <c r="H3667" i="1"/>
  <c r="F3667" i="1"/>
  <c r="D3667" i="1"/>
  <c r="C3667" i="1"/>
  <c r="H3666" i="1"/>
  <c r="F3666" i="1"/>
  <c r="D3666" i="1"/>
  <c r="C3666" i="1"/>
  <c r="H3665" i="1"/>
  <c r="F3665" i="1"/>
  <c r="D3665" i="1"/>
  <c r="C3665" i="1"/>
  <c r="H3664" i="1"/>
  <c r="F3664" i="1"/>
  <c r="D3664" i="1"/>
  <c r="C3664" i="1"/>
  <c r="H3663" i="1"/>
  <c r="F3663" i="1"/>
  <c r="D3663" i="1"/>
  <c r="C3663" i="1"/>
  <c r="H3662" i="1"/>
  <c r="F3662" i="1"/>
  <c r="D3662" i="1"/>
  <c r="C3662" i="1"/>
  <c r="H3661" i="1"/>
  <c r="F3661" i="1"/>
  <c r="D3661" i="1"/>
  <c r="C3661" i="1"/>
  <c r="H3660" i="1"/>
  <c r="F3660" i="1"/>
  <c r="D3660" i="1"/>
  <c r="C3660" i="1"/>
  <c r="H3659" i="1"/>
  <c r="F3659" i="1"/>
  <c r="D3659" i="1"/>
  <c r="C3659" i="1"/>
  <c r="H3658" i="1"/>
  <c r="F3658" i="1"/>
  <c r="D3658" i="1"/>
  <c r="C3658" i="1"/>
  <c r="H3657" i="1"/>
  <c r="F3657" i="1"/>
  <c r="D3657" i="1"/>
  <c r="C3657" i="1"/>
  <c r="H3656" i="1"/>
  <c r="F3656" i="1"/>
  <c r="D3656" i="1"/>
  <c r="C3656" i="1"/>
  <c r="H3655" i="1"/>
  <c r="F3655" i="1"/>
  <c r="D3655" i="1"/>
  <c r="C3655" i="1"/>
  <c r="H3654" i="1"/>
  <c r="F3654" i="1"/>
  <c r="D3654" i="1"/>
  <c r="C3654" i="1"/>
  <c r="H3653" i="1"/>
  <c r="F3653" i="1"/>
  <c r="D3653" i="1"/>
  <c r="C3653" i="1"/>
  <c r="H3652" i="1"/>
  <c r="F3652" i="1"/>
  <c r="D3652" i="1"/>
  <c r="C3652" i="1"/>
  <c r="H3651" i="1"/>
  <c r="F3651" i="1"/>
  <c r="D3651" i="1"/>
  <c r="C3651" i="1"/>
  <c r="H3650" i="1"/>
  <c r="F3650" i="1"/>
  <c r="D3650" i="1"/>
  <c r="C3650" i="1"/>
  <c r="H3649" i="1"/>
  <c r="F3649" i="1"/>
  <c r="D3649" i="1"/>
  <c r="C3649" i="1"/>
  <c r="H3648" i="1"/>
  <c r="F3648" i="1"/>
  <c r="D3648" i="1"/>
  <c r="C3648" i="1"/>
  <c r="H3647" i="1"/>
  <c r="F3647" i="1"/>
  <c r="D3647" i="1"/>
  <c r="C3647" i="1"/>
  <c r="H3646" i="1"/>
  <c r="F3646" i="1"/>
  <c r="D3646" i="1"/>
  <c r="C3646" i="1"/>
  <c r="H3645" i="1"/>
  <c r="F3645" i="1"/>
  <c r="D3645" i="1"/>
  <c r="C3645" i="1"/>
  <c r="H3644" i="1"/>
  <c r="F3644" i="1"/>
  <c r="D3644" i="1"/>
  <c r="C3644" i="1"/>
  <c r="H3643" i="1"/>
  <c r="F3643" i="1"/>
  <c r="D3643" i="1"/>
  <c r="C3643" i="1"/>
  <c r="H3642" i="1"/>
  <c r="F3642" i="1"/>
  <c r="D3642" i="1"/>
  <c r="C3642" i="1"/>
  <c r="H3641" i="1"/>
  <c r="F3641" i="1"/>
  <c r="D3641" i="1"/>
  <c r="C3641" i="1"/>
  <c r="H3640" i="1"/>
  <c r="F3640" i="1"/>
  <c r="D3640" i="1"/>
  <c r="C3640" i="1"/>
  <c r="H3639" i="1"/>
  <c r="F3639" i="1"/>
  <c r="D3639" i="1"/>
  <c r="C3639" i="1"/>
  <c r="H3638" i="1"/>
  <c r="F3638" i="1"/>
  <c r="D3638" i="1"/>
  <c r="C3638" i="1"/>
  <c r="H3637" i="1"/>
  <c r="F3637" i="1"/>
  <c r="D3637" i="1"/>
  <c r="C3637" i="1"/>
  <c r="H3636" i="1"/>
  <c r="F3636" i="1"/>
  <c r="D3636" i="1"/>
  <c r="C3636" i="1"/>
  <c r="H3635" i="1"/>
  <c r="F3635" i="1"/>
  <c r="D3635" i="1"/>
  <c r="C3635" i="1"/>
  <c r="H3634" i="1"/>
  <c r="F3634" i="1"/>
  <c r="D3634" i="1"/>
  <c r="C3634" i="1"/>
  <c r="H3633" i="1"/>
  <c r="F3633" i="1"/>
  <c r="D3633" i="1"/>
  <c r="C3633" i="1"/>
  <c r="H3632" i="1"/>
  <c r="F3632" i="1"/>
  <c r="D3632" i="1"/>
  <c r="C3632" i="1"/>
  <c r="H3631" i="1"/>
  <c r="F3631" i="1"/>
  <c r="D3631" i="1"/>
  <c r="C3631" i="1"/>
  <c r="H3630" i="1"/>
  <c r="F3630" i="1"/>
  <c r="D3630" i="1"/>
  <c r="C3630" i="1"/>
  <c r="H3629" i="1"/>
  <c r="F3629" i="1"/>
  <c r="D3629" i="1"/>
  <c r="C3629" i="1"/>
  <c r="H3628" i="1"/>
  <c r="F3628" i="1"/>
  <c r="D3628" i="1"/>
  <c r="C3628" i="1"/>
  <c r="H3627" i="1"/>
  <c r="F3627" i="1"/>
  <c r="D3627" i="1"/>
  <c r="C3627" i="1"/>
  <c r="H3626" i="1"/>
  <c r="F3626" i="1"/>
  <c r="D3626" i="1"/>
  <c r="C3626" i="1"/>
  <c r="H3625" i="1"/>
  <c r="F3625" i="1"/>
  <c r="D3625" i="1"/>
  <c r="C3625" i="1"/>
  <c r="H3624" i="1"/>
  <c r="F3624" i="1"/>
  <c r="D3624" i="1"/>
  <c r="C3624" i="1"/>
  <c r="H3623" i="1"/>
  <c r="F3623" i="1"/>
  <c r="D3623" i="1"/>
  <c r="C3623" i="1"/>
  <c r="H3622" i="1"/>
  <c r="F3622" i="1"/>
  <c r="D3622" i="1"/>
  <c r="C3622" i="1"/>
  <c r="H3621" i="1"/>
  <c r="F3621" i="1"/>
  <c r="D3621" i="1"/>
  <c r="C3621" i="1"/>
  <c r="H3620" i="1"/>
  <c r="F3620" i="1"/>
  <c r="D3620" i="1"/>
  <c r="C3620" i="1"/>
  <c r="H3619" i="1"/>
  <c r="F3619" i="1"/>
  <c r="D3619" i="1"/>
  <c r="C3619" i="1"/>
  <c r="H3618" i="1"/>
  <c r="F3618" i="1"/>
  <c r="D3618" i="1"/>
  <c r="C3618" i="1"/>
  <c r="H3617" i="1"/>
  <c r="F3617" i="1"/>
  <c r="D3617" i="1"/>
  <c r="C3617" i="1"/>
  <c r="H3616" i="1"/>
  <c r="F3616" i="1"/>
  <c r="D3616" i="1"/>
  <c r="C3616" i="1"/>
  <c r="H3615" i="1"/>
  <c r="F3615" i="1"/>
  <c r="D3615" i="1"/>
  <c r="C3615" i="1"/>
  <c r="H3614" i="1"/>
  <c r="F3614" i="1"/>
  <c r="D3614" i="1"/>
  <c r="C3614" i="1"/>
  <c r="H3613" i="1"/>
  <c r="F3613" i="1"/>
  <c r="D3613" i="1"/>
  <c r="C3613" i="1"/>
  <c r="H3612" i="1"/>
  <c r="F3612" i="1"/>
  <c r="D3612" i="1"/>
  <c r="C3612" i="1"/>
  <c r="H3611" i="1"/>
  <c r="F3611" i="1"/>
  <c r="D3611" i="1"/>
  <c r="C3611" i="1"/>
  <c r="H3610" i="1"/>
  <c r="F3610" i="1"/>
  <c r="D3610" i="1"/>
  <c r="C3610" i="1"/>
  <c r="H3609" i="1"/>
  <c r="F3609" i="1"/>
  <c r="D3609" i="1"/>
  <c r="C3609" i="1"/>
  <c r="H3608" i="1"/>
  <c r="F3608" i="1"/>
  <c r="D3608" i="1"/>
  <c r="C3608" i="1"/>
  <c r="H3607" i="1"/>
  <c r="F3607" i="1"/>
  <c r="D3607" i="1"/>
  <c r="C3607" i="1"/>
  <c r="H3606" i="1"/>
  <c r="F3606" i="1"/>
  <c r="D3606" i="1"/>
  <c r="C3606" i="1"/>
  <c r="H3605" i="1"/>
  <c r="F3605" i="1"/>
  <c r="D3605" i="1"/>
  <c r="C3605" i="1"/>
  <c r="H3604" i="1"/>
  <c r="F3604" i="1"/>
  <c r="D3604" i="1"/>
  <c r="C3604" i="1"/>
  <c r="H3603" i="1"/>
  <c r="F3603" i="1"/>
  <c r="D3603" i="1"/>
  <c r="C3603" i="1"/>
  <c r="H3602" i="1"/>
  <c r="F3602" i="1"/>
  <c r="D3602" i="1"/>
  <c r="C3602" i="1"/>
  <c r="H3601" i="1"/>
  <c r="F3601" i="1"/>
  <c r="D3601" i="1"/>
  <c r="C3601" i="1"/>
  <c r="H3600" i="1"/>
  <c r="F3600" i="1"/>
  <c r="D3600" i="1"/>
  <c r="C3600" i="1"/>
  <c r="H3599" i="1"/>
  <c r="F3599" i="1"/>
  <c r="D3599" i="1"/>
  <c r="C3599" i="1"/>
  <c r="H3598" i="1"/>
  <c r="F3598" i="1"/>
  <c r="D3598" i="1"/>
  <c r="C3598" i="1"/>
  <c r="H3597" i="1"/>
  <c r="F3597" i="1"/>
  <c r="D3597" i="1"/>
  <c r="C3597" i="1"/>
  <c r="H3596" i="1"/>
  <c r="F3596" i="1"/>
  <c r="D3596" i="1"/>
  <c r="C3596" i="1"/>
  <c r="H3595" i="1"/>
  <c r="F3595" i="1"/>
  <c r="D3595" i="1"/>
  <c r="C3595" i="1"/>
  <c r="H3594" i="1"/>
  <c r="F3594" i="1"/>
  <c r="D3594" i="1"/>
  <c r="C3594" i="1"/>
  <c r="H3593" i="1"/>
  <c r="F3593" i="1"/>
  <c r="D3593" i="1"/>
  <c r="C3593" i="1"/>
  <c r="H3592" i="1"/>
  <c r="F3592" i="1"/>
  <c r="D3592" i="1"/>
  <c r="C3592" i="1"/>
  <c r="H3591" i="1"/>
  <c r="F3591" i="1"/>
  <c r="D3591" i="1"/>
  <c r="C3591" i="1"/>
  <c r="H3590" i="1"/>
  <c r="F3590" i="1"/>
  <c r="D3590" i="1"/>
  <c r="C3590" i="1"/>
  <c r="H3589" i="1"/>
  <c r="F3589" i="1"/>
  <c r="D3589" i="1"/>
  <c r="C3589" i="1"/>
  <c r="H3588" i="1"/>
  <c r="F3588" i="1"/>
  <c r="D3588" i="1"/>
  <c r="C3588" i="1"/>
  <c r="H3587" i="1"/>
  <c r="F3587" i="1"/>
  <c r="D3587" i="1"/>
  <c r="C3587" i="1"/>
  <c r="H3586" i="1"/>
  <c r="F3586" i="1"/>
  <c r="D3586" i="1"/>
  <c r="C3586" i="1"/>
  <c r="H3585" i="1"/>
  <c r="F3585" i="1"/>
  <c r="D3585" i="1"/>
  <c r="C3585" i="1"/>
  <c r="H3584" i="1"/>
  <c r="F3584" i="1"/>
  <c r="D3584" i="1"/>
  <c r="C3584" i="1"/>
  <c r="H3583" i="1"/>
  <c r="F3583" i="1"/>
  <c r="D3583" i="1"/>
  <c r="C3583" i="1"/>
  <c r="H3582" i="1"/>
  <c r="F3582" i="1"/>
  <c r="D3582" i="1"/>
  <c r="C3582" i="1"/>
  <c r="H3581" i="1"/>
  <c r="F3581" i="1"/>
  <c r="D3581" i="1"/>
  <c r="C3581" i="1"/>
  <c r="H3580" i="1"/>
  <c r="F3580" i="1"/>
  <c r="D3580" i="1"/>
  <c r="C3580" i="1"/>
  <c r="H3579" i="1"/>
  <c r="F3579" i="1"/>
  <c r="D3579" i="1"/>
  <c r="C3579" i="1"/>
  <c r="H3578" i="1"/>
  <c r="F3578" i="1"/>
  <c r="D3578" i="1"/>
  <c r="C3578" i="1"/>
  <c r="H3577" i="1"/>
  <c r="F3577" i="1"/>
  <c r="D3577" i="1"/>
  <c r="C3577" i="1"/>
  <c r="H3576" i="1"/>
  <c r="F3576" i="1"/>
  <c r="D3576" i="1"/>
  <c r="C3576" i="1"/>
  <c r="H3575" i="1"/>
  <c r="F3575" i="1"/>
  <c r="D3575" i="1"/>
  <c r="C3575" i="1"/>
  <c r="H3574" i="1"/>
  <c r="F3574" i="1"/>
  <c r="D3574" i="1"/>
  <c r="C3574" i="1"/>
  <c r="H3573" i="1"/>
  <c r="F3573" i="1"/>
  <c r="D3573" i="1"/>
  <c r="C3573" i="1"/>
  <c r="H3572" i="1"/>
  <c r="F3572" i="1"/>
  <c r="D3572" i="1"/>
  <c r="C3572" i="1"/>
  <c r="H3571" i="1"/>
  <c r="F3571" i="1"/>
  <c r="D3571" i="1"/>
  <c r="C3571" i="1"/>
  <c r="H3570" i="1"/>
  <c r="F3570" i="1"/>
  <c r="D3570" i="1"/>
  <c r="C3570" i="1"/>
  <c r="H3569" i="1"/>
  <c r="F3569" i="1"/>
  <c r="D3569" i="1"/>
  <c r="C3569" i="1"/>
  <c r="H3568" i="1"/>
  <c r="F3568" i="1"/>
  <c r="D3568" i="1"/>
  <c r="C3568" i="1"/>
  <c r="H3567" i="1"/>
  <c r="F3567" i="1"/>
  <c r="D3567" i="1"/>
  <c r="C3567" i="1"/>
  <c r="H3566" i="1"/>
  <c r="F3566" i="1"/>
  <c r="D3566" i="1"/>
  <c r="C3566" i="1"/>
  <c r="H3565" i="1"/>
  <c r="F3565" i="1"/>
  <c r="D3565" i="1"/>
  <c r="C3565" i="1"/>
  <c r="H3564" i="1"/>
  <c r="F3564" i="1"/>
  <c r="D3564" i="1"/>
  <c r="C3564" i="1"/>
  <c r="H3563" i="1"/>
  <c r="F3563" i="1"/>
  <c r="D3563" i="1"/>
  <c r="C3563" i="1"/>
  <c r="H3562" i="1"/>
  <c r="F3562" i="1"/>
  <c r="D3562" i="1"/>
  <c r="C3562" i="1"/>
  <c r="H3561" i="1"/>
  <c r="F3561" i="1"/>
  <c r="D3561" i="1"/>
  <c r="C3561" i="1"/>
  <c r="H3560" i="1"/>
  <c r="F3560" i="1"/>
  <c r="D3560" i="1"/>
  <c r="C3560" i="1"/>
  <c r="H3559" i="1"/>
  <c r="F3559" i="1"/>
  <c r="D3559" i="1"/>
  <c r="C3559" i="1"/>
  <c r="H3558" i="1"/>
  <c r="F3558" i="1"/>
  <c r="D3558" i="1"/>
  <c r="C3558" i="1"/>
  <c r="H3557" i="1"/>
  <c r="F3557" i="1"/>
  <c r="D3557" i="1"/>
  <c r="C3557" i="1"/>
  <c r="H3556" i="1"/>
  <c r="F3556" i="1"/>
  <c r="D3556" i="1"/>
  <c r="C3556" i="1"/>
  <c r="H3555" i="1"/>
  <c r="F3555" i="1"/>
  <c r="D3555" i="1"/>
  <c r="C3555" i="1"/>
  <c r="H3554" i="1"/>
  <c r="F3554" i="1"/>
  <c r="D3554" i="1"/>
  <c r="C3554" i="1"/>
  <c r="H3553" i="1"/>
  <c r="F3553" i="1"/>
  <c r="D3553" i="1"/>
  <c r="C3553" i="1"/>
  <c r="H3552" i="1"/>
  <c r="F3552" i="1"/>
  <c r="D3552" i="1"/>
  <c r="C3552" i="1"/>
  <c r="H3551" i="1"/>
  <c r="F3551" i="1"/>
  <c r="D3551" i="1"/>
  <c r="C3551" i="1"/>
  <c r="H3550" i="1"/>
  <c r="F3550" i="1"/>
  <c r="D3550" i="1"/>
  <c r="C3550" i="1"/>
  <c r="H3549" i="1"/>
  <c r="F3549" i="1"/>
  <c r="D3549" i="1"/>
  <c r="C3549" i="1"/>
  <c r="H3548" i="1"/>
  <c r="F3548" i="1"/>
  <c r="D3548" i="1"/>
  <c r="C3548" i="1"/>
  <c r="H3547" i="1"/>
  <c r="F3547" i="1"/>
  <c r="D3547" i="1"/>
  <c r="C3547" i="1"/>
  <c r="H3546" i="1"/>
  <c r="F3546" i="1"/>
  <c r="D3546" i="1"/>
  <c r="C3546" i="1"/>
  <c r="H3545" i="1"/>
  <c r="F3545" i="1"/>
  <c r="D3545" i="1"/>
  <c r="C3545" i="1"/>
  <c r="H3544" i="1"/>
  <c r="F3544" i="1"/>
  <c r="D3544" i="1"/>
  <c r="C3544" i="1"/>
  <c r="H3543" i="1"/>
  <c r="F3543" i="1"/>
  <c r="D3543" i="1"/>
  <c r="C3543" i="1"/>
  <c r="H3542" i="1"/>
  <c r="F3542" i="1"/>
  <c r="D3542" i="1"/>
  <c r="C3542" i="1"/>
  <c r="H3541" i="1"/>
  <c r="F3541" i="1"/>
  <c r="D3541" i="1"/>
  <c r="C3541" i="1"/>
  <c r="H3540" i="1"/>
  <c r="F3540" i="1"/>
  <c r="D3540" i="1"/>
  <c r="C3540" i="1"/>
  <c r="H3539" i="1"/>
  <c r="F3539" i="1"/>
  <c r="D3539" i="1"/>
  <c r="C3539" i="1"/>
  <c r="H3538" i="1"/>
  <c r="F3538" i="1"/>
  <c r="D3538" i="1"/>
  <c r="C3538" i="1"/>
  <c r="H3537" i="1"/>
  <c r="F3537" i="1"/>
  <c r="D3537" i="1"/>
  <c r="C3537" i="1"/>
  <c r="H3536" i="1"/>
  <c r="F3536" i="1"/>
  <c r="D3536" i="1"/>
  <c r="C3536" i="1"/>
  <c r="H3535" i="1"/>
  <c r="F3535" i="1"/>
  <c r="D3535" i="1"/>
  <c r="C3535" i="1"/>
  <c r="H3534" i="1"/>
  <c r="F3534" i="1"/>
  <c r="D3534" i="1"/>
  <c r="C3534" i="1"/>
  <c r="H3533" i="1"/>
  <c r="F3533" i="1"/>
  <c r="D3533" i="1"/>
  <c r="C3533" i="1"/>
  <c r="H3532" i="1"/>
  <c r="F3532" i="1"/>
  <c r="D3532" i="1"/>
  <c r="C3532" i="1"/>
  <c r="H3531" i="1"/>
  <c r="F3531" i="1"/>
  <c r="D3531" i="1"/>
  <c r="C3531" i="1"/>
  <c r="H3530" i="1"/>
  <c r="F3530" i="1"/>
  <c r="D3530" i="1"/>
  <c r="C3530" i="1"/>
  <c r="H3529" i="1"/>
  <c r="F3529" i="1"/>
  <c r="D3529" i="1"/>
  <c r="C3529" i="1"/>
  <c r="H3528" i="1"/>
  <c r="F3528" i="1"/>
  <c r="D3528" i="1"/>
  <c r="C3528" i="1"/>
  <c r="H3527" i="1"/>
  <c r="F3527" i="1"/>
  <c r="D3527" i="1"/>
  <c r="C3527" i="1"/>
  <c r="H3526" i="1"/>
  <c r="F3526" i="1"/>
  <c r="D3526" i="1"/>
  <c r="C3526" i="1"/>
  <c r="H3525" i="1"/>
  <c r="F3525" i="1"/>
  <c r="D3525" i="1"/>
  <c r="C3525" i="1"/>
  <c r="H3524" i="1"/>
  <c r="F3524" i="1"/>
  <c r="D3524" i="1"/>
  <c r="C3524" i="1"/>
  <c r="H3523" i="1"/>
  <c r="F3523" i="1"/>
  <c r="D3523" i="1"/>
  <c r="C3523" i="1"/>
  <c r="H3522" i="1"/>
  <c r="F3522" i="1"/>
  <c r="D3522" i="1"/>
  <c r="C3522" i="1"/>
  <c r="H3521" i="1"/>
  <c r="F3521" i="1"/>
  <c r="D3521" i="1"/>
  <c r="C3521" i="1"/>
  <c r="H3520" i="1"/>
  <c r="F3520" i="1"/>
  <c r="D3520" i="1"/>
  <c r="C3520" i="1"/>
  <c r="H3519" i="1"/>
  <c r="F3519" i="1"/>
  <c r="D3519" i="1"/>
  <c r="C3519" i="1"/>
  <c r="H3518" i="1"/>
  <c r="F3518" i="1"/>
  <c r="D3518" i="1"/>
  <c r="C3518" i="1"/>
  <c r="H3517" i="1"/>
  <c r="F3517" i="1"/>
  <c r="D3517" i="1"/>
  <c r="C3517" i="1"/>
  <c r="H3516" i="1"/>
  <c r="F3516" i="1"/>
  <c r="D3516" i="1"/>
  <c r="C3516" i="1"/>
  <c r="H3515" i="1"/>
  <c r="F3515" i="1"/>
  <c r="D3515" i="1"/>
  <c r="C3515" i="1"/>
  <c r="H3514" i="1"/>
  <c r="F3514" i="1"/>
  <c r="D3514" i="1"/>
  <c r="C3514" i="1"/>
  <c r="H3513" i="1"/>
  <c r="F3513" i="1"/>
  <c r="D3513" i="1"/>
  <c r="C3513" i="1"/>
  <c r="H3512" i="1"/>
  <c r="F3512" i="1"/>
  <c r="D3512" i="1"/>
  <c r="C3512" i="1"/>
  <c r="H3511" i="1"/>
  <c r="F3511" i="1"/>
  <c r="D3511" i="1"/>
  <c r="C3511" i="1"/>
  <c r="H3510" i="1"/>
  <c r="F3510" i="1"/>
  <c r="D3510" i="1"/>
  <c r="C3510" i="1"/>
  <c r="H3509" i="1"/>
  <c r="F3509" i="1"/>
  <c r="D3509" i="1"/>
  <c r="C3509" i="1"/>
  <c r="H3508" i="1"/>
  <c r="F3508" i="1"/>
  <c r="D3508" i="1"/>
  <c r="C3508" i="1"/>
  <c r="H3507" i="1"/>
  <c r="F3507" i="1"/>
  <c r="D3507" i="1"/>
  <c r="C3507" i="1"/>
  <c r="H3506" i="1"/>
  <c r="F3506" i="1"/>
  <c r="D3506" i="1"/>
  <c r="C3506" i="1"/>
  <c r="H3505" i="1"/>
  <c r="F3505" i="1"/>
  <c r="D3505" i="1"/>
  <c r="C3505" i="1"/>
  <c r="H3504" i="1"/>
  <c r="F3504" i="1"/>
  <c r="D3504" i="1"/>
  <c r="C3504" i="1"/>
  <c r="H3503" i="1"/>
  <c r="F3503" i="1"/>
  <c r="D3503" i="1"/>
  <c r="C3503" i="1"/>
  <c r="H3502" i="1"/>
  <c r="F3502" i="1"/>
  <c r="D3502" i="1"/>
  <c r="C3502" i="1"/>
  <c r="H3501" i="1"/>
  <c r="F3501" i="1"/>
  <c r="D3501" i="1"/>
  <c r="C3501" i="1"/>
  <c r="H3500" i="1"/>
  <c r="F3500" i="1"/>
  <c r="D3500" i="1"/>
  <c r="C3500" i="1"/>
  <c r="H3499" i="1"/>
  <c r="F3499" i="1"/>
  <c r="D3499" i="1"/>
  <c r="C3499" i="1"/>
  <c r="H3498" i="1"/>
  <c r="F3498" i="1"/>
  <c r="D3498" i="1"/>
  <c r="C3498" i="1"/>
  <c r="H3497" i="1"/>
  <c r="F3497" i="1"/>
  <c r="D3497" i="1"/>
  <c r="C3497" i="1"/>
  <c r="H3496" i="1"/>
  <c r="F3496" i="1"/>
  <c r="D3496" i="1"/>
  <c r="C3496" i="1"/>
  <c r="H3495" i="1"/>
  <c r="F3495" i="1"/>
  <c r="D3495" i="1"/>
  <c r="C3495" i="1"/>
  <c r="H3494" i="1"/>
  <c r="F3494" i="1"/>
  <c r="D3494" i="1"/>
  <c r="C3494" i="1"/>
  <c r="H3493" i="1"/>
  <c r="F3493" i="1"/>
  <c r="D3493" i="1"/>
  <c r="C3493" i="1"/>
  <c r="H3492" i="1"/>
  <c r="F3492" i="1"/>
  <c r="D3492" i="1"/>
  <c r="C3492" i="1"/>
  <c r="H3491" i="1"/>
  <c r="F3491" i="1"/>
  <c r="D3491" i="1"/>
  <c r="C3491" i="1"/>
  <c r="H3490" i="1"/>
  <c r="F3490" i="1"/>
  <c r="D3490" i="1"/>
  <c r="C3490" i="1"/>
  <c r="H3489" i="1"/>
  <c r="F3489" i="1"/>
  <c r="D3489" i="1"/>
  <c r="C3489" i="1"/>
  <c r="H3488" i="1"/>
  <c r="F3488" i="1"/>
  <c r="D3488" i="1"/>
  <c r="C3488" i="1"/>
  <c r="H3487" i="1"/>
  <c r="F3487" i="1"/>
  <c r="D3487" i="1"/>
  <c r="C3487" i="1"/>
  <c r="H3486" i="1"/>
  <c r="F3486" i="1"/>
  <c r="D3486" i="1"/>
  <c r="C3486" i="1"/>
  <c r="H3485" i="1"/>
  <c r="F3485" i="1"/>
  <c r="D3485" i="1"/>
  <c r="C3485" i="1"/>
  <c r="H3484" i="1"/>
  <c r="F3484" i="1"/>
  <c r="D3484" i="1"/>
  <c r="C3484" i="1"/>
  <c r="H3483" i="1"/>
  <c r="F3483" i="1"/>
  <c r="D3483" i="1"/>
  <c r="C3483" i="1"/>
  <c r="H3482" i="1"/>
  <c r="F3482" i="1"/>
  <c r="D3482" i="1"/>
  <c r="C3482" i="1"/>
  <c r="H3481" i="1"/>
  <c r="F3481" i="1"/>
  <c r="D3481" i="1"/>
  <c r="C3481" i="1"/>
  <c r="H3480" i="1"/>
  <c r="F3480" i="1"/>
  <c r="D3480" i="1"/>
  <c r="C3480" i="1"/>
  <c r="H3479" i="1"/>
  <c r="F3479" i="1"/>
  <c r="D3479" i="1"/>
  <c r="C3479" i="1"/>
  <c r="H3478" i="1"/>
  <c r="F3478" i="1"/>
  <c r="D3478" i="1"/>
  <c r="C3478" i="1"/>
  <c r="H3477" i="1"/>
  <c r="F3477" i="1"/>
  <c r="D3477" i="1"/>
  <c r="C3477" i="1"/>
  <c r="H3476" i="1"/>
  <c r="F3476" i="1"/>
  <c r="D3476" i="1"/>
  <c r="C3476" i="1"/>
  <c r="H3475" i="1"/>
  <c r="F3475" i="1"/>
  <c r="D3475" i="1"/>
  <c r="C3475" i="1"/>
  <c r="H3474" i="1"/>
  <c r="F3474" i="1"/>
  <c r="D3474" i="1"/>
  <c r="C3474" i="1"/>
  <c r="H3473" i="1"/>
  <c r="F3473" i="1"/>
  <c r="D3473" i="1"/>
  <c r="C3473" i="1"/>
  <c r="H3472" i="1"/>
  <c r="F3472" i="1"/>
  <c r="D3472" i="1"/>
  <c r="C3472" i="1"/>
  <c r="H3471" i="1"/>
  <c r="F3471" i="1"/>
  <c r="D3471" i="1"/>
  <c r="C3471" i="1"/>
  <c r="H3470" i="1"/>
  <c r="F3470" i="1"/>
  <c r="D3470" i="1"/>
  <c r="C3470" i="1"/>
  <c r="H3469" i="1"/>
  <c r="F3469" i="1"/>
  <c r="D3469" i="1"/>
  <c r="C3469" i="1"/>
  <c r="H3468" i="1"/>
  <c r="F3468" i="1"/>
  <c r="D3468" i="1"/>
  <c r="C3468" i="1"/>
  <c r="H3467" i="1"/>
  <c r="F3467" i="1"/>
  <c r="D3467" i="1"/>
  <c r="C3467" i="1"/>
  <c r="H3466" i="1"/>
  <c r="F3466" i="1"/>
  <c r="D3466" i="1"/>
  <c r="C3466" i="1"/>
  <c r="H3465" i="1"/>
  <c r="F3465" i="1"/>
  <c r="D3465" i="1"/>
  <c r="C3465" i="1"/>
  <c r="H3464" i="1"/>
  <c r="F3464" i="1"/>
  <c r="D3464" i="1"/>
  <c r="C3464" i="1"/>
  <c r="H3463" i="1"/>
  <c r="F3463" i="1"/>
  <c r="D3463" i="1"/>
  <c r="C3463" i="1"/>
  <c r="H3462" i="1"/>
  <c r="F3462" i="1"/>
  <c r="D3462" i="1"/>
  <c r="C3462" i="1"/>
  <c r="H3461" i="1"/>
  <c r="F3461" i="1"/>
  <c r="D3461" i="1"/>
  <c r="C3461" i="1"/>
  <c r="H3460" i="1"/>
  <c r="F3460" i="1"/>
  <c r="D3460" i="1"/>
  <c r="C3460" i="1"/>
  <c r="H3459" i="1"/>
  <c r="F3459" i="1"/>
  <c r="D3459" i="1"/>
  <c r="C3459" i="1"/>
  <c r="H3458" i="1"/>
  <c r="F3458" i="1"/>
  <c r="D3458" i="1"/>
  <c r="C3458" i="1"/>
  <c r="H3457" i="1"/>
  <c r="F3457" i="1"/>
  <c r="D3457" i="1"/>
  <c r="C3457" i="1"/>
  <c r="H3456" i="1"/>
  <c r="F3456" i="1"/>
  <c r="D3456" i="1"/>
  <c r="C3456" i="1"/>
  <c r="H3455" i="1"/>
  <c r="F3455" i="1"/>
  <c r="D3455" i="1"/>
  <c r="C3455" i="1"/>
  <c r="H3454" i="1"/>
  <c r="F3454" i="1"/>
  <c r="D3454" i="1"/>
  <c r="C3454" i="1"/>
  <c r="H3453" i="1"/>
  <c r="F3453" i="1"/>
  <c r="D3453" i="1"/>
  <c r="C3453" i="1"/>
  <c r="H3452" i="1"/>
  <c r="F3452" i="1"/>
  <c r="D3452" i="1"/>
  <c r="C3452" i="1"/>
  <c r="H3451" i="1"/>
  <c r="F3451" i="1"/>
  <c r="D3451" i="1"/>
  <c r="C3451" i="1"/>
  <c r="H3450" i="1"/>
  <c r="F3450" i="1"/>
  <c r="D3450" i="1"/>
  <c r="C3450" i="1"/>
  <c r="H3449" i="1"/>
  <c r="F3449" i="1"/>
  <c r="D3449" i="1"/>
  <c r="C3449" i="1"/>
  <c r="H3448" i="1"/>
  <c r="F3448" i="1"/>
  <c r="D3448" i="1"/>
  <c r="C3448" i="1"/>
  <c r="H3447" i="1"/>
  <c r="F3447" i="1"/>
  <c r="D3447" i="1"/>
  <c r="C3447" i="1"/>
  <c r="H3446" i="1"/>
  <c r="F3446" i="1"/>
  <c r="D3446" i="1"/>
  <c r="C3446" i="1"/>
  <c r="H3445" i="1"/>
  <c r="F3445" i="1"/>
  <c r="D3445" i="1"/>
  <c r="C3445" i="1"/>
  <c r="H3444" i="1"/>
  <c r="F3444" i="1"/>
  <c r="D3444" i="1"/>
  <c r="C3444" i="1"/>
  <c r="H3443" i="1"/>
  <c r="F3443" i="1"/>
  <c r="D3443" i="1"/>
  <c r="C3443" i="1"/>
  <c r="H3442" i="1"/>
  <c r="F3442" i="1"/>
  <c r="D3442" i="1"/>
  <c r="C3442" i="1"/>
  <c r="H3441" i="1"/>
  <c r="F3441" i="1"/>
  <c r="D3441" i="1"/>
  <c r="C3441" i="1"/>
  <c r="H3440" i="1"/>
  <c r="F3440" i="1"/>
  <c r="D3440" i="1"/>
  <c r="C3440" i="1"/>
  <c r="H3439" i="1"/>
  <c r="F3439" i="1"/>
  <c r="D3439" i="1"/>
  <c r="C3439" i="1"/>
  <c r="H3438" i="1"/>
  <c r="F3438" i="1"/>
  <c r="D3438" i="1"/>
  <c r="C3438" i="1"/>
  <c r="H3437" i="1"/>
  <c r="F3437" i="1"/>
  <c r="D3437" i="1"/>
  <c r="C3437" i="1"/>
  <c r="H3436" i="1"/>
  <c r="F3436" i="1"/>
  <c r="D3436" i="1"/>
  <c r="C3436" i="1"/>
  <c r="H3435" i="1"/>
  <c r="F3435" i="1"/>
  <c r="D3435" i="1"/>
  <c r="C3435" i="1"/>
  <c r="H3434" i="1"/>
  <c r="F3434" i="1"/>
  <c r="D3434" i="1"/>
  <c r="C3434" i="1"/>
  <c r="H3433" i="1"/>
  <c r="F3433" i="1"/>
  <c r="D3433" i="1"/>
  <c r="C3433" i="1"/>
  <c r="H3432" i="1"/>
  <c r="F3432" i="1"/>
  <c r="D3432" i="1"/>
  <c r="C3432" i="1"/>
  <c r="H3431" i="1"/>
  <c r="F3431" i="1"/>
  <c r="D3431" i="1"/>
  <c r="C3431" i="1"/>
  <c r="H3430" i="1"/>
  <c r="F3430" i="1"/>
  <c r="D3430" i="1"/>
  <c r="C3430" i="1"/>
  <c r="H3429" i="1"/>
  <c r="F3429" i="1"/>
  <c r="D3429" i="1"/>
  <c r="C3429" i="1"/>
  <c r="H3428" i="1"/>
  <c r="F3428" i="1"/>
  <c r="D3428" i="1"/>
  <c r="C3428" i="1"/>
  <c r="H3427" i="1"/>
  <c r="F3427" i="1"/>
  <c r="D3427" i="1"/>
  <c r="C3427" i="1"/>
  <c r="H3426" i="1"/>
  <c r="F3426" i="1"/>
  <c r="D3426" i="1"/>
  <c r="C3426" i="1"/>
  <c r="H3425" i="1"/>
  <c r="F3425" i="1"/>
  <c r="D3425" i="1"/>
  <c r="C3425" i="1"/>
  <c r="H3424" i="1"/>
  <c r="F3424" i="1"/>
  <c r="D3424" i="1"/>
  <c r="C3424" i="1"/>
  <c r="H3423" i="1"/>
  <c r="F3423" i="1"/>
  <c r="D3423" i="1"/>
  <c r="C3423" i="1"/>
  <c r="H3422" i="1"/>
  <c r="F3422" i="1"/>
  <c r="D3422" i="1"/>
  <c r="C3422" i="1"/>
  <c r="H3421" i="1"/>
  <c r="F3421" i="1"/>
  <c r="D3421" i="1"/>
  <c r="C3421" i="1"/>
  <c r="H3420" i="1"/>
  <c r="F3420" i="1"/>
  <c r="D3420" i="1"/>
  <c r="C3420" i="1"/>
  <c r="H3419" i="1"/>
  <c r="F3419" i="1"/>
  <c r="D3419" i="1"/>
  <c r="C3419" i="1"/>
  <c r="H3418" i="1"/>
  <c r="F3418" i="1"/>
  <c r="D3418" i="1"/>
  <c r="C3418" i="1"/>
  <c r="H3417" i="1"/>
  <c r="F3417" i="1"/>
  <c r="D3417" i="1"/>
  <c r="C3417" i="1"/>
  <c r="H3416" i="1"/>
  <c r="F3416" i="1"/>
  <c r="D3416" i="1"/>
  <c r="C3416" i="1"/>
  <c r="H3415" i="1"/>
  <c r="F3415" i="1"/>
  <c r="D3415" i="1"/>
  <c r="C3415" i="1"/>
  <c r="H3414" i="1"/>
  <c r="F3414" i="1"/>
  <c r="D3414" i="1"/>
  <c r="C3414" i="1"/>
  <c r="H3413" i="1"/>
  <c r="F3413" i="1"/>
  <c r="D3413" i="1"/>
  <c r="C3413" i="1"/>
  <c r="H3412" i="1"/>
  <c r="F3412" i="1"/>
  <c r="D3412" i="1"/>
  <c r="C3412" i="1"/>
  <c r="H3411" i="1"/>
  <c r="F3411" i="1"/>
  <c r="D3411" i="1"/>
  <c r="C3411" i="1"/>
  <c r="H3410" i="1"/>
  <c r="F3410" i="1"/>
  <c r="D3410" i="1"/>
  <c r="C3410" i="1"/>
  <c r="H3409" i="1"/>
  <c r="F3409" i="1"/>
  <c r="D3409" i="1"/>
  <c r="C3409" i="1"/>
  <c r="H3408" i="1"/>
  <c r="F3408" i="1"/>
  <c r="D3408" i="1"/>
  <c r="C3408" i="1"/>
  <c r="H3407" i="1"/>
  <c r="F3407" i="1"/>
  <c r="D3407" i="1"/>
  <c r="C3407" i="1"/>
  <c r="H3406" i="1"/>
  <c r="F3406" i="1"/>
  <c r="D3406" i="1"/>
  <c r="C3406" i="1"/>
  <c r="H3405" i="1"/>
  <c r="F3405" i="1"/>
  <c r="D3405" i="1"/>
  <c r="C3405" i="1"/>
  <c r="H3404" i="1"/>
  <c r="F3404" i="1"/>
  <c r="D3404" i="1"/>
  <c r="C3404" i="1"/>
  <c r="H3403" i="1"/>
  <c r="F3403" i="1"/>
  <c r="D3403" i="1"/>
  <c r="C3403" i="1"/>
  <c r="H3402" i="1"/>
  <c r="F3402" i="1"/>
  <c r="D3402" i="1"/>
  <c r="C3402" i="1"/>
  <c r="H3401" i="1"/>
  <c r="F3401" i="1"/>
  <c r="D3401" i="1"/>
  <c r="C3401" i="1"/>
  <c r="H3400" i="1"/>
  <c r="F3400" i="1"/>
  <c r="D3400" i="1"/>
  <c r="C3400" i="1"/>
  <c r="H3399" i="1"/>
  <c r="F3399" i="1"/>
  <c r="D3399" i="1"/>
  <c r="C3399" i="1"/>
  <c r="H3398" i="1"/>
  <c r="F3398" i="1"/>
  <c r="D3398" i="1"/>
  <c r="C3398" i="1"/>
  <c r="H3397" i="1"/>
  <c r="F3397" i="1"/>
  <c r="D3397" i="1"/>
  <c r="C3397" i="1"/>
  <c r="H3396" i="1"/>
  <c r="F3396" i="1"/>
  <c r="D3396" i="1"/>
  <c r="C3396" i="1"/>
  <c r="H3395" i="1"/>
  <c r="F3395" i="1"/>
  <c r="D3395" i="1"/>
  <c r="C3395" i="1"/>
  <c r="H3394" i="1"/>
  <c r="F3394" i="1"/>
  <c r="D3394" i="1"/>
  <c r="C3394" i="1"/>
  <c r="H3393" i="1"/>
  <c r="F3393" i="1"/>
  <c r="D3393" i="1"/>
  <c r="C3393" i="1"/>
  <c r="H3392" i="1"/>
  <c r="F3392" i="1"/>
  <c r="D3392" i="1"/>
  <c r="C3392" i="1"/>
  <c r="H3391" i="1"/>
  <c r="F3391" i="1"/>
  <c r="D3391" i="1"/>
  <c r="C3391" i="1"/>
  <c r="H3390" i="1"/>
  <c r="F3390" i="1"/>
  <c r="D3390" i="1"/>
  <c r="C3390" i="1"/>
  <c r="H3389" i="1"/>
  <c r="F3389" i="1"/>
  <c r="D3389" i="1"/>
  <c r="C3389" i="1"/>
  <c r="H3388" i="1"/>
  <c r="F3388" i="1"/>
  <c r="D3388" i="1"/>
  <c r="C3388" i="1"/>
  <c r="H3387" i="1"/>
  <c r="F3387" i="1"/>
  <c r="D3387" i="1"/>
  <c r="C3387" i="1"/>
  <c r="H3386" i="1"/>
  <c r="F3386" i="1"/>
  <c r="D3386" i="1"/>
  <c r="C3386" i="1"/>
  <c r="H3385" i="1"/>
  <c r="F3385" i="1"/>
  <c r="D3385" i="1"/>
  <c r="C3385" i="1"/>
  <c r="H3384" i="1"/>
  <c r="F3384" i="1"/>
  <c r="D3384" i="1"/>
  <c r="C3384" i="1"/>
  <c r="H3383" i="1"/>
  <c r="F3383" i="1"/>
  <c r="D3383" i="1"/>
  <c r="C3383" i="1"/>
  <c r="H3382" i="1"/>
  <c r="F3382" i="1"/>
  <c r="D3382" i="1"/>
  <c r="C3382" i="1"/>
  <c r="H3381" i="1"/>
  <c r="F3381" i="1"/>
  <c r="D3381" i="1"/>
  <c r="C3381" i="1"/>
  <c r="H3380" i="1"/>
  <c r="F3380" i="1"/>
  <c r="D3380" i="1"/>
  <c r="C3380" i="1"/>
  <c r="H3379" i="1"/>
  <c r="F3379" i="1"/>
  <c r="D3379" i="1"/>
  <c r="C3379" i="1"/>
  <c r="H3378" i="1"/>
  <c r="F3378" i="1"/>
  <c r="D3378" i="1"/>
  <c r="C3378" i="1"/>
  <c r="H3377" i="1"/>
  <c r="F3377" i="1"/>
  <c r="D3377" i="1"/>
  <c r="C3377" i="1"/>
  <c r="H3376" i="1"/>
  <c r="F3376" i="1"/>
  <c r="D3376" i="1"/>
  <c r="C3376" i="1"/>
  <c r="H3375" i="1"/>
  <c r="F3375" i="1"/>
  <c r="D3375" i="1"/>
  <c r="C3375" i="1"/>
  <c r="H3374" i="1"/>
  <c r="F3374" i="1"/>
  <c r="D3374" i="1"/>
  <c r="C3374" i="1"/>
  <c r="H3373" i="1"/>
  <c r="F3373" i="1"/>
  <c r="D3373" i="1"/>
  <c r="C3373" i="1"/>
  <c r="H3372" i="1"/>
  <c r="F3372" i="1"/>
  <c r="D3372" i="1"/>
  <c r="C3372" i="1"/>
  <c r="H3371" i="1"/>
  <c r="F3371" i="1"/>
  <c r="D3371" i="1"/>
  <c r="C3371" i="1"/>
  <c r="H3370" i="1"/>
  <c r="F3370" i="1"/>
  <c r="D3370" i="1"/>
  <c r="C3370" i="1"/>
  <c r="H3369" i="1"/>
  <c r="F3369" i="1"/>
  <c r="D3369" i="1"/>
  <c r="C3369" i="1"/>
  <c r="H3368" i="1"/>
  <c r="F3368" i="1"/>
  <c r="D3368" i="1"/>
  <c r="C3368" i="1"/>
  <c r="H3367" i="1"/>
  <c r="F3367" i="1"/>
  <c r="D3367" i="1"/>
  <c r="C3367" i="1"/>
  <c r="H3366" i="1"/>
  <c r="F3366" i="1"/>
  <c r="D3366" i="1"/>
  <c r="C3366" i="1"/>
  <c r="H3365" i="1"/>
  <c r="F3365" i="1"/>
  <c r="D3365" i="1"/>
  <c r="C3365" i="1"/>
  <c r="H3364" i="1"/>
  <c r="F3364" i="1"/>
  <c r="D3364" i="1"/>
  <c r="C3364" i="1"/>
  <c r="H3363" i="1"/>
  <c r="F3363" i="1"/>
  <c r="D3363" i="1"/>
  <c r="C3363" i="1"/>
  <c r="H3362" i="1"/>
  <c r="F3362" i="1"/>
  <c r="D3362" i="1"/>
  <c r="C3362" i="1"/>
  <c r="H3361" i="1"/>
  <c r="F3361" i="1"/>
  <c r="D3361" i="1"/>
  <c r="C3361" i="1"/>
  <c r="H3360" i="1"/>
  <c r="F3360" i="1"/>
  <c r="D3360" i="1"/>
  <c r="C3360" i="1"/>
  <c r="H3359" i="1"/>
  <c r="F3359" i="1"/>
  <c r="D3359" i="1"/>
  <c r="C3359" i="1"/>
  <c r="H3358" i="1"/>
  <c r="F3358" i="1"/>
  <c r="D3358" i="1"/>
  <c r="C3358" i="1"/>
  <c r="H3357" i="1"/>
  <c r="F3357" i="1"/>
  <c r="D3357" i="1"/>
  <c r="C3357" i="1"/>
  <c r="H3356" i="1"/>
  <c r="F3356" i="1"/>
  <c r="D3356" i="1"/>
  <c r="C3356" i="1"/>
  <c r="H3355" i="1"/>
  <c r="F3355" i="1"/>
  <c r="D3355" i="1"/>
  <c r="C3355" i="1"/>
  <c r="H3354" i="1"/>
  <c r="F3354" i="1"/>
  <c r="D3354" i="1"/>
  <c r="C3354" i="1"/>
  <c r="H3353" i="1"/>
  <c r="F3353" i="1"/>
  <c r="D3353" i="1"/>
  <c r="C3353" i="1"/>
  <c r="H3352" i="1"/>
  <c r="F3352" i="1"/>
  <c r="D3352" i="1"/>
  <c r="C3352" i="1"/>
  <c r="H3351" i="1"/>
  <c r="F3351" i="1"/>
  <c r="D3351" i="1"/>
  <c r="C3351" i="1"/>
  <c r="H3350" i="1"/>
  <c r="F3350" i="1"/>
  <c r="D3350" i="1"/>
  <c r="C3350" i="1"/>
  <c r="H3349" i="1"/>
  <c r="F3349" i="1"/>
  <c r="D3349" i="1"/>
  <c r="C3349" i="1"/>
  <c r="H3348" i="1"/>
  <c r="F3348" i="1"/>
  <c r="D3348" i="1"/>
  <c r="C3348" i="1"/>
  <c r="H3347" i="1"/>
  <c r="F3347" i="1"/>
  <c r="D3347" i="1"/>
  <c r="C3347" i="1"/>
  <c r="H3346" i="1"/>
  <c r="F3346" i="1"/>
  <c r="D3346" i="1"/>
  <c r="C3346" i="1"/>
  <c r="H3345" i="1"/>
  <c r="F3345" i="1"/>
  <c r="D3345" i="1"/>
  <c r="C3345" i="1"/>
  <c r="H3344" i="1"/>
  <c r="F3344" i="1"/>
  <c r="D3344" i="1"/>
  <c r="C3344" i="1"/>
  <c r="H3343" i="1"/>
  <c r="F3343" i="1"/>
  <c r="D3343" i="1"/>
  <c r="C3343" i="1"/>
  <c r="H3342" i="1"/>
  <c r="F3342" i="1"/>
  <c r="D3342" i="1"/>
  <c r="C3342" i="1"/>
  <c r="H3341" i="1"/>
  <c r="F3341" i="1"/>
  <c r="D3341" i="1"/>
  <c r="C3341" i="1"/>
  <c r="H3340" i="1"/>
  <c r="F3340" i="1"/>
  <c r="D3340" i="1"/>
  <c r="C3340" i="1"/>
  <c r="H3339" i="1"/>
  <c r="F3339" i="1"/>
  <c r="D3339" i="1"/>
  <c r="C3339" i="1"/>
  <c r="H3338" i="1"/>
  <c r="F3338" i="1"/>
  <c r="D3338" i="1"/>
  <c r="C3338" i="1"/>
  <c r="H3337" i="1"/>
  <c r="F3337" i="1"/>
  <c r="D3337" i="1"/>
  <c r="C3337" i="1"/>
  <c r="H3336" i="1"/>
  <c r="F3336" i="1"/>
  <c r="D3336" i="1"/>
  <c r="C3336" i="1"/>
  <c r="H3335" i="1"/>
  <c r="F3335" i="1"/>
  <c r="D3335" i="1"/>
  <c r="C3335" i="1"/>
  <c r="H3334" i="1"/>
  <c r="F3334" i="1"/>
  <c r="D3334" i="1"/>
  <c r="C3334" i="1"/>
  <c r="H3333" i="1"/>
  <c r="F3333" i="1"/>
  <c r="D3333" i="1"/>
  <c r="C3333" i="1"/>
  <c r="H3332" i="1"/>
  <c r="F3332" i="1"/>
  <c r="D3332" i="1"/>
  <c r="C3332" i="1"/>
  <c r="H3331" i="1"/>
  <c r="F3331" i="1"/>
  <c r="D3331" i="1"/>
  <c r="C3331" i="1"/>
  <c r="H3330" i="1"/>
  <c r="F3330" i="1"/>
  <c r="D3330" i="1"/>
  <c r="C3330" i="1"/>
  <c r="H3329" i="1"/>
  <c r="F3329" i="1"/>
  <c r="D3329" i="1"/>
  <c r="C3329" i="1"/>
  <c r="H3328" i="1"/>
  <c r="F3328" i="1"/>
  <c r="D3328" i="1"/>
  <c r="C3328" i="1"/>
  <c r="H3327" i="1"/>
  <c r="F3327" i="1"/>
  <c r="D3327" i="1"/>
  <c r="C3327" i="1"/>
  <c r="H3326" i="1"/>
  <c r="F3326" i="1"/>
  <c r="D3326" i="1"/>
  <c r="C3326" i="1"/>
  <c r="H3325" i="1"/>
  <c r="F3325" i="1"/>
  <c r="D3325" i="1"/>
  <c r="C3325" i="1"/>
  <c r="H3324" i="1"/>
  <c r="F3324" i="1"/>
  <c r="D3324" i="1"/>
  <c r="C3324" i="1"/>
  <c r="H3323" i="1"/>
  <c r="F3323" i="1"/>
  <c r="D3323" i="1"/>
  <c r="C3323" i="1"/>
  <c r="H3322" i="1"/>
  <c r="F3322" i="1"/>
  <c r="D3322" i="1"/>
  <c r="C3322" i="1"/>
  <c r="H3321" i="1"/>
  <c r="F3321" i="1"/>
  <c r="D3321" i="1"/>
  <c r="C3321" i="1"/>
  <c r="H3320" i="1"/>
  <c r="F3320" i="1"/>
  <c r="D3320" i="1"/>
  <c r="C3320" i="1"/>
  <c r="H3319" i="1"/>
  <c r="F3319" i="1"/>
  <c r="D3319" i="1"/>
  <c r="C3319" i="1"/>
  <c r="H3318" i="1"/>
  <c r="F3318" i="1"/>
  <c r="D3318" i="1"/>
  <c r="C3318" i="1"/>
  <c r="H3317" i="1"/>
  <c r="F3317" i="1"/>
  <c r="D3317" i="1"/>
  <c r="C3317" i="1"/>
  <c r="H3316" i="1"/>
  <c r="F3316" i="1"/>
  <c r="D3316" i="1"/>
  <c r="C3316" i="1"/>
  <c r="H3315" i="1"/>
  <c r="F3315" i="1"/>
  <c r="D3315" i="1"/>
  <c r="C3315" i="1"/>
  <c r="H3314" i="1"/>
  <c r="F3314" i="1"/>
  <c r="D3314" i="1"/>
  <c r="C3314" i="1"/>
  <c r="H3313" i="1"/>
  <c r="F3313" i="1"/>
  <c r="D3313" i="1"/>
  <c r="C3313" i="1"/>
  <c r="H3312" i="1"/>
  <c r="F3312" i="1"/>
  <c r="D3312" i="1"/>
  <c r="C3312" i="1"/>
  <c r="H3311" i="1"/>
  <c r="F3311" i="1"/>
  <c r="D3311" i="1"/>
  <c r="C3311" i="1"/>
  <c r="H3310" i="1"/>
  <c r="F3310" i="1"/>
  <c r="D3310" i="1"/>
  <c r="C3310" i="1"/>
  <c r="H3309" i="1"/>
  <c r="F3309" i="1"/>
  <c r="D3309" i="1"/>
  <c r="C3309" i="1"/>
  <c r="H3308" i="1"/>
  <c r="F3308" i="1"/>
  <c r="D3308" i="1"/>
  <c r="C3308" i="1"/>
  <c r="H3307" i="1"/>
  <c r="F3307" i="1"/>
  <c r="D3307" i="1"/>
  <c r="C3307" i="1"/>
  <c r="H3306" i="1"/>
  <c r="F3306" i="1"/>
  <c r="D3306" i="1"/>
  <c r="C3306" i="1"/>
  <c r="H3305" i="1"/>
  <c r="F3305" i="1"/>
  <c r="D3305" i="1"/>
  <c r="C3305" i="1"/>
  <c r="H3304" i="1"/>
  <c r="F3304" i="1"/>
  <c r="D3304" i="1"/>
  <c r="C3304" i="1"/>
  <c r="H3303" i="1"/>
  <c r="F3303" i="1"/>
  <c r="D3303" i="1"/>
  <c r="C3303" i="1"/>
  <c r="H3302" i="1"/>
  <c r="F3302" i="1"/>
  <c r="D3302" i="1"/>
  <c r="C3302" i="1"/>
  <c r="H3301" i="1"/>
  <c r="F3301" i="1"/>
  <c r="D3301" i="1"/>
  <c r="C3301" i="1"/>
  <c r="H3300" i="1"/>
  <c r="F3300" i="1"/>
  <c r="D3300" i="1"/>
  <c r="C3300" i="1"/>
  <c r="H3299" i="1"/>
  <c r="F3299" i="1"/>
  <c r="D3299" i="1"/>
  <c r="C3299" i="1"/>
  <c r="H3298" i="1"/>
  <c r="F3298" i="1"/>
  <c r="D3298" i="1"/>
  <c r="C3298" i="1"/>
  <c r="H3297" i="1"/>
  <c r="F3297" i="1"/>
  <c r="D3297" i="1"/>
  <c r="C3297" i="1"/>
  <c r="H3296" i="1"/>
  <c r="F3296" i="1"/>
  <c r="D3296" i="1"/>
  <c r="C3296" i="1"/>
  <c r="H3295" i="1"/>
  <c r="F3295" i="1"/>
  <c r="D3295" i="1"/>
  <c r="C3295" i="1"/>
  <c r="H3294" i="1"/>
  <c r="F3294" i="1"/>
  <c r="D3294" i="1"/>
  <c r="C3294" i="1"/>
  <c r="H3293" i="1"/>
  <c r="F3293" i="1"/>
  <c r="D3293" i="1"/>
  <c r="C3293" i="1"/>
  <c r="H3292" i="1"/>
  <c r="F3292" i="1"/>
  <c r="D3292" i="1"/>
  <c r="C3292" i="1"/>
  <c r="H3291" i="1"/>
  <c r="F3291" i="1"/>
  <c r="D3291" i="1"/>
  <c r="C3291" i="1"/>
  <c r="H3290" i="1"/>
  <c r="F3290" i="1"/>
  <c r="D3290" i="1"/>
  <c r="C3290" i="1"/>
  <c r="H3289" i="1"/>
  <c r="F3289" i="1"/>
  <c r="D3289" i="1"/>
  <c r="C3289" i="1"/>
  <c r="H3288" i="1"/>
  <c r="F3288" i="1"/>
  <c r="D3288" i="1"/>
  <c r="C3288" i="1"/>
  <c r="H3287" i="1"/>
  <c r="F3287" i="1"/>
  <c r="D3287" i="1"/>
  <c r="C3287" i="1"/>
  <c r="H3286" i="1"/>
  <c r="F3286" i="1"/>
  <c r="D3286" i="1"/>
  <c r="C3286" i="1"/>
  <c r="H3285" i="1"/>
  <c r="F3285" i="1"/>
  <c r="D3285" i="1"/>
  <c r="C3285" i="1"/>
  <c r="H3284" i="1"/>
  <c r="F3284" i="1"/>
  <c r="D3284" i="1"/>
  <c r="C3284" i="1"/>
  <c r="H3283" i="1"/>
  <c r="F3283" i="1"/>
  <c r="D3283" i="1"/>
  <c r="C3283" i="1"/>
  <c r="H3282" i="1"/>
  <c r="F3282" i="1"/>
  <c r="D3282" i="1"/>
  <c r="C3282" i="1"/>
  <c r="H3281" i="1"/>
  <c r="F3281" i="1"/>
  <c r="D3281" i="1"/>
  <c r="C3281" i="1"/>
  <c r="H3280" i="1"/>
  <c r="F3280" i="1"/>
  <c r="D3280" i="1"/>
  <c r="C3280" i="1"/>
  <c r="H3279" i="1"/>
  <c r="F3279" i="1"/>
  <c r="D3279" i="1"/>
  <c r="C3279" i="1"/>
  <c r="H3278" i="1"/>
  <c r="F3278" i="1"/>
  <c r="D3278" i="1"/>
  <c r="C3278" i="1"/>
  <c r="H3277" i="1"/>
  <c r="F3277" i="1"/>
  <c r="D3277" i="1"/>
  <c r="C3277" i="1"/>
  <c r="H3276" i="1"/>
  <c r="F3276" i="1"/>
  <c r="D3276" i="1"/>
  <c r="C3276" i="1"/>
  <c r="H3275" i="1"/>
  <c r="F3275" i="1"/>
  <c r="D3275" i="1"/>
  <c r="C3275" i="1"/>
  <c r="H3274" i="1"/>
  <c r="F3274" i="1"/>
  <c r="D3274" i="1"/>
  <c r="C3274" i="1"/>
  <c r="H3273" i="1"/>
  <c r="F3273" i="1"/>
  <c r="D3273" i="1"/>
  <c r="C3273" i="1"/>
  <c r="H3272" i="1"/>
  <c r="F3272" i="1"/>
  <c r="D3272" i="1"/>
  <c r="C3272" i="1"/>
  <c r="H3271" i="1"/>
  <c r="F3271" i="1"/>
  <c r="D3271" i="1"/>
  <c r="C3271" i="1"/>
  <c r="H3270" i="1"/>
  <c r="F3270" i="1"/>
  <c r="D3270" i="1"/>
  <c r="C3270" i="1"/>
  <c r="H3269" i="1"/>
  <c r="F3269" i="1"/>
  <c r="D3269" i="1"/>
  <c r="C3269" i="1"/>
  <c r="H3268" i="1"/>
  <c r="F3268" i="1"/>
  <c r="D3268" i="1"/>
  <c r="C3268" i="1"/>
  <c r="H3267" i="1"/>
  <c r="F3267" i="1"/>
  <c r="D3267" i="1"/>
  <c r="C3267" i="1"/>
  <c r="H3266" i="1"/>
  <c r="F3266" i="1"/>
  <c r="D3266" i="1"/>
  <c r="C3266" i="1"/>
  <c r="H3265" i="1"/>
  <c r="F3265" i="1"/>
  <c r="D3265" i="1"/>
  <c r="C3265" i="1"/>
  <c r="H3264" i="1"/>
  <c r="F3264" i="1"/>
  <c r="D3264" i="1"/>
  <c r="C3264" i="1"/>
  <c r="H3263" i="1"/>
  <c r="F3263" i="1"/>
  <c r="D3263" i="1"/>
  <c r="C3263" i="1"/>
  <c r="H3262" i="1"/>
  <c r="F3262" i="1"/>
  <c r="D3262" i="1"/>
  <c r="C3262" i="1"/>
  <c r="H3261" i="1"/>
  <c r="F3261" i="1"/>
  <c r="D3261" i="1"/>
  <c r="C3261" i="1"/>
  <c r="H3260" i="1"/>
  <c r="F3260" i="1"/>
  <c r="D3260" i="1"/>
  <c r="C3260" i="1"/>
  <c r="H3259" i="1"/>
  <c r="F3259" i="1"/>
  <c r="D3259" i="1"/>
  <c r="C3259" i="1"/>
  <c r="H3258" i="1"/>
  <c r="F3258" i="1"/>
  <c r="D3258" i="1"/>
  <c r="C3258" i="1"/>
  <c r="H3257" i="1"/>
  <c r="F3257" i="1"/>
  <c r="D3257" i="1"/>
  <c r="C3257" i="1"/>
  <c r="H3256" i="1"/>
  <c r="F3256" i="1"/>
  <c r="D3256" i="1"/>
  <c r="C3256" i="1"/>
  <c r="H3255" i="1"/>
  <c r="F3255" i="1"/>
  <c r="D3255" i="1"/>
  <c r="C3255" i="1"/>
  <c r="H3254" i="1"/>
  <c r="F3254" i="1"/>
  <c r="D3254" i="1"/>
  <c r="C3254" i="1"/>
  <c r="H3253" i="1"/>
  <c r="F3253" i="1"/>
  <c r="D3253" i="1"/>
  <c r="C3253" i="1"/>
  <c r="H3252" i="1"/>
  <c r="F3252" i="1"/>
  <c r="D3252" i="1"/>
  <c r="C3252" i="1"/>
  <c r="H3251" i="1"/>
  <c r="F3251" i="1"/>
  <c r="D3251" i="1"/>
  <c r="C3251" i="1"/>
  <c r="H3250" i="1"/>
  <c r="F3250" i="1"/>
  <c r="D3250" i="1"/>
  <c r="C3250" i="1"/>
  <c r="H3249" i="1"/>
  <c r="F3249" i="1"/>
  <c r="D3249" i="1"/>
  <c r="C3249" i="1"/>
  <c r="H3248" i="1"/>
  <c r="F3248" i="1"/>
  <c r="D3248" i="1"/>
  <c r="C3248" i="1"/>
  <c r="H3247" i="1"/>
  <c r="F3247" i="1"/>
  <c r="D3247" i="1"/>
  <c r="C3247" i="1"/>
  <c r="H3246" i="1"/>
  <c r="F3246" i="1"/>
  <c r="D3246" i="1"/>
  <c r="C3246" i="1"/>
  <c r="H3245" i="1"/>
  <c r="F3245" i="1"/>
  <c r="D3245" i="1"/>
  <c r="C3245" i="1"/>
  <c r="H3244" i="1"/>
  <c r="F3244" i="1"/>
  <c r="D3244" i="1"/>
  <c r="C3244" i="1"/>
  <c r="H3243" i="1"/>
  <c r="F3243" i="1"/>
  <c r="D3243" i="1"/>
  <c r="C3243" i="1"/>
  <c r="H3242" i="1"/>
  <c r="F3242" i="1"/>
  <c r="D3242" i="1"/>
  <c r="C3242" i="1"/>
  <c r="H3241" i="1"/>
  <c r="F3241" i="1"/>
  <c r="D3241" i="1"/>
  <c r="C3241" i="1"/>
  <c r="H3240" i="1"/>
  <c r="F3240" i="1"/>
  <c r="D3240" i="1"/>
  <c r="C3240" i="1"/>
  <c r="H3239" i="1"/>
  <c r="F3239" i="1"/>
  <c r="D3239" i="1"/>
  <c r="C3239" i="1"/>
  <c r="H3238" i="1"/>
  <c r="F3238" i="1"/>
  <c r="D3238" i="1"/>
  <c r="C3238" i="1"/>
  <c r="H3237" i="1"/>
  <c r="F3237" i="1"/>
  <c r="D3237" i="1"/>
  <c r="C3237" i="1"/>
  <c r="H3236" i="1"/>
  <c r="F3236" i="1"/>
  <c r="D3236" i="1"/>
  <c r="C3236" i="1"/>
  <c r="H3235" i="1"/>
  <c r="F3235" i="1"/>
  <c r="D3235" i="1"/>
  <c r="C3235" i="1"/>
  <c r="H3234" i="1"/>
  <c r="F3234" i="1"/>
  <c r="D3234" i="1"/>
  <c r="C3234" i="1"/>
  <c r="H3233" i="1"/>
  <c r="F3233" i="1"/>
  <c r="D3233" i="1"/>
  <c r="C3233" i="1"/>
  <c r="H3232" i="1"/>
  <c r="F3232" i="1"/>
  <c r="D3232" i="1"/>
  <c r="C3232" i="1"/>
  <c r="H3231" i="1"/>
  <c r="F3231" i="1"/>
  <c r="D3231" i="1"/>
  <c r="C3231" i="1"/>
  <c r="H3230" i="1"/>
  <c r="F3230" i="1"/>
  <c r="D3230" i="1"/>
  <c r="C3230" i="1"/>
  <c r="H3229" i="1"/>
  <c r="F3229" i="1"/>
  <c r="D3229" i="1"/>
  <c r="C3229" i="1"/>
  <c r="H3228" i="1"/>
  <c r="F3228" i="1"/>
  <c r="D3228" i="1"/>
  <c r="C3228" i="1"/>
  <c r="H3227" i="1"/>
  <c r="F3227" i="1"/>
  <c r="D3227" i="1"/>
  <c r="C3227" i="1"/>
  <c r="H3226" i="1"/>
  <c r="F3226" i="1"/>
  <c r="D3226" i="1"/>
  <c r="C3226" i="1"/>
  <c r="H3225" i="1"/>
  <c r="F3225" i="1"/>
  <c r="D3225" i="1"/>
  <c r="C3225" i="1"/>
  <c r="H3224" i="1"/>
  <c r="F3224" i="1"/>
  <c r="D3224" i="1"/>
  <c r="C3224" i="1"/>
  <c r="H3223" i="1"/>
  <c r="F3223" i="1"/>
  <c r="D3223" i="1"/>
  <c r="C3223" i="1"/>
  <c r="H3222" i="1"/>
  <c r="F3222" i="1"/>
  <c r="D3222" i="1"/>
  <c r="C3222" i="1"/>
  <c r="H3221" i="1"/>
  <c r="F3221" i="1"/>
  <c r="D3221" i="1"/>
  <c r="C3221" i="1"/>
  <c r="H3220" i="1"/>
  <c r="F3220" i="1"/>
  <c r="D3220" i="1"/>
  <c r="C3220" i="1"/>
  <c r="H3219" i="1"/>
  <c r="F3219" i="1"/>
  <c r="D3219" i="1"/>
  <c r="C3219" i="1"/>
  <c r="H3218" i="1"/>
  <c r="F3218" i="1"/>
  <c r="D3218" i="1"/>
  <c r="C3218" i="1"/>
  <c r="H3217" i="1"/>
  <c r="F3217" i="1"/>
  <c r="D3217" i="1"/>
  <c r="C3217" i="1"/>
  <c r="H3216" i="1"/>
  <c r="F3216" i="1"/>
  <c r="D3216" i="1"/>
  <c r="C3216" i="1"/>
  <c r="H3215" i="1"/>
  <c r="F3215" i="1"/>
  <c r="D3215" i="1"/>
  <c r="C3215" i="1"/>
  <c r="H3214" i="1"/>
  <c r="F3214" i="1"/>
  <c r="D3214" i="1"/>
  <c r="C3214" i="1"/>
  <c r="H3213" i="1"/>
  <c r="F3213" i="1"/>
  <c r="D3213" i="1"/>
  <c r="C3213" i="1"/>
  <c r="H3212" i="1"/>
  <c r="F3212" i="1"/>
  <c r="D3212" i="1"/>
  <c r="C3212" i="1"/>
  <c r="H3211" i="1"/>
  <c r="F3211" i="1"/>
  <c r="D3211" i="1"/>
  <c r="C3211" i="1"/>
  <c r="H3210" i="1"/>
  <c r="F3210" i="1"/>
  <c r="D3210" i="1"/>
  <c r="C3210" i="1"/>
  <c r="H3209" i="1"/>
  <c r="F3209" i="1"/>
  <c r="D3209" i="1"/>
  <c r="C3209" i="1"/>
  <c r="H3208" i="1"/>
  <c r="F3208" i="1"/>
  <c r="D3208" i="1"/>
  <c r="C3208" i="1"/>
  <c r="H3207" i="1"/>
  <c r="F3207" i="1"/>
  <c r="D3207" i="1"/>
  <c r="C3207" i="1"/>
  <c r="H3206" i="1"/>
  <c r="F3206" i="1"/>
  <c r="D3206" i="1"/>
  <c r="C3206" i="1"/>
  <c r="H3205" i="1"/>
  <c r="F3205" i="1"/>
  <c r="D3205" i="1"/>
  <c r="C3205" i="1"/>
  <c r="H3204" i="1"/>
  <c r="F3204" i="1"/>
  <c r="D3204" i="1"/>
  <c r="C3204" i="1"/>
  <c r="H3203" i="1"/>
  <c r="F3203" i="1"/>
  <c r="D3203" i="1"/>
  <c r="C3203" i="1"/>
  <c r="H3202" i="1"/>
  <c r="F3202" i="1"/>
  <c r="D3202" i="1"/>
  <c r="C3202" i="1"/>
  <c r="H3201" i="1"/>
  <c r="F3201" i="1"/>
  <c r="D3201" i="1"/>
  <c r="C3201" i="1"/>
  <c r="H3200" i="1"/>
  <c r="F3200" i="1"/>
  <c r="D3200" i="1"/>
  <c r="C3200" i="1"/>
  <c r="H3199" i="1"/>
  <c r="F3199" i="1"/>
  <c r="D3199" i="1"/>
  <c r="C3199" i="1"/>
  <c r="H3198" i="1"/>
  <c r="F3198" i="1"/>
  <c r="D3198" i="1"/>
  <c r="C3198" i="1"/>
  <c r="H3197" i="1"/>
  <c r="F3197" i="1"/>
  <c r="D3197" i="1"/>
  <c r="C3197" i="1"/>
  <c r="H3196" i="1"/>
  <c r="F3196" i="1"/>
  <c r="D3196" i="1"/>
  <c r="C3196" i="1"/>
  <c r="H3195" i="1"/>
  <c r="F3195" i="1"/>
  <c r="D3195" i="1"/>
  <c r="C3195" i="1"/>
  <c r="H3194" i="1"/>
  <c r="F3194" i="1"/>
  <c r="D3194" i="1"/>
  <c r="C3194" i="1"/>
  <c r="H3193" i="1"/>
  <c r="F3193" i="1"/>
  <c r="D3193" i="1"/>
  <c r="C3193" i="1"/>
  <c r="H3192" i="1"/>
  <c r="F3192" i="1"/>
  <c r="D3192" i="1"/>
  <c r="C3192" i="1"/>
  <c r="H3191" i="1"/>
  <c r="F3191" i="1"/>
  <c r="D3191" i="1"/>
  <c r="C3191" i="1"/>
  <c r="H3190" i="1"/>
  <c r="F3190" i="1"/>
  <c r="D3190" i="1"/>
  <c r="C3190" i="1"/>
  <c r="H3189" i="1"/>
  <c r="F3189" i="1"/>
  <c r="D3189" i="1"/>
  <c r="C3189" i="1"/>
  <c r="H3188" i="1"/>
  <c r="F3188" i="1"/>
  <c r="D3188" i="1"/>
  <c r="C3188" i="1"/>
  <c r="H3187" i="1"/>
  <c r="F3187" i="1"/>
  <c r="D3187" i="1"/>
  <c r="C3187" i="1"/>
  <c r="H3186" i="1"/>
  <c r="F3186" i="1"/>
  <c r="D3186" i="1"/>
  <c r="C3186" i="1"/>
  <c r="H3185" i="1"/>
  <c r="F3185" i="1"/>
  <c r="D3185" i="1"/>
  <c r="C3185" i="1"/>
  <c r="H3184" i="1"/>
  <c r="F3184" i="1"/>
  <c r="D3184" i="1"/>
  <c r="C3184" i="1"/>
  <c r="H3183" i="1"/>
  <c r="F3183" i="1"/>
  <c r="D3183" i="1"/>
  <c r="C3183" i="1"/>
  <c r="H3182" i="1"/>
  <c r="F3182" i="1"/>
  <c r="D3182" i="1"/>
  <c r="C3182" i="1"/>
  <c r="H3181" i="1"/>
  <c r="F3181" i="1"/>
  <c r="D3181" i="1"/>
  <c r="C3181" i="1"/>
  <c r="H3180" i="1"/>
  <c r="F3180" i="1"/>
  <c r="D3180" i="1"/>
  <c r="C3180" i="1"/>
  <c r="H3179" i="1"/>
  <c r="F3179" i="1"/>
  <c r="D3179" i="1"/>
  <c r="C3179" i="1"/>
  <c r="H3178" i="1"/>
  <c r="F3178" i="1"/>
  <c r="D3178" i="1"/>
  <c r="C3178" i="1"/>
  <c r="H3177" i="1"/>
  <c r="F3177" i="1"/>
  <c r="D3177" i="1"/>
  <c r="C3177" i="1"/>
  <c r="H3176" i="1"/>
  <c r="F3176" i="1"/>
  <c r="D3176" i="1"/>
  <c r="C3176" i="1"/>
  <c r="H3175" i="1"/>
  <c r="F3175" i="1"/>
  <c r="D3175" i="1"/>
  <c r="C3175" i="1"/>
  <c r="H3174" i="1"/>
  <c r="F3174" i="1"/>
  <c r="D3174" i="1"/>
  <c r="C3174" i="1"/>
  <c r="H3173" i="1"/>
  <c r="F3173" i="1"/>
  <c r="D3173" i="1"/>
  <c r="C3173" i="1"/>
  <c r="H3172" i="1"/>
  <c r="F3172" i="1"/>
  <c r="D3172" i="1"/>
  <c r="C3172" i="1"/>
  <c r="H3171" i="1"/>
  <c r="F3171" i="1"/>
  <c r="D3171" i="1"/>
  <c r="C3171" i="1"/>
  <c r="H3170" i="1"/>
  <c r="F3170" i="1"/>
  <c r="D3170" i="1"/>
  <c r="C3170" i="1"/>
  <c r="H3169" i="1"/>
  <c r="F3169" i="1"/>
  <c r="D3169" i="1"/>
  <c r="C3169" i="1"/>
  <c r="H3168" i="1"/>
  <c r="F3168" i="1"/>
  <c r="D3168" i="1"/>
  <c r="C3168" i="1"/>
  <c r="H3167" i="1"/>
  <c r="F3167" i="1"/>
  <c r="D3167" i="1"/>
  <c r="C3167" i="1"/>
  <c r="H3166" i="1"/>
  <c r="F3166" i="1"/>
  <c r="D3166" i="1"/>
  <c r="C3166" i="1"/>
  <c r="H3165" i="1"/>
  <c r="F3165" i="1"/>
  <c r="D3165" i="1"/>
  <c r="C3165" i="1"/>
  <c r="H3164" i="1"/>
  <c r="F3164" i="1"/>
  <c r="D3164" i="1"/>
  <c r="C3164" i="1"/>
  <c r="H3163" i="1"/>
  <c r="F3163" i="1"/>
  <c r="D3163" i="1"/>
  <c r="C3163" i="1"/>
  <c r="H3162" i="1"/>
  <c r="F3162" i="1"/>
  <c r="D3162" i="1"/>
  <c r="C3162" i="1"/>
  <c r="H3161" i="1"/>
  <c r="F3161" i="1"/>
  <c r="D3161" i="1"/>
  <c r="C3161" i="1"/>
  <c r="H3160" i="1"/>
  <c r="F3160" i="1"/>
  <c r="D3160" i="1"/>
  <c r="C3160" i="1"/>
  <c r="H3159" i="1"/>
  <c r="F3159" i="1"/>
  <c r="D3159" i="1"/>
  <c r="C3159" i="1"/>
  <c r="H3158" i="1"/>
  <c r="F3158" i="1"/>
  <c r="D3158" i="1"/>
  <c r="C3158" i="1"/>
  <c r="H3157" i="1"/>
  <c r="F3157" i="1"/>
  <c r="D3157" i="1"/>
  <c r="C3157" i="1"/>
  <c r="H3156" i="1"/>
  <c r="F3156" i="1"/>
  <c r="D3156" i="1"/>
  <c r="C3156" i="1"/>
  <c r="H3155" i="1"/>
  <c r="F3155" i="1"/>
  <c r="D3155" i="1"/>
  <c r="C3155" i="1"/>
  <c r="H3154" i="1"/>
  <c r="F3154" i="1"/>
  <c r="D3154" i="1"/>
  <c r="C3154" i="1"/>
  <c r="H3153" i="1"/>
  <c r="F3153" i="1"/>
  <c r="D3153" i="1"/>
  <c r="C3153" i="1"/>
  <c r="H3152" i="1"/>
  <c r="F3152" i="1"/>
  <c r="D3152" i="1"/>
  <c r="C3152" i="1"/>
  <c r="H3151" i="1"/>
  <c r="F3151" i="1"/>
  <c r="D3151" i="1"/>
  <c r="C3151" i="1"/>
  <c r="H3150" i="1"/>
  <c r="F3150" i="1"/>
  <c r="D3150" i="1"/>
  <c r="C3150" i="1"/>
  <c r="H3149" i="1"/>
  <c r="F3149" i="1"/>
  <c r="D3149" i="1"/>
  <c r="C3149" i="1"/>
  <c r="H3148" i="1"/>
  <c r="F3148" i="1"/>
  <c r="D3148" i="1"/>
  <c r="C3148" i="1"/>
  <c r="H3147" i="1"/>
  <c r="F3147" i="1"/>
  <c r="D3147" i="1"/>
  <c r="C3147" i="1"/>
  <c r="H3146" i="1"/>
  <c r="F3146" i="1"/>
  <c r="D3146" i="1"/>
  <c r="C3146" i="1"/>
  <c r="H3145" i="1"/>
  <c r="F3145" i="1"/>
  <c r="D3145" i="1"/>
  <c r="C3145" i="1"/>
  <c r="H3144" i="1"/>
  <c r="F3144" i="1"/>
  <c r="D3144" i="1"/>
  <c r="C3144" i="1"/>
  <c r="H3143" i="1"/>
  <c r="F3143" i="1"/>
  <c r="D3143" i="1"/>
  <c r="C3143" i="1"/>
  <c r="H3142" i="1"/>
  <c r="F3142" i="1"/>
  <c r="D3142" i="1"/>
  <c r="C3142" i="1"/>
  <c r="H3141" i="1"/>
  <c r="F3141" i="1"/>
  <c r="D3141" i="1"/>
  <c r="C3141" i="1"/>
  <c r="H3140" i="1"/>
  <c r="F3140" i="1"/>
  <c r="D3140" i="1"/>
  <c r="C3140" i="1"/>
  <c r="H3139" i="1"/>
  <c r="F3139" i="1"/>
  <c r="D3139" i="1"/>
  <c r="C3139" i="1"/>
  <c r="H3138" i="1"/>
  <c r="F3138" i="1"/>
  <c r="D3138" i="1"/>
  <c r="C3138" i="1"/>
  <c r="H3137" i="1"/>
  <c r="F3137" i="1"/>
  <c r="D3137" i="1"/>
  <c r="C3137" i="1"/>
  <c r="H3136" i="1"/>
  <c r="F3136" i="1"/>
  <c r="D3136" i="1"/>
  <c r="C3136" i="1"/>
  <c r="H3135" i="1"/>
  <c r="F3135" i="1"/>
  <c r="D3135" i="1"/>
  <c r="C3135" i="1"/>
  <c r="H3134" i="1"/>
  <c r="F3134" i="1"/>
  <c r="D3134" i="1"/>
  <c r="C3134" i="1"/>
  <c r="H3133" i="1"/>
  <c r="F3133" i="1"/>
  <c r="D3133" i="1"/>
  <c r="C3133" i="1"/>
  <c r="H3132" i="1"/>
  <c r="F3132" i="1"/>
  <c r="D3132" i="1"/>
  <c r="C3132" i="1"/>
  <c r="H3131" i="1"/>
  <c r="F3131" i="1"/>
  <c r="D3131" i="1"/>
  <c r="C3131" i="1"/>
  <c r="H3130" i="1"/>
  <c r="F3130" i="1"/>
  <c r="D3130" i="1"/>
  <c r="C3130" i="1"/>
  <c r="H3129" i="1"/>
  <c r="F3129" i="1"/>
  <c r="D3129" i="1"/>
  <c r="C3129" i="1"/>
  <c r="H3128" i="1"/>
  <c r="F3128" i="1"/>
  <c r="D3128" i="1"/>
  <c r="C3128" i="1"/>
  <c r="H3127" i="1"/>
  <c r="F3127" i="1"/>
  <c r="D3127" i="1"/>
  <c r="C3127" i="1"/>
  <c r="H3126" i="1"/>
  <c r="F3126" i="1"/>
  <c r="D3126" i="1"/>
  <c r="C3126" i="1"/>
  <c r="H3125" i="1"/>
  <c r="F3125" i="1"/>
  <c r="D3125" i="1"/>
  <c r="C3125" i="1"/>
  <c r="H3124" i="1"/>
  <c r="F3124" i="1"/>
  <c r="D3124" i="1"/>
  <c r="C3124" i="1"/>
  <c r="H3123" i="1"/>
  <c r="F3123" i="1"/>
  <c r="D3123" i="1"/>
  <c r="C3123" i="1"/>
  <c r="H3122" i="1"/>
  <c r="F3122" i="1"/>
  <c r="D3122" i="1"/>
  <c r="C3122" i="1"/>
  <c r="H3121" i="1"/>
  <c r="F3121" i="1"/>
  <c r="D3121" i="1"/>
  <c r="C3121" i="1"/>
  <c r="H3120" i="1"/>
  <c r="F3120" i="1"/>
  <c r="D3120" i="1"/>
  <c r="C3120" i="1"/>
  <c r="H3119" i="1"/>
  <c r="F3119" i="1"/>
  <c r="D3119" i="1"/>
  <c r="C3119" i="1"/>
  <c r="H3118" i="1"/>
  <c r="F3118" i="1"/>
  <c r="D3118" i="1"/>
  <c r="C3118" i="1"/>
  <c r="H3117" i="1"/>
  <c r="F3117" i="1"/>
  <c r="D3117" i="1"/>
  <c r="C3117" i="1"/>
  <c r="H3116" i="1"/>
  <c r="F3116" i="1"/>
  <c r="D3116" i="1"/>
  <c r="C3116" i="1"/>
  <c r="H3115" i="1"/>
  <c r="F3115" i="1"/>
  <c r="D3115" i="1"/>
  <c r="C3115" i="1"/>
  <c r="H3114" i="1"/>
  <c r="F3114" i="1"/>
  <c r="D3114" i="1"/>
  <c r="C3114" i="1"/>
  <c r="H3113" i="1"/>
  <c r="F3113" i="1"/>
  <c r="D3113" i="1"/>
  <c r="C3113" i="1"/>
  <c r="H3112" i="1"/>
  <c r="F3112" i="1"/>
  <c r="D3112" i="1"/>
  <c r="C3112" i="1"/>
  <c r="H3111" i="1"/>
  <c r="F3111" i="1"/>
  <c r="D3111" i="1"/>
  <c r="C3111" i="1"/>
  <c r="H3110" i="1"/>
  <c r="F3110" i="1"/>
  <c r="D3110" i="1"/>
  <c r="C3110" i="1"/>
  <c r="H3109" i="1"/>
  <c r="F3109" i="1"/>
  <c r="D3109" i="1"/>
  <c r="C3109" i="1"/>
  <c r="H3108" i="1"/>
  <c r="F3108" i="1"/>
  <c r="D3108" i="1"/>
  <c r="C3108" i="1"/>
  <c r="H3107" i="1"/>
  <c r="F3107" i="1"/>
  <c r="D3107" i="1"/>
  <c r="C3107" i="1"/>
  <c r="H3106" i="1"/>
  <c r="F3106" i="1"/>
  <c r="D3106" i="1"/>
  <c r="C3106" i="1"/>
  <c r="H3105" i="1"/>
  <c r="F3105" i="1"/>
  <c r="D3105" i="1"/>
  <c r="C3105" i="1"/>
  <c r="H3104" i="1"/>
  <c r="F3104" i="1"/>
  <c r="D3104" i="1"/>
  <c r="C3104" i="1"/>
  <c r="H3103" i="1"/>
  <c r="F3103" i="1"/>
  <c r="D3103" i="1"/>
  <c r="C3103" i="1"/>
  <c r="H3102" i="1"/>
  <c r="F3102" i="1"/>
  <c r="D3102" i="1"/>
  <c r="C3102" i="1"/>
  <c r="H3101" i="1"/>
  <c r="F3101" i="1"/>
  <c r="D3101" i="1"/>
  <c r="C3101" i="1"/>
  <c r="H3100" i="1"/>
  <c r="F3100" i="1"/>
  <c r="D3100" i="1"/>
  <c r="C3100" i="1"/>
  <c r="H3099" i="1"/>
  <c r="F3099" i="1"/>
  <c r="D3099" i="1"/>
  <c r="C3099" i="1"/>
  <c r="H3098" i="1"/>
  <c r="F3098" i="1"/>
  <c r="D3098" i="1"/>
  <c r="C3098" i="1"/>
  <c r="H3097" i="1"/>
  <c r="F3097" i="1"/>
  <c r="D3097" i="1"/>
  <c r="C3097" i="1"/>
  <c r="H3096" i="1"/>
  <c r="F3096" i="1"/>
  <c r="D3096" i="1"/>
  <c r="C3096" i="1"/>
  <c r="H3095" i="1"/>
  <c r="F3095" i="1"/>
  <c r="D3095" i="1"/>
  <c r="C3095" i="1"/>
  <c r="H3094" i="1"/>
  <c r="F3094" i="1"/>
  <c r="D3094" i="1"/>
  <c r="C3094" i="1"/>
  <c r="H3093" i="1"/>
  <c r="F3093" i="1"/>
  <c r="D3093" i="1"/>
  <c r="C3093" i="1"/>
  <c r="H3092" i="1"/>
  <c r="F3092" i="1"/>
  <c r="D3092" i="1"/>
  <c r="C3092" i="1"/>
  <c r="H3091" i="1"/>
  <c r="F3091" i="1"/>
  <c r="D3091" i="1"/>
  <c r="C3091" i="1"/>
  <c r="H3090" i="1"/>
  <c r="F3090" i="1"/>
  <c r="D3090" i="1"/>
  <c r="C3090" i="1"/>
  <c r="H3089" i="1"/>
  <c r="F3089" i="1"/>
  <c r="D3089" i="1"/>
  <c r="C3089" i="1"/>
  <c r="H3088" i="1"/>
  <c r="F3088" i="1"/>
  <c r="D3088" i="1"/>
  <c r="C3088" i="1"/>
  <c r="H3087" i="1"/>
  <c r="F3087" i="1"/>
  <c r="D3087" i="1"/>
  <c r="C3087" i="1"/>
  <c r="H3086" i="1"/>
  <c r="F3086" i="1"/>
  <c r="D3086" i="1"/>
  <c r="C3086" i="1"/>
  <c r="H3085" i="1"/>
  <c r="F3085" i="1"/>
  <c r="D3085" i="1"/>
  <c r="C3085" i="1"/>
  <c r="H3084" i="1"/>
  <c r="F3084" i="1"/>
  <c r="D3084" i="1"/>
  <c r="C3084" i="1"/>
  <c r="H3083" i="1"/>
  <c r="F3083" i="1"/>
  <c r="D3083" i="1"/>
  <c r="C3083" i="1"/>
  <c r="H3082" i="1"/>
  <c r="F3082" i="1"/>
  <c r="D3082" i="1"/>
  <c r="C3082" i="1"/>
  <c r="H3081" i="1"/>
  <c r="F3081" i="1"/>
  <c r="D3081" i="1"/>
  <c r="C3081" i="1"/>
  <c r="H3080" i="1"/>
  <c r="F3080" i="1"/>
  <c r="D3080" i="1"/>
  <c r="C3080" i="1"/>
  <c r="H3079" i="1"/>
  <c r="F3079" i="1"/>
  <c r="D3079" i="1"/>
  <c r="C3079" i="1"/>
  <c r="H3078" i="1"/>
  <c r="F3078" i="1"/>
  <c r="D3078" i="1"/>
  <c r="C3078" i="1"/>
  <c r="H3077" i="1"/>
  <c r="F3077" i="1"/>
  <c r="D3077" i="1"/>
  <c r="C3077" i="1"/>
  <c r="H3076" i="1"/>
  <c r="F3076" i="1"/>
  <c r="D3076" i="1"/>
  <c r="C3076" i="1"/>
  <c r="H3075" i="1"/>
  <c r="F3075" i="1"/>
  <c r="D3075" i="1"/>
  <c r="C3075" i="1"/>
  <c r="H3074" i="1"/>
  <c r="F3074" i="1"/>
  <c r="D3074" i="1"/>
  <c r="C3074" i="1"/>
  <c r="H3073" i="1"/>
  <c r="F3073" i="1"/>
  <c r="D3073" i="1"/>
  <c r="C3073" i="1"/>
  <c r="H3072" i="1"/>
  <c r="F3072" i="1"/>
  <c r="D3072" i="1"/>
  <c r="C3072" i="1"/>
  <c r="H3071" i="1"/>
  <c r="F3071" i="1"/>
  <c r="D3071" i="1"/>
  <c r="C3071" i="1"/>
  <c r="H3070" i="1"/>
  <c r="F3070" i="1"/>
  <c r="D3070" i="1"/>
  <c r="C3070" i="1"/>
  <c r="H3069" i="1"/>
  <c r="F3069" i="1"/>
  <c r="D3069" i="1"/>
  <c r="C3069" i="1"/>
  <c r="H3068" i="1"/>
  <c r="F3068" i="1"/>
  <c r="D3068" i="1"/>
  <c r="C3068" i="1"/>
  <c r="H3067" i="1"/>
  <c r="F3067" i="1"/>
  <c r="D3067" i="1"/>
  <c r="C3067" i="1"/>
  <c r="H3066" i="1"/>
  <c r="F3066" i="1"/>
  <c r="D3066" i="1"/>
  <c r="C3066" i="1"/>
  <c r="H3065" i="1"/>
  <c r="F3065" i="1"/>
  <c r="D3065" i="1"/>
  <c r="C3065" i="1"/>
  <c r="H3064" i="1"/>
  <c r="F3064" i="1"/>
  <c r="D3064" i="1"/>
  <c r="C3064" i="1"/>
  <c r="H3063" i="1"/>
  <c r="F3063" i="1"/>
  <c r="D3063" i="1"/>
  <c r="C3063" i="1"/>
  <c r="H3062" i="1"/>
  <c r="F3062" i="1"/>
  <c r="D3062" i="1"/>
  <c r="C3062" i="1"/>
  <c r="H3061" i="1"/>
  <c r="F3061" i="1"/>
  <c r="D3061" i="1"/>
  <c r="C3061" i="1"/>
  <c r="H3060" i="1"/>
  <c r="F3060" i="1"/>
  <c r="D3060" i="1"/>
  <c r="C3060" i="1"/>
  <c r="H3059" i="1"/>
  <c r="F3059" i="1"/>
  <c r="D3059" i="1"/>
  <c r="C3059" i="1"/>
  <c r="H3058" i="1"/>
  <c r="F3058" i="1"/>
  <c r="D3058" i="1"/>
  <c r="C3058" i="1"/>
  <c r="H3057" i="1"/>
  <c r="F3057" i="1"/>
  <c r="D3057" i="1"/>
  <c r="C3057" i="1"/>
  <c r="H3056" i="1"/>
  <c r="F3056" i="1"/>
  <c r="D3056" i="1"/>
  <c r="C3056" i="1"/>
  <c r="H3055" i="1"/>
  <c r="F3055" i="1"/>
  <c r="D3055" i="1"/>
  <c r="C3055" i="1"/>
  <c r="H3054" i="1"/>
  <c r="F3054" i="1"/>
  <c r="D3054" i="1"/>
  <c r="C3054" i="1"/>
  <c r="H3053" i="1"/>
  <c r="F3053" i="1"/>
  <c r="D3053" i="1"/>
  <c r="C3053" i="1"/>
  <c r="H3052" i="1"/>
  <c r="F3052" i="1"/>
  <c r="D3052" i="1"/>
  <c r="C3052" i="1"/>
  <c r="H3051" i="1"/>
  <c r="F3051" i="1"/>
  <c r="D3051" i="1"/>
  <c r="C3051" i="1"/>
  <c r="H3050" i="1"/>
  <c r="F3050" i="1"/>
  <c r="D3050" i="1"/>
  <c r="C3050" i="1"/>
  <c r="H3049" i="1"/>
  <c r="F3049" i="1"/>
  <c r="D3049" i="1"/>
  <c r="C3049" i="1"/>
  <c r="H3048" i="1"/>
  <c r="F3048" i="1"/>
  <c r="D3048" i="1"/>
  <c r="C3048" i="1"/>
  <c r="H3047" i="1"/>
  <c r="F3047" i="1"/>
  <c r="D3047" i="1"/>
  <c r="C3047" i="1"/>
  <c r="H3046" i="1"/>
  <c r="F3046" i="1"/>
  <c r="D3046" i="1"/>
  <c r="C3046" i="1"/>
  <c r="H3045" i="1"/>
  <c r="F3045" i="1"/>
  <c r="D3045" i="1"/>
  <c r="C3045" i="1"/>
  <c r="H3044" i="1"/>
  <c r="F3044" i="1"/>
  <c r="D3044" i="1"/>
  <c r="C3044" i="1"/>
  <c r="H3043" i="1"/>
  <c r="F3043" i="1"/>
  <c r="D3043" i="1"/>
  <c r="C3043" i="1"/>
  <c r="H3042" i="1"/>
  <c r="F3042" i="1"/>
  <c r="D3042" i="1"/>
  <c r="C3042" i="1"/>
  <c r="H3041" i="1"/>
  <c r="F3041" i="1"/>
  <c r="D3041" i="1"/>
  <c r="C3041" i="1"/>
  <c r="H3040" i="1"/>
  <c r="F3040" i="1"/>
  <c r="D3040" i="1"/>
  <c r="C3040" i="1"/>
  <c r="H3039" i="1"/>
  <c r="F3039" i="1"/>
  <c r="D3039" i="1"/>
  <c r="C3039" i="1"/>
  <c r="H3038" i="1"/>
  <c r="F3038" i="1"/>
  <c r="D3038" i="1"/>
  <c r="C3038" i="1"/>
  <c r="H3037" i="1"/>
  <c r="F3037" i="1"/>
  <c r="D3037" i="1"/>
  <c r="C3037" i="1"/>
  <c r="H3036" i="1"/>
  <c r="F3036" i="1"/>
  <c r="D3036" i="1"/>
  <c r="C3036" i="1"/>
  <c r="H3035" i="1"/>
  <c r="F3035" i="1"/>
  <c r="D3035" i="1"/>
  <c r="C3035" i="1"/>
  <c r="H3034" i="1"/>
  <c r="F3034" i="1"/>
  <c r="D3034" i="1"/>
  <c r="C3034" i="1"/>
  <c r="H3033" i="1"/>
  <c r="F3033" i="1"/>
  <c r="D3033" i="1"/>
  <c r="C3033" i="1"/>
  <c r="H3032" i="1"/>
  <c r="F3032" i="1"/>
  <c r="D3032" i="1"/>
  <c r="C3032" i="1"/>
  <c r="H3031" i="1"/>
  <c r="F3031" i="1"/>
  <c r="D3031" i="1"/>
  <c r="C3031" i="1"/>
  <c r="H3030" i="1"/>
  <c r="F3030" i="1"/>
  <c r="D3030" i="1"/>
  <c r="C3030" i="1"/>
  <c r="H3029" i="1"/>
  <c r="F3029" i="1"/>
  <c r="D3029" i="1"/>
  <c r="C3029" i="1"/>
  <c r="H3028" i="1"/>
  <c r="F3028" i="1"/>
  <c r="D3028" i="1"/>
  <c r="C3028" i="1"/>
  <c r="H3027" i="1"/>
  <c r="F3027" i="1"/>
  <c r="D3027" i="1"/>
  <c r="C3027" i="1"/>
  <c r="H3026" i="1"/>
  <c r="F3026" i="1"/>
  <c r="D3026" i="1"/>
  <c r="C3026" i="1"/>
  <c r="H3025" i="1"/>
  <c r="F3025" i="1"/>
  <c r="D3025" i="1"/>
  <c r="C3025" i="1"/>
  <c r="H3024" i="1"/>
  <c r="F3024" i="1"/>
  <c r="D3024" i="1"/>
  <c r="C3024" i="1"/>
  <c r="H3023" i="1"/>
  <c r="F3023" i="1"/>
  <c r="D3023" i="1"/>
  <c r="C3023" i="1"/>
  <c r="H3022" i="1"/>
  <c r="F3022" i="1"/>
  <c r="D3022" i="1"/>
  <c r="C3022" i="1"/>
  <c r="H3021" i="1"/>
  <c r="F3021" i="1"/>
  <c r="D3021" i="1"/>
  <c r="C3021" i="1"/>
  <c r="H3020" i="1"/>
  <c r="F3020" i="1"/>
  <c r="D3020" i="1"/>
  <c r="C3020" i="1"/>
  <c r="H3019" i="1"/>
  <c r="F3019" i="1"/>
  <c r="D3019" i="1"/>
  <c r="C3019" i="1"/>
  <c r="H3018" i="1"/>
  <c r="F3018" i="1"/>
  <c r="D3018" i="1"/>
  <c r="C3018" i="1"/>
  <c r="H3017" i="1"/>
  <c r="F3017" i="1"/>
  <c r="D3017" i="1"/>
  <c r="C3017" i="1"/>
  <c r="H3016" i="1"/>
  <c r="F3016" i="1"/>
  <c r="D3016" i="1"/>
  <c r="C3016" i="1"/>
  <c r="H3015" i="1"/>
  <c r="F3015" i="1"/>
  <c r="D3015" i="1"/>
  <c r="C3015" i="1"/>
  <c r="H3014" i="1"/>
  <c r="F3014" i="1"/>
  <c r="D3014" i="1"/>
  <c r="C3014" i="1"/>
  <c r="H3013" i="1"/>
  <c r="F3013" i="1"/>
  <c r="D3013" i="1"/>
  <c r="C3013" i="1"/>
  <c r="H3012" i="1"/>
  <c r="F3012" i="1"/>
  <c r="D3012" i="1"/>
  <c r="C3012" i="1"/>
  <c r="H3011" i="1"/>
  <c r="F3011" i="1"/>
  <c r="D3011" i="1"/>
  <c r="C3011" i="1"/>
  <c r="H3010" i="1"/>
  <c r="F3010" i="1"/>
  <c r="D3010" i="1"/>
  <c r="C3010" i="1"/>
  <c r="H3009" i="1"/>
  <c r="F3009" i="1"/>
  <c r="D3009" i="1"/>
  <c r="C3009" i="1"/>
  <c r="H3008" i="1"/>
  <c r="F3008" i="1"/>
  <c r="D3008" i="1"/>
  <c r="C3008" i="1"/>
  <c r="H3007" i="1"/>
  <c r="F3007" i="1"/>
  <c r="D3007" i="1"/>
  <c r="C3007" i="1"/>
  <c r="H3006" i="1"/>
  <c r="F3006" i="1"/>
  <c r="D3006" i="1"/>
  <c r="C3006" i="1"/>
  <c r="H3005" i="1"/>
  <c r="F3005" i="1"/>
  <c r="D3005" i="1"/>
  <c r="C3005" i="1"/>
  <c r="H3004" i="1"/>
  <c r="F3004" i="1"/>
  <c r="D3004" i="1"/>
  <c r="C3004" i="1"/>
  <c r="H3003" i="1"/>
  <c r="F3003" i="1"/>
  <c r="D3003" i="1"/>
  <c r="C3003" i="1"/>
  <c r="H3002" i="1"/>
  <c r="F3002" i="1"/>
  <c r="D3002" i="1"/>
  <c r="C3002" i="1"/>
  <c r="H3001" i="1"/>
  <c r="F3001" i="1"/>
  <c r="D3001" i="1"/>
  <c r="C3001" i="1"/>
  <c r="H3000" i="1"/>
  <c r="F3000" i="1"/>
  <c r="D3000" i="1"/>
  <c r="C3000" i="1"/>
  <c r="H2999" i="1"/>
  <c r="F2999" i="1"/>
  <c r="D2999" i="1"/>
  <c r="C2999" i="1"/>
  <c r="H2998" i="1"/>
  <c r="F2998" i="1"/>
  <c r="D2998" i="1"/>
  <c r="C2998" i="1"/>
  <c r="H2997" i="1"/>
  <c r="F2997" i="1"/>
  <c r="D2997" i="1"/>
  <c r="C2997" i="1"/>
  <c r="H2996" i="1"/>
  <c r="F2996" i="1"/>
  <c r="D2996" i="1"/>
  <c r="C2996" i="1"/>
  <c r="H2995" i="1"/>
  <c r="F2995" i="1"/>
  <c r="D2995" i="1"/>
  <c r="C2995" i="1"/>
  <c r="H2994" i="1"/>
  <c r="F2994" i="1"/>
  <c r="D2994" i="1"/>
  <c r="C2994" i="1"/>
  <c r="H2993" i="1"/>
  <c r="F2993" i="1"/>
  <c r="D2993" i="1"/>
  <c r="C2993" i="1"/>
  <c r="H2992" i="1"/>
  <c r="F2992" i="1"/>
  <c r="D2992" i="1"/>
  <c r="C2992" i="1"/>
  <c r="H2991" i="1"/>
  <c r="F2991" i="1"/>
  <c r="D2991" i="1"/>
  <c r="C2991" i="1"/>
  <c r="H2990" i="1"/>
  <c r="F2990" i="1"/>
  <c r="D2990" i="1"/>
  <c r="C2990" i="1"/>
  <c r="H2989" i="1"/>
  <c r="F2989" i="1"/>
  <c r="D2989" i="1"/>
  <c r="C2989" i="1"/>
  <c r="H2988" i="1"/>
  <c r="F2988" i="1"/>
  <c r="D2988" i="1"/>
  <c r="C2988" i="1"/>
  <c r="H2987" i="1"/>
  <c r="F2987" i="1"/>
  <c r="D2987" i="1"/>
  <c r="C2987" i="1"/>
  <c r="H2986" i="1"/>
  <c r="F2986" i="1"/>
  <c r="D2986" i="1"/>
  <c r="C2986" i="1"/>
  <c r="H2985" i="1"/>
  <c r="F2985" i="1"/>
  <c r="D2985" i="1"/>
  <c r="C2985" i="1"/>
  <c r="H2984" i="1"/>
  <c r="F2984" i="1"/>
  <c r="D2984" i="1"/>
  <c r="C2984" i="1"/>
  <c r="H2983" i="1"/>
  <c r="F2983" i="1"/>
  <c r="D2983" i="1"/>
  <c r="C2983" i="1"/>
  <c r="H2982" i="1"/>
  <c r="F2982" i="1"/>
  <c r="D2982" i="1"/>
  <c r="C2982" i="1"/>
  <c r="H2981" i="1"/>
  <c r="F2981" i="1"/>
  <c r="D2981" i="1"/>
  <c r="C2981" i="1"/>
  <c r="H2980" i="1"/>
  <c r="F2980" i="1"/>
  <c r="D2980" i="1"/>
  <c r="C2980" i="1"/>
  <c r="H2979" i="1"/>
  <c r="F2979" i="1"/>
  <c r="D2979" i="1"/>
  <c r="C2979" i="1"/>
  <c r="H2978" i="1"/>
  <c r="F2978" i="1"/>
  <c r="D2978" i="1"/>
  <c r="C2978" i="1"/>
  <c r="H2977" i="1"/>
  <c r="F2977" i="1"/>
  <c r="D2977" i="1"/>
  <c r="C2977" i="1"/>
  <c r="H2976" i="1"/>
  <c r="F2976" i="1"/>
  <c r="D2976" i="1"/>
  <c r="C2976" i="1"/>
  <c r="H2975" i="1"/>
  <c r="F2975" i="1"/>
  <c r="D2975" i="1"/>
  <c r="C2975" i="1"/>
  <c r="H2974" i="1"/>
  <c r="F2974" i="1"/>
  <c r="D2974" i="1"/>
  <c r="C2974" i="1"/>
  <c r="H2973" i="1"/>
  <c r="F2973" i="1"/>
  <c r="D2973" i="1"/>
  <c r="C2973" i="1"/>
  <c r="H2972" i="1"/>
  <c r="F2972" i="1"/>
  <c r="D2972" i="1"/>
  <c r="C2972" i="1"/>
  <c r="H2971" i="1"/>
  <c r="F2971" i="1"/>
  <c r="D2971" i="1"/>
  <c r="C2971" i="1"/>
  <c r="H2970" i="1"/>
  <c r="F2970" i="1"/>
  <c r="D2970" i="1"/>
  <c r="C2970" i="1"/>
  <c r="H2969" i="1"/>
  <c r="F2969" i="1"/>
  <c r="D2969" i="1"/>
  <c r="C2969" i="1"/>
  <c r="H2968" i="1"/>
  <c r="F2968" i="1"/>
  <c r="D2968" i="1"/>
  <c r="C2968" i="1"/>
  <c r="H2967" i="1"/>
  <c r="F2967" i="1"/>
  <c r="D2967" i="1"/>
  <c r="C2967" i="1"/>
  <c r="H2966" i="1"/>
  <c r="F2966" i="1"/>
  <c r="D2966" i="1"/>
  <c r="C2966" i="1"/>
  <c r="H2965" i="1"/>
  <c r="F2965" i="1"/>
  <c r="D2965" i="1"/>
  <c r="C2965" i="1"/>
  <c r="H2964" i="1"/>
  <c r="F2964" i="1"/>
  <c r="D2964" i="1"/>
  <c r="C2964" i="1"/>
  <c r="H2963" i="1"/>
  <c r="F2963" i="1"/>
  <c r="D2963" i="1"/>
  <c r="C2963" i="1"/>
  <c r="H2962" i="1"/>
  <c r="F2962" i="1"/>
  <c r="D2962" i="1"/>
  <c r="C2962" i="1"/>
  <c r="H2961" i="1"/>
  <c r="F2961" i="1"/>
  <c r="D2961" i="1"/>
  <c r="C2961" i="1"/>
  <c r="H2960" i="1"/>
  <c r="F2960" i="1"/>
  <c r="D2960" i="1"/>
  <c r="C2960" i="1"/>
  <c r="H2959" i="1"/>
  <c r="F2959" i="1"/>
  <c r="D2959" i="1"/>
  <c r="C2959" i="1"/>
  <c r="H2958" i="1"/>
  <c r="F2958" i="1"/>
  <c r="D2958" i="1"/>
  <c r="C2958" i="1"/>
  <c r="H2957" i="1"/>
  <c r="F2957" i="1"/>
  <c r="D2957" i="1"/>
  <c r="C2957" i="1"/>
  <c r="H2956" i="1"/>
  <c r="F2956" i="1"/>
  <c r="D2956" i="1"/>
  <c r="C2956" i="1"/>
  <c r="H2955" i="1"/>
  <c r="F2955" i="1"/>
  <c r="D2955" i="1"/>
  <c r="C2955" i="1"/>
  <c r="H2954" i="1"/>
  <c r="F2954" i="1"/>
  <c r="D2954" i="1"/>
  <c r="C2954" i="1"/>
  <c r="H2953" i="1"/>
  <c r="F2953" i="1"/>
  <c r="D2953" i="1"/>
  <c r="C2953" i="1"/>
  <c r="H2952" i="1"/>
  <c r="F2952" i="1"/>
  <c r="D2952" i="1"/>
  <c r="C2952" i="1"/>
  <c r="H2951" i="1"/>
  <c r="F2951" i="1"/>
  <c r="D2951" i="1"/>
  <c r="C2951" i="1"/>
  <c r="H2950" i="1"/>
  <c r="F2950" i="1"/>
  <c r="D2950" i="1"/>
  <c r="C2950" i="1"/>
  <c r="H2949" i="1"/>
  <c r="F2949" i="1"/>
  <c r="D2949" i="1"/>
  <c r="C2949" i="1"/>
  <c r="H2948" i="1"/>
  <c r="F2948" i="1"/>
  <c r="D2948" i="1"/>
  <c r="C2948" i="1"/>
  <c r="H2947" i="1"/>
  <c r="F2947" i="1"/>
  <c r="D2947" i="1"/>
  <c r="C2947" i="1"/>
  <c r="H2946" i="1"/>
  <c r="F2946" i="1"/>
  <c r="D2946" i="1"/>
  <c r="C2946" i="1"/>
  <c r="H2945" i="1"/>
  <c r="F2945" i="1"/>
  <c r="D2945" i="1"/>
  <c r="C2945" i="1"/>
  <c r="H2944" i="1"/>
  <c r="F2944" i="1"/>
  <c r="D2944" i="1"/>
  <c r="C2944" i="1"/>
  <c r="H2943" i="1"/>
  <c r="F2943" i="1"/>
  <c r="D2943" i="1"/>
  <c r="C2943" i="1"/>
  <c r="H2942" i="1"/>
  <c r="F2942" i="1"/>
  <c r="D2942" i="1"/>
  <c r="C2942" i="1"/>
  <c r="H2941" i="1"/>
  <c r="F2941" i="1"/>
  <c r="D2941" i="1"/>
  <c r="C2941" i="1"/>
  <c r="H2940" i="1"/>
  <c r="F2940" i="1"/>
  <c r="D2940" i="1"/>
  <c r="C2940" i="1"/>
  <c r="H2939" i="1"/>
  <c r="F2939" i="1"/>
  <c r="D2939" i="1"/>
  <c r="C2939" i="1"/>
  <c r="H2938" i="1"/>
  <c r="F2938" i="1"/>
  <c r="D2938" i="1"/>
  <c r="C2938" i="1"/>
  <c r="H2937" i="1"/>
  <c r="F2937" i="1"/>
  <c r="D2937" i="1"/>
  <c r="C2937" i="1"/>
  <c r="H2936" i="1"/>
  <c r="F2936" i="1"/>
  <c r="D2936" i="1"/>
  <c r="C2936" i="1"/>
  <c r="H2935" i="1"/>
  <c r="F2935" i="1"/>
  <c r="D2935" i="1"/>
  <c r="C2935" i="1"/>
  <c r="H2934" i="1"/>
  <c r="F2934" i="1"/>
  <c r="D2934" i="1"/>
  <c r="C2934" i="1"/>
  <c r="H2933" i="1"/>
  <c r="F2933" i="1"/>
  <c r="D2933" i="1"/>
  <c r="C2933" i="1"/>
  <c r="H2932" i="1"/>
  <c r="F2932" i="1"/>
  <c r="D2932" i="1"/>
  <c r="C2932" i="1"/>
  <c r="H2931" i="1"/>
  <c r="F2931" i="1"/>
  <c r="D2931" i="1"/>
  <c r="C2931" i="1"/>
  <c r="H2930" i="1"/>
  <c r="F2930" i="1"/>
  <c r="D2930" i="1"/>
  <c r="C2930" i="1"/>
  <c r="H2929" i="1"/>
  <c r="F2929" i="1"/>
  <c r="D2929" i="1"/>
  <c r="C2929" i="1"/>
  <c r="H2928" i="1"/>
  <c r="F2928" i="1"/>
  <c r="D2928" i="1"/>
  <c r="C2928" i="1"/>
  <c r="H2927" i="1"/>
  <c r="F2927" i="1"/>
  <c r="D2927" i="1"/>
  <c r="C2927" i="1"/>
  <c r="H2926" i="1"/>
  <c r="F2926" i="1"/>
  <c r="D2926" i="1"/>
  <c r="C2926" i="1"/>
  <c r="H2925" i="1"/>
  <c r="F2925" i="1"/>
  <c r="D2925" i="1"/>
  <c r="C2925" i="1"/>
  <c r="H2924" i="1"/>
  <c r="F2924" i="1"/>
  <c r="D2924" i="1"/>
  <c r="C2924" i="1"/>
  <c r="H2923" i="1"/>
  <c r="F2923" i="1"/>
  <c r="D2923" i="1"/>
  <c r="C2923" i="1"/>
  <c r="H2922" i="1"/>
  <c r="F2922" i="1"/>
  <c r="D2922" i="1"/>
  <c r="C2922" i="1"/>
  <c r="H2921" i="1"/>
  <c r="F2921" i="1"/>
  <c r="D2921" i="1"/>
  <c r="C2921" i="1"/>
  <c r="H2920" i="1"/>
  <c r="F2920" i="1"/>
  <c r="D2920" i="1"/>
  <c r="C2920" i="1"/>
  <c r="H2919" i="1"/>
  <c r="F2919" i="1"/>
  <c r="D2919" i="1"/>
  <c r="C2919" i="1"/>
  <c r="H2918" i="1"/>
  <c r="F2918" i="1"/>
  <c r="D2918" i="1"/>
  <c r="C2918" i="1"/>
  <c r="H2917" i="1"/>
  <c r="F2917" i="1"/>
  <c r="D2917" i="1"/>
  <c r="C2917" i="1"/>
  <c r="H2916" i="1"/>
  <c r="F2916" i="1"/>
  <c r="D2916" i="1"/>
  <c r="C2916" i="1"/>
  <c r="H2915" i="1"/>
  <c r="F2915" i="1"/>
  <c r="D2915" i="1"/>
  <c r="C2915" i="1"/>
  <c r="H2914" i="1"/>
  <c r="F2914" i="1"/>
  <c r="D2914" i="1"/>
  <c r="C2914" i="1"/>
  <c r="H2913" i="1"/>
  <c r="F2913" i="1"/>
  <c r="D2913" i="1"/>
  <c r="C2913" i="1"/>
  <c r="H2912" i="1"/>
  <c r="F2912" i="1"/>
  <c r="D2912" i="1"/>
  <c r="C2912" i="1"/>
  <c r="H2911" i="1"/>
  <c r="F2911" i="1"/>
  <c r="D2911" i="1"/>
  <c r="C2911" i="1"/>
  <c r="H2910" i="1"/>
  <c r="F2910" i="1"/>
  <c r="D2910" i="1"/>
  <c r="C2910" i="1"/>
  <c r="H2909" i="1"/>
  <c r="F2909" i="1"/>
  <c r="D2909" i="1"/>
  <c r="C2909" i="1"/>
  <c r="H2908" i="1"/>
  <c r="F2908" i="1"/>
  <c r="D2908" i="1"/>
  <c r="C2908" i="1"/>
  <c r="H2907" i="1"/>
  <c r="F2907" i="1"/>
  <c r="D2907" i="1"/>
  <c r="C2907" i="1"/>
  <c r="H2906" i="1"/>
  <c r="F2906" i="1"/>
  <c r="D2906" i="1"/>
  <c r="C2906" i="1"/>
  <c r="H2905" i="1"/>
  <c r="F2905" i="1"/>
  <c r="D2905" i="1"/>
  <c r="C2905" i="1"/>
  <c r="H2904" i="1"/>
  <c r="F2904" i="1"/>
  <c r="D2904" i="1"/>
  <c r="C2904" i="1"/>
  <c r="H2903" i="1"/>
  <c r="F2903" i="1"/>
  <c r="D2903" i="1"/>
  <c r="C2903" i="1"/>
  <c r="H2902" i="1"/>
  <c r="F2902" i="1"/>
  <c r="D2902" i="1"/>
  <c r="C2902" i="1"/>
  <c r="H2901" i="1"/>
  <c r="F2901" i="1"/>
  <c r="D2901" i="1"/>
  <c r="C2901" i="1"/>
  <c r="H2900" i="1"/>
  <c r="F2900" i="1"/>
  <c r="D2900" i="1"/>
  <c r="C2900" i="1"/>
  <c r="H2899" i="1"/>
  <c r="F2899" i="1"/>
  <c r="D2899" i="1"/>
  <c r="C2899" i="1"/>
  <c r="H2898" i="1"/>
  <c r="F2898" i="1"/>
  <c r="D2898" i="1"/>
  <c r="C2898" i="1"/>
  <c r="H2897" i="1"/>
  <c r="F2897" i="1"/>
  <c r="D2897" i="1"/>
  <c r="C2897" i="1"/>
  <c r="H2896" i="1"/>
  <c r="F2896" i="1"/>
  <c r="D2896" i="1"/>
  <c r="C2896" i="1"/>
  <c r="H2895" i="1"/>
  <c r="F2895" i="1"/>
  <c r="D2895" i="1"/>
  <c r="C2895" i="1"/>
  <c r="H2894" i="1"/>
  <c r="F2894" i="1"/>
  <c r="D2894" i="1"/>
  <c r="C2894" i="1"/>
  <c r="H2893" i="1"/>
  <c r="F2893" i="1"/>
  <c r="D2893" i="1"/>
  <c r="C2893" i="1"/>
  <c r="H2892" i="1"/>
  <c r="F2892" i="1"/>
  <c r="D2892" i="1"/>
  <c r="C2892" i="1"/>
  <c r="H2891" i="1"/>
  <c r="F2891" i="1"/>
  <c r="D2891" i="1"/>
  <c r="C2891" i="1"/>
  <c r="H2890" i="1"/>
  <c r="F2890" i="1"/>
  <c r="D2890" i="1"/>
  <c r="C2890" i="1"/>
  <c r="H2889" i="1"/>
  <c r="F2889" i="1"/>
  <c r="D2889" i="1"/>
  <c r="C2889" i="1"/>
  <c r="H2888" i="1"/>
  <c r="F2888" i="1"/>
  <c r="D2888" i="1"/>
  <c r="C2888" i="1"/>
  <c r="H2887" i="1"/>
  <c r="F2887" i="1"/>
  <c r="D2887" i="1"/>
  <c r="C2887" i="1"/>
  <c r="H2886" i="1"/>
  <c r="F2886" i="1"/>
  <c r="D2886" i="1"/>
  <c r="C2886" i="1"/>
  <c r="H2885" i="1"/>
  <c r="F2885" i="1"/>
  <c r="D2885" i="1"/>
  <c r="C2885" i="1"/>
  <c r="H2884" i="1"/>
  <c r="F2884" i="1"/>
  <c r="D2884" i="1"/>
  <c r="C2884" i="1"/>
  <c r="H2883" i="1"/>
  <c r="F2883" i="1"/>
  <c r="D2883" i="1"/>
  <c r="C2883" i="1"/>
  <c r="H2882" i="1"/>
  <c r="F2882" i="1"/>
  <c r="D2882" i="1"/>
  <c r="C2882" i="1"/>
  <c r="H2881" i="1"/>
  <c r="F2881" i="1"/>
  <c r="D2881" i="1"/>
  <c r="C2881" i="1"/>
  <c r="H2880" i="1"/>
  <c r="F2880" i="1"/>
  <c r="D2880" i="1"/>
  <c r="C2880" i="1"/>
  <c r="H2879" i="1"/>
  <c r="F2879" i="1"/>
  <c r="D2879" i="1"/>
  <c r="C2879" i="1"/>
  <c r="H2878" i="1"/>
  <c r="F2878" i="1"/>
  <c r="D2878" i="1"/>
  <c r="C2878" i="1"/>
  <c r="H2877" i="1"/>
  <c r="F2877" i="1"/>
  <c r="D2877" i="1"/>
  <c r="C2877" i="1"/>
  <c r="H2876" i="1"/>
  <c r="F2876" i="1"/>
  <c r="D2876" i="1"/>
  <c r="C2876" i="1"/>
  <c r="H2875" i="1"/>
  <c r="F2875" i="1"/>
  <c r="D2875" i="1"/>
  <c r="C2875" i="1"/>
  <c r="H2874" i="1"/>
  <c r="F2874" i="1"/>
  <c r="D2874" i="1"/>
  <c r="C2874" i="1"/>
  <c r="H2873" i="1"/>
  <c r="F2873" i="1"/>
  <c r="D2873" i="1"/>
  <c r="C2873" i="1"/>
  <c r="H2872" i="1"/>
  <c r="F2872" i="1"/>
  <c r="D2872" i="1"/>
  <c r="C2872" i="1"/>
  <c r="H2871" i="1"/>
  <c r="F2871" i="1"/>
  <c r="D2871" i="1"/>
  <c r="C2871" i="1"/>
  <c r="H2870" i="1"/>
  <c r="F2870" i="1"/>
  <c r="D2870" i="1"/>
  <c r="C2870" i="1"/>
  <c r="H2869" i="1"/>
  <c r="F2869" i="1"/>
  <c r="D2869" i="1"/>
  <c r="C2869" i="1"/>
  <c r="H2868" i="1"/>
  <c r="F2868" i="1"/>
  <c r="D2868" i="1"/>
  <c r="C2868" i="1"/>
  <c r="H2867" i="1"/>
  <c r="F2867" i="1"/>
  <c r="D2867" i="1"/>
  <c r="C2867" i="1"/>
  <c r="H2866" i="1"/>
  <c r="F2866" i="1"/>
  <c r="D2866" i="1"/>
  <c r="C2866" i="1"/>
  <c r="H2865" i="1"/>
  <c r="F2865" i="1"/>
  <c r="D2865" i="1"/>
  <c r="C2865" i="1"/>
  <c r="H2864" i="1"/>
  <c r="F2864" i="1"/>
  <c r="D2864" i="1"/>
  <c r="C2864" i="1"/>
  <c r="H2863" i="1"/>
  <c r="F2863" i="1"/>
  <c r="D2863" i="1"/>
  <c r="C2863" i="1"/>
  <c r="H2862" i="1"/>
  <c r="F2862" i="1"/>
  <c r="D2862" i="1"/>
  <c r="C2862" i="1"/>
  <c r="H2861" i="1"/>
  <c r="F2861" i="1"/>
  <c r="D2861" i="1"/>
  <c r="C2861" i="1"/>
  <c r="H2860" i="1"/>
  <c r="F2860" i="1"/>
  <c r="D2860" i="1"/>
  <c r="C2860" i="1"/>
  <c r="H2859" i="1"/>
  <c r="F2859" i="1"/>
  <c r="D2859" i="1"/>
  <c r="C2859" i="1"/>
  <c r="H2858" i="1"/>
  <c r="F2858" i="1"/>
  <c r="D2858" i="1"/>
  <c r="C2858" i="1"/>
  <c r="H2857" i="1"/>
  <c r="F2857" i="1"/>
  <c r="D2857" i="1"/>
  <c r="C2857" i="1"/>
  <c r="H2856" i="1"/>
  <c r="F2856" i="1"/>
  <c r="D2856" i="1"/>
  <c r="C2856" i="1"/>
  <c r="H2855" i="1"/>
  <c r="F2855" i="1"/>
  <c r="D2855" i="1"/>
  <c r="C2855" i="1"/>
  <c r="H2854" i="1"/>
  <c r="F2854" i="1"/>
  <c r="D2854" i="1"/>
  <c r="C2854" i="1"/>
  <c r="H2853" i="1"/>
  <c r="F2853" i="1"/>
  <c r="D2853" i="1"/>
  <c r="C2853" i="1"/>
  <c r="H2852" i="1"/>
  <c r="F2852" i="1"/>
  <c r="D2852" i="1"/>
  <c r="C2852" i="1"/>
  <c r="H2851" i="1"/>
  <c r="F2851" i="1"/>
  <c r="D2851" i="1"/>
  <c r="C2851" i="1"/>
  <c r="H2850" i="1"/>
  <c r="F2850" i="1"/>
  <c r="D2850" i="1"/>
  <c r="C2850" i="1"/>
  <c r="H2849" i="1"/>
  <c r="F2849" i="1"/>
  <c r="D2849" i="1"/>
  <c r="C2849" i="1"/>
  <c r="H2848" i="1"/>
  <c r="F2848" i="1"/>
  <c r="D2848" i="1"/>
  <c r="C2848" i="1"/>
  <c r="H2847" i="1"/>
  <c r="F2847" i="1"/>
  <c r="D2847" i="1"/>
  <c r="C2847" i="1"/>
  <c r="H2846" i="1"/>
  <c r="F2846" i="1"/>
  <c r="D2846" i="1"/>
  <c r="C2846" i="1"/>
  <c r="H2845" i="1"/>
  <c r="F2845" i="1"/>
  <c r="D2845" i="1"/>
  <c r="C2845" i="1"/>
  <c r="H2844" i="1"/>
  <c r="F2844" i="1"/>
  <c r="D2844" i="1"/>
  <c r="C2844" i="1"/>
  <c r="H2843" i="1"/>
  <c r="F2843" i="1"/>
  <c r="D2843" i="1"/>
  <c r="C2843" i="1"/>
  <c r="H2842" i="1"/>
  <c r="F2842" i="1"/>
  <c r="D2842" i="1"/>
  <c r="C2842" i="1"/>
  <c r="H2841" i="1"/>
  <c r="F2841" i="1"/>
  <c r="D2841" i="1"/>
  <c r="C2841" i="1"/>
  <c r="H2840" i="1"/>
  <c r="F2840" i="1"/>
  <c r="D2840" i="1"/>
  <c r="C2840" i="1"/>
  <c r="H2839" i="1"/>
  <c r="F2839" i="1"/>
  <c r="D2839" i="1"/>
  <c r="C2839" i="1"/>
  <c r="H2838" i="1"/>
  <c r="F2838" i="1"/>
  <c r="D2838" i="1"/>
  <c r="C2838" i="1"/>
  <c r="H2837" i="1"/>
  <c r="F2837" i="1"/>
  <c r="D2837" i="1"/>
  <c r="C2837" i="1"/>
  <c r="H2836" i="1"/>
  <c r="F2836" i="1"/>
  <c r="D2836" i="1"/>
  <c r="C2836" i="1"/>
  <c r="H2835" i="1"/>
  <c r="F2835" i="1"/>
  <c r="D2835" i="1"/>
  <c r="C2835" i="1"/>
  <c r="H2834" i="1"/>
  <c r="F2834" i="1"/>
  <c r="D2834" i="1"/>
  <c r="C2834" i="1"/>
  <c r="H2833" i="1"/>
  <c r="F2833" i="1"/>
  <c r="D2833" i="1"/>
  <c r="C2833" i="1"/>
  <c r="H2832" i="1"/>
  <c r="F2832" i="1"/>
  <c r="D2832" i="1"/>
  <c r="C2832" i="1"/>
  <c r="H2831" i="1"/>
  <c r="F2831" i="1"/>
  <c r="D2831" i="1"/>
  <c r="C2831" i="1"/>
  <c r="H2830" i="1"/>
  <c r="F2830" i="1"/>
  <c r="D2830" i="1"/>
  <c r="C2830" i="1"/>
  <c r="H2829" i="1"/>
  <c r="F2829" i="1"/>
  <c r="D2829" i="1"/>
  <c r="C2829" i="1"/>
  <c r="H2828" i="1"/>
  <c r="F2828" i="1"/>
  <c r="D2828" i="1"/>
  <c r="C2828" i="1"/>
  <c r="H2827" i="1"/>
  <c r="F2827" i="1"/>
  <c r="D2827" i="1"/>
  <c r="C2827" i="1"/>
  <c r="H2826" i="1"/>
  <c r="F2826" i="1"/>
  <c r="D2826" i="1"/>
  <c r="C2826" i="1"/>
  <c r="H2825" i="1"/>
  <c r="F2825" i="1"/>
  <c r="D2825" i="1"/>
  <c r="C2825" i="1"/>
  <c r="H2824" i="1"/>
  <c r="F2824" i="1"/>
  <c r="D2824" i="1"/>
  <c r="C2824" i="1"/>
  <c r="H2823" i="1"/>
  <c r="F2823" i="1"/>
  <c r="D2823" i="1"/>
  <c r="C2823" i="1"/>
  <c r="H2822" i="1"/>
  <c r="F2822" i="1"/>
  <c r="D2822" i="1"/>
  <c r="C2822" i="1"/>
  <c r="H2821" i="1"/>
  <c r="F2821" i="1"/>
  <c r="D2821" i="1"/>
  <c r="C2821" i="1"/>
  <c r="H2820" i="1"/>
  <c r="F2820" i="1"/>
  <c r="D2820" i="1"/>
  <c r="C2820" i="1"/>
  <c r="H2819" i="1"/>
  <c r="F2819" i="1"/>
  <c r="D2819" i="1"/>
  <c r="C2819" i="1"/>
  <c r="H2818" i="1"/>
  <c r="F2818" i="1"/>
  <c r="D2818" i="1"/>
  <c r="C2818" i="1"/>
  <c r="H2817" i="1"/>
  <c r="F2817" i="1"/>
  <c r="D2817" i="1"/>
  <c r="C2817" i="1"/>
  <c r="H2816" i="1"/>
  <c r="F2816" i="1"/>
  <c r="D2816" i="1"/>
  <c r="C2816" i="1"/>
  <c r="H2815" i="1"/>
  <c r="F2815" i="1"/>
  <c r="D2815" i="1"/>
  <c r="C2815" i="1"/>
  <c r="H2814" i="1"/>
  <c r="F2814" i="1"/>
  <c r="D2814" i="1"/>
  <c r="C2814" i="1"/>
  <c r="H2813" i="1"/>
  <c r="F2813" i="1"/>
  <c r="D2813" i="1"/>
  <c r="C2813" i="1"/>
  <c r="H2812" i="1"/>
  <c r="F2812" i="1"/>
  <c r="D2812" i="1"/>
  <c r="C2812" i="1"/>
  <c r="H2811" i="1"/>
  <c r="F2811" i="1"/>
  <c r="D2811" i="1"/>
  <c r="C2811" i="1"/>
  <c r="H2810" i="1"/>
  <c r="F2810" i="1"/>
  <c r="D2810" i="1"/>
  <c r="C2810" i="1"/>
  <c r="H2809" i="1"/>
  <c r="F2809" i="1"/>
  <c r="D2809" i="1"/>
  <c r="C2809" i="1"/>
  <c r="H2808" i="1"/>
  <c r="F2808" i="1"/>
  <c r="D2808" i="1"/>
  <c r="C2808" i="1"/>
  <c r="H2807" i="1"/>
  <c r="F2807" i="1"/>
  <c r="D2807" i="1"/>
  <c r="C2807" i="1"/>
  <c r="H2806" i="1"/>
  <c r="F2806" i="1"/>
  <c r="D2806" i="1"/>
  <c r="C2806" i="1"/>
  <c r="H2805" i="1"/>
  <c r="F2805" i="1"/>
  <c r="D2805" i="1"/>
  <c r="C2805" i="1"/>
  <c r="H2804" i="1"/>
  <c r="F2804" i="1"/>
  <c r="D2804" i="1"/>
  <c r="C2804" i="1"/>
  <c r="H2803" i="1"/>
  <c r="F2803" i="1"/>
  <c r="D2803" i="1"/>
  <c r="C2803" i="1"/>
  <c r="H2802" i="1"/>
  <c r="F2802" i="1"/>
  <c r="D2802" i="1"/>
  <c r="C2802" i="1"/>
  <c r="H2801" i="1"/>
  <c r="F2801" i="1"/>
  <c r="D2801" i="1"/>
  <c r="C2801" i="1"/>
  <c r="H2800" i="1"/>
  <c r="F2800" i="1"/>
  <c r="D2800" i="1"/>
  <c r="C2800" i="1"/>
  <c r="H2799" i="1"/>
  <c r="F2799" i="1"/>
  <c r="D2799" i="1"/>
  <c r="C2799" i="1"/>
  <c r="H2798" i="1"/>
  <c r="F2798" i="1"/>
  <c r="D2798" i="1"/>
  <c r="C2798" i="1"/>
  <c r="H2797" i="1"/>
  <c r="F2797" i="1"/>
  <c r="D2797" i="1"/>
  <c r="C2797" i="1"/>
  <c r="H2796" i="1"/>
  <c r="F2796" i="1"/>
  <c r="D2796" i="1"/>
  <c r="C2796" i="1"/>
  <c r="H2795" i="1"/>
  <c r="F2795" i="1"/>
  <c r="D2795" i="1"/>
  <c r="C2795" i="1"/>
  <c r="H2794" i="1"/>
  <c r="F2794" i="1"/>
  <c r="D2794" i="1"/>
  <c r="C2794" i="1"/>
  <c r="H2793" i="1"/>
  <c r="F2793" i="1"/>
  <c r="D2793" i="1"/>
  <c r="C2793" i="1"/>
  <c r="H2792" i="1"/>
  <c r="F2792" i="1"/>
  <c r="D2792" i="1"/>
  <c r="C2792" i="1"/>
  <c r="H2791" i="1"/>
  <c r="F2791" i="1"/>
  <c r="D2791" i="1"/>
  <c r="C2791" i="1"/>
  <c r="H2790" i="1"/>
  <c r="F2790" i="1"/>
  <c r="D2790" i="1"/>
  <c r="C2790" i="1"/>
  <c r="H2789" i="1"/>
  <c r="F2789" i="1"/>
  <c r="D2789" i="1"/>
  <c r="C2789" i="1"/>
  <c r="H2788" i="1"/>
  <c r="F2788" i="1"/>
  <c r="D2788" i="1"/>
  <c r="C2788" i="1"/>
  <c r="H2787" i="1"/>
  <c r="F2787" i="1"/>
  <c r="D2787" i="1"/>
  <c r="C2787" i="1"/>
  <c r="H2786" i="1"/>
  <c r="F2786" i="1"/>
  <c r="D2786" i="1"/>
  <c r="C2786" i="1"/>
  <c r="H2785" i="1"/>
  <c r="F2785" i="1"/>
  <c r="D2785" i="1"/>
  <c r="C2785" i="1"/>
  <c r="H2784" i="1"/>
  <c r="F2784" i="1"/>
  <c r="D2784" i="1"/>
  <c r="C2784" i="1"/>
  <c r="H2783" i="1"/>
  <c r="F2783" i="1"/>
  <c r="D2783" i="1"/>
  <c r="C2783" i="1"/>
  <c r="H2782" i="1"/>
  <c r="F2782" i="1"/>
  <c r="D2782" i="1"/>
  <c r="C2782" i="1"/>
  <c r="H2781" i="1"/>
  <c r="F2781" i="1"/>
  <c r="D2781" i="1"/>
  <c r="C2781" i="1"/>
  <c r="H2780" i="1"/>
  <c r="F2780" i="1"/>
  <c r="D2780" i="1"/>
  <c r="C2780" i="1"/>
  <c r="H2779" i="1"/>
  <c r="F2779" i="1"/>
  <c r="D2779" i="1"/>
  <c r="C2779" i="1"/>
  <c r="H2778" i="1"/>
  <c r="F2778" i="1"/>
  <c r="D2778" i="1"/>
  <c r="C2778" i="1"/>
  <c r="H2777" i="1"/>
  <c r="F2777" i="1"/>
  <c r="D2777" i="1"/>
  <c r="C2777" i="1"/>
  <c r="H2776" i="1"/>
  <c r="F2776" i="1"/>
  <c r="D2776" i="1"/>
  <c r="C2776" i="1"/>
  <c r="H2775" i="1"/>
  <c r="F2775" i="1"/>
  <c r="D2775" i="1"/>
  <c r="C2775" i="1"/>
  <c r="H2774" i="1"/>
  <c r="F2774" i="1"/>
  <c r="D2774" i="1"/>
  <c r="C2774" i="1"/>
  <c r="H2773" i="1"/>
  <c r="F2773" i="1"/>
  <c r="D2773" i="1"/>
  <c r="C2773" i="1"/>
  <c r="H2772" i="1"/>
  <c r="F2772" i="1"/>
  <c r="D2772" i="1"/>
  <c r="C2772" i="1"/>
  <c r="H2771" i="1"/>
  <c r="F2771" i="1"/>
  <c r="D2771" i="1"/>
  <c r="C2771" i="1"/>
  <c r="H2770" i="1"/>
  <c r="F2770" i="1"/>
  <c r="D2770" i="1"/>
  <c r="C2770" i="1"/>
  <c r="H2769" i="1"/>
  <c r="F2769" i="1"/>
  <c r="D2769" i="1"/>
  <c r="C2769" i="1"/>
  <c r="H2768" i="1"/>
  <c r="F2768" i="1"/>
  <c r="D2768" i="1"/>
  <c r="C2768" i="1"/>
  <c r="H2767" i="1"/>
  <c r="F2767" i="1"/>
  <c r="D2767" i="1"/>
  <c r="C2767" i="1"/>
  <c r="H2766" i="1"/>
  <c r="F2766" i="1"/>
  <c r="D2766" i="1"/>
  <c r="C2766" i="1"/>
  <c r="H2765" i="1"/>
  <c r="F2765" i="1"/>
  <c r="D2765" i="1"/>
  <c r="C2765" i="1"/>
  <c r="H2764" i="1"/>
  <c r="F2764" i="1"/>
  <c r="D2764" i="1"/>
  <c r="C2764" i="1"/>
  <c r="H2763" i="1"/>
  <c r="F2763" i="1"/>
  <c r="D2763" i="1"/>
  <c r="C2763" i="1"/>
  <c r="H2762" i="1"/>
  <c r="F2762" i="1"/>
  <c r="D2762" i="1"/>
  <c r="C2762" i="1"/>
  <c r="H2761" i="1"/>
  <c r="F2761" i="1"/>
  <c r="D2761" i="1"/>
  <c r="C2761" i="1"/>
  <c r="H2760" i="1"/>
  <c r="F2760" i="1"/>
  <c r="D2760" i="1"/>
  <c r="C2760" i="1"/>
  <c r="H2759" i="1"/>
  <c r="F2759" i="1"/>
  <c r="D2759" i="1"/>
  <c r="C2759" i="1"/>
  <c r="H2758" i="1"/>
  <c r="F2758" i="1"/>
  <c r="D2758" i="1"/>
  <c r="C2758" i="1"/>
  <c r="H2757" i="1"/>
  <c r="F2757" i="1"/>
  <c r="D2757" i="1"/>
  <c r="C2757" i="1"/>
  <c r="H2756" i="1"/>
  <c r="F2756" i="1"/>
  <c r="D2756" i="1"/>
  <c r="C2756" i="1"/>
  <c r="H2755" i="1"/>
  <c r="F2755" i="1"/>
  <c r="D2755" i="1"/>
  <c r="C2755" i="1"/>
  <c r="H2754" i="1"/>
  <c r="F2754" i="1"/>
  <c r="D2754" i="1"/>
  <c r="C2754" i="1"/>
  <c r="H2753" i="1"/>
  <c r="F2753" i="1"/>
  <c r="D2753" i="1"/>
  <c r="C2753" i="1"/>
  <c r="H2752" i="1"/>
  <c r="F2752" i="1"/>
  <c r="D2752" i="1"/>
  <c r="C2752" i="1"/>
  <c r="H2751" i="1"/>
  <c r="F2751" i="1"/>
  <c r="D2751" i="1"/>
  <c r="C2751" i="1"/>
  <c r="H2750" i="1"/>
  <c r="F2750" i="1"/>
  <c r="D2750" i="1"/>
  <c r="C2750" i="1"/>
  <c r="H2749" i="1"/>
  <c r="F2749" i="1"/>
  <c r="D2749" i="1"/>
  <c r="C2749" i="1"/>
  <c r="H2748" i="1"/>
  <c r="F2748" i="1"/>
  <c r="D2748" i="1"/>
  <c r="C2748" i="1"/>
  <c r="H2747" i="1"/>
  <c r="F2747" i="1"/>
  <c r="D2747" i="1"/>
  <c r="C2747" i="1"/>
  <c r="H2746" i="1"/>
  <c r="F2746" i="1"/>
  <c r="D2746" i="1"/>
  <c r="C2746" i="1"/>
  <c r="H2745" i="1"/>
  <c r="F2745" i="1"/>
  <c r="D2745" i="1"/>
  <c r="C2745" i="1"/>
  <c r="H2744" i="1"/>
  <c r="F2744" i="1"/>
  <c r="D2744" i="1"/>
  <c r="C2744" i="1"/>
  <c r="H2743" i="1"/>
  <c r="F2743" i="1"/>
  <c r="D2743" i="1"/>
  <c r="C2743" i="1"/>
  <c r="H2742" i="1"/>
  <c r="F2742" i="1"/>
  <c r="D2742" i="1"/>
  <c r="C2742" i="1"/>
  <c r="H2741" i="1"/>
  <c r="F2741" i="1"/>
  <c r="D2741" i="1"/>
  <c r="C2741" i="1"/>
  <c r="H2740" i="1"/>
  <c r="F2740" i="1"/>
  <c r="D2740" i="1"/>
  <c r="C2740" i="1"/>
  <c r="H2739" i="1"/>
  <c r="F2739" i="1"/>
  <c r="D2739" i="1"/>
  <c r="C2739" i="1"/>
  <c r="H2738" i="1"/>
  <c r="F2738" i="1"/>
  <c r="D2738" i="1"/>
  <c r="C2738" i="1"/>
  <c r="H2737" i="1"/>
  <c r="F2737" i="1"/>
  <c r="D2737" i="1"/>
  <c r="C2737" i="1"/>
  <c r="H2736" i="1"/>
  <c r="F2736" i="1"/>
  <c r="D2736" i="1"/>
  <c r="C2736" i="1"/>
  <c r="H2735" i="1"/>
  <c r="F2735" i="1"/>
  <c r="D2735" i="1"/>
  <c r="C2735" i="1"/>
  <c r="H2734" i="1"/>
  <c r="F2734" i="1"/>
  <c r="D2734" i="1"/>
  <c r="C2734" i="1"/>
  <c r="H2733" i="1"/>
  <c r="F2733" i="1"/>
  <c r="D2733" i="1"/>
  <c r="C2733" i="1"/>
  <c r="H2732" i="1"/>
  <c r="F2732" i="1"/>
  <c r="D2732" i="1"/>
  <c r="C2732" i="1"/>
  <c r="H2731" i="1"/>
  <c r="F2731" i="1"/>
  <c r="D2731" i="1"/>
  <c r="C2731" i="1"/>
  <c r="H2730" i="1"/>
  <c r="F2730" i="1"/>
  <c r="D2730" i="1"/>
  <c r="C2730" i="1"/>
  <c r="H2729" i="1"/>
  <c r="F2729" i="1"/>
  <c r="D2729" i="1"/>
  <c r="C2729" i="1"/>
  <c r="H2728" i="1"/>
  <c r="F2728" i="1"/>
  <c r="D2728" i="1"/>
  <c r="C2728" i="1"/>
  <c r="H2727" i="1"/>
  <c r="F2727" i="1"/>
  <c r="D2727" i="1"/>
  <c r="C2727" i="1"/>
  <c r="H2726" i="1"/>
  <c r="F2726" i="1"/>
  <c r="D2726" i="1"/>
  <c r="C2726" i="1"/>
  <c r="H2725" i="1"/>
  <c r="F2725" i="1"/>
  <c r="D2725" i="1"/>
  <c r="C2725" i="1"/>
  <c r="H2724" i="1"/>
  <c r="F2724" i="1"/>
  <c r="D2724" i="1"/>
  <c r="C2724" i="1"/>
  <c r="H2723" i="1"/>
  <c r="F2723" i="1"/>
  <c r="D2723" i="1"/>
  <c r="C2723" i="1"/>
  <c r="H2722" i="1"/>
  <c r="F2722" i="1"/>
  <c r="D2722" i="1"/>
  <c r="C2722" i="1"/>
  <c r="H2721" i="1"/>
  <c r="F2721" i="1"/>
  <c r="D2721" i="1"/>
  <c r="C2721" i="1"/>
  <c r="H2720" i="1"/>
  <c r="F2720" i="1"/>
  <c r="D2720" i="1"/>
  <c r="C2720" i="1"/>
  <c r="H2719" i="1"/>
  <c r="F2719" i="1"/>
  <c r="D2719" i="1"/>
  <c r="C2719" i="1"/>
  <c r="H2718" i="1"/>
  <c r="F2718" i="1"/>
  <c r="D2718" i="1"/>
  <c r="C2718" i="1"/>
  <c r="H2717" i="1"/>
  <c r="F2717" i="1"/>
  <c r="D2717" i="1"/>
  <c r="C2717" i="1"/>
  <c r="H2716" i="1"/>
  <c r="F2716" i="1"/>
  <c r="D2716" i="1"/>
  <c r="C2716" i="1"/>
  <c r="H2715" i="1"/>
  <c r="F2715" i="1"/>
  <c r="D2715" i="1"/>
  <c r="C2715" i="1"/>
  <c r="H2714" i="1"/>
  <c r="F2714" i="1"/>
  <c r="D2714" i="1"/>
  <c r="C2714" i="1"/>
  <c r="H2713" i="1"/>
  <c r="F2713" i="1"/>
  <c r="D2713" i="1"/>
  <c r="C2713" i="1"/>
  <c r="H2712" i="1"/>
  <c r="F2712" i="1"/>
  <c r="D2712" i="1"/>
  <c r="C2712" i="1"/>
  <c r="H2711" i="1"/>
  <c r="F2711" i="1"/>
  <c r="D2711" i="1"/>
  <c r="C2711" i="1"/>
  <c r="H2710" i="1"/>
  <c r="F2710" i="1"/>
  <c r="D2710" i="1"/>
  <c r="C2710" i="1"/>
  <c r="H2709" i="1"/>
  <c r="F2709" i="1"/>
  <c r="D2709" i="1"/>
  <c r="C2709" i="1"/>
  <c r="H2708" i="1"/>
  <c r="F2708" i="1"/>
  <c r="D2708" i="1"/>
  <c r="C2708" i="1"/>
  <c r="H2707" i="1"/>
  <c r="F2707" i="1"/>
  <c r="D2707" i="1"/>
  <c r="C2707" i="1"/>
  <c r="H2706" i="1"/>
  <c r="F2706" i="1"/>
  <c r="D2706" i="1"/>
  <c r="C2706" i="1"/>
  <c r="H2705" i="1"/>
  <c r="F2705" i="1"/>
  <c r="D2705" i="1"/>
  <c r="C2705" i="1"/>
  <c r="H2704" i="1"/>
  <c r="F2704" i="1"/>
  <c r="D2704" i="1"/>
  <c r="C2704" i="1"/>
  <c r="H2703" i="1"/>
  <c r="F2703" i="1"/>
  <c r="D2703" i="1"/>
  <c r="C2703" i="1"/>
  <c r="H2702" i="1"/>
  <c r="F2702" i="1"/>
  <c r="D2702" i="1"/>
  <c r="C2702" i="1"/>
  <c r="H2701" i="1"/>
  <c r="F2701" i="1"/>
  <c r="D2701" i="1"/>
  <c r="C2701" i="1"/>
  <c r="H2700" i="1"/>
  <c r="F2700" i="1"/>
  <c r="D2700" i="1"/>
  <c r="C2700" i="1"/>
  <c r="H2699" i="1"/>
  <c r="F2699" i="1"/>
  <c r="D2699" i="1"/>
  <c r="C2699" i="1"/>
  <c r="H2698" i="1"/>
  <c r="F2698" i="1"/>
  <c r="D2698" i="1"/>
  <c r="C2698" i="1"/>
  <c r="H2697" i="1"/>
  <c r="F2697" i="1"/>
  <c r="D2697" i="1"/>
  <c r="C2697" i="1"/>
  <c r="H2696" i="1"/>
  <c r="F2696" i="1"/>
  <c r="D2696" i="1"/>
  <c r="C2696" i="1"/>
  <c r="H2695" i="1"/>
  <c r="F2695" i="1"/>
  <c r="D2695" i="1"/>
  <c r="C2695" i="1"/>
  <c r="H2694" i="1"/>
  <c r="F2694" i="1"/>
  <c r="D2694" i="1"/>
  <c r="C2694" i="1"/>
  <c r="H2693" i="1"/>
  <c r="F2693" i="1"/>
  <c r="D2693" i="1"/>
  <c r="C2693" i="1"/>
  <c r="H2692" i="1"/>
  <c r="F2692" i="1"/>
  <c r="D2692" i="1"/>
  <c r="C2692" i="1"/>
  <c r="H2691" i="1"/>
  <c r="F2691" i="1"/>
  <c r="D2691" i="1"/>
  <c r="C2691" i="1"/>
  <c r="H2690" i="1"/>
  <c r="F2690" i="1"/>
  <c r="D2690" i="1"/>
  <c r="C2690" i="1"/>
  <c r="H2689" i="1"/>
  <c r="F2689" i="1"/>
  <c r="D2689" i="1"/>
  <c r="C2689" i="1"/>
  <c r="H2688" i="1"/>
  <c r="F2688" i="1"/>
  <c r="D2688" i="1"/>
  <c r="C2688" i="1"/>
  <c r="H2687" i="1"/>
  <c r="F2687" i="1"/>
  <c r="D2687" i="1"/>
  <c r="C2687" i="1"/>
  <c r="H2686" i="1"/>
  <c r="F2686" i="1"/>
  <c r="D2686" i="1"/>
  <c r="C2686" i="1"/>
  <c r="H2685" i="1"/>
  <c r="F2685" i="1"/>
  <c r="D2685" i="1"/>
  <c r="C2685" i="1"/>
  <c r="H2684" i="1"/>
  <c r="F2684" i="1"/>
  <c r="D2684" i="1"/>
  <c r="C2684" i="1"/>
  <c r="H2683" i="1"/>
  <c r="F2683" i="1"/>
  <c r="D2683" i="1"/>
  <c r="C2683" i="1"/>
  <c r="H2682" i="1"/>
  <c r="F2682" i="1"/>
  <c r="D2682" i="1"/>
  <c r="C2682" i="1"/>
  <c r="H2681" i="1"/>
  <c r="F2681" i="1"/>
  <c r="D2681" i="1"/>
  <c r="C2681" i="1"/>
  <c r="H2680" i="1"/>
  <c r="F2680" i="1"/>
  <c r="D2680" i="1"/>
  <c r="C2680" i="1"/>
  <c r="H2679" i="1"/>
  <c r="F2679" i="1"/>
  <c r="D2679" i="1"/>
  <c r="C2679" i="1"/>
  <c r="H2678" i="1"/>
  <c r="F2678" i="1"/>
  <c r="D2678" i="1"/>
  <c r="C2678" i="1"/>
  <c r="H2677" i="1"/>
  <c r="F2677" i="1"/>
  <c r="D2677" i="1"/>
  <c r="C2677" i="1"/>
  <c r="H2676" i="1"/>
  <c r="F2676" i="1"/>
  <c r="D2676" i="1"/>
  <c r="C2676" i="1"/>
  <c r="H2675" i="1"/>
  <c r="F2675" i="1"/>
  <c r="D2675" i="1"/>
  <c r="C2675" i="1"/>
  <c r="H2674" i="1"/>
  <c r="F2674" i="1"/>
  <c r="D2674" i="1"/>
  <c r="C2674" i="1"/>
  <c r="H2673" i="1"/>
  <c r="F2673" i="1"/>
  <c r="D2673" i="1"/>
  <c r="C2673" i="1"/>
  <c r="H2672" i="1"/>
  <c r="F2672" i="1"/>
  <c r="D2672" i="1"/>
  <c r="C2672" i="1"/>
  <c r="H2671" i="1"/>
  <c r="F2671" i="1"/>
  <c r="D2671" i="1"/>
  <c r="C2671" i="1"/>
  <c r="H2670" i="1"/>
  <c r="F2670" i="1"/>
  <c r="D2670" i="1"/>
  <c r="C2670" i="1"/>
  <c r="H2669" i="1"/>
  <c r="F2669" i="1"/>
  <c r="D2669" i="1"/>
  <c r="C2669" i="1"/>
  <c r="H2668" i="1"/>
  <c r="F2668" i="1"/>
  <c r="D2668" i="1"/>
  <c r="C2668" i="1"/>
  <c r="H2667" i="1"/>
  <c r="F2667" i="1"/>
  <c r="D2667" i="1"/>
  <c r="C2667" i="1"/>
  <c r="H2666" i="1"/>
  <c r="F2666" i="1"/>
  <c r="D2666" i="1"/>
  <c r="C2666" i="1"/>
  <c r="H2665" i="1"/>
  <c r="F2665" i="1"/>
  <c r="D2665" i="1"/>
  <c r="C2665" i="1"/>
  <c r="H2664" i="1"/>
  <c r="F2664" i="1"/>
  <c r="D2664" i="1"/>
  <c r="C2664" i="1"/>
  <c r="H2663" i="1"/>
  <c r="F2663" i="1"/>
  <c r="D2663" i="1"/>
  <c r="C2663" i="1"/>
  <c r="H2662" i="1"/>
  <c r="F2662" i="1"/>
  <c r="D2662" i="1"/>
  <c r="C2662" i="1"/>
  <c r="H2661" i="1"/>
  <c r="F2661" i="1"/>
  <c r="D2661" i="1"/>
  <c r="C2661" i="1"/>
  <c r="H2660" i="1"/>
  <c r="F2660" i="1"/>
  <c r="D2660" i="1"/>
  <c r="C2660" i="1"/>
  <c r="H2659" i="1"/>
  <c r="F2659" i="1"/>
  <c r="D2659" i="1"/>
  <c r="C2659" i="1"/>
  <c r="H2658" i="1"/>
  <c r="F2658" i="1"/>
  <c r="D2658" i="1"/>
  <c r="C2658" i="1"/>
  <c r="H2657" i="1"/>
  <c r="F2657" i="1"/>
  <c r="D2657" i="1"/>
  <c r="C2657" i="1"/>
  <c r="H2656" i="1"/>
  <c r="F2656" i="1"/>
  <c r="D2656" i="1"/>
  <c r="C2656" i="1"/>
  <c r="H2655" i="1"/>
  <c r="F2655" i="1"/>
  <c r="D2655" i="1"/>
  <c r="C2655" i="1"/>
  <c r="H2654" i="1"/>
  <c r="F2654" i="1"/>
  <c r="D2654" i="1"/>
  <c r="C2654" i="1"/>
  <c r="H2653" i="1"/>
  <c r="F2653" i="1"/>
  <c r="D2653" i="1"/>
  <c r="C2653" i="1"/>
  <c r="H2652" i="1"/>
  <c r="F2652" i="1"/>
  <c r="D2652" i="1"/>
  <c r="C2652" i="1"/>
  <c r="H2651" i="1"/>
  <c r="F2651" i="1"/>
  <c r="D2651" i="1"/>
  <c r="C2651" i="1"/>
  <c r="H2650" i="1"/>
  <c r="F2650" i="1"/>
  <c r="D2650" i="1"/>
  <c r="C2650" i="1"/>
  <c r="H2649" i="1"/>
  <c r="F2649" i="1"/>
  <c r="D2649" i="1"/>
  <c r="C2649" i="1"/>
  <c r="H2648" i="1"/>
  <c r="F2648" i="1"/>
  <c r="D2648" i="1"/>
  <c r="C2648" i="1"/>
  <c r="H2647" i="1"/>
  <c r="F2647" i="1"/>
  <c r="D2647" i="1"/>
  <c r="C2647" i="1"/>
  <c r="H2646" i="1"/>
  <c r="F2646" i="1"/>
  <c r="D2646" i="1"/>
  <c r="C2646" i="1"/>
  <c r="H2645" i="1"/>
  <c r="F2645" i="1"/>
  <c r="D2645" i="1"/>
  <c r="C2645" i="1"/>
  <c r="H2644" i="1"/>
  <c r="F2644" i="1"/>
  <c r="D2644" i="1"/>
  <c r="C2644" i="1"/>
  <c r="H2643" i="1"/>
  <c r="F2643" i="1"/>
  <c r="D2643" i="1"/>
  <c r="C2643" i="1"/>
  <c r="H2642" i="1"/>
  <c r="F2642" i="1"/>
  <c r="D2642" i="1"/>
  <c r="C2642" i="1"/>
  <c r="H2641" i="1"/>
  <c r="F2641" i="1"/>
  <c r="D2641" i="1"/>
  <c r="C2641" i="1"/>
  <c r="H2640" i="1"/>
  <c r="F2640" i="1"/>
  <c r="D2640" i="1"/>
  <c r="C2640" i="1"/>
  <c r="H2639" i="1"/>
  <c r="F2639" i="1"/>
  <c r="D2639" i="1"/>
  <c r="C2639" i="1"/>
  <c r="H2638" i="1"/>
  <c r="F2638" i="1"/>
  <c r="D2638" i="1"/>
  <c r="C2638" i="1"/>
  <c r="H2637" i="1"/>
  <c r="F2637" i="1"/>
  <c r="D2637" i="1"/>
  <c r="C2637" i="1"/>
  <c r="H2636" i="1"/>
  <c r="F2636" i="1"/>
  <c r="D2636" i="1"/>
  <c r="C2636" i="1"/>
  <c r="H2635" i="1"/>
  <c r="F2635" i="1"/>
  <c r="D2635" i="1"/>
  <c r="C2635" i="1"/>
  <c r="H2634" i="1"/>
  <c r="F2634" i="1"/>
  <c r="D2634" i="1"/>
  <c r="C2634" i="1"/>
  <c r="H2633" i="1"/>
  <c r="F2633" i="1"/>
  <c r="D2633" i="1"/>
  <c r="C2633" i="1"/>
  <c r="H2632" i="1"/>
  <c r="F2632" i="1"/>
  <c r="D2632" i="1"/>
  <c r="C2632" i="1"/>
  <c r="H2631" i="1"/>
  <c r="F2631" i="1"/>
  <c r="D2631" i="1"/>
  <c r="C2631" i="1"/>
  <c r="H2630" i="1"/>
  <c r="F2630" i="1"/>
  <c r="D2630" i="1"/>
  <c r="C2630" i="1"/>
  <c r="H2629" i="1"/>
  <c r="F2629" i="1"/>
  <c r="D2629" i="1"/>
  <c r="C2629" i="1"/>
  <c r="H2628" i="1"/>
  <c r="F2628" i="1"/>
  <c r="D2628" i="1"/>
  <c r="C2628" i="1"/>
  <c r="H2627" i="1"/>
  <c r="F2627" i="1"/>
  <c r="D2627" i="1"/>
  <c r="C2627" i="1"/>
  <c r="H2626" i="1"/>
  <c r="F2626" i="1"/>
  <c r="D2626" i="1"/>
  <c r="C2626" i="1"/>
  <c r="H2625" i="1"/>
  <c r="F2625" i="1"/>
  <c r="D2625" i="1"/>
  <c r="C2625" i="1"/>
  <c r="H2624" i="1"/>
  <c r="F2624" i="1"/>
  <c r="D2624" i="1"/>
  <c r="C2624" i="1"/>
  <c r="H2623" i="1"/>
  <c r="F2623" i="1"/>
  <c r="D2623" i="1"/>
  <c r="C2623" i="1"/>
  <c r="H2622" i="1"/>
  <c r="F2622" i="1"/>
  <c r="D2622" i="1"/>
  <c r="C2622" i="1"/>
  <c r="H2621" i="1"/>
  <c r="F2621" i="1"/>
  <c r="D2621" i="1"/>
  <c r="C2621" i="1"/>
  <c r="H2620" i="1"/>
  <c r="F2620" i="1"/>
  <c r="D2620" i="1"/>
  <c r="C2620" i="1"/>
  <c r="H2619" i="1"/>
  <c r="F2619" i="1"/>
  <c r="D2619" i="1"/>
  <c r="C2619" i="1"/>
  <c r="H2618" i="1"/>
  <c r="F2618" i="1"/>
  <c r="D2618" i="1"/>
  <c r="C2618" i="1"/>
  <c r="H2617" i="1"/>
  <c r="F2617" i="1"/>
  <c r="D2617" i="1"/>
  <c r="C2617" i="1"/>
  <c r="H2616" i="1"/>
  <c r="F2616" i="1"/>
  <c r="D2616" i="1"/>
  <c r="C2616" i="1"/>
  <c r="H2615" i="1"/>
  <c r="F2615" i="1"/>
  <c r="D2615" i="1"/>
  <c r="C2615" i="1"/>
  <c r="H2614" i="1"/>
  <c r="F2614" i="1"/>
  <c r="D2614" i="1"/>
  <c r="C2614" i="1"/>
  <c r="H2613" i="1"/>
  <c r="F2613" i="1"/>
  <c r="D2613" i="1"/>
  <c r="C2613" i="1"/>
  <c r="H2612" i="1"/>
  <c r="F2612" i="1"/>
  <c r="D2612" i="1"/>
  <c r="C2612" i="1"/>
  <c r="H2611" i="1"/>
  <c r="F2611" i="1"/>
  <c r="D2611" i="1"/>
  <c r="C2611" i="1"/>
  <c r="H2610" i="1"/>
  <c r="F2610" i="1"/>
  <c r="D2610" i="1"/>
  <c r="C2610" i="1"/>
  <c r="H2609" i="1"/>
  <c r="F2609" i="1"/>
  <c r="D2609" i="1"/>
  <c r="C2609" i="1"/>
  <c r="H2608" i="1"/>
  <c r="F2608" i="1"/>
  <c r="D2608" i="1"/>
  <c r="C2608" i="1"/>
  <c r="H2607" i="1"/>
  <c r="F2607" i="1"/>
  <c r="D2607" i="1"/>
  <c r="C2607" i="1"/>
  <c r="H2606" i="1"/>
  <c r="F2606" i="1"/>
  <c r="D2606" i="1"/>
  <c r="C2606" i="1"/>
  <c r="H2605" i="1"/>
  <c r="F2605" i="1"/>
  <c r="D2605" i="1"/>
  <c r="C2605" i="1"/>
  <c r="H2604" i="1"/>
  <c r="F2604" i="1"/>
  <c r="D2604" i="1"/>
  <c r="C2604" i="1"/>
  <c r="H2603" i="1"/>
  <c r="F2603" i="1"/>
  <c r="D2603" i="1"/>
  <c r="C2603" i="1"/>
  <c r="H2602" i="1"/>
  <c r="F2602" i="1"/>
  <c r="D2602" i="1"/>
  <c r="C2602" i="1"/>
  <c r="H2601" i="1"/>
  <c r="F2601" i="1"/>
  <c r="D2601" i="1"/>
  <c r="C2601" i="1"/>
  <c r="H2600" i="1"/>
  <c r="F2600" i="1"/>
  <c r="D2600" i="1"/>
  <c r="C2600" i="1"/>
  <c r="H2599" i="1"/>
  <c r="F2599" i="1"/>
  <c r="D2599" i="1"/>
  <c r="C2599" i="1"/>
  <c r="H2598" i="1"/>
  <c r="F2598" i="1"/>
  <c r="D2598" i="1"/>
  <c r="C2598" i="1"/>
  <c r="H2597" i="1"/>
  <c r="F2597" i="1"/>
  <c r="D2597" i="1"/>
  <c r="C2597" i="1"/>
  <c r="H2596" i="1"/>
  <c r="F2596" i="1"/>
  <c r="D2596" i="1"/>
  <c r="C2596" i="1"/>
  <c r="H2595" i="1"/>
  <c r="F2595" i="1"/>
  <c r="D2595" i="1"/>
  <c r="C2595" i="1"/>
  <c r="H2594" i="1"/>
  <c r="F2594" i="1"/>
  <c r="D2594" i="1"/>
  <c r="C2594" i="1"/>
  <c r="H2593" i="1"/>
  <c r="F2593" i="1"/>
  <c r="D2593" i="1"/>
  <c r="C2593" i="1"/>
  <c r="H2592" i="1"/>
  <c r="F2592" i="1"/>
  <c r="D2592" i="1"/>
  <c r="C2592" i="1"/>
  <c r="H2591" i="1"/>
  <c r="F2591" i="1"/>
  <c r="D2591" i="1"/>
  <c r="C2591" i="1"/>
  <c r="H2590" i="1"/>
  <c r="F2590" i="1"/>
  <c r="D2590" i="1"/>
  <c r="C2590" i="1"/>
  <c r="H2589" i="1"/>
  <c r="F2589" i="1"/>
  <c r="D2589" i="1"/>
  <c r="C2589" i="1"/>
  <c r="H2588" i="1"/>
  <c r="F2588" i="1"/>
  <c r="D2588" i="1"/>
  <c r="C2588" i="1"/>
  <c r="H2587" i="1"/>
  <c r="F2587" i="1"/>
  <c r="D2587" i="1"/>
  <c r="C2587" i="1"/>
  <c r="H2586" i="1"/>
  <c r="F2586" i="1"/>
  <c r="D2586" i="1"/>
  <c r="C2586" i="1"/>
  <c r="H2585" i="1"/>
  <c r="F2585" i="1"/>
  <c r="D2585" i="1"/>
  <c r="C2585" i="1"/>
  <c r="H2584" i="1"/>
  <c r="F2584" i="1"/>
  <c r="D2584" i="1"/>
  <c r="C2584" i="1"/>
  <c r="H2583" i="1"/>
  <c r="F2583" i="1"/>
  <c r="D2583" i="1"/>
  <c r="C2583" i="1"/>
  <c r="H2582" i="1"/>
  <c r="F2582" i="1"/>
  <c r="D2582" i="1"/>
  <c r="C2582" i="1"/>
  <c r="H2581" i="1"/>
  <c r="F2581" i="1"/>
  <c r="D2581" i="1"/>
  <c r="C2581" i="1"/>
  <c r="H2580" i="1"/>
  <c r="F2580" i="1"/>
  <c r="D2580" i="1"/>
  <c r="C2580" i="1"/>
  <c r="H2579" i="1"/>
  <c r="F2579" i="1"/>
  <c r="D2579" i="1"/>
  <c r="C2579" i="1"/>
  <c r="H2578" i="1"/>
  <c r="F2578" i="1"/>
  <c r="D2578" i="1"/>
  <c r="C2578" i="1"/>
  <c r="H2577" i="1"/>
  <c r="F2577" i="1"/>
  <c r="D2577" i="1"/>
  <c r="C2577" i="1"/>
  <c r="H2576" i="1"/>
  <c r="F2576" i="1"/>
  <c r="D2576" i="1"/>
  <c r="C2576" i="1"/>
  <c r="H2575" i="1"/>
  <c r="F2575" i="1"/>
  <c r="D2575" i="1"/>
  <c r="C2575" i="1"/>
  <c r="H2574" i="1"/>
  <c r="F2574" i="1"/>
  <c r="D2574" i="1"/>
  <c r="C2574" i="1"/>
  <c r="H2573" i="1"/>
  <c r="F2573" i="1"/>
  <c r="D2573" i="1"/>
  <c r="C2573" i="1"/>
  <c r="H2572" i="1"/>
  <c r="F2572" i="1"/>
  <c r="D2572" i="1"/>
  <c r="C2572" i="1"/>
  <c r="H2571" i="1"/>
  <c r="F2571" i="1"/>
  <c r="D2571" i="1"/>
  <c r="C2571" i="1"/>
  <c r="H2570" i="1"/>
  <c r="F2570" i="1"/>
  <c r="D2570" i="1"/>
  <c r="C2570" i="1"/>
  <c r="H2569" i="1"/>
  <c r="F2569" i="1"/>
  <c r="D2569" i="1"/>
  <c r="C2569" i="1"/>
  <c r="H2568" i="1"/>
  <c r="F2568" i="1"/>
  <c r="D2568" i="1"/>
  <c r="C2568" i="1"/>
  <c r="H2567" i="1"/>
  <c r="F2567" i="1"/>
  <c r="D2567" i="1"/>
  <c r="C2567" i="1"/>
  <c r="H2566" i="1"/>
  <c r="F2566" i="1"/>
  <c r="D2566" i="1"/>
  <c r="C2566" i="1"/>
  <c r="H2565" i="1"/>
  <c r="F2565" i="1"/>
  <c r="D2565" i="1"/>
  <c r="C2565" i="1"/>
  <c r="H2564" i="1"/>
  <c r="F2564" i="1"/>
  <c r="D2564" i="1"/>
  <c r="C2564" i="1"/>
  <c r="H2563" i="1"/>
  <c r="F2563" i="1"/>
  <c r="D2563" i="1"/>
  <c r="C2563" i="1"/>
  <c r="H2562" i="1"/>
  <c r="F2562" i="1"/>
  <c r="D2562" i="1"/>
  <c r="C2562" i="1"/>
  <c r="H2561" i="1"/>
  <c r="F2561" i="1"/>
  <c r="D2561" i="1"/>
  <c r="C2561" i="1"/>
  <c r="H2560" i="1"/>
  <c r="F2560" i="1"/>
  <c r="D2560" i="1"/>
  <c r="C2560" i="1"/>
  <c r="H2559" i="1"/>
  <c r="F2559" i="1"/>
  <c r="D2559" i="1"/>
  <c r="C2559" i="1"/>
  <c r="H2558" i="1"/>
  <c r="F2558" i="1"/>
  <c r="D2558" i="1"/>
  <c r="C2558" i="1"/>
  <c r="H2557" i="1"/>
  <c r="F2557" i="1"/>
  <c r="D2557" i="1"/>
  <c r="C2557" i="1"/>
  <c r="H2556" i="1"/>
  <c r="F2556" i="1"/>
  <c r="D2556" i="1"/>
  <c r="C2556" i="1"/>
  <c r="H2555" i="1"/>
  <c r="F2555" i="1"/>
  <c r="D2555" i="1"/>
  <c r="C2555" i="1"/>
  <c r="H2554" i="1"/>
  <c r="F2554" i="1"/>
  <c r="D2554" i="1"/>
  <c r="C2554" i="1"/>
  <c r="H2553" i="1"/>
  <c r="F2553" i="1"/>
  <c r="D2553" i="1"/>
  <c r="C2553" i="1"/>
  <c r="H2552" i="1"/>
  <c r="F2552" i="1"/>
  <c r="D2552" i="1"/>
  <c r="C2552" i="1"/>
  <c r="H2551" i="1"/>
  <c r="F2551" i="1"/>
  <c r="D2551" i="1"/>
  <c r="C2551" i="1"/>
  <c r="H2550" i="1"/>
  <c r="F2550" i="1"/>
  <c r="D2550" i="1"/>
  <c r="C2550" i="1"/>
  <c r="H2549" i="1"/>
  <c r="F2549" i="1"/>
  <c r="D2549" i="1"/>
  <c r="C2549" i="1"/>
  <c r="H2548" i="1"/>
  <c r="F2548" i="1"/>
  <c r="D2548" i="1"/>
  <c r="C2548" i="1"/>
  <c r="H2547" i="1"/>
  <c r="F2547" i="1"/>
  <c r="D2547" i="1"/>
  <c r="C2547" i="1"/>
  <c r="H2546" i="1"/>
  <c r="F2546" i="1"/>
  <c r="D2546" i="1"/>
  <c r="C2546" i="1"/>
  <c r="H2545" i="1"/>
  <c r="F2545" i="1"/>
  <c r="D2545" i="1"/>
  <c r="C2545" i="1"/>
  <c r="H2544" i="1"/>
  <c r="F2544" i="1"/>
  <c r="D2544" i="1"/>
  <c r="C2544" i="1"/>
  <c r="H2543" i="1"/>
  <c r="F2543" i="1"/>
  <c r="D2543" i="1"/>
  <c r="C2543" i="1"/>
  <c r="H2542" i="1"/>
  <c r="F2542" i="1"/>
  <c r="D2542" i="1"/>
  <c r="C2542" i="1"/>
  <c r="H2541" i="1"/>
  <c r="F2541" i="1"/>
  <c r="D2541" i="1"/>
  <c r="C2541" i="1"/>
  <c r="H2540" i="1"/>
  <c r="F2540" i="1"/>
  <c r="D2540" i="1"/>
  <c r="C2540" i="1"/>
  <c r="H2539" i="1"/>
  <c r="F2539" i="1"/>
  <c r="D2539" i="1"/>
  <c r="C2539" i="1"/>
  <c r="H2538" i="1"/>
  <c r="F2538" i="1"/>
  <c r="D2538" i="1"/>
  <c r="C2538" i="1"/>
  <c r="H2537" i="1"/>
  <c r="F2537" i="1"/>
  <c r="D2537" i="1"/>
  <c r="C2537" i="1"/>
  <c r="H2536" i="1"/>
  <c r="F2536" i="1"/>
  <c r="D2536" i="1"/>
  <c r="C2536" i="1"/>
  <c r="H2535" i="1"/>
  <c r="F2535" i="1"/>
  <c r="D2535" i="1"/>
  <c r="C2535" i="1"/>
  <c r="H2534" i="1"/>
  <c r="F2534" i="1"/>
  <c r="D2534" i="1"/>
  <c r="C2534" i="1"/>
  <c r="H2533" i="1"/>
  <c r="F2533" i="1"/>
  <c r="D2533" i="1"/>
  <c r="C2533" i="1"/>
  <c r="H2532" i="1"/>
  <c r="F2532" i="1"/>
  <c r="D2532" i="1"/>
  <c r="C2532" i="1"/>
  <c r="H2531" i="1"/>
  <c r="F2531" i="1"/>
  <c r="D2531" i="1"/>
  <c r="C2531" i="1"/>
  <c r="H2530" i="1"/>
  <c r="F2530" i="1"/>
  <c r="D2530" i="1"/>
  <c r="C2530" i="1"/>
  <c r="H2529" i="1"/>
  <c r="F2529" i="1"/>
  <c r="D2529" i="1"/>
  <c r="C2529" i="1"/>
  <c r="H2528" i="1"/>
  <c r="F2528" i="1"/>
  <c r="D2528" i="1"/>
  <c r="C2528" i="1"/>
  <c r="H2527" i="1"/>
  <c r="F2527" i="1"/>
  <c r="D2527" i="1"/>
  <c r="C2527" i="1"/>
  <c r="H2526" i="1"/>
  <c r="F2526" i="1"/>
  <c r="D2526" i="1"/>
  <c r="C2526" i="1"/>
  <c r="H2525" i="1"/>
  <c r="F2525" i="1"/>
  <c r="D2525" i="1"/>
  <c r="C2525" i="1"/>
  <c r="H2524" i="1"/>
  <c r="F2524" i="1"/>
  <c r="D2524" i="1"/>
  <c r="C2524" i="1"/>
  <c r="H2523" i="1"/>
  <c r="F2523" i="1"/>
  <c r="D2523" i="1"/>
  <c r="C2523" i="1"/>
  <c r="H2522" i="1"/>
  <c r="F2522" i="1"/>
  <c r="D2522" i="1"/>
  <c r="C2522" i="1"/>
  <c r="H2521" i="1"/>
  <c r="F2521" i="1"/>
  <c r="D2521" i="1"/>
  <c r="C2521" i="1"/>
  <c r="H2520" i="1"/>
  <c r="F2520" i="1"/>
  <c r="D2520" i="1"/>
  <c r="C2520" i="1"/>
  <c r="H2519" i="1"/>
  <c r="F2519" i="1"/>
  <c r="D2519" i="1"/>
  <c r="C2519" i="1"/>
  <c r="H2518" i="1"/>
  <c r="F2518" i="1"/>
  <c r="D2518" i="1"/>
  <c r="C2518" i="1"/>
  <c r="H2517" i="1"/>
  <c r="F2517" i="1"/>
  <c r="D2517" i="1"/>
  <c r="C2517" i="1"/>
  <c r="H2516" i="1"/>
  <c r="F2516" i="1"/>
  <c r="D2516" i="1"/>
  <c r="C2516" i="1"/>
  <c r="H2515" i="1"/>
  <c r="F2515" i="1"/>
  <c r="D2515" i="1"/>
  <c r="C2515" i="1"/>
  <c r="H2514" i="1"/>
  <c r="F2514" i="1"/>
  <c r="D2514" i="1"/>
  <c r="C2514" i="1"/>
  <c r="H2513" i="1"/>
  <c r="F2513" i="1"/>
  <c r="D2513" i="1"/>
  <c r="C2513" i="1"/>
  <c r="H2512" i="1"/>
  <c r="F2512" i="1"/>
  <c r="D2512" i="1"/>
  <c r="C2512" i="1"/>
  <c r="H2511" i="1"/>
  <c r="F2511" i="1"/>
  <c r="D2511" i="1"/>
  <c r="C2511" i="1"/>
  <c r="H2510" i="1"/>
  <c r="F2510" i="1"/>
  <c r="D2510" i="1"/>
  <c r="C2510" i="1"/>
  <c r="H2509" i="1"/>
  <c r="F2509" i="1"/>
  <c r="D2509" i="1"/>
  <c r="C2509" i="1"/>
  <c r="H2508" i="1"/>
  <c r="F2508" i="1"/>
  <c r="D2508" i="1"/>
  <c r="C2508" i="1"/>
  <c r="H2507" i="1"/>
  <c r="F2507" i="1"/>
  <c r="D2507" i="1"/>
  <c r="C2507" i="1"/>
  <c r="H2506" i="1"/>
  <c r="F2506" i="1"/>
  <c r="D2506" i="1"/>
  <c r="C2506" i="1"/>
  <c r="H2505" i="1"/>
  <c r="F2505" i="1"/>
  <c r="D2505" i="1"/>
  <c r="C2505" i="1"/>
  <c r="H2504" i="1"/>
  <c r="F2504" i="1"/>
  <c r="D2504" i="1"/>
  <c r="C2504" i="1"/>
  <c r="H2503" i="1"/>
  <c r="F2503" i="1"/>
  <c r="D2503" i="1"/>
  <c r="C2503" i="1"/>
  <c r="H2502" i="1"/>
  <c r="F2502" i="1"/>
  <c r="D2502" i="1"/>
  <c r="C2502" i="1"/>
  <c r="H2501" i="1"/>
  <c r="F2501" i="1"/>
  <c r="D2501" i="1"/>
  <c r="C2501" i="1"/>
  <c r="H2500" i="1"/>
  <c r="F2500" i="1"/>
  <c r="D2500" i="1"/>
  <c r="C2500" i="1"/>
  <c r="H2499" i="1"/>
  <c r="F2499" i="1"/>
  <c r="D2499" i="1"/>
  <c r="C2499" i="1"/>
  <c r="H2498" i="1"/>
  <c r="F2498" i="1"/>
  <c r="D2498" i="1"/>
  <c r="C2498" i="1"/>
  <c r="H2497" i="1"/>
  <c r="F2497" i="1"/>
  <c r="D2497" i="1"/>
  <c r="C2497" i="1"/>
  <c r="H2496" i="1"/>
  <c r="F2496" i="1"/>
  <c r="D2496" i="1"/>
  <c r="C2496" i="1"/>
  <c r="H2495" i="1"/>
  <c r="F2495" i="1"/>
  <c r="D2495" i="1"/>
  <c r="C2495" i="1"/>
  <c r="H2494" i="1"/>
  <c r="F2494" i="1"/>
  <c r="D2494" i="1"/>
  <c r="C2494" i="1"/>
  <c r="H2493" i="1"/>
  <c r="F2493" i="1"/>
  <c r="D2493" i="1"/>
  <c r="C2493" i="1"/>
  <c r="H2492" i="1"/>
  <c r="F2492" i="1"/>
  <c r="D2492" i="1"/>
  <c r="C2492" i="1"/>
  <c r="H2491" i="1"/>
  <c r="F2491" i="1"/>
  <c r="D2491" i="1"/>
  <c r="C2491" i="1"/>
  <c r="H2490" i="1"/>
  <c r="F2490" i="1"/>
  <c r="D2490" i="1"/>
  <c r="C2490" i="1"/>
  <c r="H2489" i="1"/>
  <c r="F2489" i="1"/>
  <c r="D2489" i="1"/>
  <c r="C2489" i="1"/>
  <c r="H2488" i="1"/>
  <c r="F2488" i="1"/>
  <c r="D2488" i="1"/>
  <c r="C2488" i="1"/>
  <c r="H2487" i="1"/>
  <c r="F2487" i="1"/>
  <c r="D2487" i="1"/>
  <c r="C2487" i="1"/>
  <c r="H2486" i="1"/>
  <c r="F2486" i="1"/>
  <c r="D2486" i="1"/>
  <c r="C2486" i="1"/>
  <c r="H2485" i="1"/>
  <c r="F2485" i="1"/>
  <c r="D2485" i="1"/>
  <c r="C2485" i="1"/>
  <c r="H2484" i="1"/>
  <c r="F2484" i="1"/>
  <c r="D2484" i="1"/>
  <c r="C2484" i="1"/>
  <c r="H2483" i="1"/>
  <c r="F2483" i="1"/>
  <c r="D2483" i="1"/>
  <c r="C2483" i="1"/>
  <c r="H2482" i="1"/>
  <c r="F2482" i="1"/>
  <c r="D2482" i="1"/>
  <c r="C2482" i="1"/>
  <c r="H2481" i="1"/>
  <c r="F2481" i="1"/>
  <c r="D2481" i="1"/>
  <c r="C2481" i="1"/>
  <c r="H2480" i="1"/>
  <c r="F2480" i="1"/>
  <c r="D2480" i="1"/>
  <c r="C2480" i="1"/>
  <c r="H2479" i="1"/>
  <c r="F2479" i="1"/>
  <c r="D2479" i="1"/>
  <c r="C2479" i="1"/>
  <c r="H2478" i="1"/>
  <c r="F2478" i="1"/>
  <c r="D2478" i="1"/>
  <c r="C2478" i="1"/>
  <c r="H2477" i="1"/>
  <c r="F2477" i="1"/>
  <c r="D2477" i="1"/>
  <c r="C2477" i="1"/>
  <c r="H2476" i="1"/>
  <c r="F2476" i="1"/>
  <c r="D2476" i="1"/>
  <c r="C2476" i="1"/>
  <c r="H2475" i="1"/>
  <c r="F2475" i="1"/>
  <c r="D2475" i="1"/>
  <c r="C2475" i="1"/>
  <c r="H2474" i="1"/>
  <c r="F2474" i="1"/>
  <c r="D2474" i="1"/>
  <c r="C2474" i="1"/>
  <c r="H2473" i="1"/>
  <c r="F2473" i="1"/>
  <c r="D2473" i="1"/>
  <c r="C2473" i="1"/>
  <c r="H2472" i="1"/>
  <c r="F2472" i="1"/>
  <c r="D2472" i="1"/>
  <c r="C2472" i="1"/>
  <c r="H2471" i="1"/>
  <c r="F2471" i="1"/>
  <c r="D2471" i="1"/>
  <c r="C2471" i="1"/>
  <c r="H2470" i="1"/>
  <c r="F2470" i="1"/>
  <c r="D2470" i="1"/>
  <c r="C2470" i="1"/>
  <c r="H2469" i="1"/>
  <c r="F2469" i="1"/>
  <c r="D2469" i="1"/>
  <c r="C2469" i="1"/>
  <c r="H2468" i="1"/>
  <c r="F2468" i="1"/>
  <c r="D2468" i="1"/>
  <c r="C2468" i="1"/>
  <c r="H2467" i="1"/>
  <c r="F2467" i="1"/>
  <c r="D2467" i="1"/>
  <c r="C2467" i="1"/>
  <c r="H2466" i="1"/>
  <c r="F2466" i="1"/>
  <c r="D2466" i="1"/>
  <c r="C2466" i="1"/>
  <c r="H2465" i="1"/>
  <c r="F2465" i="1"/>
  <c r="D2465" i="1"/>
  <c r="C2465" i="1"/>
  <c r="H2464" i="1"/>
  <c r="F2464" i="1"/>
  <c r="D2464" i="1"/>
  <c r="C2464" i="1"/>
  <c r="H2463" i="1"/>
  <c r="F2463" i="1"/>
  <c r="D2463" i="1"/>
  <c r="C2463" i="1"/>
  <c r="H2462" i="1"/>
  <c r="F2462" i="1"/>
  <c r="D2462" i="1"/>
  <c r="C2462" i="1"/>
  <c r="H2461" i="1"/>
  <c r="F2461" i="1"/>
  <c r="D2461" i="1"/>
  <c r="C2461" i="1"/>
  <c r="H2460" i="1"/>
  <c r="F2460" i="1"/>
  <c r="D2460" i="1"/>
  <c r="C2460" i="1"/>
  <c r="H2459" i="1"/>
  <c r="F2459" i="1"/>
  <c r="D2459" i="1"/>
  <c r="C2459" i="1"/>
  <c r="H2458" i="1"/>
  <c r="F2458" i="1"/>
  <c r="D2458" i="1"/>
  <c r="C2458" i="1"/>
  <c r="H2457" i="1"/>
  <c r="F2457" i="1"/>
  <c r="D2457" i="1"/>
  <c r="C2457" i="1"/>
  <c r="H2456" i="1"/>
  <c r="F2456" i="1"/>
  <c r="D2456" i="1"/>
  <c r="C2456" i="1"/>
  <c r="H2455" i="1"/>
  <c r="F2455" i="1"/>
  <c r="D2455" i="1"/>
  <c r="C2455" i="1"/>
  <c r="H2454" i="1"/>
  <c r="F2454" i="1"/>
  <c r="D2454" i="1"/>
  <c r="C2454" i="1"/>
  <c r="H2453" i="1"/>
  <c r="F2453" i="1"/>
  <c r="D2453" i="1"/>
  <c r="C2453" i="1"/>
  <c r="H2452" i="1"/>
  <c r="F2452" i="1"/>
  <c r="D2452" i="1"/>
  <c r="C2452" i="1"/>
  <c r="H2451" i="1"/>
  <c r="F2451" i="1"/>
  <c r="D2451" i="1"/>
  <c r="C2451" i="1"/>
  <c r="H2450" i="1"/>
  <c r="F2450" i="1"/>
  <c r="D2450" i="1"/>
  <c r="C2450" i="1"/>
  <c r="H2449" i="1"/>
  <c r="F2449" i="1"/>
  <c r="D2449" i="1"/>
  <c r="C2449" i="1"/>
  <c r="H2448" i="1"/>
  <c r="F2448" i="1"/>
  <c r="D2448" i="1"/>
  <c r="C2448" i="1"/>
  <c r="H2447" i="1"/>
  <c r="F2447" i="1"/>
  <c r="D2447" i="1"/>
  <c r="C2447" i="1"/>
  <c r="H2446" i="1"/>
  <c r="F2446" i="1"/>
  <c r="D2446" i="1"/>
  <c r="C2446" i="1"/>
  <c r="H2445" i="1"/>
  <c r="F2445" i="1"/>
  <c r="D2445" i="1"/>
  <c r="C2445" i="1"/>
  <c r="H2444" i="1"/>
  <c r="F2444" i="1"/>
  <c r="D2444" i="1"/>
  <c r="C2444" i="1"/>
  <c r="H2443" i="1"/>
  <c r="F2443" i="1"/>
  <c r="D2443" i="1"/>
  <c r="C2443" i="1"/>
  <c r="H2442" i="1"/>
  <c r="F2442" i="1"/>
  <c r="D2442" i="1"/>
  <c r="C2442" i="1"/>
  <c r="H2441" i="1"/>
  <c r="F2441" i="1"/>
  <c r="D2441" i="1"/>
  <c r="C2441" i="1"/>
  <c r="H2440" i="1"/>
  <c r="F2440" i="1"/>
  <c r="D2440" i="1"/>
  <c r="C2440" i="1"/>
  <c r="H2439" i="1"/>
  <c r="F2439" i="1"/>
  <c r="D2439" i="1"/>
  <c r="C2439" i="1"/>
  <c r="H2438" i="1"/>
  <c r="F2438" i="1"/>
  <c r="D2438" i="1"/>
  <c r="C2438" i="1"/>
  <c r="H2437" i="1"/>
  <c r="F2437" i="1"/>
  <c r="D2437" i="1"/>
  <c r="C2437" i="1"/>
  <c r="H2436" i="1"/>
  <c r="F2436" i="1"/>
  <c r="D2436" i="1"/>
  <c r="C2436" i="1"/>
  <c r="H2435" i="1"/>
  <c r="F2435" i="1"/>
  <c r="D2435" i="1"/>
  <c r="C2435" i="1"/>
  <c r="H2434" i="1"/>
  <c r="F2434" i="1"/>
  <c r="D2434" i="1"/>
  <c r="C2434" i="1"/>
  <c r="H2433" i="1"/>
  <c r="F2433" i="1"/>
  <c r="D2433" i="1"/>
  <c r="C2433" i="1"/>
  <c r="H2432" i="1"/>
  <c r="F2432" i="1"/>
  <c r="D2432" i="1"/>
  <c r="C2432" i="1"/>
  <c r="H2431" i="1"/>
  <c r="F2431" i="1"/>
  <c r="D2431" i="1"/>
  <c r="C2431" i="1"/>
  <c r="H2430" i="1"/>
  <c r="F2430" i="1"/>
  <c r="D2430" i="1"/>
  <c r="C2430" i="1"/>
  <c r="H2429" i="1"/>
  <c r="F2429" i="1"/>
  <c r="D2429" i="1"/>
  <c r="C2429" i="1"/>
  <c r="H2428" i="1"/>
  <c r="F2428" i="1"/>
  <c r="D2428" i="1"/>
  <c r="C2428" i="1"/>
  <c r="H2427" i="1"/>
  <c r="F2427" i="1"/>
  <c r="D2427" i="1"/>
  <c r="C2427" i="1"/>
  <c r="H2426" i="1"/>
  <c r="F2426" i="1"/>
  <c r="D2426" i="1"/>
  <c r="C2426" i="1"/>
  <c r="H2425" i="1"/>
  <c r="F2425" i="1"/>
  <c r="D2425" i="1"/>
  <c r="C2425" i="1"/>
  <c r="H2424" i="1"/>
  <c r="F2424" i="1"/>
  <c r="D2424" i="1"/>
  <c r="C2424" i="1"/>
  <c r="H2423" i="1"/>
  <c r="F2423" i="1"/>
  <c r="D2423" i="1"/>
  <c r="C2423" i="1"/>
  <c r="H2422" i="1"/>
  <c r="F2422" i="1"/>
  <c r="D2422" i="1"/>
  <c r="C2422" i="1"/>
  <c r="H2421" i="1"/>
  <c r="F2421" i="1"/>
  <c r="D2421" i="1"/>
  <c r="C2421" i="1"/>
  <c r="H2420" i="1"/>
  <c r="F2420" i="1"/>
  <c r="D2420" i="1"/>
  <c r="C2420" i="1"/>
  <c r="H2419" i="1"/>
  <c r="F2419" i="1"/>
  <c r="D2419" i="1"/>
  <c r="C2419" i="1"/>
  <c r="H2418" i="1"/>
  <c r="F2418" i="1"/>
  <c r="D2418" i="1"/>
  <c r="C2418" i="1"/>
  <c r="H2417" i="1"/>
  <c r="F2417" i="1"/>
  <c r="D2417" i="1"/>
  <c r="C2417" i="1"/>
  <c r="H2416" i="1"/>
  <c r="F2416" i="1"/>
  <c r="D2416" i="1"/>
  <c r="C2416" i="1"/>
  <c r="H2415" i="1"/>
  <c r="F2415" i="1"/>
  <c r="D2415" i="1"/>
  <c r="C2415" i="1"/>
  <c r="H2414" i="1"/>
  <c r="F2414" i="1"/>
  <c r="D2414" i="1"/>
  <c r="C2414" i="1"/>
  <c r="H2413" i="1"/>
  <c r="F2413" i="1"/>
  <c r="D2413" i="1"/>
  <c r="C2413" i="1"/>
  <c r="H2412" i="1"/>
  <c r="F2412" i="1"/>
  <c r="D2412" i="1"/>
  <c r="C2412" i="1"/>
  <c r="H2411" i="1"/>
  <c r="F2411" i="1"/>
  <c r="D2411" i="1"/>
  <c r="C2411" i="1"/>
  <c r="H2410" i="1"/>
  <c r="F2410" i="1"/>
  <c r="D2410" i="1"/>
  <c r="C2410" i="1"/>
  <c r="H2409" i="1"/>
  <c r="F2409" i="1"/>
  <c r="D2409" i="1"/>
  <c r="C2409" i="1"/>
  <c r="H2408" i="1"/>
  <c r="F2408" i="1"/>
  <c r="D2408" i="1"/>
  <c r="C2408" i="1"/>
  <c r="H2407" i="1"/>
  <c r="F2407" i="1"/>
  <c r="D2407" i="1"/>
  <c r="C2407" i="1"/>
  <c r="H2406" i="1"/>
  <c r="F2406" i="1"/>
  <c r="D2406" i="1"/>
  <c r="C2406" i="1"/>
  <c r="H2405" i="1"/>
  <c r="F2405" i="1"/>
  <c r="D2405" i="1"/>
  <c r="C2405" i="1"/>
  <c r="H2404" i="1"/>
  <c r="F2404" i="1"/>
  <c r="D2404" i="1"/>
  <c r="C2404" i="1"/>
  <c r="H2403" i="1"/>
  <c r="F2403" i="1"/>
  <c r="D2403" i="1"/>
  <c r="C2403" i="1"/>
  <c r="H2402" i="1"/>
  <c r="F2402" i="1"/>
  <c r="D2402" i="1"/>
  <c r="C2402" i="1"/>
  <c r="H2401" i="1"/>
  <c r="F2401" i="1"/>
  <c r="D2401" i="1"/>
  <c r="C2401" i="1"/>
  <c r="H2400" i="1"/>
  <c r="F2400" i="1"/>
  <c r="D2400" i="1"/>
  <c r="C2400" i="1"/>
  <c r="H2399" i="1"/>
  <c r="F2399" i="1"/>
  <c r="D2399" i="1"/>
  <c r="C2399" i="1"/>
  <c r="H2398" i="1"/>
  <c r="F2398" i="1"/>
  <c r="D2398" i="1"/>
  <c r="C2398" i="1"/>
  <c r="H2397" i="1"/>
  <c r="F2397" i="1"/>
  <c r="D2397" i="1"/>
  <c r="C2397" i="1"/>
  <c r="H2396" i="1"/>
  <c r="F2396" i="1"/>
  <c r="D2396" i="1"/>
  <c r="C2396" i="1"/>
  <c r="H2395" i="1"/>
  <c r="F2395" i="1"/>
  <c r="D2395" i="1"/>
  <c r="C2395" i="1"/>
  <c r="H2394" i="1"/>
  <c r="F2394" i="1"/>
  <c r="D2394" i="1"/>
  <c r="C2394" i="1"/>
  <c r="H2393" i="1"/>
  <c r="F2393" i="1"/>
  <c r="D2393" i="1"/>
  <c r="C2393" i="1"/>
  <c r="H2392" i="1"/>
  <c r="F2392" i="1"/>
  <c r="D2392" i="1"/>
  <c r="C2392" i="1"/>
  <c r="H2391" i="1"/>
  <c r="F2391" i="1"/>
  <c r="D2391" i="1"/>
  <c r="C2391" i="1"/>
  <c r="H2390" i="1"/>
  <c r="F2390" i="1"/>
  <c r="D2390" i="1"/>
  <c r="C2390" i="1"/>
  <c r="H2389" i="1"/>
  <c r="F2389" i="1"/>
  <c r="D2389" i="1"/>
  <c r="C2389" i="1"/>
  <c r="H2388" i="1"/>
  <c r="F2388" i="1"/>
  <c r="D2388" i="1"/>
  <c r="C2388" i="1"/>
  <c r="H2387" i="1"/>
  <c r="F2387" i="1"/>
  <c r="D2387" i="1"/>
  <c r="C2387" i="1"/>
  <c r="H2386" i="1"/>
  <c r="F2386" i="1"/>
  <c r="D2386" i="1"/>
  <c r="C2386" i="1"/>
  <c r="H2385" i="1"/>
  <c r="F2385" i="1"/>
  <c r="D2385" i="1"/>
  <c r="C2385" i="1"/>
  <c r="H2384" i="1"/>
  <c r="F2384" i="1"/>
  <c r="D2384" i="1"/>
  <c r="C2384" i="1"/>
  <c r="H2383" i="1"/>
  <c r="F2383" i="1"/>
  <c r="D2383" i="1"/>
  <c r="C2383" i="1"/>
  <c r="H2382" i="1"/>
  <c r="F2382" i="1"/>
  <c r="D2382" i="1"/>
  <c r="C2382" i="1"/>
  <c r="H2381" i="1"/>
  <c r="F2381" i="1"/>
  <c r="D2381" i="1"/>
  <c r="C2381" i="1"/>
  <c r="H2380" i="1"/>
  <c r="F2380" i="1"/>
  <c r="D2380" i="1"/>
  <c r="C2380" i="1"/>
  <c r="H2379" i="1"/>
  <c r="F2379" i="1"/>
  <c r="D2379" i="1"/>
  <c r="C2379" i="1"/>
  <c r="H2378" i="1"/>
  <c r="F2378" i="1"/>
  <c r="D2378" i="1"/>
  <c r="C2378" i="1"/>
  <c r="H2377" i="1"/>
  <c r="F2377" i="1"/>
  <c r="D2377" i="1"/>
  <c r="C2377" i="1"/>
  <c r="H2376" i="1"/>
  <c r="F2376" i="1"/>
  <c r="D2376" i="1"/>
  <c r="C2376" i="1"/>
  <c r="H2375" i="1"/>
  <c r="F2375" i="1"/>
  <c r="D2375" i="1"/>
  <c r="C2375" i="1"/>
  <c r="H2374" i="1"/>
  <c r="F2374" i="1"/>
  <c r="D2374" i="1"/>
  <c r="C2374" i="1"/>
  <c r="H2373" i="1"/>
  <c r="F2373" i="1"/>
  <c r="D2373" i="1"/>
  <c r="C2373" i="1"/>
  <c r="H2372" i="1"/>
  <c r="F2372" i="1"/>
  <c r="D2372" i="1"/>
  <c r="C2372" i="1"/>
  <c r="H2371" i="1"/>
  <c r="F2371" i="1"/>
  <c r="D2371" i="1"/>
  <c r="C2371" i="1"/>
  <c r="H2370" i="1"/>
  <c r="F2370" i="1"/>
  <c r="D2370" i="1"/>
  <c r="C2370" i="1"/>
  <c r="H2369" i="1"/>
  <c r="F2369" i="1"/>
  <c r="D2369" i="1"/>
  <c r="C2369" i="1"/>
  <c r="H2368" i="1"/>
  <c r="F2368" i="1"/>
  <c r="D2368" i="1"/>
  <c r="C2368" i="1"/>
  <c r="H2367" i="1"/>
  <c r="F2367" i="1"/>
  <c r="D2367" i="1"/>
  <c r="C2367" i="1"/>
  <c r="H2366" i="1"/>
  <c r="F2366" i="1"/>
  <c r="D2366" i="1"/>
  <c r="C2366" i="1"/>
  <c r="H2365" i="1"/>
  <c r="F2365" i="1"/>
  <c r="D2365" i="1"/>
  <c r="C2365" i="1"/>
  <c r="H2364" i="1"/>
  <c r="F2364" i="1"/>
  <c r="D2364" i="1"/>
  <c r="C2364" i="1"/>
  <c r="H2363" i="1"/>
  <c r="F2363" i="1"/>
  <c r="D2363" i="1"/>
  <c r="C2363" i="1"/>
  <c r="H2362" i="1"/>
  <c r="F2362" i="1"/>
  <c r="D2362" i="1"/>
  <c r="C2362" i="1"/>
  <c r="H2361" i="1"/>
  <c r="F2361" i="1"/>
  <c r="D2361" i="1"/>
  <c r="C2361" i="1"/>
  <c r="H2360" i="1"/>
  <c r="F2360" i="1"/>
  <c r="D2360" i="1"/>
  <c r="C2360" i="1"/>
  <c r="H2359" i="1"/>
  <c r="F2359" i="1"/>
  <c r="D2359" i="1"/>
  <c r="C2359" i="1"/>
  <c r="H2358" i="1"/>
  <c r="F2358" i="1"/>
  <c r="D2358" i="1"/>
  <c r="C2358" i="1"/>
  <c r="H2357" i="1"/>
  <c r="F2357" i="1"/>
  <c r="D2357" i="1"/>
  <c r="C2357" i="1"/>
  <c r="H2356" i="1"/>
  <c r="F2356" i="1"/>
  <c r="D2356" i="1"/>
  <c r="C2356" i="1"/>
  <c r="H2355" i="1"/>
  <c r="F2355" i="1"/>
  <c r="D2355" i="1"/>
  <c r="C2355" i="1"/>
  <c r="H2354" i="1"/>
  <c r="F2354" i="1"/>
  <c r="D2354" i="1"/>
  <c r="C2354" i="1"/>
  <c r="H2353" i="1"/>
  <c r="F2353" i="1"/>
  <c r="D2353" i="1"/>
  <c r="C2353" i="1"/>
  <c r="H2352" i="1"/>
  <c r="F2352" i="1"/>
  <c r="D2352" i="1"/>
  <c r="C2352" i="1"/>
  <c r="H2351" i="1"/>
  <c r="F2351" i="1"/>
  <c r="D2351" i="1"/>
  <c r="C2351" i="1"/>
  <c r="H2350" i="1"/>
  <c r="F2350" i="1"/>
  <c r="D2350" i="1"/>
  <c r="C2350" i="1"/>
  <c r="H2349" i="1"/>
  <c r="F2349" i="1"/>
  <c r="D2349" i="1"/>
  <c r="C2349" i="1"/>
  <c r="H2348" i="1"/>
  <c r="F2348" i="1"/>
  <c r="D2348" i="1"/>
  <c r="C2348" i="1"/>
  <c r="H2347" i="1"/>
  <c r="F2347" i="1"/>
  <c r="D2347" i="1"/>
  <c r="C2347" i="1"/>
  <c r="H2346" i="1"/>
  <c r="F2346" i="1"/>
  <c r="D2346" i="1"/>
  <c r="C2346" i="1"/>
  <c r="H2345" i="1"/>
  <c r="F2345" i="1"/>
  <c r="D2345" i="1"/>
  <c r="C2345" i="1"/>
  <c r="H2344" i="1"/>
  <c r="F2344" i="1"/>
  <c r="D2344" i="1"/>
  <c r="C2344" i="1"/>
  <c r="H2343" i="1"/>
  <c r="F2343" i="1"/>
  <c r="D2343" i="1"/>
  <c r="C2343" i="1"/>
  <c r="H2342" i="1"/>
  <c r="F2342" i="1"/>
  <c r="D2342" i="1"/>
  <c r="C2342" i="1"/>
  <c r="H2341" i="1"/>
  <c r="F2341" i="1"/>
  <c r="D2341" i="1"/>
  <c r="C2341" i="1"/>
  <c r="H2340" i="1"/>
  <c r="F2340" i="1"/>
  <c r="D2340" i="1"/>
  <c r="C2340" i="1"/>
  <c r="H2339" i="1"/>
  <c r="F2339" i="1"/>
  <c r="D2339" i="1"/>
  <c r="C2339" i="1"/>
  <c r="H2338" i="1"/>
  <c r="F2338" i="1"/>
  <c r="D2338" i="1"/>
  <c r="C2338" i="1"/>
  <c r="H2337" i="1"/>
  <c r="F2337" i="1"/>
  <c r="D2337" i="1"/>
  <c r="C2337" i="1"/>
  <c r="H2336" i="1"/>
  <c r="F2336" i="1"/>
  <c r="D2336" i="1"/>
  <c r="C2336" i="1"/>
  <c r="H2335" i="1"/>
  <c r="F2335" i="1"/>
  <c r="D2335" i="1"/>
  <c r="C2335" i="1"/>
  <c r="H2334" i="1"/>
  <c r="F2334" i="1"/>
  <c r="D2334" i="1"/>
  <c r="C2334" i="1"/>
  <c r="H2333" i="1"/>
  <c r="F2333" i="1"/>
  <c r="D2333" i="1"/>
  <c r="C2333" i="1"/>
  <c r="H2332" i="1"/>
  <c r="F2332" i="1"/>
  <c r="D2332" i="1"/>
  <c r="C2332" i="1"/>
  <c r="H2331" i="1"/>
  <c r="F2331" i="1"/>
  <c r="D2331" i="1"/>
  <c r="C2331" i="1"/>
  <c r="H2330" i="1"/>
  <c r="F2330" i="1"/>
  <c r="D2330" i="1"/>
  <c r="C2330" i="1"/>
  <c r="H2329" i="1"/>
  <c r="F2329" i="1"/>
  <c r="D2329" i="1"/>
  <c r="C2329" i="1"/>
  <c r="H2328" i="1"/>
  <c r="F2328" i="1"/>
  <c r="D2328" i="1"/>
  <c r="C2328" i="1"/>
  <c r="H2327" i="1"/>
  <c r="F2327" i="1"/>
  <c r="D2327" i="1"/>
  <c r="C2327" i="1"/>
  <c r="H2326" i="1"/>
  <c r="F2326" i="1"/>
  <c r="D2326" i="1"/>
  <c r="C2326" i="1"/>
  <c r="H2325" i="1"/>
  <c r="F2325" i="1"/>
  <c r="D2325" i="1"/>
  <c r="C2325" i="1"/>
  <c r="H2324" i="1"/>
  <c r="F2324" i="1"/>
  <c r="D2324" i="1"/>
  <c r="C2324" i="1"/>
  <c r="H2323" i="1"/>
  <c r="F2323" i="1"/>
  <c r="D2323" i="1"/>
  <c r="C2323" i="1"/>
  <c r="H2322" i="1"/>
  <c r="F2322" i="1"/>
  <c r="D2322" i="1"/>
  <c r="C2322" i="1"/>
  <c r="H2321" i="1"/>
  <c r="F2321" i="1"/>
  <c r="D2321" i="1"/>
  <c r="C2321" i="1"/>
  <c r="H2320" i="1"/>
  <c r="F2320" i="1"/>
  <c r="D2320" i="1"/>
  <c r="C2320" i="1"/>
  <c r="H2319" i="1"/>
  <c r="F2319" i="1"/>
  <c r="D2319" i="1"/>
  <c r="C2319" i="1"/>
  <c r="H2318" i="1"/>
  <c r="F2318" i="1"/>
  <c r="D2318" i="1"/>
  <c r="C2318" i="1"/>
  <c r="H2317" i="1"/>
  <c r="F2317" i="1"/>
  <c r="D2317" i="1"/>
  <c r="C2317" i="1"/>
  <c r="H2316" i="1"/>
  <c r="F2316" i="1"/>
  <c r="D2316" i="1"/>
  <c r="C2316" i="1"/>
  <c r="H2315" i="1"/>
  <c r="F2315" i="1"/>
  <c r="D2315" i="1"/>
  <c r="C2315" i="1"/>
  <c r="H2314" i="1"/>
  <c r="F2314" i="1"/>
  <c r="D2314" i="1"/>
  <c r="C2314" i="1"/>
  <c r="H2313" i="1"/>
  <c r="F2313" i="1"/>
  <c r="D2313" i="1"/>
  <c r="C2313" i="1"/>
  <c r="H2312" i="1"/>
  <c r="F2312" i="1"/>
  <c r="D2312" i="1"/>
  <c r="C2312" i="1"/>
  <c r="H2311" i="1"/>
  <c r="F2311" i="1"/>
  <c r="D2311" i="1"/>
  <c r="C2311" i="1"/>
  <c r="H2310" i="1"/>
  <c r="F2310" i="1"/>
  <c r="D2310" i="1"/>
  <c r="C2310" i="1"/>
  <c r="H2309" i="1"/>
  <c r="F2309" i="1"/>
  <c r="D2309" i="1"/>
  <c r="C2309" i="1"/>
  <c r="H2308" i="1"/>
  <c r="F2308" i="1"/>
  <c r="D2308" i="1"/>
  <c r="C2308" i="1"/>
  <c r="H2307" i="1"/>
  <c r="F2307" i="1"/>
  <c r="D2307" i="1"/>
  <c r="C2307" i="1"/>
  <c r="H2306" i="1"/>
  <c r="F2306" i="1"/>
  <c r="D2306" i="1"/>
  <c r="C2306" i="1"/>
  <c r="H2305" i="1"/>
  <c r="F2305" i="1"/>
  <c r="D2305" i="1"/>
  <c r="C2305" i="1"/>
  <c r="H2304" i="1"/>
  <c r="F2304" i="1"/>
  <c r="D2304" i="1"/>
  <c r="C2304" i="1"/>
  <c r="H2303" i="1"/>
  <c r="F2303" i="1"/>
  <c r="D2303" i="1"/>
  <c r="C2303" i="1"/>
  <c r="H2302" i="1"/>
  <c r="F2302" i="1"/>
  <c r="D2302" i="1"/>
  <c r="C2302" i="1"/>
  <c r="H2301" i="1"/>
  <c r="F2301" i="1"/>
  <c r="D2301" i="1"/>
  <c r="C2301" i="1"/>
  <c r="H2300" i="1"/>
  <c r="F2300" i="1"/>
  <c r="D2300" i="1"/>
  <c r="C2300" i="1"/>
  <c r="H2299" i="1"/>
  <c r="F2299" i="1"/>
  <c r="D2299" i="1"/>
  <c r="C2299" i="1"/>
  <c r="H2298" i="1"/>
  <c r="F2298" i="1"/>
  <c r="D2298" i="1"/>
  <c r="C2298" i="1"/>
  <c r="H2297" i="1"/>
  <c r="F2297" i="1"/>
  <c r="D2297" i="1"/>
  <c r="C2297" i="1"/>
  <c r="H2296" i="1"/>
  <c r="F2296" i="1"/>
  <c r="D2296" i="1"/>
  <c r="C2296" i="1"/>
  <c r="H2295" i="1"/>
  <c r="F2295" i="1"/>
  <c r="D2295" i="1"/>
  <c r="C2295" i="1"/>
  <c r="H2294" i="1"/>
  <c r="F2294" i="1"/>
  <c r="D2294" i="1"/>
  <c r="C2294" i="1"/>
  <c r="H2293" i="1"/>
  <c r="F2293" i="1"/>
  <c r="D2293" i="1"/>
  <c r="C2293" i="1"/>
  <c r="H2292" i="1"/>
  <c r="F2292" i="1"/>
  <c r="D2292" i="1"/>
  <c r="C2292" i="1"/>
  <c r="H2291" i="1"/>
  <c r="F2291" i="1"/>
  <c r="D2291" i="1"/>
  <c r="C2291" i="1"/>
  <c r="H2290" i="1"/>
  <c r="F2290" i="1"/>
  <c r="D2290" i="1"/>
  <c r="C2290" i="1"/>
  <c r="H2289" i="1"/>
  <c r="F2289" i="1"/>
  <c r="D2289" i="1"/>
  <c r="C2289" i="1"/>
  <c r="H2288" i="1"/>
  <c r="F2288" i="1"/>
  <c r="D2288" i="1"/>
  <c r="C2288" i="1"/>
  <c r="H2287" i="1"/>
  <c r="F2287" i="1"/>
  <c r="D2287" i="1"/>
  <c r="C2287" i="1"/>
  <c r="H2286" i="1"/>
  <c r="F2286" i="1"/>
  <c r="D2286" i="1"/>
  <c r="C2286" i="1"/>
  <c r="H2285" i="1"/>
  <c r="F2285" i="1"/>
  <c r="D2285" i="1"/>
  <c r="C2285" i="1"/>
  <c r="H2284" i="1"/>
  <c r="F2284" i="1"/>
  <c r="D2284" i="1"/>
  <c r="C2284" i="1"/>
  <c r="H2283" i="1"/>
  <c r="F2283" i="1"/>
  <c r="D2283" i="1"/>
  <c r="C2283" i="1"/>
  <c r="H2282" i="1"/>
  <c r="F2282" i="1"/>
  <c r="D2282" i="1"/>
  <c r="C2282" i="1"/>
  <c r="H2281" i="1"/>
  <c r="F2281" i="1"/>
  <c r="D2281" i="1"/>
  <c r="C2281" i="1"/>
  <c r="H2280" i="1"/>
  <c r="F2280" i="1"/>
  <c r="D2280" i="1"/>
  <c r="C2280" i="1"/>
  <c r="H2279" i="1"/>
  <c r="F2279" i="1"/>
  <c r="D2279" i="1"/>
  <c r="C2279" i="1"/>
  <c r="H2278" i="1"/>
  <c r="F2278" i="1"/>
  <c r="D2278" i="1"/>
  <c r="C2278" i="1"/>
  <c r="H2277" i="1"/>
  <c r="F2277" i="1"/>
  <c r="D2277" i="1"/>
  <c r="C2277" i="1"/>
  <c r="H2276" i="1"/>
  <c r="F2276" i="1"/>
  <c r="D2276" i="1"/>
  <c r="C2276" i="1"/>
  <c r="H2275" i="1"/>
  <c r="F2275" i="1"/>
  <c r="D2275" i="1"/>
  <c r="C2275" i="1"/>
  <c r="H2274" i="1"/>
  <c r="F2274" i="1"/>
  <c r="D2274" i="1"/>
  <c r="C2274" i="1"/>
  <c r="H2273" i="1"/>
  <c r="F2273" i="1"/>
  <c r="D2273" i="1"/>
  <c r="C2273" i="1"/>
  <c r="H2272" i="1"/>
  <c r="F2272" i="1"/>
  <c r="D2272" i="1"/>
  <c r="C2272" i="1"/>
  <c r="H2271" i="1"/>
  <c r="F2271" i="1"/>
  <c r="D2271" i="1"/>
  <c r="C2271" i="1"/>
  <c r="H2270" i="1"/>
  <c r="F2270" i="1"/>
  <c r="D2270" i="1"/>
  <c r="C2270" i="1"/>
  <c r="H2269" i="1"/>
  <c r="F2269" i="1"/>
  <c r="D2269" i="1"/>
  <c r="C2269" i="1"/>
  <c r="H2268" i="1"/>
  <c r="F2268" i="1"/>
  <c r="D2268" i="1"/>
  <c r="C2268" i="1"/>
  <c r="H2267" i="1"/>
  <c r="F2267" i="1"/>
  <c r="D2267" i="1"/>
  <c r="C2267" i="1"/>
  <c r="H2266" i="1"/>
  <c r="F2266" i="1"/>
  <c r="D2266" i="1"/>
  <c r="C2266" i="1"/>
  <c r="H2265" i="1"/>
  <c r="F2265" i="1"/>
  <c r="D2265" i="1"/>
  <c r="C2265" i="1"/>
  <c r="H2264" i="1"/>
  <c r="F2264" i="1"/>
  <c r="D2264" i="1"/>
  <c r="C2264" i="1"/>
  <c r="H2263" i="1"/>
  <c r="F2263" i="1"/>
  <c r="D2263" i="1"/>
  <c r="C2263" i="1"/>
  <c r="H2262" i="1"/>
  <c r="F2262" i="1"/>
  <c r="D2262" i="1"/>
  <c r="C2262" i="1"/>
  <c r="H2261" i="1"/>
  <c r="F2261" i="1"/>
  <c r="D2261" i="1"/>
  <c r="C2261" i="1"/>
  <c r="H2260" i="1"/>
  <c r="F2260" i="1"/>
  <c r="D2260" i="1"/>
  <c r="C2260" i="1"/>
  <c r="H2259" i="1"/>
  <c r="F2259" i="1"/>
  <c r="D2259" i="1"/>
  <c r="C2259" i="1"/>
  <c r="H2258" i="1"/>
  <c r="F2258" i="1"/>
  <c r="D2258" i="1"/>
  <c r="C2258" i="1"/>
  <c r="H2257" i="1"/>
  <c r="F2257" i="1"/>
  <c r="D2257" i="1"/>
  <c r="C2257" i="1"/>
  <c r="H2256" i="1"/>
  <c r="F2256" i="1"/>
  <c r="D2256" i="1"/>
  <c r="C2256" i="1"/>
  <c r="H2255" i="1"/>
  <c r="F2255" i="1"/>
  <c r="D2255" i="1"/>
  <c r="C2255" i="1"/>
  <c r="H2254" i="1"/>
  <c r="F2254" i="1"/>
  <c r="D2254" i="1"/>
  <c r="C2254" i="1"/>
  <c r="H2253" i="1"/>
  <c r="F2253" i="1"/>
  <c r="D2253" i="1"/>
  <c r="C2253" i="1"/>
  <c r="H2252" i="1"/>
  <c r="F2252" i="1"/>
  <c r="D2252" i="1"/>
  <c r="C2252" i="1"/>
  <c r="H2251" i="1"/>
  <c r="F2251" i="1"/>
  <c r="D2251" i="1"/>
  <c r="C2251" i="1"/>
  <c r="H2250" i="1"/>
  <c r="F2250" i="1"/>
  <c r="D2250" i="1"/>
  <c r="C2250" i="1"/>
  <c r="H2249" i="1"/>
  <c r="F2249" i="1"/>
  <c r="D2249" i="1"/>
  <c r="C2249" i="1"/>
  <c r="H2248" i="1"/>
  <c r="F2248" i="1"/>
  <c r="D2248" i="1"/>
  <c r="C2248" i="1"/>
  <c r="H2247" i="1"/>
  <c r="F2247" i="1"/>
  <c r="D2247" i="1"/>
  <c r="C2247" i="1"/>
  <c r="H2246" i="1"/>
  <c r="F2246" i="1"/>
  <c r="D2246" i="1"/>
  <c r="C2246" i="1"/>
  <c r="H2245" i="1"/>
  <c r="F2245" i="1"/>
  <c r="D2245" i="1"/>
  <c r="C2245" i="1"/>
  <c r="H2244" i="1"/>
  <c r="F2244" i="1"/>
  <c r="D2244" i="1"/>
  <c r="C2244" i="1"/>
  <c r="H2243" i="1"/>
  <c r="F2243" i="1"/>
  <c r="D2243" i="1"/>
  <c r="C2243" i="1"/>
  <c r="H2242" i="1"/>
  <c r="F2242" i="1"/>
  <c r="D2242" i="1"/>
  <c r="C2242" i="1"/>
  <c r="H2241" i="1"/>
  <c r="F2241" i="1"/>
  <c r="D2241" i="1"/>
  <c r="C2241" i="1"/>
  <c r="H2240" i="1"/>
  <c r="F2240" i="1"/>
  <c r="D2240" i="1"/>
  <c r="C2240" i="1"/>
  <c r="H2239" i="1"/>
  <c r="F2239" i="1"/>
  <c r="D2239" i="1"/>
  <c r="C2239" i="1"/>
  <c r="H2238" i="1"/>
  <c r="F2238" i="1"/>
  <c r="D2238" i="1"/>
  <c r="C2238" i="1"/>
  <c r="H2237" i="1"/>
  <c r="F2237" i="1"/>
  <c r="D2237" i="1"/>
  <c r="C2237" i="1"/>
  <c r="H2236" i="1"/>
  <c r="F2236" i="1"/>
  <c r="D2236" i="1"/>
  <c r="C2236" i="1"/>
  <c r="H2235" i="1"/>
  <c r="F2235" i="1"/>
  <c r="D2235" i="1"/>
  <c r="C2235" i="1"/>
  <c r="H2234" i="1"/>
  <c r="F2234" i="1"/>
  <c r="D2234" i="1"/>
  <c r="C2234" i="1"/>
  <c r="H2233" i="1"/>
  <c r="F2233" i="1"/>
  <c r="D2233" i="1"/>
  <c r="C2233" i="1"/>
  <c r="H2232" i="1"/>
  <c r="F2232" i="1"/>
  <c r="D2232" i="1"/>
  <c r="C2232" i="1"/>
  <c r="H2231" i="1"/>
  <c r="F2231" i="1"/>
  <c r="D2231" i="1"/>
  <c r="C2231" i="1"/>
  <c r="H2230" i="1"/>
  <c r="F2230" i="1"/>
  <c r="D2230" i="1"/>
  <c r="C2230" i="1"/>
  <c r="H2229" i="1"/>
  <c r="F2229" i="1"/>
  <c r="D2229" i="1"/>
  <c r="C2229" i="1"/>
  <c r="H2228" i="1"/>
  <c r="F2228" i="1"/>
  <c r="D2228" i="1"/>
  <c r="C2228" i="1"/>
  <c r="H2227" i="1"/>
  <c r="F2227" i="1"/>
  <c r="D2227" i="1"/>
  <c r="C2227" i="1"/>
  <c r="H2226" i="1"/>
  <c r="F2226" i="1"/>
  <c r="D2226" i="1"/>
  <c r="C2226" i="1"/>
  <c r="H2225" i="1"/>
  <c r="F2225" i="1"/>
  <c r="D2225" i="1"/>
  <c r="C2225" i="1"/>
  <c r="H2224" i="1"/>
  <c r="F2224" i="1"/>
  <c r="D2224" i="1"/>
  <c r="C2224" i="1"/>
  <c r="H2223" i="1"/>
  <c r="F2223" i="1"/>
  <c r="D2223" i="1"/>
  <c r="C2223" i="1"/>
  <c r="H2222" i="1"/>
  <c r="F2222" i="1"/>
  <c r="D2222" i="1"/>
  <c r="C2222" i="1"/>
  <c r="H2221" i="1"/>
  <c r="F2221" i="1"/>
  <c r="D2221" i="1"/>
  <c r="C2221" i="1"/>
  <c r="H2220" i="1"/>
  <c r="F2220" i="1"/>
  <c r="D2220" i="1"/>
  <c r="C2220" i="1"/>
  <c r="H2219" i="1"/>
  <c r="F2219" i="1"/>
  <c r="D2219" i="1"/>
  <c r="C2219" i="1"/>
  <c r="H2218" i="1"/>
  <c r="F2218" i="1"/>
  <c r="D2218" i="1"/>
  <c r="C2218" i="1"/>
  <c r="H2217" i="1"/>
  <c r="F2217" i="1"/>
  <c r="D2217" i="1"/>
  <c r="C2217" i="1"/>
  <c r="H2216" i="1"/>
  <c r="F2216" i="1"/>
  <c r="D2216" i="1"/>
  <c r="C2216" i="1"/>
  <c r="H2215" i="1"/>
  <c r="F2215" i="1"/>
  <c r="D2215" i="1"/>
  <c r="C2215" i="1"/>
  <c r="H2214" i="1"/>
  <c r="F2214" i="1"/>
  <c r="D2214" i="1"/>
  <c r="C2214" i="1"/>
  <c r="H2213" i="1"/>
  <c r="F2213" i="1"/>
  <c r="D2213" i="1"/>
  <c r="C2213" i="1"/>
  <c r="H2212" i="1"/>
  <c r="F2212" i="1"/>
  <c r="D2212" i="1"/>
  <c r="C2212" i="1"/>
  <c r="H2211" i="1"/>
  <c r="F2211" i="1"/>
  <c r="D2211" i="1"/>
  <c r="C2211" i="1"/>
  <c r="H2210" i="1"/>
  <c r="F2210" i="1"/>
  <c r="D2210" i="1"/>
  <c r="C2210" i="1"/>
  <c r="H2209" i="1"/>
  <c r="F2209" i="1"/>
  <c r="D2209" i="1"/>
  <c r="C2209" i="1"/>
  <c r="H2208" i="1"/>
  <c r="F2208" i="1"/>
  <c r="D2208" i="1"/>
  <c r="C2208" i="1"/>
  <c r="H2207" i="1"/>
  <c r="F2207" i="1"/>
  <c r="D2207" i="1"/>
  <c r="C2207" i="1"/>
  <c r="H2206" i="1"/>
  <c r="F2206" i="1"/>
  <c r="D2206" i="1"/>
  <c r="C2206" i="1"/>
  <c r="H2205" i="1"/>
  <c r="F2205" i="1"/>
  <c r="D2205" i="1"/>
  <c r="C2205" i="1"/>
  <c r="H2204" i="1"/>
  <c r="F2204" i="1"/>
  <c r="D2204" i="1"/>
  <c r="C2204" i="1"/>
  <c r="H2203" i="1"/>
  <c r="F2203" i="1"/>
  <c r="D2203" i="1"/>
  <c r="C2203" i="1"/>
  <c r="H2202" i="1"/>
  <c r="F2202" i="1"/>
  <c r="D2202" i="1"/>
  <c r="C2202" i="1"/>
  <c r="H2201" i="1"/>
  <c r="F2201" i="1"/>
  <c r="D2201" i="1"/>
  <c r="C2201" i="1"/>
  <c r="H2200" i="1"/>
  <c r="F2200" i="1"/>
  <c r="D2200" i="1"/>
  <c r="C2200" i="1"/>
  <c r="H2199" i="1"/>
  <c r="F2199" i="1"/>
  <c r="D2199" i="1"/>
  <c r="C2199" i="1"/>
  <c r="H2198" i="1"/>
  <c r="F2198" i="1"/>
  <c r="D2198" i="1"/>
  <c r="C2198" i="1"/>
  <c r="H2197" i="1"/>
  <c r="F2197" i="1"/>
  <c r="D2197" i="1"/>
  <c r="C2197" i="1"/>
  <c r="H2196" i="1"/>
  <c r="F2196" i="1"/>
  <c r="D2196" i="1"/>
  <c r="C2196" i="1"/>
  <c r="H2195" i="1"/>
  <c r="F2195" i="1"/>
  <c r="D2195" i="1"/>
  <c r="C2195" i="1"/>
  <c r="H2194" i="1"/>
  <c r="F2194" i="1"/>
  <c r="D2194" i="1"/>
  <c r="C2194" i="1"/>
  <c r="H2193" i="1"/>
  <c r="F2193" i="1"/>
  <c r="D2193" i="1"/>
  <c r="C2193" i="1"/>
  <c r="H2192" i="1"/>
  <c r="F2192" i="1"/>
  <c r="D2192" i="1"/>
  <c r="C2192" i="1"/>
  <c r="H2191" i="1"/>
  <c r="F2191" i="1"/>
  <c r="D2191" i="1"/>
  <c r="C2191" i="1"/>
  <c r="H2190" i="1"/>
  <c r="F2190" i="1"/>
  <c r="D2190" i="1"/>
  <c r="C2190" i="1"/>
  <c r="H2189" i="1"/>
  <c r="F2189" i="1"/>
  <c r="D2189" i="1"/>
  <c r="C2189" i="1"/>
  <c r="H2188" i="1"/>
  <c r="F2188" i="1"/>
  <c r="D2188" i="1"/>
  <c r="C2188" i="1"/>
  <c r="H2187" i="1"/>
  <c r="F2187" i="1"/>
  <c r="D2187" i="1"/>
  <c r="C2187" i="1"/>
  <c r="H2186" i="1"/>
  <c r="F2186" i="1"/>
  <c r="D2186" i="1"/>
  <c r="C2186" i="1"/>
  <c r="H2185" i="1"/>
  <c r="F2185" i="1"/>
  <c r="D2185" i="1"/>
  <c r="C2185" i="1"/>
  <c r="H2184" i="1"/>
  <c r="F2184" i="1"/>
  <c r="D2184" i="1"/>
  <c r="C2184" i="1"/>
  <c r="H2183" i="1"/>
  <c r="F2183" i="1"/>
  <c r="D2183" i="1"/>
  <c r="C2183" i="1"/>
  <c r="H2182" i="1"/>
  <c r="F2182" i="1"/>
  <c r="D2182" i="1"/>
  <c r="C2182" i="1"/>
  <c r="H2181" i="1"/>
  <c r="F2181" i="1"/>
  <c r="D2181" i="1"/>
  <c r="C2181" i="1"/>
  <c r="H2180" i="1"/>
  <c r="F2180" i="1"/>
  <c r="D2180" i="1"/>
  <c r="C2180" i="1"/>
  <c r="H2179" i="1"/>
  <c r="F2179" i="1"/>
  <c r="D2179" i="1"/>
  <c r="C2179" i="1"/>
  <c r="H2178" i="1"/>
  <c r="F2178" i="1"/>
  <c r="D2178" i="1"/>
  <c r="C2178" i="1"/>
  <c r="H2177" i="1"/>
  <c r="F2177" i="1"/>
  <c r="D2177" i="1"/>
  <c r="C2177" i="1"/>
  <c r="H2176" i="1"/>
  <c r="F2176" i="1"/>
  <c r="D2176" i="1"/>
  <c r="C2176" i="1"/>
  <c r="H2175" i="1"/>
  <c r="F2175" i="1"/>
  <c r="D2175" i="1"/>
  <c r="C2175" i="1"/>
  <c r="H2174" i="1"/>
  <c r="F2174" i="1"/>
  <c r="D2174" i="1"/>
  <c r="C2174" i="1"/>
  <c r="H2173" i="1"/>
  <c r="F2173" i="1"/>
  <c r="D2173" i="1"/>
  <c r="C2173" i="1"/>
  <c r="H2172" i="1"/>
  <c r="F2172" i="1"/>
  <c r="D2172" i="1"/>
  <c r="C2172" i="1"/>
  <c r="H2171" i="1"/>
  <c r="F2171" i="1"/>
  <c r="D2171" i="1"/>
  <c r="C2171" i="1"/>
  <c r="H2170" i="1"/>
  <c r="F2170" i="1"/>
  <c r="D2170" i="1"/>
  <c r="C2170" i="1"/>
  <c r="H2169" i="1"/>
  <c r="F2169" i="1"/>
  <c r="D2169" i="1"/>
  <c r="C2169" i="1"/>
  <c r="H2168" i="1"/>
  <c r="F2168" i="1"/>
  <c r="D2168" i="1"/>
  <c r="C2168" i="1"/>
  <c r="H2167" i="1"/>
  <c r="F2167" i="1"/>
  <c r="D2167" i="1"/>
  <c r="C2167" i="1"/>
  <c r="H2166" i="1"/>
  <c r="F2166" i="1"/>
  <c r="D2166" i="1"/>
  <c r="C2166" i="1"/>
  <c r="H2165" i="1"/>
  <c r="F2165" i="1"/>
  <c r="D2165" i="1"/>
  <c r="C2165" i="1"/>
  <c r="H2164" i="1"/>
  <c r="F2164" i="1"/>
  <c r="D2164" i="1"/>
  <c r="C2164" i="1"/>
  <c r="H2163" i="1"/>
  <c r="F2163" i="1"/>
  <c r="D2163" i="1"/>
  <c r="C2163" i="1"/>
  <c r="H2162" i="1"/>
  <c r="F2162" i="1"/>
  <c r="D2162" i="1"/>
  <c r="C2162" i="1"/>
  <c r="H2161" i="1"/>
  <c r="F2161" i="1"/>
  <c r="D2161" i="1"/>
  <c r="C2161" i="1"/>
  <c r="H2160" i="1"/>
  <c r="F2160" i="1"/>
  <c r="D2160" i="1"/>
  <c r="C2160" i="1"/>
  <c r="H2159" i="1"/>
  <c r="F2159" i="1"/>
  <c r="D2159" i="1"/>
  <c r="C2159" i="1"/>
  <c r="H2158" i="1"/>
  <c r="F2158" i="1"/>
  <c r="D2158" i="1"/>
  <c r="C2158" i="1"/>
  <c r="H2157" i="1"/>
  <c r="F2157" i="1"/>
  <c r="D2157" i="1"/>
  <c r="C2157" i="1"/>
  <c r="H2156" i="1"/>
  <c r="F2156" i="1"/>
  <c r="D2156" i="1"/>
  <c r="C2156" i="1"/>
  <c r="H2155" i="1"/>
  <c r="F2155" i="1"/>
  <c r="D2155" i="1"/>
  <c r="C2155" i="1"/>
  <c r="H2154" i="1"/>
  <c r="F2154" i="1"/>
  <c r="D2154" i="1"/>
  <c r="C2154" i="1"/>
  <c r="H2153" i="1"/>
  <c r="F2153" i="1"/>
  <c r="D2153" i="1"/>
  <c r="C2153" i="1"/>
  <c r="H2152" i="1"/>
  <c r="F2152" i="1"/>
  <c r="D2152" i="1"/>
  <c r="C2152" i="1"/>
  <c r="H2151" i="1"/>
  <c r="F2151" i="1"/>
  <c r="D2151" i="1"/>
  <c r="C2151" i="1"/>
  <c r="H2150" i="1"/>
  <c r="F2150" i="1"/>
  <c r="D2150" i="1"/>
  <c r="C2150" i="1"/>
  <c r="H2149" i="1"/>
  <c r="F2149" i="1"/>
  <c r="D2149" i="1"/>
  <c r="C2149" i="1"/>
  <c r="H2148" i="1"/>
  <c r="F2148" i="1"/>
  <c r="D2148" i="1"/>
  <c r="C2148" i="1"/>
  <c r="H2147" i="1"/>
  <c r="F2147" i="1"/>
  <c r="D2147" i="1"/>
  <c r="C2147" i="1"/>
  <c r="H2146" i="1"/>
  <c r="F2146" i="1"/>
  <c r="D2146" i="1"/>
  <c r="C2146" i="1"/>
  <c r="H2145" i="1"/>
  <c r="F2145" i="1"/>
  <c r="D2145" i="1"/>
  <c r="C2145" i="1"/>
  <c r="H2144" i="1"/>
  <c r="F2144" i="1"/>
  <c r="D2144" i="1"/>
  <c r="C2144" i="1"/>
  <c r="H2143" i="1"/>
  <c r="F2143" i="1"/>
  <c r="D2143" i="1"/>
  <c r="C2143" i="1"/>
  <c r="H2142" i="1"/>
  <c r="F2142" i="1"/>
  <c r="D2142" i="1"/>
  <c r="C2142" i="1"/>
  <c r="H2141" i="1"/>
  <c r="F2141" i="1"/>
  <c r="D2141" i="1"/>
  <c r="C2141" i="1"/>
  <c r="H2140" i="1"/>
  <c r="F2140" i="1"/>
  <c r="D2140" i="1"/>
  <c r="C2140" i="1"/>
  <c r="H2139" i="1"/>
  <c r="F2139" i="1"/>
  <c r="D2139" i="1"/>
  <c r="C2139" i="1"/>
  <c r="H2138" i="1"/>
  <c r="F2138" i="1"/>
  <c r="D2138" i="1"/>
  <c r="C2138" i="1"/>
  <c r="H2137" i="1"/>
  <c r="F2137" i="1"/>
  <c r="D2137" i="1"/>
  <c r="C2137" i="1"/>
  <c r="H2136" i="1"/>
  <c r="F2136" i="1"/>
  <c r="D2136" i="1"/>
  <c r="C2136" i="1"/>
  <c r="H2135" i="1"/>
  <c r="F2135" i="1"/>
  <c r="D2135" i="1"/>
  <c r="C2135" i="1"/>
  <c r="H2134" i="1"/>
  <c r="F2134" i="1"/>
  <c r="D2134" i="1"/>
  <c r="C2134" i="1"/>
  <c r="H2133" i="1"/>
  <c r="F2133" i="1"/>
  <c r="D2133" i="1"/>
  <c r="C2133" i="1"/>
  <c r="H2132" i="1"/>
  <c r="F2132" i="1"/>
  <c r="D2132" i="1"/>
  <c r="C2132" i="1"/>
  <c r="H2131" i="1"/>
  <c r="F2131" i="1"/>
  <c r="D2131" i="1"/>
  <c r="C2131" i="1"/>
  <c r="H2130" i="1"/>
  <c r="F2130" i="1"/>
  <c r="D2130" i="1"/>
  <c r="C2130" i="1"/>
  <c r="H2129" i="1"/>
  <c r="F2129" i="1"/>
  <c r="D2129" i="1"/>
  <c r="C2129" i="1"/>
  <c r="H2128" i="1"/>
  <c r="F2128" i="1"/>
  <c r="D2128" i="1"/>
  <c r="C2128" i="1"/>
  <c r="H2127" i="1"/>
  <c r="F2127" i="1"/>
  <c r="D2127" i="1"/>
  <c r="C2127" i="1"/>
  <c r="H2126" i="1"/>
  <c r="F2126" i="1"/>
  <c r="D2126" i="1"/>
  <c r="C2126" i="1"/>
  <c r="H2125" i="1"/>
  <c r="F2125" i="1"/>
  <c r="D2125" i="1"/>
  <c r="C2125" i="1"/>
  <c r="H2124" i="1"/>
  <c r="F2124" i="1"/>
  <c r="D2124" i="1"/>
  <c r="C2124" i="1"/>
  <c r="H2123" i="1"/>
  <c r="F2123" i="1"/>
  <c r="D2123" i="1"/>
  <c r="C2123" i="1"/>
  <c r="H2122" i="1"/>
  <c r="F2122" i="1"/>
  <c r="D2122" i="1"/>
  <c r="C2122" i="1"/>
  <c r="H2121" i="1"/>
  <c r="F2121" i="1"/>
  <c r="D2121" i="1"/>
  <c r="C2121" i="1"/>
  <c r="H2120" i="1"/>
  <c r="F2120" i="1"/>
  <c r="D2120" i="1"/>
  <c r="C2120" i="1"/>
  <c r="H2119" i="1"/>
  <c r="F2119" i="1"/>
  <c r="D2119" i="1"/>
  <c r="C2119" i="1"/>
  <c r="H2118" i="1"/>
  <c r="F2118" i="1"/>
  <c r="D2118" i="1"/>
  <c r="C2118" i="1"/>
  <c r="H2117" i="1"/>
  <c r="F2117" i="1"/>
  <c r="D2117" i="1"/>
  <c r="C2117" i="1"/>
  <c r="H2116" i="1"/>
  <c r="F2116" i="1"/>
  <c r="D2116" i="1"/>
  <c r="C2116" i="1"/>
  <c r="H2115" i="1"/>
  <c r="F2115" i="1"/>
  <c r="D2115" i="1"/>
  <c r="C2115" i="1"/>
  <c r="H2114" i="1"/>
  <c r="F2114" i="1"/>
  <c r="D2114" i="1"/>
  <c r="C2114" i="1"/>
  <c r="H2113" i="1"/>
  <c r="F2113" i="1"/>
  <c r="D2113" i="1"/>
  <c r="C2113" i="1"/>
  <c r="H2112" i="1"/>
  <c r="F2112" i="1"/>
  <c r="D2112" i="1"/>
  <c r="C2112" i="1"/>
  <c r="H2111" i="1"/>
  <c r="F2111" i="1"/>
  <c r="D2111" i="1"/>
  <c r="C2111" i="1"/>
  <c r="H2110" i="1"/>
  <c r="F2110" i="1"/>
  <c r="D2110" i="1"/>
  <c r="C2110" i="1"/>
  <c r="H2109" i="1"/>
  <c r="F2109" i="1"/>
  <c r="D2109" i="1"/>
  <c r="C2109" i="1"/>
  <c r="H2108" i="1"/>
  <c r="F2108" i="1"/>
  <c r="D2108" i="1"/>
  <c r="C2108" i="1"/>
  <c r="H2107" i="1"/>
  <c r="F2107" i="1"/>
  <c r="D2107" i="1"/>
  <c r="C2107" i="1"/>
  <c r="H2106" i="1"/>
  <c r="F2106" i="1"/>
  <c r="D2106" i="1"/>
  <c r="C2106" i="1"/>
  <c r="H2105" i="1"/>
  <c r="F2105" i="1"/>
  <c r="D2105" i="1"/>
  <c r="C2105" i="1"/>
  <c r="H2104" i="1"/>
  <c r="F2104" i="1"/>
  <c r="D2104" i="1"/>
  <c r="C2104" i="1"/>
  <c r="H2103" i="1"/>
  <c r="F2103" i="1"/>
  <c r="D2103" i="1"/>
  <c r="C2103" i="1"/>
  <c r="H2102" i="1"/>
  <c r="F2102" i="1"/>
  <c r="D2102" i="1"/>
  <c r="C2102" i="1"/>
  <c r="H2101" i="1"/>
  <c r="F2101" i="1"/>
  <c r="D2101" i="1"/>
  <c r="C2101" i="1"/>
  <c r="H2100" i="1"/>
  <c r="F2100" i="1"/>
  <c r="D2100" i="1"/>
  <c r="C2100" i="1"/>
  <c r="H2099" i="1"/>
  <c r="F2099" i="1"/>
  <c r="D2099" i="1"/>
  <c r="C2099" i="1"/>
  <c r="H2098" i="1"/>
  <c r="F2098" i="1"/>
  <c r="D2098" i="1"/>
  <c r="C2098" i="1"/>
  <c r="H2097" i="1"/>
  <c r="F2097" i="1"/>
  <c r="D2097" i="1"/>
  <c r="C2097" i="1"/>
  <c r="H2096" i="1"/>
  <c r="F2096" i="1"/>
  <c r="D2096" i="1"/>
  <c r="C2096" i="1"/>
  <c r="H2095" i="1"/>
  <c r="F2095" i="1"/>
  <c r="D2095" i="1"/>
  <c r="C2095" i="1"/>
  <c r="H2094" i="1"/>
  <c r="F2094" i="1"/>
  <c r="D2094" i="1"/>
  <c r="C2094" i="1"/>
  <c r="H2093" i="1"/>
  <c r="F2093" i="1"/>
  <c r="D2093" i="1"/>
  <c r="C2093" i="1"/>
  <c r="H2092" i="1"/>
  <c r="F2092" i="1"/>
  <c r="D2092" i="1"/>
  <c r="C2092" i="1"/>
  <c r="H2091" i="1"/>
  <c r="F2091" i="1"/>
  <c r="D2091" i="1"/>
  <c r="C2091" i="1"/>
  <c r="H2090" i="1"/>
  <c r="F2090" i="1"/>
  <c r="D2090" i="1"/>
  <c r="C2090" i="1"/>
  <c r="H2089" i="1"/>
  <c r="F2089" i="1"/>
  <c r="D2089" i="1"/>
  <c r="C2089" i="1"/>
  <c r="H2088" i="1"/>
  <c r="F2088" i="1"/>
  <c r="D2088" i="1"/>
  <c r="C2088" i="1"/>
  <c r="H2087" i="1"/>
  <c r="F2087" i="1"/>
  <c r="D2087" i="1"/>
  <c r="C2087" i="1"/>
  <c r="H2086" i="1"/>
  <c r="F2086" i="1"/>
  <c r="D2086" i="1"/>
  <c r="C2086" i="1"/>
  <c r="H2085" i="1"/>
  <c r="F2085" i="1"/>
  <c r="D2085" i="1"/>
  <c r="C2085" i="1"/>
  <c r="H2084" i="1"/>
  <c r="F2084" i="1"/>
  <c r="D2084" i="1"/>
  <c r="C2084" i="1"/>
  <c r="H2083" i="1"/>
  <c r="F2083" i="1"/>
  <c r="D2083" i="1"/>
  <c r="C2083" i="1"/>
  <c r="H2082" i="1"/>
  <c r="F2082" i="1"/>
  <c r="D2082" i="1"/>
  <c r="C2082" i="1"/>
  <c r="H2081" i="1"/>
  <c r="F2081" i="1"/>
  <c r="D2081" i="1"/>
  <c r="C2081" i="1"/>
  <c r="H2080" i="1"/>
  <c r="F2080" i="1"/>
  <c r="D2080" i="1"/>
  <c r="C2080" i="1"/>
  <c r="H2079" i="1"/>
  <c r="F2079" i="1"/>
  <c r="D2079" i="1"/>
  <c r="C2079" i="1"/>
  <c r="H2078" i="1"/>
  <c r="F2078" i="1"/>
  <c r="D2078" i="1"/>
  <c r="C2078" i="1"/>
  <c r="H2077" i="1"/>
  <c r="F2077" i="1"/>
  <c r="D2077" i="1"/>
  <c r="C2077" i="1"/>
  <c r="H2076" i="1"/>
  <c r="F2076" i="1"/>
  <c r="D2076" i="1"/>
  <c r="C2076" i="1"/>
  <c r="H2075" i="1"/>
  <c r="F2075" i="1"/>
  <c r="D2075" i="1"/>
  <c r="C2075" i="1"/>
  <c r="H2074" i="1"/>
  <c r="F2074" i="1"/>
  <c r="D2074" i="1"/>
  <c r="C2074" i="1"/>
  <c r="H2073" i="1"/>
  <c r="F2073" i="1"/>
  <c r="D2073" i="1"/>
  <c r="C2073" i="1"/>
  <c r="H2072" i="1"/>
  <c r="F2072" i="1"/>
  <c r="D2072" i="1"/>
  <c r="C2072" i="1"/>
  <c r="H2071" i="1"/>
  <c r="F2071" i="1"/>
  <c r="D2071" i="1"/>
  <c r="C2071" i="1"/>
  <c r="H2070" i="1"/>
  <c r="F2070" i="1"/>
  <c r="D2070" i="1"/>
  <c r="C2070" i="1"/>
  <c r="H2069" i="1"/>
  <c r="F2069" i="1"/>
  <c r="D2069" i="1"/>
  <c r="C2069" i="1"/>
  <c r="H2068" i="1"/>
  <c r="F2068" i="1"/>
  <c r="D2068" i="1"/>
  <c r="C2068" i="1"/>
  <c r="H2067" i="1"/>
  <c r="F2067" i="1"/>
  <c r="D2067" i="1"/>
  <c r="C2067" i="1"/>
  <c r="H2066" i="1"/>
  <c r="F2066" i="1"/>
  <c r="D2066" i="1"/>
  <c r="C2066" i="1"/>
  <c r="H2065" i="1"/>
  <c r="F2065" i="1"/>
  <c r="D2065" i="1"/>
  <c r="C2065" i="1"/>
  <c r="H2064" i="1"/>
  <c r="F2064" i="1"/>
  <c r="D2064" i="1"/>
  <c r="C2064" i="1"/>
  <c r="H2063" i="1"/>
  <c r="F2063" i="1"/>
  <c r="D2063" i="1"/>
  <c r="C2063" i="1"/>
  <c r="H2062" i="1"/>
  <c r="F2062" i="1"/>
  <c r="D2062" i="1"/>
  <c r="C2062" i="1"/>
  <c r="H2061" i="1"/>
  <c r="F2061" i="1"/>
  <c r="D2061" i="1"/>
  <c r="C2061" i="1"/>
  <c r="H2060" i="1"/>
  <c r="F2060" i="1"/>
  <c r="D2060" i="1"/>
  <c r="C2060" i="1"/>
  <c r="H2059" i="1"/>
  <c r="F2059" i="1"/>
  <c r="D2059" i="1"/>
  <c r="C2059" i="1"/>
  <c r="H2058" i="1"/>
  <c r="F2058" i="1"/>
  <c r="D2058" i="1"/>
  <c r="C2058" i="1"/>
  <c r="H2057" i="1"/>
  <c r="F2057" i="1"/>
  <c r="D2057" i="1"/>
  <c r="C2057" i="1"/>
  <c r="H2056" i="1"/>
  <c r="F2056" i="1"/>
  <c r="D2056" i="1"/>
  <c r="C2056" i="1"/>
  <c r="H2055" i="1"/>
  <c r="F2055" i="1"/>
  <c r="D2055" i="1"/>
  <c r="C2055" i="1"/>
  <c r="H2054" i="1"/>
  <c r="F2054" i="1"/>
  <c r="D2054" i="1"/>
  <c r="C2054" i="1"/>
  <c r="H2053" i="1"/>
  <c r="F2053" i="1"/>
  <c r="D2053" i="1"/>
  <c r="C2053" i="1"/>
  <c r="H2052" i="1"/>
  <c r="F2052" i="1"/>
  <c r="D2052" i="1"/>
  <c r="C2052" i="1"/>
  <c r="H2051" i="1"/>
  <c r="F2051" i="1"/>
  <c r="D2051" i="1"/>
  <c r="C2051" i="1"/>
  <c r="H2050" i="1"/>
  <c r="F2050" i="1"/>
  <c r="D2050" i="1"/>
  <c r="C2050" i="1"/>
  <c r="H2049" i="1"/>
  <c r="F2049" i="1"/>
  <c r="D2049" i="1"/>
  <c r="C2049" i="1"/>
  <c r="H2048" i="1"/>
  <c r="F2048" i="1"/>
  <c r="D2048" i="1"/>
  <c r="C2048" i="1"/>
  <c r="H2047" i="1"/>
  <c r="F2047" i="1"/>
  <c r="D2047" i="1"/>
  <c r="C2047" i="1"/>
  <c r="H2046" i="1"/>
  <c r="F2046" i="1"/>
  <c r="D2046" i="1"/>
  <c r="C2046" i="1"/>
  <c r="H2045" i="1"/>
  <c r="F2045" i="1"/>
  <c r="D2045" i="1"/>
  <c r="C2045" i="1"/>
  <c r="H2044" i="1"/>
  <c r="F2044" i="1"/>
  <c r="D2044" i="1"/>
  <c r="C2044" i="1"/>
  <c r="H2043" i="1"/>
  <c r="F2043" i="1"/>
  <c r="D2043" i="1"/>
  <c r="C2043" i="1"/>
  <c r="H2042" i="1"/>
  <c r="F2042" i="1"/>
  <c r="D2042" i="1"/>
  <c r="C2042" i="1"/>
  <c r="H2041" i="1"/>
  <c r="F2041" i="1"/>
  <c r="D2041" i="1"/>
  <c r="C2041" i="1"/>
  <c r="H2040" i="1"/>
  <c r="F2040" i="1"/>
  <c r="D2040" i="1"/>
  <c r="C2040" i="1"/>
  <c r="H2039" i="1"/>
  <c r="F2039" i="1"/>
  <c r="D2039" i="1"/>
  <c r="C2039" i="1"/>
  <c r="H2038" i="1"/>
  <c r="F2038" i="1"/>
  <c r="D2038" i="1"/>
  <c r="C2038" i="1"/>
  <c r="H2037" i="1"/>
  <c r="F2037" i="1"/>
  <c r="D2037" i="1"/>
  <c r="C2037" i="1"/>
  <c r="H2036" i="1"/>
  <c r="F2036" i="1"/>
  <c r="D2036" i="1"/>
  <c r="C2036" i="1"/>
  <c r="H2035" i="1"/>
  <c r="F2035" i="1"/>
  <c r="D2035" i="1"/>
  <c r="C2035" i="1"/>
  <c r="H2034" i="1"/>
  <c r="F2034" i="1"/>
  <c r="D2034" i="1"/>
  <c r="C2034" i="1"/>
  <c r="H2033" i="1"/>
  <c r="F2033" i="1"/>
  <c r="D2033" i="1"/>
  <c r="C2033" i="1"/>
  <c r="H2032" i="1"/>
  <c r="F2032" i="1"/>
  <c r="D2032" i="1"/>
  <c r="C2032" i="1"/>
  <c r="H2031" i="1"/>
  <c r="F2031" i="1"/>
  <c r="D2031" i="1"/>
  <c r="C2031" i="1"/>
  <c r="H2030" i="1"/>
  <c r="F2030" i="1"/>
  <c r="D2030" i="1"/>
  <c r="C2030" i="1"/>
  <c r="H2029" i="1"/>
  <c r="F2029" i="1"/>
  <c r="D2029" i="1"/>
  <c r="C2029" i="1"/>
  <c r="H2028" i="1"/>
  <c r="F2028" i="1"/>
  <c r="D2028" i="1"/>
  <c r="C2028" i="1"/>
  <c r="H2027" i="1"/>
  <c r="F2027" i="1"/>
  <c r="D2027" i="1"/>
  <c r="C2027" i="1"/>
  <c r="H2026" i="1"/>
  <c r="F2026" i="1"/>
  <c r="D2026" i="1"/>
  <c r="C2026" i="1"/>
  <c r="H2025" i="1"/>
  <c r="F2025" i="1"/>
  <c r="D2025" i="1"/>
  <c r="C2025" i="1"/>
  <c r="H2024" i="1"/>
  <c r="F2024" i="1"/>
  <c r="D2024" i="1"/>
  <c r="C2024" i="1"/>
  <c r="H2023" i="1"/>
  <c r="F2023" i="1"/>
  <c r="D2023" i="1"/>
  <c r="C2023" i="1"/>
  <c r="H2022" i="1"/>
  <c r="F2022" i="1"/>
  <c r="D2022" i="1"/>
  <c r="C2022" i="1"/>
  <c r="H2021" i="1"/>
  <c r="F2021" i="1"/>
  <c r="D2021" i="1"/>
  <c r="C2021" i="1"/>
  <c r="H2020" i="1"/>
  <c r="F2020" i="1"/>
  <c r="D2020" i="1"/>
  <c r="C2020" i="1"/>
  <c r="H2019" i="1"/>
  <c r="F2019" i="1"/>
  <c r="D2019" i="1"/>
  <c r="C2019" i="1"/>
  <c r="H2018" i="1"/>
  <c r="F2018" i="1"/>
  <c r="D2018" i="1"/>
  <c r="C2018" i="1"/>
  <c r="H2017" i="1"/>
  <c r="F2017" i="1"/>
  <c r="D2017" i="1"/>
  <c r="C2017" i="1"/>
  <c r="H2016" i="1"/>
  <c r="F2016" i="1"/>
  <c r="D2016" i="1"/>
  <c r="C2016" i="1"/>
  <c r="H2015" i="1"/>
  <c r="F2015" i="1"/>
  <c r="D2015" i="1"/>
  <c r="C2015" i="1"/>
  <c r="H2014" i="1"/>
  <c r="F2014" i="1"/>
  <c r="D2014" i="1"/>
  <c r="C2014" i="1"/>
  <c r="H2013" i="1"/>
  <c r="F2013" i="1"/>
  <c r="D2013" i="1"/>
  <c r="C2013" i="1"/>
  <c r="H2012" i="1"/>
  <c r="F2012" i="1"/>
  <c r="D2012" i="1"/>
  <c r="C2012" i="1"/>
  <c r="H2011" i="1"/>
  <c r="F2011" i="1"/>
  <c r="D2011" i="1"/>
  <c r="C2011" i="1"/>
  <c r="H2010" i="1"/>
  <c r="F2010" i="1"/>
  <c r="D2010" i="1"/>
  <c r="C2010" i="1"/>
  <c r="H2009" i="1"/>
  <c r="F2009" i="1"/>
  <c r="D2009" i="1"/>
  <c r="C2009" i="1"/>
  <c r="H2008" i="1"/>
  <c r="F2008" i="1"/>
  <c r="D2008" i="1"/>
  <c r="C2008" i="1"/>
  <c r="H2007" i="1"/>
  <c r="F2007" i="1"/>
  <c r="D2007" i="1"/>
  <c r="C2007" i="1"/>
  <c r="H2006" i="1"/>
  <c r="F2006" i="1"/>
  <c r="D2006" i="1"/>
  <c r="C2006" i="1"/>
  <c r="H2005" i="1"/>
  <c r="F2005" i="1"/>
  <c r="D2005" i="1"/>
  <c r="C2005" i="1"/>
  <c r="H2004" i="1"/>
  <c r="F2004" i="1"/>
  <c r="D2004" i="1"/>
  <c r="C2004" i="1"/>
  <c r="H2003" i="1"/>
  <c r="F2003" i="1"/>
  <c r="D2003" i="1"/>
  <c r="C2003" i="1"/>
  <c r="H2002" i="1"/>
  <c r="F2002" i="1"/>
  <c r="D2002" i="1"/>
  <c r="C2002" i="1"/>
  <c r="H2001" i="1"/>
  <c r="F2001" i="1"/>
  <c r="D2001" i="1"/>
  <c r="C2001" i="1"/>
  <c r="H2000" i="1"/>
  <c r="F2000" i="1"/>
  <c r="D2000" i="1"/>
  <c r="C2000" i="1"/>
  <c r="H1999" i="1"/>
  <c r="F1999" i="1"/>
  <c r="D1999" i="1"/>
  <c r="C1999" i="1"/>
  <c r="H1998" i="1"/>
  <c r="F1998" i="1"/>
  <c r="D1998" i="1"/>
  <c r="C1998" i="1"/>
  <c r="H1997" i="1"/>
  <c r="F1997" i="1"/>
  <c r="D1997" i="1"/>
  <c r="C1997" i="1"/>
  <c r="H1996" i="1"/>
  <c r="F1996" i="1"/>
  <c r="D1996" i="1"/>
  <c r="C1996" i="1"/>
  <c r="H1995" i="1"/>
  <c r="F1995" i="1"/>
  <c r="D1995" i="1"/>
  <c r="C1995" i="1"/>
  <c r="H1994" i="1"/>
  <c r="F1994" i="1"/>
  <c r="D1994" i="1"/>
  <c r="C1994" i="1"/>
  <c r="H1993" i="1"/>
  <c r="F1993" i="1"/>
  <c r="D1993" i="1"/>
  <c r="C1993" i="1"/>
  <c r="H1992" i="1"/>
  <c r="F1992" i="1"/>
  <c r="D1992" i="1"/>
  <c r="C1992" i="1"/>
  <c r="H1991" i="1"/>
  <c r="F1991" i="1"/>
  <c r="D1991" i="1"/>
  <c r="C1991" i="1"/>
  <c r="H1990" i="1"/>
  <c r="F1990" i="1"/>
  <c r="D1990" i="1"/>
  <c r="C1990" i="1"/>
  <c r="H1989" i="1"/>
  <c r="F1989" i="1"/>
  <c r="D1989" i="1"/>
  <c r="C1989" i="1"/>
  <c r="H1988" i="1"/>
  <c r="F1988" i="1"/>
  <c r="D1988" i="1"/>
  <c r="C1988" i="1"/>
  <c r="H1987" i="1"/>
  <c r="F1987" i="1"/>
  <c r="D1987" i="1"/>
  <c r="C1987" i="1"/>
  <c r="H1986" i="1"/>
  <c r="F1986" i="1"/>
  <c r="D1986" i="1"/>
  <c r="C1986" i="1"/>
  <c r="H1985" i="1"/>
  <c r="F1985" i="1"/>
  <c r="D1985" i="1"/>
  <c r="C1985" i="1"/>
  <c r="H1984" i="1"/>
  <c r="F1984" i="1"/>
  <c r="D1984" i="1"/>
  <c r="C1984" i="1"/>
  <c r="H1983" i="1"/>
  <c r="F1983" i="1"/>
  <c r="D1983" i="1"/>
  <c r="C1983" i="1"/>
  <c r="H1982" i="1"/>
  <c r="F1982" i="1"/>
  <c r="D1982" i="1"/>
  <c r="C1982" i="1"/>
  <c r="H1981" i="1"/>
  <c r="F1981" i="1"/>
  <c r="D1981" i="1"/>
  <c r="C1981" i="1"/>
  <c r="H1980" i="1"/>
  <c r="F1980" i="1"/>
  <c r="D1980" i="1"/>
  <c r="C1980" i="1"/>
  <c r="H1979" i="1"/>
  <c r="F1979" i="1"/>
  <c r="D1979" i="1"/>
  <c r="C1979" i="1"/>
  <c r="H1978" i="1"/>
  <c r="F1978" i="1"/>
  <c r="D1978" i="1"/>
  <c r="C1978" i="1"/>
  <c r="H1977" i="1"/>
  <c r="F1977" i="1"/>
  <c r="D1977" i="1"/>
  <c r="C1977" i="1"/>
  <c r="H1976" i="1"/>
  <c r="F1976" i="1"/>
  <c r="D1976" i="1"/>
  <c r="C1976" i="1"/>
  <c r="H1975" i="1"/>
  <c r="F1975" i="1"/>
  <c r="D1975" i="1"/>
  <c r="C1975" i="1"/>
  <c r="H1974" i="1"/>
  <c r="F1974" i="1"/>
  <c r="D1974" i="1"/>
  <c r="C1974" i="1"/>
  <c r="H1973" i="1"/>
  <c r="F1973" i="1"/>
  <c r="D1973" i="1"/>
  <c r="C1973" i="1"/>
  <c r="H1972" i="1"/>
  <c r="F1972" i="1"/>
  <c r="D1972" i="1"/>
  <c r="C1972" i="1"/>
  <c r="H1971" i="1"/>
  <c r="F1971" i="1"/>
  <c r="D1971" i="1"/>
  <c r="C1971" i="1"/>
  <c r="H1970" i="1"/>
  <c r="F1970" i="1"/>
  <c r="D1970" i="1"/>
  <c r="C1970" i="1"/>
  <c r="H1969" i="1"/>
  <c r="F1969" i="1"/>
  <c r="D1969" i="1"/>
  <c r="C1969" i="1"/>
  <c r="H1968" i="1"/>
  <c r="F1968" i="1"/>
  <c r="D1968" i="1"/>
  <c r="C1968" i="1"/>
  <c r="H1967" i="1"/>
  <c r="F1967" i="1"/>
  <c r="D1967" i="1"/>
  <c r="C1967" i="1"/>
  <c r="H1966" i="1"/>
  <c r="F1966" i="1"/>
  <c r="D1966" i="1"/>
  <c r="C1966" i="1"/>
  <c r="H1965" i="1"/>
  <c r="F1965" i="1"/>
  <c r="D1965" i="1"/>
  <c r="C1965" i="1"/>
  <c r="H1964" i="1"/>
  <c r="F1964" i="1"/>
  <c r="D1964" i="1"/>
  <c r="C1964" i="1"/>
  <c r="H1963" i="1"/>
  <c r="F1963" i="1"/>
  <c r="D1963" i="1"/>
  <c r="C1963" i="1"/>
  <c r="H1962" i="1"/>
  <c r="F1962" i="1"/>
  <c r="D1962" i="1"/>
  <c r="C1962" i="1"/>
  <c r="H1961" i="1"/>
  <c r="F1961" i="1"/>
  <c r="D1961" i="1"/>
  <c r="C1961" i="1"/>
  <c r="H1960" i="1"/>
  <c r="F1960" i="1"/>
  <c r="D1960" i="1"/>
  <c r="C1960" i="1"/>
  <c r="H1959" i="1"/>
  <c r="F1959" i="1"/>
  <c r="D1959" i="1"/>
  <c r="C1959" i="1"/>
  <c r="H1958" i="1"/>
  <c r="F1958" i="1"/>
  <c r="D1958" i="1"/>
  <c r="C1958" i="1"/>
  <c r="H1957" i="1"/>
  <c r="F1957" i="1"/>
  <c r="D1957" i="1"/>
  <c r="C1957" i="1"/>
  <c r="H1956" i="1"/>
  <c r="F1956" i="1"/>
  <c r="D1956" i="1"/>
  <c r="C1956" i="1"/>
  <c r="H1955" i="1"/>
  <c r="F1955" i="1"/>
  <c r="D1955" i="1"/>
  <c r="C1955" i="1"/>
  <c r="H1954" i="1"/>
  <c r="F1954" i="1"/>
  <c r="D1954" i="1"/>
  <c r="C1954" i="1"/>
  <c r="H1953" i="1"/>
  <c r="F1953" i="1"/>
  <c r="D1953" i="1"/>
  <c r="C1953" i="1"/>
  <c r="H1952" i="1"/>
  <c r="F1952" i="1"/>
  <c r="D1952" i="1"/>
  <c r="C1952" i="1"/>
  <c r="H1951" i="1"/>
  <c r="F1951" i="1"/>
  <c r="D1951" i="1"/>
  <c r="C1951" i="1"/>
  <c r="H1950" i="1"/>
  <c r="F1950" i="1"/>
  <c r="D1950" i="1"/>
  <c r="C1950" i="1"/>
  <c r="H1949" i="1"/>
  <c r="F1949" i="1"/>
  <c r="D1949" i="1"/>
  <c r="C1949" i="1"/>
  <c r="H1948" i="1"/>
  <c r="F1948" i="1"/>
  <c r="D1948" i="1"/>
  <c r="C1948" i="1"/>
  <c r="H1947" i="1"/>
  <c r="F1947" i="1"/>
  <c r="D1947" i="1"/>
  <c r="C1947" i="1"/>
  <c r="H1946" i="1"/>
  <c r="F1946" i="1"/>
  <c r="D1946" i="1"/>
  <c r="C1946" i="1"/>
  <c r="H1945" i="1"/>
  <c r="F1945" i="1"/>
  <c r="D1945" i="1"/>
  <c r="C1945" i="1"/>
  <c r="H1944" i="1"/>
  <c r="F1944" i="1"/>
  <c r="D1944" i="1"/>
  <c r="C1944" i="1"/>
  <c r="H1943" i="1"/>
  <c r="F1943" i="1"/>
  <c r="D1943" i="1"/>
  <c r="C1943" i="1"/>
  <c r="H1942" i="1"/>
  <c r="F1942" i="1"/>
  <c r="D1942" i="1"/>
  <c r="C1942" i="1"/>
  <c r="H1941" i="1"/>
  <c r="F1941" i="1"/>
  <c r="D1941" i="1"/>
  <c r="C1941" i="1"/>
  <c r="H1940" i="1"/>
  <c r="F1940" i="1"/>
  <c r="D1940" i="1"/>
  <c r="C1940" i="1"/>
  <c r="H1939" i="1"/>
  <c r="F1939" i="1"/>
  <c r="D1939" i="1"/>
  <c r="C1939" i="1"/>
  <c r="H1938" i="1"/>
  <c r="F1938" i="1"/>
  <c r="D1938" i="1"/>
  <c r="C1938" i="1"/>
  <c r="H1937" i="1"/>
  <c r="F1937" i="1"/>
  <c r="D1937" i="1"/>
  <c r="C1937" i="1"/>
  <c r="H1936" i="1"/>
  <c r="F1936" i="1"/>
  <c r="D1936" i="1"/>
  <c r="C1936" i="1"/>
  <c r="H1935" i="1"/>
  <c r="F1935" i="1"/>
  <c r="D1935" i="1"/>
  <c r="C1935" i="1"/>
  <c r="H1934" i="1"/>
  <c r="F1934" i="1"/>
  <c r="D1934" i="1"/>
  <c r="C1934" i="1"/>
  <c r="H1933" i="1"/>
  <c r="F1933" i="1"/>
  <c r="D1933" i="1"/>
  <c r="C1933" i="1"/>
  <c r="H1932" i="1"/>
  <c r="F1932" i="1"/>
  <c r="D1932" i="1"/>
  <c r="C1932" i="1"/>
  <c r="H1931" i="1"/>
  <c r="F1931" i="1"/>
  <c r="D1931" i="1"/>
  <c r="C1931" i="1"/>
  <c r="H1930" i="1"/>
  <c r="F1930" i="1"/>
  <c r="D1930" i="1"/>
  <c r="C1930" i="1"/>
  <c r="H1929" i="1"/>
  <c r="F1929" i="1"/>
  <c r="D1929" i="1"/>
  <c r="C1929" i="1"/>
  <c r="H1928" i="1"/>
  <c r="F1928" i="1"/>
  <c r="D1928" i="1"/>
  <c r="C1928" i="1"/>
  <c r="H1927" i="1"/>
  <c r="F1927" i="1"/>
  <c r="D1927" i="1"/>
  <c r="C1927" i="1"/>
  <c r="H1926" i="1"/>
  <c r="F1926" i="1"/>
  <c r="D1926" i="1"/>
  <c r="C1926" i="1"/>
  <c r="H1925" i="1"/>
  <c r="F1925" i="1"/>
  <c r="D1925" i="1"/>
  <c r="C1925" i="1"/>
  <c r="H1924" i="1"/>
  <c r="F1924" i="1"/>
  <c r="D1924" i="1"/>
  <c r="C1924" i="1"/>
  <c r="H1923" i="1"/>
  <c r="F1923" i="1"/>
  <c r="D1923" i="1"/>
  <c r="C1923" i="1"/>
  <c r="H1922" i="1"/>
  <c r="F1922" i="1"/>
  <c r="D1922" i="1"/>
  <c r="C1922" i="1"/>
  <c r="H1921" i="1"/>
  <c r="F1921" i="1"/>
  <c r="D1921" i="1"/>
  <c r="C1921" i="1"/>
  <c r="H1920" i="1"/>
  <c r="F1920" i="1"/>
  <c r="D1920" i="1"/>
  <c r="C1920" i="1"/>
  <c r="H1919" i="1"/>
  <c r="F1919" i="1"/>
  <c r="D1919" i="1"/>
  <c r="C1919" i="1"/>
  <c r="H1918" i="1"/>
  <c r="F1918" i="1"/>
  <c r="D1918" i="1"/>
  <c r="C1918" i="1"/>
  <c r="H1917" i="1"/>
  <c r="F1917" i="1"/>
  <c r="D1917" i="1"/>
  <c r="C1917" i="1"/>
  <c r="H1916" i="1"/>
  <c r="F1916" i="1"/>
  <c r="D1916" i="1"/>
  <c r="C1916" i="1"/>
  <c r="H1915" i="1"/>
  <c r="F1915" i="1"/>
  <c r="D1915" i="1"/>
  <c r="C1915" i="1"/>
  <c r="H1914" i="1"/>
  <c r="F1914" i="1"/>
  <c r="D1914" i="1"/>
  <c r="C1914" i="1"/>
  <c r="H1913" i="1"/>
  <c r="F1913" i="1"/>
  <c r="D1913" i="1"/>
  <c r="C1913" i="1"/>
  <c r="H1912" i="1"/>
  <c r="F1912" i="1"/>
  <c r="D1912" i="1"/>
  <c r="C1912" i="1"/>
  <c r="H1911" i="1"/>
  <c r="F1911" i="1"/>
  <c r="D1911" i="1"/>
  <c r="C1911" i="1"/>
  <c r="H1910" i="1"/>
  <c r="F1910" i="1"/>
  <c r="D1910" i="1"/>
  <c r="C1910" i="1"/>
  <c r="H1909" i="1"/>
  <c r="F1909" i="1"/>
  <c r="D1909" i="1"/>
  <c r="C1909" i="1"/>
  <c r="H1908" i="1"/>
  <c r="F1908" i="1"/>
  <c r="D1908" i="1"/>
  <c r="C1908" i="1"/>
  <c r="H1907" i="1"/>
  <c r="F1907" i="1"/>
  <c r="D1907" i="1"/>
  <c r="C1907" i="1"/>
  <c r="H1906" i="1"/>
  <c r="F1906" i="1"/>
  <c r="D1906" i="1"/>
  <c r="C1906" i="1"/>
  <c r="H1905" i="1"/>
  <c r="F1905" i="1"/>
  <c r="D1905" i="1"/>
  <c r="C1905" i="1"/>
  <c r="H1904" i="1"/>
  <c r="F1904" i="1"/>
  <c r="D1904" i="1"/>
  <c r="C1904" i="1"/>
  <c r="H1903" i="1"/>
  <c r="F1903" i="1"/>
  <c r="D1903" i="1"/>
  <c r="C1903" i="1"/>
  <c r="H1902" i="1"/>
  <c r="F1902" i="1"/>
  <c r="D1902" i="1"/>
  <c r="C1902" i="1"/>
  <c r="H1901" i="1"/>
  <c r="F1901" i="1"/>
  <c r="D1901" i="1"/>
  <c r="C1901" i="1"/>
  <c r="H1900" i="1"/>
  <c r="F1900" i="1"/>
  <c r="D1900" i="1"/>
  <c r="C1900" i="1"/>
  <c r="H1899" i="1"/>
  <c r="F1899" i="1"/>
  <c r="D1899" i="1"/>
  <c r="C1899" i="1"/>
  <c r="H1898" i="1"/>
  <c r="F1898" i="1"/>
  <c r="D1898" i="1"/>
  <c r="C1898" i="1"/>
  <c r="H1897" i="1"/>
  <c r="F1897" i="1"/>
  <c r="D1897" i="1"/>
  <c r="C1897" i="1"/>
  <c r="H1896" i="1"/>
  <c r="F1896" i="1"/>
  <c r="D1896" i="1"/>
  <c r="C1896" i="1"/>
  <c r="H1895" i="1"/>
  <c r="F1895" i="1"/>
  <c r="D1895" i="1"/>
  <c r="C1895" i="1"/>
  <c r="H1894" i="1"/>
  <c r="F1894" i="1"/>
  <c r="D1894" i="1"/>
  <c r="C1894" i="1"/>
  <c r="H1893" i="1"/>
  <c r="F1893" i="1"/>
  <c r="D1893" i="1"/>
  <c r="C1893" i="1"/>
  <c r="H1892" i="1"/>
  <c r="F1892" i="1"/>
  <c r="D1892" i="1"/>
  <c r="C1892" i="1"/>
  <c r="H1891" i="1"/>
  <c r="F1891" i="1"/>
  <c r="D1891" i="1"/>
  <c r="C1891" i="1"/>
  <c r="H1890" i="1"/>
  <c r="F1890" i="1"/>
  <c r="D1890" i="1"/>
  <c r="C1890" i="1"/>
  <c r="H1889" i="1"/>
  <c r="F1889" i="1"/>
  <c r="D1889" i="1"/>
  <c r="C1889" i="1"/>
  <c r="H1888" i="1"/>
  <c r="F1888" i="1"/>
  <c r="D1888" i="1"/>
  <c r="C1888" i="1"/>
  <c r="H1887" i="1"/>
  <c r="F1887" i="1"/>
  <c r="D1887" i="1"/>
  <c r="C1887" i="1"/>
  <c r="H1886" i="1"/>
  <c r="F1886" i="1"/>
  <c r="D1886" i="1"/>
  <c r="C1886" i="1"/>
  <c r="H1885" i="1"/>
  <c r="F1885" i="1"/>
  <c r="D1885" i="1"/>
  <c r="C1885" i="1"/>
  <c r="H1884" i="1"/>
  <c r="F1884" i="1"/>
  <c r="D1884" i="1"/>
  <c r="C1884" i="1"/>
  <c r="H1883" i="1"/>
  <c r="F1883" i="1"/>
  <c r="D1883" i="1"/>
  <c r="C1883" i="1"/>
  <c r="H1882" i="1"/>
  <c r="F1882" i="1"/>
  <c r="D1882" i="1"/>
  <c r="C1882" i="1"/>
  <c r="H1881" i="1"/>
  <c r="F1881" i="1"/>
  <c r="D1881" i="1"/>
  <c r="C1881" i="1"/>
  <c r="H1880" i="1"/>
  <c r="F1880" i="1"/>
  <c r="D1880" i="1"/>
  <c r="C1880" i="1"/>
  <c r="H1879" i="1"/>
  <c r="F1879" i="1"/>
  <c r="D1879" i="1"/>
  <c r="C1879" i="1"/>
  <c r="H1878" i="1"/>
  <c r="F1878" i="1"/>
  <c r="D1878" i="1"/>
  <c r="C1878" i="1"/>
  <c r="H1877" i="1"/>
  <c r="F1877" i="1"/>
  <c r="D1877" i="1"/>
  <c r="C1877" i="1"/>
  <c r="H1876" i="1"/>
  <c r="F1876" i="1"/>
  <c r="D1876" i="1"/>
  <c r="C1876" i="1"/>
  <c r="H1875" i="1"/>
  <c r="F1875" i="1"/>
  <c r="D1875" i="1"/>
  <c r="C1875" i="1"/>
  <c r="H1874" i="1"/>
  <c r="F1874" i="1"/>
  <c r="D1874" i="1"/>
  <c r="C1874" i="1"/>
  <c r="H1873" i="1"/>
  <c r="F1873" i="1"/>
  <c r="D1873" i="1"/>
  <c r="C1873" i="1"/>
  <c r="H1872" i="1"/>
  <c r="F1872" i="1"/>
  <c r="D1872" i="1"/>
  <c r="C1872" i="1"/>
  <c r="H1871" i="1"/>
  <c r="F1871" i="1"/>
  <c r="D1871" i="1"/>
  <c r="C1871" i="1"/>
  <c r="H1870" i="1"/>
  <c r="F1870" i="1"/>
  <c r="D1870" i="1"/>
  <c r="C1870" i="1"/>
  <c r="H1869" i="1"/>
  <c r="F1869" i="1"/>
  <c r="D1869" i="1"/>
  <c r="C1869" i="1"/>
  <c r="H1868" i="1"/>
  <c r="F1868" i="1"/>
  <c r="D1868" i="1"/>
  <c r="C1868" i="1"/>
  <c r="H1867" i="1"/>
  <c r="F1867" i="1"/>
  <c r="D1867" i="1"/>
  <c r="C1867" i="1"/>
  <c r="H1866" i="1"/>
  <c r="F1866" i="1"/>
  <c r="D1866" i="1"/>
  <c r="C1866" i="1"/>
  <c r="H1865" i="1"/>
  <c r="F1865" i="1"/>
  <c r="D1865" i="1"/>
  <c r="C1865" i="1"/>
  <c r="H1864" i="1"/>
  <c r="F1864" i="1"/>
  <c r="D1864" i="1"/>
  <c r="C1864" i="1"/>
  <c r="H1863" i="1"/>
  <c r="F1863" i="1"/>
  <c r="D1863" i="1"/>
  <c r="C1863" i="1"/>
  <c r="H1862" i="1"/>
  <c r="F1862" i="1"/>
  <c r="D1862" i="1"/>
  <c r="C1862" i="1"/>
  <c r="H1861" i="1"/>
  <c r="F1861" i="1"/>
  <c r="D1861" i="1"/>
  <c r="C1861" i="1"/>
  <c r="H1860" i="1"/>
  <c r="F1860" i="1"/>
  <c r="D1860" i="1"/>
  <c r="C1860" i="1"/>
  <c r="H1859" i="1"/>
  <c r="F1859" i="1"/>
  <c r="D1859" i="1"/>
  <c r="C1859" i="1"/>
  <c r="H1858" i="1"/>
  <c r="F1858" i="1"/>
  <c r="D1858" i="1"/>
  <c r="C1858" i="1"/>
  <c r="H1857" i="1"/>
  <c r="F1857" i="1"/>
  <c r="D1857" i="1"/>
  <c r="C1857" i="1"/>
  <c r="H1856" i="1"/>
  <c r="F1856" i="1"/>
  <c r="D1856" i="1"/>
  <c r="C1856" i="1"/>
  <c r="H1855" i="1"/>
  <c r="F1855" i="1"/>
  <c r="D1855" i="1"/>
  <c r="C1855" i="1"/>
  <c r="H1854" i="1"/>
  <c r="F1854" i="1"/>
  <c r="D1854" i="1"/>
  <c r="C1854" i="1"/>
  <c r="H1853" i="1"/>
  <c r="F1853" i="1"/>
  <c r="D1853" i="1"/>
  <c r="C1853" i="1"/>
  <c r="H1852" i="1"/>
  <c r="F1852" i="1"/>
  <c r="D1852" i="1"/>
  <c r="C1852" i="1"/>
  <c r="H1851" i="1"/>
  <c r="F1851" i="1"/>
  <c r="D1851" i="1"/>
  <c r="C1851" i="1"/>
  <c r="H1850" i="1"/>
  <c r="F1850" i="1"/>
  <c r="D1850" i="1"/>
  <c r="C1850" i="1"/>
  <c r="H1849" i="1"/>
  <c r="F1849" i="1"/>
  <c r="D1849" i="1"/>
  <c r="C1849" i="1"/>
  <c r="H1848" i="1"/>
  <c r="F1848" i="1"/>
  <c r="D1848" i="1"/>
  <c r="C1848" i="1"/>
  <c r="H1847" i="1"/>
  <c r="F1847" i="1"/>
  <c r="D1847" i="1"/>
  <c r="C1847" i="1"/>
  <c r="H1846" i="1"/>
  <c r="F1846" i="1"/>
  <c r="D1846" i="1"/>
  <c r="C1846" i="1"/>
  <c r="H1845" i="1"/>
  <c r="F1845" i="1"/>
  <c r="D1845" i="1"/>
  <c r="C1845" i="1"/>
  <c r="H1844" i="1"/>
  <c r="F1844" i="1"/>
  <c r="D1844" i="1"/>
  <c r="C1844" i="1"/>
  <c r="H1843" i="1"/>
  <c r="F1843" i="1"/>
  <c r="D1843" i="1"/>
  <c r="C1843" i="1"/>
  <c r="H1842" i="1"/>
  <c r="F1842" i="1"/>
  <c r="D1842" i="1"/>
  <c r="C1842" i="1"/>
  <c r="H1841" i="1"/>
  <c r="F1841" i="1"/>
  <c r="D1841" i="1"/>
  <c r="C1841" i="1"/>
  <c r="H1840" i="1"/>
  <c r="F1840" i="1"/>
  <c r="D1840" i="1"/>
  <c r="C1840" i="1"/>
  <c r="H1839" i="1"/>
  <c r="F1839" i="1"/>
  <c r="D1839" i="1"/>
  <c r="C1839" i="1"/>
  <c r="H1838" i="1"/>
  <c r="F1838" i="1"/>
  <c r="D1838" i="1"/>
  <c r="C1838" i="1"/>
  <c r="H1837" i="1"/>
  <c r="F1837" i="1"/>
  <c r="D1837" i="1"/>
  <c r="C1837" i="1"/>
  <c r="H1836" i="1"/>
  <c r="F1836" i="1"/>
  <c r="D1836" i="1"/>
  <c r="C1836" i="1"/>
  <c r="H1835" i="1"/>
  <c r="F1835" i="1"/>
  <c r="D1835" i="1"/>
  <c r="C1835" i="1"/>
  <c r="H1834" i="1"/>
  <c r="F1834" i="1"/>
  <c r="D1834" i="1"/>
  <c r="C1834" i="1"/>
  <c r="H1833" i="1"/>
  <c r="F1833" i="1"/>
  <c r="D1833" i="1"/>
  <c r="C1833" i="1"/>
  <c r="H1832" i="1"/>
  <c r="F1832" i="1"/>
  <c r="D1832" i="1"/>
  <c r="C1832" i="1"/>
  <c r="H1831" i="1"/>
  <c r="F1831" i="1"/>
  <c r="D1831" i="1"/>
  <c r="C1831" i="1"/>
  <c r="H1830" i="1"/>
  <c r="F1830" i="1"/>
  <c r="D1830" i="1"/>
  <c r="C1830" i="1"/>
  <c r="H1829" i="1"/>
  <c r="F1829" i="1"/>
  <c r="D1829" i="1"/>
  <c r="C1829" i="1"/>
  <c r="H1828" i="1"/>
  <c r="F1828" i="1"/>
  <c r="D1828" i="1"/>
  <c r="C1828" i="1"/>
  <c r="H1827" i="1"/>
  <c r="F1827" i="1"/>
  <c r="D1827" i="1"/>
  <c r="C1827" i="1"/>
  <c r="H1826" i="1"/>
  <c r="F1826" i="1"/>
  <c r="D1826" i="1"/>
  <c r="C1826" i="1"/>
  <c r="H1825" i="1"/>
  <c r="F1825" i="1"/>
  <c r="D1825" i="1"/>
  <c r="C1825" i="1"/>
  <c r="H1824" i="1"/>
  <c r="F1824" i="1"/>
  <c r="D1824" i="1"/>
  <c r="C1824" i="1"/>
  <c r="H1823" i="1"/>
  <c r="F1823" i="1"/>
  <c r="D1823" i="1"/>
  <c r="C1823" i="1"/>
  <c r="H1822" i="1"/>
  <c r="F1822" i="1"/>
  <c r="D1822" i="1"/>
  <c r="C1822" i="1"/>
  <c r="H1821" i="1"/>
  <c r="F1821" i="1"/>
  <c r="D1821" i="1"/>
  <c r="C1821" i="1"/>
  <c r="H1820" i="1"/>
  <c r="F1820" i="1"/>
  <c r="D1820" i="1"/>
  <c r="C1820" i="1"/>
  <c r="H1819" i="1"/>
  <c r="F1819" i="1"/>
  <c r="D1819" i="1"/>
  <c r="C1819" i="1"/>
  <c r="H1818" i="1"/>
  <c r="F1818" i="1"/>
  <c r="D1818" i="1"/>
  <c r="C1818" i="1"/>
  <c r="H1817" i="1"/>
  <c r="F1817" i="1"/>
  <c r="D1817" i="1"/>
  <c r="C1817" i="1"/>
  <c r="H1816" i="1"/>
  <c r="F1816" i="1"/>
  <c r="D1816" i="1"/>
  <c r="C1816" i="1"/>
  <c r="H1815" i="1"/>
  <c r="F1815" i="1"/>
  <c r="D1815" i="1"/>
  <c r="C1815" i="1"/>
  <c r="H1814" i="1"/>
  <c r="F1814" i="1"/>
  <c r="D1814" i="1"/>
  <c r="C1814" i="1"/>
  <c r="H1813" i="1"/>
  <c r="F1813" i="1"/>
  <c r="D1813" i="1"/>
  <c r="C1813" i="1"/>
  <c r="H1812" i="1"/>
  <c r="F1812" i="1"/>
  <c r="D1812" i="1"/>
  <c r="C1812" i="1"/>
  <c r="H1811" i="1"/>
  <c r="F1811" i="1"/>
  <c r="D1811" i="1"/>
  <c r="C1811" i="1"/>
  <c r="H1810" i="1"/>
  <c r="F1810" i="1"/>
  <c r="D1810" i="1"/>
  <c r="C1810" i="1"/>
  <c r="H1809" i="1"/>
  <c r="F1809" i="1"/>
  <c r="D1809" i="1"/>
  <c r="C1809" i="1"/>
  <c r="H1808" i="1"/>
  <c r="F1808" i="1"/>
  <c r="D1808" i="1"/>
  <c r="C1808" i="1"/>
  <c r="H1807" i="1"/>
  <c r="F1807" i="1"/>
  <c r="D1807" i="1"/>
  <c r="C1807" i="1"/>
  <c r="H1806" i="1"/>
  <c r="F1806" i="1"/>
  <c r="D1806" i="1"/>
  <c r="C1806" i="1"/>
  <c r="H1805" i="1"/>
  <c r="F1805" i="1"/>
  <c r="D1805" i="1"/>
  <c r="C1805" i="1"/>
  <c r="H1804" i="1"/>
  <c r="F1804" i="1"/>
  <c r="D1804" i="1"/>
  <c r="C1804" i="1"/>
  <c r="H1803" i="1"/>
  <c r="F1803" i="1"/>
  <c r="D1803" i="1"/>
  <c r="C1803" i="1"/>
  <c r="H1802" i="1"/>
  <c r="F1802" i="1"/>
  <c r="D1802" i="1"/>
  <c r="C1802" i="1"/>
  <c r="H1801" i="1"/>
  <c r="F1801" i="1"/>
  <c r="D1801" i="1"/>
  <c r="C1801" i="1"/>
  <c r="H1800" i="1"/>
  <c r="F1800" i="1"/>
  <c r="D1800" i="1"/>
  <c r="C1800" i="1"/>
  <c r="H1799" i="1"/>
  <c r="F1799" i="1"/>
  <c r="D1799" i="1"/>
  <c r="C1799" i="1"/>
  <c r="H1798" i="1"/>
  <c r="F1798" i="1"/>
  <c r="D1798" i="1"/>
  <c r="C1798" i="1"/>
  <c r="H1797" i="1"/>
  <c r="F1797" i="1"/>
  <c r="D1797" i="1"/>
  <c r="C1797" i="1"/>
  <c r="H1796" i="1"/>
  <c r="F1796" i="1"/>
  <c r="D1796" i="1"/>
  <c r="C1796" i="1"/>
  <c r="H1795" i="1"/>
  <c r="F1795" i="1"/>
  <c r="D1795" i="1"/>
  <c r="C1795" i="1"/>
  <c r="H1794" i="1"/>
  <c r="F1794" i="1"/>
  <c r="D1794" i="1"/>
  <c r="C1794" i="1"/>
  <c r="H1793" i="1"/>
  <c r="F1793" i="1"/>
  <c r="D1793" i="1"/>
  <c r="C1793" i="1"/>
  <c r="H1792" i="1"/>
  <c r="F1792" i="1"/>
  <c r="D1792" i="1"/>
  <c r="C1792" i="1"/>
  <c r="H1791" i="1"/>
  <c r="F1791" i="1"/>
  <c r="D1791" i="1"/>
  <c r="C1791" i="1"/>
  <c r="H1790" i="1"/>
  <c r="F1790" i="1"/>
  <c r="D1790" i="1"/>
  <c r="C1790" i="1"/>
  <c r="H1789" i="1"/>
  <c r="F1789" i="1"/>
  <c r="D1789" i="1"/>
  <c r="C1789" i="1"/>
  <c r="H1788" i="1"/>
  <c r="F1788" i="1"/>
  <c r="D1788" i="1"/>
  <c r="C1788" i="1"/>
  <c r="H1787" i="1"/>
  <c r="F1787" i="1"/>
  <c r="D1787" i="1"/>
  <c r="C1787" i="1"/>
  <c r="H1786" i="1"/>
  <c r="F1786" i="1"/>
  <c r="D1786" i="1"/>
  <c r="C1786" i="1"/>
  <c r="H1785" i="1"/>
  <c r="F1785" i="1"/>
  <c r="D1785" i="1"/>
  <c r="C1785" i="1"/>
  <c r="H1784" i="1"/>
  <c r="F1784" i="1"/>
  <c r="D1784" i="1"/>
  <c r="C1784" i="1"/>
  <c r="H1783" i="1"/>
  <c r="F1783" i="1"/>
  <c r="D1783" i="1"/>
  <c r="C1783" i="1"/>
  <c r="H1782" i="1"/>
  <c r="F1782" i="1"/>
  <c r="D1782" i="1"/>
  <c r="C1782" i="1"/>
  <c r="H1781" i="1"/>
  <c r="F1781" i="1"/>
  <c r="D1781" i="1"/>
  <c r="C1781" i="1"/>
  <c r="H1780" i="1"/>
  <c r="F1780" i="1"/>
  <c r="D1780" i="1"/>
  <c r="C1780" i="1"/>
  <c r="H1779" i="1"/>
  <c r="F1779" i="1"/>
  <c r="D1779" i="1"/>
  <c r="C1779" i="1"/>
  <c r="H1778" i="1"/>
  <c r="F1778" i="1"/>
  <c r="D1778" i="1"/>
  <c r="C1778" i="1"/>
  <c r="H1777" i="1"/>
  <c r="F1777" i="1"/>
  <c r="D1777" i="1"/>
  <c r="C1777" i="1"/>
  <c r="H1776" i="1"/>
  <c r="F1776" i="1"/>
  <c r="D1776" i="1"/>
  <c r="C1776" i="1"/>
  <c r="H1775" i="1"/>
  <c r="F1775" i="1"/>
  <c r="D1775" i="1"/>
  <c r="C1775" i="1"/>
  <c r="H1774" i="1"/>
  <c r="F1774" i="1"/>
  <c r="D1774" i="1"/>
  <c r="C1774" i="1"/>
  <c r="H1773" i="1"/>
  <c r="F1773" i="1"/>
  <c r="D1773" i="1"/>
  <c r="C1773" i="1"/>
  <c r="H1772" i="1"/>
  <c r="F1772" i="1"/>
  <c r="D1772" i="1"/>
  <c r="C1772" i="1"/>
  <c r="H1771" i="1"/>
  <c r="F1771" i="1"/>
  <c r="D1771" i="1"/>
  <c r="C1771" i="1"/>
  <c r="H1770" i="1"/>
  <c r="F1770" i="1"/>
  <c r="D1770" i="1"/>
  <c r="C1770" i="1"/>
  <c r="H1769" i="1"/>
  <c r="F1769" i="1"/>
  <c r="D1769" i="1"/>
  <c r="C1769" i="1"/>
  <c r="H1768" i="1"/>
  <c r="F1768" i="1"/>
  <c r="D1768" i="1"/>
  <c r="C1768" i="1"/>
  <c r="H1767" i="1"/>
  <c r="F1767" i="1"/>
  <c r="D1767" i="1"/>
  <c r="C1767" i="1"/>
  <c r="H1766" i="1"/>
  <c r="F1766" i="1"/>
  <c r="D1766" i="1"/>
  <c r="C1766" i="1"/>
  <c r="H1765" i="1"/>
  <c r="F1765" i="1"/>
  <c r="D1765" i="1"/>
  <c r="C1765" i="1"/>
  <c r="H1764" i="1"/>
  <c r="F1764" i="1"/>
  <c r="D1764" i="1"/>
  <c r="C1764" i="1"/>
  <c r="H1763" i="1"/>
  <c r="F1763" i="1"/>
  <c r="D1763" i="1"/>
  <c r="C1763" i="1"/>
  <c r="H1762" i="1"/>
  <c r="F1762" i="1"/>
  <c r="D1762" i="1"/>
  <c r="C1762" i="1"/>
  <c r="H1761" i="1"/>
  <c r="F1761" i="1"/>
  <c r="D1761" i="1"/>
  <c r="C1761" i="1"/>
  <c r="H1760" i="1"/>
  <c r="F1760" i="1"/>
  <c r="D1760" i="1"/>
  <c r="C1760" i="1"/>
  <c r="H1759" i="1"/>
  <c r="F1759" i="1"/>
  <c r="D1759" i="1"/>
  <c r="C1759" i="1"/>
  <c r="H1758" i="1"/>
  <c r="F1758" i="1"/>
  <c r="D1758" i="1"/>
  <c r="C1758" i="1"/>
  <c r="H1757" i="1"/>
  <c r="F1757" i="1"/>
  <c r="D1757" i="1"/>
  <c r="C1757" i="1"/>
  <c r="H1756" i="1"/>
  <c r="F1756" i="1"/>
  <c r="D1756" i="1"/>
  <c r="C1756" i="1"/>
  <c r="H1755" i="1"/>
  <c r="F1755" i="1"/>
  <c r="D1755" i="1"/>
  <c r="C1755" i="1"/>
  <c r="H1754" i="1"/>
  <c r="F1754" i="1"/>
  <c r="D1754" i="1"/>
  <c r="C1754" i="1"/>
  <c r="H1753" i="1"/>
  <c r="F1753" i="1"/>
  <c r="D1753" i="1"/>
  <c r="C1753" i="1"/>
  <c r="H1752" i="1"/>
  <c r="F1752" i="1"/>
  <c r="D1752" i="1"/>
  <c r="C1752" i="1"/>
  <c r="H1751" i="1"/>
  <c r="F1751" i="1"/>
  <c r="D1751" i="1"/>
  <c r="C1751" i="1"/>
  <c r="H1750" i="1"/>
  <c r="F1750" i="1"/>
  <c r="D1750" i="1"/>
  <c r="C1750" i="1"/>
  <c r="H1749" i="1"/>
  <c r="F1749" i="1"/>
  <c r="D1749" i="1"/>
  <c r="C1749" i="1"/>
  <c r="H1748" i="1"/>
  <c r="F1748" i="1"/>
  <c r="D1748" i="1"/>
  <c r="C1748" i="1"/>
  <c r="H1747" i="1"/>
  <c r="F1747" i="1"/>
  <c r="D1747" i="1"/>
  <c r="C1747" i="1"/>
  <c r="H1746" i="1"/>
  <c r="F1746" i="1"/>
  <c r="D1746" i="1"/>
  <c r="C1746" i="1"/>
  <c r="H1745" i="1"/>
  <c r="F1745" i="1"/>
  <c r="D1745" i="1"/>
  <c r="C1745" i="1"/>
  <c r="H1744" i="1"/>
  <c r="F1744" i="1"/>
  <c r="D1744" i="1"/>
  <c r="C1744" i="1"/>
  <c r="H1743" i="1"/>
  <c r="F1743" i="1"/>
  <c r="D1743" i="1"/>
  <c r="C1743" i="1"/>
  <c r="H1742" i="1"/>
  <c r="F1742" i="1"/>
  <c r="D1742" i="1"/>
  <c r="C1742" i="1"/>
  <c r="H1741" i="1"/>
  <c r="F1741" i="1"/>
  <c r="D1741" i="1"/>
  <c r="C1741" i="1"/>
  <c r="H1740" i="1"/>
  <c r="F1740" i="1"/>
  <c r="D1740" i="1"/>
  <c r="C1740" i="1"/>
  <c r="H1739" i="1"/>
  <c r="F1739" i="1"/>
  <c r="D1739" i="1"/>
  <c r="C1739" i="1"/>
  <c r="H1738" i="1"/>
  <c r="F1738" i="1"/>
  <c r="D1738" i="1"/>
  <c r="C1738" i="1"/>
  <c r="H1737" i="1"/>
  <c r="F1737" i="1"/>
  <c r="D1737" i="1"/>
  <c r="C1737" i="1"/>
  <c r="H1736" i="1"/>
  <c r="F1736" i="1"/>
  <c r="D1736" i="1"/>
  <c r="C1736" i="1"/>
  <c r="H1735" i="1"/>
  <c r="F1735" i="1"/>
  <c r="D1735" i="1"/>
  <c r="C1735" i="1"/>
  <c r="H1734" i="1"/>
  <c r="F1734" i="1"/>
  <c r="D1734" i="1"/>
  <c r="C1734" i="1"/>
  <c r="H1733" i="1"/>
  <c r="F1733" i="1"/>
  <c r="D1733" i="1"/>
  <c r="C1733" i="1"/>
  <c r="H1732" i="1"/>
  <c r="F1732" i="1"/>
  <c r="D1732" i="1"/>
  <c r="C1732" i="1"/>
  <c r="H1731" i="1"/>
  <c r="F1731" i="1"/>
  <c r="D1731" i="1"/>
  <c r="C1731" i="1"/>
  <c r="H1730" i="1"/>
  <c r="F1730" i="1"/>
  <c r="D1730" i="1"/>
  <c r="C1730" i="1"/>
  <c r="H1729" i="1"/>
  <c r="F1729" i="1"/>
  <c r="D1729" i="1"/>
  <c r="C1729" i="1"/>
  <c r="H1728" i="1"/>
  <c r="F1728" i="1"/>
  <c r="D1728" i="1"/>
  <c r="C1728" i="1"/>
  <c r="H1727" i="1"/>
  <c r="F1727" i="1"/>
  <c r="D1727" i="1"/>
  <c r="C1727" i="1"/>
  <c r="H1726" i="1"/>
  <c r="F1726" i="1"/>
  <c r="D1726" i="1"/>
  <c r="C1726" i="1"/>
  <c r="H1725" i="1"/>
  <c r="F1725" i="1"/>
  <c r="D1725" i="1"/>
  <c r="C1725" i="1"/>
  <c r="H1724" i="1"/>
  <c r="F1724" i="1"/>
  <c r="D1724" i="1"/>
  <c r="C1724" i="1"/>
  <c r="H1723" i="1"/>
  <c r="F1723" i="1"/>
  <c r="D1723" i="1"/>
  <c r="C1723" i="1"/>
  <c r="H1722" i="1"/>
  <c r="F1722" i="1"/>
  <c r="D1722" i="1"/>
  <c r="C1722" i="1"/>
  <c r="H1721" i="1"/>
  <c r="F1721" i="1"/>
  <c r="D1721" i="1"/>
  <c r="C1721" i="1"/>
  <c r="H1720" i="1"/>
  <c r="F1720" i="1"/>
  <c r="D1720" i="1"/>
  <c r="C1720" i="1"/>
  <c r="H1719" i="1"/>
  <c r="F1719" i="1"/>
  <c r="D1719" i="1"/>
  <c r="C1719" i="1"/>
  <c r="H1718" i="1"/>
  <c r="F1718" i="1"/>
  <c r="D1718" i="1"/>
  <c r="C1718" i="1"/>
  <c r="H1717" i="1"/>
  <c r="F1717" i="1"/>
  <c r="D1717" i="1"/>
  <c r="C1717" i="1"/>
  <c r="H1716" i="1"/>
  <c r="F1716" i="1"/>
  <c r="D1716" i="1"/>
  <c r="C1716" i="1"/>
  <c r="H1715" i="1"/>
  <c r="F1715" i="1"/>
  <c r="D1715" i="1"/>
  <c r="C1715" i="1"/>
  <c r="H1714" i="1"/>
  <c r="F1714" i="1"/>
  <c r="D1714" i="1"/>
  <c r="C1714" i="1"/>
  <c r="H1713" i="1"/>
  <c r="F1713" i="1"/>
  <c r="D1713" i="1"/>
  <c r="C1713" i="1"/>
  <c r="H1712" i="1"/>
  <c r="F1712" i="1"/>
  <c r="D1712" i="1"/>
  <c r="C1712" i="1"/>
  <c r="H1711" i="1"/>
  <c r="F1711" i="1"/>
  <c r="D1711" i="1"/>
  <c r="C1711" i="1"/>
  <c r="H1710" i="1"/>
  <c r="F1710" i="1"/>
  <c r="D1710" i="1"/>
  <c r="C1710" i="1"/>
  <c r="H1709" i="1"/>
  <c r="F1709" i="1"/>
  <c r="D1709" i="1"/>
  <c r="C1709" i="1"/>
  <c r="H1708" i="1"/>
  <c r="F1708" i="1"/>
  <c r="D1708" i="1"/>
  <c r="C1708" i="1"/>
  <c r="H1707" i="1"/>
  <c r="F1707" i="1"/>
  <c r="D1707" i="1"/>
  <c r="C1707" i="1"/>
  <c r="H1706" i="1"/>
  <c r="F1706" i="1"/>
  <c r="D1706" i="1"/>
  <c r="C1706" i="1"/>
  <c r="H1705" i="1"/>
  <c r="F1705" i="1"/>
  <c r="D1705" i="1"/>
  <c r="C1705" i="1"/>
  <c r="H1704" i="1"/>
  <c r="F1704" i="1"/>
  <c r="D1704" i="1"/>
  <c r="C1704" i="1"/>
  <c r="H1703" i="1"/>
  <c r="F1703" i="1"/>
  <c r="D1703" i="1"/>
  <c r="C1703" i="1"/>
  <c r="H1702" i="1"/>
  <c r="F1702" i="1"/>
  <c r="D1702" i="1"/>
  <c r="C1702" i="1"/>
  <c r="H1701" i="1"/>
  <c r="F1701" i="1"/>
  <c r="D1701" i="1"/>
  <c r="C1701" i="1"/>
  <c r="H1700" i="1"/>
  <c r="F1700" i="1"/>
  <c r="D1700" i="1"/>
  <c r="C1700" i="1"/>
  <c r="H1699" i="1"/>
  <c r="F1699" i="1"/>
  <c r="D1699" i="1"/>
  <c r="C1699" i="1"/>
  <c r="H1698" i="1"/>
  <c r="F1698" i="1"/>
  <c r="D1698" i="1"/>
  <c r="C1698" i="1"/>
  <c r="H1697" i="1"/>
  <c r="F1697" i="1"/>
  <c r="D1697" i="1"/>
  <c r="C1697" i="1"/>
  <c r="H1696" i="1"/>
  <c r="F1696" i="1"/>
  <c r="D1696" i="1"/>
  <c r="C1696" i="1"/>
  <c r="H1695" i="1"/>
  <c r="F1695" i="1"/>
  <c r="D1695" i="1"/>
  <c r="C1695" i="1"/>
  <c r="H1694" i="1"/>
  <c r="F1694" i="1"/>
  <c r="D1694" i="1"/>
  <c r="C1694" i="1"/>
  <c r="H1693" i="1"/>
  <c r="F1693" i="1"/>
  <c r="D1693" i="1"/>
  <c r="C1693" i="1"/>
  <c r="H1692" i="1"/>
  <c r="F1692" i="1"/>
  <c r="D1692" i="1"/>
  <c r="C1692" i="1"/>
  <c r="H1691" i="1"/>
  <c r="F1691" i="1"/>
  <c r="D1691" i="1"/>
  <c r="C1691" i="1"/>
  <c r="H1690" i="1"/>
  <c r="F1690" i="1"/>
  <c r="D1690" i="1"/>
  <c r="C1690" i="1"/>
  <c r="H1689" i="1"/>
  <c r="F1689" i="1"/>
  <c r="D1689" i="1"/>
  <c r="C1689" i="1"/>
  <c r="H1688" i="1"/>
  <c r="F1688" i="1"/>
  <c r="D1688" i="1"/>
  <c r="C1688" i="1"/>
  <c r="H1687" i="1"/>
  <c r="F1687" i="1"/>
  <c r="D1687" i="1"/>
  <c r="C1687" i="1"/>
  <c r="H1686" i="1"/>
  <c r="F1686" i="1"/>
  <c r="D1686" i="1"/>
  <c r="C1686" i="1"/>
  <c r="H1685" i="1"/>
  <c r="F1685" i="1"/>
  <c r="D1685" i="1"/>
  <c r="C1685" i="1"/>
  <c r="H1684" i="1"/>
  <c r="F1684" i="1"/>
  <c r="D1684" i="1"/>
  <c r="C1684" i="1"/>
  <c r="H1683" i="1"/>
  <c r="F1683" i="1"/>
  <c r="D1683" i="1"/>
  <c r="C1683" i="1"/>
  <c r="H1682" i="1"/>
  <c r="F1682" i="1"/>
  <c r="D1682" i="1"/>
  <c r="C1682" i="1"/>
  <c r="H1681" i="1"/>
  <c r="F1681" i="1"/>
  <c r="D1681" i="1"/>
  <c r="C1681" i="1"/>
  <c r="H1680" i="1"/>
  <c r="F1680" i="1"/>
  <c r="D1680" i="1"/>
  <c r="C1680" i="1"/>
  <c r="H1679" i="1"/>
  <c r="F1679" i="1"/>
  <c r="D1679" i="1"/>
  <c r="C1679" i="1"/>
  <c r="H1678" i="1"/>
  <c r="F1678" i="1"/>
  <c r="D1678" i="1"/>
  <c r="C1678" i="1"/>
  <c r="H1677" i="1"/>
  <c r="F1677" i="1"/>
  <c r="D1677" i="1"/>
  <c r="C1677" i="1"/>
  <c r="H1676" i="1"/>
  <c r="F1676" i="1"/>
  <c r="D1676" i="1"/>
  <c r="C1676" i="1"/>
  <c r="H1675" i="1"/>
  <c r="F1675" i="1"/>
  <c r="D1675" i="1"/>
  <c r="C1675" i="1"/>
  <c r="H1674" i="1"/>
  <c r="F1674" i="1"/>
  <c r="D1674" i="1"/>
  <c r="C1674" i="1"/>
  <c r="H1673" i="1"/>
  <c r="F1673" i="1"/>
  <c r="D1673" i="1"/>
  <c r="C1673" i="1"/>
  <c r="H1672" i="1"/>
  <c r="F1672" i="1"/>
  <c r="D1672" i="1"/>
  <c r="C1672" i="1"/>
  <c r="H1671" i="1"/>
  <c r="F1671" i="1"/>
  <c r="D1671" i="1"/>
  <c r="C1671" i="1"/>
  <c r="H1670" i="1"/>
  <c r="F1670" i="1"/>
  <c r="D1670" i="1"/>
  <c r="C1670" i="1"/>
  <c r="H1669" i="1"/>
  <c r="F1669" i="1"/>
  <c r="D1669" i="1"/>
  <c r="C1669" i="1"/>
  <c r="H1668" i="1"/>
  <c r="F1668" i="1"/>
  <c r="D1668" i="1"/>
  <c r="C1668" i="1"/>
  <c r="H1667" i="1"/>
  <c r="F1667" i="1"/>
  <c r="D1667" i="1"/>
  <c r="C1667" i="1"/>
  <c r="H1666" i="1"/>
  <c r="F1666" i="1"/>
  <c r="D1666" i="1"/>
  <c r="C1666" i="1"/>
  <c r="H1665" i="1"/>
  <c r="F1665" i="1"/>
  <c r="D1665" i="1"/>
  <c r="C1665" i="1"/>
  <c r="H1664" i="1"/>
  <c r="F1664" i="1"/>
  <c r="D1664" i="1"/>
  <c r="C1664" i="1"/>
  <c r="H1663" i="1"/>
  <c r="F1663" i="1"/>
  <c r="D1663" i="1"/>
  <c r="C1663" i="1"/>
  <c r="H1662" i="1"/>
  <c r="F1662" i="1"/>
  <c r="D1662" i="1"/>
  <c r="C1662" i="1"/>
  <c r="H1661" i="1"/>
  <c r="F1661" i="1"/>
  <c r="D1661" i="1"/>
  <c r="C1661" i="1"/>
  <c r="H1660" i="1"/>
  <c r="F1660" i="1"/>
  <c r="D1660" i="1"/>
  <c r="C1660" i="1"/>
  <c r="H1659" i="1"/>
  <c r="F1659" i="1"/>
  <c r="D1659" i="1"/>
  <c r="C1659" i="1"/>
  <c r="H1658" i="1"/>
  <c r="F1658" i="1"/>
  <c r="D1658" i="1"/>
  <c r="C1658" i="1"/>
  <c r="H1657" i="1"/>
  <c r="F1657" i="1"/>
  <c r="D1657" i="1"/>
  <c r="C1657" i="1"/>
  <c r="H1656" i="1"/>
  <c r="F1656" i="1"/>
  <c r="D1656" i="1"/>
  <c r="C1656" i="1"/>
  <c r="H1655" i="1"/>
  <c r="F1655" i="1"/>
  <c r="D1655" i="1"/>
  <c r="C1655" i="1"/>
  <c r="H1654" i="1"/>
  <c r="F1654" i="1"/>
  <c r="D1654" i="1"/>
  <c r="C1654" i="1"/>
  <c r="H1653" i="1"/>
  <c r="F1653" i="1"/>
  <c r="D1653" i="1"/>
  <c r="C1653" i="1"/>
  <c r="H1652" i="1"/>
  <c r="F1652" i="1"/>
  <c r="D1652" i="1"/>
  <c r="C1652" i="1"/>
  <c r="H1651" i="1"/>
  <c r="F1651" i="1"/>
  <c r="D1651" i="1"/>
  <c r="C1651" i="1"/>
  <c r="H1650" i="1"/>
  <c r="F1650" i="1"/>
  <c r="D1650" i="1"/>
  <c r="C1650" i="1"/>
  <c r="H1649" i="1"/>
  <c r="F1649" i="1"/>
  <c r="D1649" i="1"/>
  <c r="C1649" i="1"/>
  <c r="H1648" i="1"/>
  <c r="F1648" i="1"/>
  <c r="D1648" i="1"/>
  <c r="C1648" i="1"/>
  <c r="H1647" i="1"/>
  <c r="F1647" i="1"/>
  <c r="D1647" i="1"/>
  <c r="C1647" i="1"/>
  <c r="H1646" i="1"/>
  <c r="F1646" i="1"/>
  <c r="D1646" i="1"/>
  <c r="C1646" i="1"/>
  <c r="H1645" i="1"/>
  <c r="F1645" i="1"/>
  <c r="D1645" i="1"/>
  <c r="C1645" i="1"/>
  <c r="H1644" i="1"/>
  <c r="F1644" i="1"/>
  <c r="D1644" i="1"/>
  <c r="C1644" i="1"/>
  <c r="H1643" i="1"/>
  <c r="F1643" i="1"/>
  <c r="D1643" i="1"/>
  <c r="C1643" i="1"/>
  <c r="H1642" i="1"/>
  <c r="F1642" i="1"/>
  <c r="D1642" i="1"/>
  <c r="C1642" i="1"/>
  <c r="H1641" i="1"/>
  <c r="F1641" i="1"/>
  <c r="D1641" i="1"/>
  <c r="C1641" i="1"/>
  <c r="H1640" i="1"/>
  <c r="F1640" i="1"/>
  <c r="D1640" i="1"/>
  <c r="C1640" i="1"/>
  <c r="H1639" i="1"/>
  <c r="F1639" i="1"/>
  <c r="D1639" i="1"/>
  <c r="C1639" i="1"/>
  <c r="H1638" i="1"/>
  <c r="F1638" i="1"/>
  <c r="D1638" i="1"/>
  <c r="C1638" i="1"/>
  <c r="H1637" i="1"/>
  <c r="F1637" i="1"/>
  <c r="D1637" i="1"/>
  <c r="C1637" i="1"/>
  <c r="H1636" i="1"/>
  <c r="F1636" i="1"/>
  <c r="D1636" i="1"/>
  <c r="C1636" i="1"/>
  <c r="H1635" i="1"/>
  <c r="F1635" i="1"/>
  <c r="D1635" i="1"/>
  <c r="C1635" i="1"/>
  <c r="H1634" i="1"/>
  <c r="F1634" i="1"/>
  <c r="D1634" i="1"/>
  <c r="C1634" i="1"/>
  <c r="H1633" i="1"/>
  <c r="F1633" i="1"/>
  <c r="D1633" i="1"/>
  <c r="C1633" i="1"/>
  <c r="H1632" i="1"/>
  <c r="F1632" i="1"/>
  <c r="D1632" i="1"/>
  <c r="C1632" i="1"/>
  <c r="H1631" i="1"/>
  <c r="F1631" i="1"/>
  <c r="D1631" i="1"/>
  <c r="C1631" i="1"/>
  <c r="H1630" i="1"/>
  <c r="F1630" i="1"/>
  <c r="D1630" i="1"/>
  <c r="C1630" i="1"/>
  <c r="H1629" i="1"/>
  <c r="F1629" i="1"/>
  <c r="D1629" i="1"/>
  <c r="C1629" i="1"/>
  <c r="H1628" i="1"/>
  <c r="F1628" i="1"/>
  <c r="D1628" i="1"/>
  <c r="C1628" i="1"/>
  <c r="H1627" i="1"/>
  <c r="F1627" i="1"/>
  <c r="D1627" i="1"/>
  <c r="C1627" i="1"/>
  <c r="H1626" i="1"/>
  <c r="F1626" i="1"/>
  <c r="D1626" i="1"/>
  <c r="C1626" i="1"/>
  <c r="H1625" i="1"/>
  <c r="F1625" i="1"/>
  <c r="D1625" i="1"/>
  <c r="C1625" i="1"/>
  <c r="H1624" i="1"/>
  <c r="F1624" i="1"/>
  <c r="D1624" i="1"/>
  <c r="C1624" i="1"/>
  <c r="H1623" i="1"/>
  <c r="F1623" i="1"/>
  <c r="D1623" i="1"/>
  <c r="C1623" i="1"/>
  <c r="H1622" i="1"/>
  <c r="F1622" i="1"/>
  <c r="D1622" i="1"/>
  <c r="C1622" i="1"/>
  <c r="H1621" i="1"/>
  <c r="F1621" i="1"/>
  <c r="D1621" i="1"/>
  <c r="C1621" i="1"/>
  <c r="H1620" i="1"/>
  <c r="F1620" i="1"/>
  <c r="D1620" i="1"/>
  <c r="C1620" i="1"/>
  <c r="H1619" i="1"/>
  <c r="F1619" i="1"/>
  <c r="D1619" i="1"/>
  <c r="C1619" i="1"/>
  <c r="H1618" i="1"/>
  <c r="F1618" i="1"/>
  <c r="D1618" i="1"/>
  <c r="C1618" i="1"/>
  <c r="H1617" i="1"/>
  <c r="F1617" i="1"/>
  <c r="D1617" i="1"/>
  <c r="C1617" i="1"/>
  <c r="H1616" i="1"/>
  <c r="F1616" i="1"/>
  <c r="D1616" i="1"/>
  <c r="C1616" i="1"/>
  <c r="H1615" i="1"/>
  <c r="F1615" i="1"/>
  <c r="D1615" i="1"/>
  <c r="C1615" i="1"/>
  <c r="H1614" i="1"/>
  <c r="F1614" i="1"/>
  <c r="D1614" i="1"/>
  <c r="C1614" i="1"/>
  <c r="H1613" i="1"/>
  <c r="F1613" i="1"/>
  <c r="D1613" i="1"/>
  <c r="C1613" i="1"/>
  <c r="H1612" i="1"/>
  <c r="F1612" i="1"/>
  <c r="D1612" i="1"/>
  <c r="C1612" i="1"/>
  <c r="H1611" i="1"/>
  <c r="F1611" i="1"/>
  <c r="D1611" i="1"/>
  <c r="C1611" i="1"/>
  <c r="H1610" i="1"/>
  <c r="F1610" i="1"/>
  <c r="D1610" i="1"/>
  <c r="C1610" i="1"/>
  <c r="H1609" i="1"/>
  <c r="F1609" i="1"/>
  <c r="D1609" i="1"/>
  <c r="C1609" i="1"/>
  <c r="H1608" i="1"/>
  <c r="F1608" i="1"/>
  <c r="D1608" i="1"/>
  <c r="C1608" i="1"/>
  <c r="H1607" i="1"/>
  <c r="F1607" i="1"/>
  <c r="D1607" i="1"/>
  <c r="C1607" i="1"/>
  <c r="H1606" i="1"/>
  <c r="F1606" i="1"/>
  <c r="D1606" i="1"/>
  <c r="C1606" i="1"/>
  <c r="H1605" i="1"/>
  <c r="F1605" i="1"/>
  <c r="D1605" i="1"/>
  <c r="C1605" i="1"/>
  <c r="H1604" i="1"/>
  <c r="F1604" i="1"/>
  <c r="D1604" i="1"/>
  <c r="C1604" i="1"/>
  <c r="H1603" i="1"/>
  <c r="F1603" i="1"/>
  <c r="D1603" i="1"/>
  <c r="C1603" i="1"/>
  <c r="H1602" i="1"/>
  <c r="F1602" i="1"/>
  <c r="D1602" i="1"/>
  <c r="C1602" i="1"/>
  <c r="H1601" i="1"/>
  <c r="F1601" i="1"/>
  <c r="D1601" i="1"/>
  <c r="C1601" i="1"/>
  <c r="H1600" i="1"/>
  <c r="F1600" i="1"/>
  <c r="D1600" i="1"/>
  <c r="C1600" i="1"/>
  <c r="H1599" i="1"/>
  <c r="F1599" i="1"/>
  <c r="D1599" i="1"/>
  <c r="C1599" i="1"/>
  <c r="H1598" i="1"/>
  <c r="F1598" i="1"/>
  <c r="D1598" i="1"/>
  <c r="C1598" i="1"/>
  <c r="H1597" i="1"/>
  <c r="F1597" i="1"/>
  <c r="D1597" i="1"/>
  <c r="C1597" i="1"/>
  <c r="H1596" i="1"/>
  <c r="F1596" i="1"/>
  <c r="D1596" i="1"/>
  <c r="C1596" i="1"/>
  <c r="H1595" i="1"/>
  <c r="F1595" i="1"/>
  <c r="D1595" i="1"/>
  <c r="C1595" i="1"/>
  <c r="H1594" i="1"/>
  <c r="F1594" i="1"/>
  <c r="D1594" i="1"/>
  <c r="C1594" i="1"/>
  <c r="H1593" i="1"/>
  <c r="F1593" i="1"/>
  <c r="D1593" i="1"/>
  <c r="C1593" i="1"/>
  <c r="H1592" i="1"/>
  <c r="F1592" i="1"/>
  <c r="D1592" i="1"/>
  <c r="C1592" i="1"/>
  <c r="H1591" i="1"/>
  <c r="F1591" i="1"/>
  <c r="D1591" i="1"/>
  <c r="C1591" i="1"/>
  <c r="H1590" i="1"/>
  <c r="F1590" i="1"/>
  <c r="D1590" i="1"/>
  <c r="C1590" i="1"/>
  <c r="H1589" i="1"/>
  <c r="F1589" i="1"/>
  <c r="D1589" i="1"/>
  <c r="C1589" i="1"/>
  <c r="H1588" i="1"/>
  <c r="F1588" i="1"/>
  <c r="D1588" i="1"/>
  <c r="C1588" i="1"/>
  <c r="H1587" i="1"/>
  <c r="F1587" i="1"/>
  <c r="D1587" i="1"/>
  <c r="C1587" i="1"/>
  <c r="H1586" i="1"/>
  <c r="F1586" i="1"/>
  <c r="D1586" i="1"/>
  <c r="C1586" i="1"/>
  <c r="H1585" i="1"/>
  <c r="F1585" i="1"/>
  <c r="D1585" i="1"/>
  <c r="C1585" i="1"/>
  <c r="H1584" i="1"/>
  <c r="F1584" i="1"/>
  <c r="D1584" i="1"/>
  <c r="C1584" i="1"/>
  <c r="H1583" i="1"/>
  <c r="F1583" i="1"/>
  <c r="D1583" i="1"/>
  <c r="C1583" i="1"/>
  <c r="H1582" i="1"/>
  <c r="F1582" i="1"/>
  <c r="D1582" i="1"/>
  <c r="C1582" i="1"/>
  <c r="H1581" i="1"/>
  <c r="F1581" i="1"/>
  <c r="D1581" i="1"/>
  <c r="C1581" i="1"/>
  <c r="H1580" i="1"/>
  <c r="F1580" i="1"/>
  <c r="D1580" i="1"/>
  <c r="C1580" i="1"/>
  <c r="H1579" i="1"/>
  <c r="F1579" i="1"/>
  <c r="D1579" i="1"/>
  <c r="C1579" i="1"/>
  <c r="H1578" i="1"/>
  <c r="F1578" i="1"/>
  <c r="D1578" i="1"/>
  <c r="C1578" i="1"/>
  <c r="H1577" i="1"/>
  <c r="F1577" i="1"/>
  <c r="D1577" i="1"/>
  <c r="C1577" i="1"/>
  <c r="H1576" i="1"/>
  <c r="F1576" i="1"/>
  <c r="D1576" i="1"/>
  <c r="C1576" i="1"/>
  <c r="H1575" i="1"/>
  <c r="F1575" i="1"/>
  <c r="D1575" i="1"/>
  <c r="C1575" i="1"/>
  <c r="H1574" i="1"/>
  <c r="F1574" i="1"/>
  <c r="D1574" i="1"/>
  <c r="C1574" i="1"/>
  <c r="H1573" i="1"/>
  <c r="F1573" i="1"/>
  <c r="D1573" i="1"/>
  <c r="C1573" i="1"/>
  <c r="H1572" i="1"/>
  <c r="F1572" i="1"/>
  <c r="D1572" i="1"/>
  <c r="C1572" i="1"/>
  <c r="H1571" i="1"/>
  <c r="F1571" i="1"/>
  <c r="D1571" i="1"/>
  <c r="C1571" i="1"/>
  <c r="H1570" i="1"/>
  <c r="F1570" i="1"/>
  <c r="D1570" i="1"/>
  <c r="C1570" i="1"/>
  <c r="H1569" i="1"/>
  <c r="F1569" i="1"/>
  <c r="D1569" i="1"/>
  <c r="C1569" i="1"/>
  <c r="H1568" i="1"/>
  <c r="F1568" i="1"/>
  <c r="D1568" i="1"/>
  <c r="C1568" i="1"/>
  <c r="H1567" i="1"/>
  <c r="F1567" i="1"/>
  <c r="D1567" i="1"/>
  <c r="C1567" i="1"/>
  <c r="H1566" i="1"/>
  <c r="F1566" i="1"/>
  <c r="D1566" i="1"/>
  <c r="C1566" i="1"/>
  <c r="H1565" i="1"/>
  <c r="F1565" i="1"/>
  <c r="D1565" i="1"/>
  <c r="C1565" i="1"/>
  <c r="H1564" i="1"/>
  <c r="F1564" i="1"/>
  <c r="D1564" i="1"/>
  <c r="C1564" i="1"/>
  <c r="H1563" i="1"/>
  <c r="F1563" i="1"/>
  <c r="D1563" i="1"/>
  <c r="C1563" i="1"/>
  <c r="H1562" i="1"/>
  <c r="F1562" i="1"/>
  <c r="D1562" i="1"/>
  <c r="C1562" i="1"/>
  <c r="H1561" i="1"/>
  <c r="F1561" i="1"/>
  <c r="D1561" i="1"/>
  <c r="C1561" i="1"/>
  <c r="H1560" i="1"/>
  <c r="F1560" i="1"/>
  <c r="D1560" i="1"/>
  <c r="C1560" i="1"/>
  <c r="H1559" i="1"/>
  <c r="F1559" i="1"/>
  <c r="D1559" i="1"/>
  <c r="C1559" i="1"/>
  <c r="H1558" i="1"/>
  <c r="F1558" i="1"/>
  <c r="D1558" i="1"/>
  <c r="C1558" i="1"/>
  <c r="H1557" i="1"/>
  <c r="F1557" i="1"/>
  <c r="D1557" i="1"/>
  <c r="C1557" i="1"/>
  <c r="H1556" i="1"/>
  <c r="F1556" i="1"/>
  <c r="D1556" i="1"/>
  <c r="C1556" i="1"/>
  <c r="H1555" i="1"/>
  <c r="F1555" i="1"/>
  <c r="D1555" i="1"/>
  <c r="C1555" i="1"/>
  <c r="H1554" i="1"/>
  <c r="F1554" i="1"/>
  <c r="D1554" i="1"/>
  <c r="C1554" i="1"/>
  <c r="H1553" i="1"/>
  <c r="F1553" i="1"/>
  <c r="D1553" i="1"/>
  <c r="C1553" i="1"/>
  <c r="H1552" i="1"/>
  <c r="F1552" i="1"/>
  <c r="D1552" i="1"/>
  <c r="C1552" i="1"/>
  <c r="H1551" i="1"/>
  <c r="F1551" i="1"/>
  <c r="D1551" i="1"/>
  <c r="C1551" i="1"/>
  <c r="H1550" i="1"/>
  <c r="F1550" i="1"/>
  <c r="D1550" i="1"/>
  <c r="C1550" i="1"/>
  <c r="H1549" i="1"/>
  <c r="F1549" i="1"/>
  <c r="D1549" i="1"/>
  <c r="C1549" i="1"/>
  <c r="H1548" i="1"/>
  <c r="F1548" i="1"/>
  <c r="D1548" i="1"/>
  <c r="C1548" i="1"/>
  <c r="H1547" i="1"/>
  <c r="F1547" i="1"/>
  <c r="D1547" i="1"/>
  <c r="C1547" i="1"/>
  <c r="H1546" i="1"/>
  <c r="F1546" i="1"/>
  <c r="D1546" i="1"/>
  <c r="C1546" i="1"/>
  <c r="H1545" i="1"/>
  <c r="F1545" i="1"/>
  <c r="D1545" i="1"/>
  <c r="C1545" i="1"/>
  <c r="H1544" i="1"/>
  <c r="F1544" i="1"/>
  <c r="D1544" i="1"/>
  <c r="C1544" i="1"/>
  <c r="H1543" i="1"/>
  <c r="F1543" i="1"/>
  <c r="D1543" i="1"/>
  <c r="C1543" i="1"/>
  <c r="H1542" i="1"/>
  <c r="F1542" i="1"/>
  <c r="D1542" i="1"/>
  <c r="C1542" i="1"/>
  <c r="H1541" i="1"/>
  <c r="F1541" i="1"/>
  <c r="D1541" i="1"/>
  <c r="C1541" i="1"/>
  <c r="H1540" i="1"/>
  <c r="F1540" i="1"/>
  <c r="D1540" i="1"/>
  <c r="C1540" i="1"/>
  <c r="H1539" i="1"/>
  <c r="F1539" i="1"/>
  <c r="D1539" i="1"/>
  <c r="C1539" i="1"/>
  <c r="H1538" i="1"/>
  <c r="F1538" i="1"/>
  <c r="D1538" i="1"/>
  <c r="C1538" i="1"/>
  <c r="H1537" i="1"/>
  <c r="F1537" i="1"/>
  <c r="D1537" i="1"/>
  <c r="C1537" i="1"/>
  <c r="H1536" i="1"/>
  <c r="F1536" i="1"/>
  <c r="D1536" i="1"/>
  <c r="C1536" i="1"/>
  <c r="H1535" i="1"/>
  <c r="F1535" i="1"/>
  <c r="D1535" i="1"/>
  <c r="C1535" i="1"/>
  <c r="H1534" i="1"/>
  <c r="F1534" i="1"/>
  <c r="D1534" i="1"/>
  <c r="C1534" i="1"/>
  <c r="H1533" i="1"/>
  <c r="F1533" i="1"/>
  <c r="D1533" i="1"/>
  <c r="C1533" i="1"/>
  <c r="H1532" i="1"/>
  <c r="F1532" i="1"/>
  <c r="D1532" i="1"/>
  <c r="C1532" i="1"/>
  <c r="H1531" i="1"/>
  <c r="F1531" i="1"/>
  <c r="D1531" i="1"/>
  <c r="C1531" i="1"/>
  <c r="H1530" i="1"/>
  <c r="F1530" i="1"/>
  <c r="D1530" i="1"/>
  <c r="C1530" i="1"/>
  <c r="H1529" i="1"/>
  <c r="F1529" i="1"/>
  <c r="D1529" i="1"/>
  <c r="C1529" i="1"/>
  <c r="H1528" i="1"/>
  <c r="F1528" i="1"/>
  <c r="D1528" i="1"/>
  <c r="C1528" i="1"/>
  <c r="H1527" i="1"/>
  <c r="F1527" i="1"/>
  <c r="D1527" i="1"/>
  <c r="C1527" i="1"/>
  <c r="H1526" i="1"/>
  <c r="F1526" i="1"/>
  <c r="D1526" i="1"/>
  <c r="C1526" i="1"/>
  <c r="H1525" i="1"/>
  <c r="F1525" i="1"/>
  <c r="D1525" i="1"/>
  <c r="C1525" i="1"/>
  <c r="H1524" i="1"/>
  <c r="F1524" i="1"/>
  <c r="D1524" i="1"/>
  <c r="C1524" i="1"/>
  <c r="H1523" i="1"/>
  <c r="F1523" i="1"/>
  <c r="D1523" i="1"/>
  <c r="C1523" i="1"/>
  <c r="H1522" i="1"/>
  <c r="F1522" i="1"/>
  <c r="D1522" i="1"/>
  <c r="C1522" i="1"/>
  <c r="H1521" i="1"/>
  <c r="F1521" i="1"/>
  <c r="D1521" i="1"/>
  <c r="C1521" i="1"/>
  <c r="H1520" i="1"/>
  <c r="F1520" i="1"/>
  <c r="D1520" i="1"/>
  <c r="C1520" i="1"/>
  <c r="H1519" i="1"/>
  <c r="F1519" i="1"/>
  <c r="D1519" i="1"/>
  <c r="C1519" i="1"/>
  <c r="H1518" i="1"/>
  <c r="F1518" i="1"/>
  <c r="D1518" i="1"/>
  <c r="C1518" i="1"/>
  <c r="H1517" i="1"/>
  <c r="F1517" i="1"/>
  <c r="D1517" i="1"/>
  <c r="C1517" i="1"/>
  <c r="H1516" i="1"/>
  <c r="F1516" i="1"/>
  <c r="D1516" i="1"/>
  <c r="C1516" i="1"/>
  <c r="H1515" i="1"/>
  <c r="F1515" i="1"/>
  <c r="D1515" i="1"/>
  <c r="C1515" i="1"/>
  <c r="H1514" i="1"/>
  <c r="F1514" i="1"/>
  <c r="D1514" i="1"/>
  <c r="C1514" i="1"/>
  <c r="H1513" i="1"/>
  <c r="F1513" i="1"/>
  <c r="D1513" i="1"/>
  <c r="C1513" i="1"/>
  <c r="H1512" i="1"/>
  <c r="F1512" i="1"/>
  <c r="D1512" i="1"/>
  <c r="C1512" i="1"/>
  <c r="H1511" i="1"/>
  <c r="F1511" i="1"/>
  <c r="D1511" i="1"/>
  <c r="C1511" i="1"/>
  <c r="H1510" i="1"/>
  <c r="F1510" i="1"/>
  <c r="D1510" i="1"/>
  <c r="C1510" i="1"/>
  <c r="H1509" i="1"/>
  <c r="F1509" i="1"/>
  <c r="D1509" i="1"/>
  <c r="C1509" i="1"/>
  <c r="H1508" i="1"/>
  <c r="F1508" i="1"/>
  <c r="D1508" i="1"/>
  <c r="C1508" i="1"/>
  <c r="H1507" i="1"/>
  <c r="F1507" i="1"/>
  <c r="D1507" i="1"/>
  <c r="C1507" i="1"/>
  <c r="H1506" i="1"/>
  <c r="F1506" i="1"/>
  <c r="D1506" i="1"/>
  <c r="C1506" i="1"/>
  <c r="H1505" i="1"/>
  <c r="F1505" i="1"/>
  <c r="D1505" i="1"/>
  <c r="C1505" i="1"/>
  <c r="H1504" i="1"/>
  <c r="F1504" i="1"/>
  <c r="D1504" i="1"/>
  <c r="C1504" i="1"/>
  <c r="H1503" i="1"/>
  <c r="F1503" i="1"/>
  <c r="D1503" i="1"/>
  <c r="C1503" i="1"/>
  <c r="H1502" i="1"/>
  <c r="F1502" i="1"/>
  <c r="D1502" i="1"/>
  <c r="C1502" i="1"/>
  <c r="H1501" i="1"/>
  <c r="F1501" i="1"/>
  <c r="D1501" i="1"/>
  <c r="C1501" i="1"/>
  <c r="H1500" i="1"/>
  <c r="F1500" i="1"/>
  <c r="D1500" i="1"/>
  <c r="C1500" i="1"/>
  <c r="H1499" i="1"/>
  <c r="F1499" i="1"/>
  <c r="D1499" i="1"/>
  <c r="C1499" i="1"/>
  <c r="H1498" i="1"/>
  <c r="F1498" i="1"/>
  <c r="D1498" i="1"/>
  <c r="C1498" i="1"/>
  <c r="H1497" i="1"/>
  <c r="F1497" i="1"/>
  <c r="D1497" i="1"/>
  <c r="C1497" i="1"/>
  <c r="H1496" i="1"/>
  <c r="F1496" i="1"/>
  <c r="D1496" i="1"/>
  <c r="C1496" i="1"/>
  <c r="H1495" i="1"/>
  <c r="F1495" i="1"/>
  <c r="D1495" i="1"/>
  <c r="C1495" i="1"/>
  <c r="H1494" i="1"/>
  <c r="F1494" i="1"/>
  <c r="D1494" i="1"/>
  <c r="C1494" i="1"/>
  <c r="H1493" i="1"/>
  <c r="F1493" i="1"/>
  <c r="D1493" i="1"/>
  <c r="C1493" i="1"/>
  <c r="H1492" i="1"/>
  <c r="F1492" i="1"/>
  <c r="D1492" i="1"/>
  <c r="C1492" i="1"/>
  <c r="H1491" i="1"/>
  <c r="F1491" i="1"/>
  <c r="D1491" i="1"/>
  <c r="C1491" i="1"/>
  <c r="H1490" i="1"/>
  <c r="F1490" i="1"/>
  <c r="D1490" i="1"/>
  <c r="C1490" i="1"/>
  <c r="H1489" i="1"/>
  <c r="F1489" i="1"/>
  <c r="D1489" i="1"/>
  <c r="C1489" i="1"/>
  <c r="H1488" i="1"/>
  <c r="F1488" i="1"/>
  <c r="D1488" i="1"/>
  <c r="C1488" i="1"/>
  <c r="H1487" i="1"/>
  <c r="F1487" i="1"/>
  <c r="D1487" i="1"/>
  <c r="C1487" i="1"/>
  <c r="H1486" i="1"/>
  <c r="F1486" i="1"/>
  <c r="D1486" i="1"/>
  <c r="C1486" i="1"/>
  <c r="H1485" i="1"/>
  <c r="F1485" i="1"/>
  <c r="D1485" i="1"/>
  <c r="C1485" i="1"/>
  <c r="H1484" i="1"/>
  <c r="F1484" i="1"/>
  <c r="D1484" i="1"/>
  <c r="C1484" i="1"/>
  <c r="H1483" i="1"/>
  <c r="F1483" i="1"/>
  <c r="D1483" i="1"/>
  <c r="C1483" i="1"/>
  <c r="H1482" i="1"/>
  <c r="F1482" i="1"/>
  <c r="D1482" i="1"/>
  <c r="C1482" i="1"/>
  <c r="H1481" i="1"/>
  <c r="F1481" i="1"/>
  <c r="D1481" i="1"/>
  <c r="C1481" i="1"/>
  <c r="H1480" i="1"/>
  <c r="F1480" i="1"/>
  <c r="D1480" i="1"/>
  <c r="C1480" i="1"/>
  <c r="H1479" i="1"/>
  <c r="F1479" i="1"/>
  <c r="D1479" i="1"/>
  <c r="C1479" i="1"/>
  <c r="H1478" i="1"/>
  <c r="F1478" i="1"/>
  <c r="D1478" i="1"/>
  <c r="C1478" i="1"/>
  <c r="H1477" i="1"/>
  <c r="F1477" i="1"/>
  <c r="D1477" i="1"/>
  <c r="C1477" i="1"/>
  <c r="H1476" i="1"/>
  <c r="F1476" i="1"/>
  <c r="D1476" i="1"/>
  <c r="C1476" i="1"/>
  <c r="H1475" i="1"/>
  <c r="F1475" i="1"/>
  <c r="D1475" i="1"/>
  <c r="C1475" i="1"/>
  <c r="H1474" i="1"/>
  <c r="F1474" i="1"/>
  <c r="D1474" i="1"/>
  <c r="C1474" i="1"/>
  <c r="H1473" i="1"/>
  <c r="F1473" i="1"/>
  <c r="D1473" i="1"/>
  <c r="C1473" i="1"/>
  <c r="H1472" i="1"/>
  <c r="F1472" i="1"/>
  <c r="D1472" i="1"/>
  <c r="C1472" i="1"/>
  <c r="H1471" i="1"/>
  <c r="F1471" i="1"/>
  <c r="D1471" i="1"/>
  <c r="C1471" i="1"/>
  <c r="H1470" i="1"/>
  <c r="F1470" i="1"/>
  <c r="D1470" i="1"/>
  <c r="C1470" i="1"/>
  <c r="H1469" i="1"/>
  <c r="F1469" i="1"/>
  <c r="D1469" i="1"/>
  <c r="C1469" i="1"/>
  <c r="H1468" i="1"/>
  <c r="F1468" i="1"/>
  <c r="D1468" i="1"/>
  <c r="C1468" i="1"/>
  <c r="H1467" i="1"/>
  <c r="F1467" i="1"/>
  <c r="D1467" i="1"/>
  <c r="C1467" i="1"/>
  <c r="H1466" i="1"/>
  <c r="F1466" i="1"/>
  <c r="D1466" i="1"/>
  <c r="C1466" i="1"/>
  <c r="H1465" i="1"/>
  <c r="F1465" i="1"/>
  <c r="D1465" i="1"/>
  <c r="C1465" i="1"/>
  <c r="H1464" i="1"/>
  <c r="F1464" i="1"/>
  <c r="D1464" i="1"/>
  <c r="C1464" i="1"/>
  <c r="H1463" i="1"/>
  <c r="F1463" i="1"/>
  <c r="D1463" i="1"/>
  <c r="C1463" i="1"/>
  <c r="H1462" i="1"/>
  <c r="F1462" i="1"/>
  <c r="D1462" i="1"/>
  <c r="C1462" i="1"/>
  <c r="H1461" i="1"/>
  <c r="F1461" i="1"/>
  <c r="D1461" i="1"/>
  <c r="C1461" i="1"/>
  <c r="H1460" i="1"/>
  <c r="F1460" i="1"/>
  <c r="D1460" i="1"/>
  <c r="C1460" i="1"/>
  <c r="H1459" i="1"/>
  <c r="F1459" i="1"/>
  <c r="D1459" i="1"/>
  <c r="C1459" i="1"/>
  <c r="H1458" i="1"/>
  <c r="F1458" i="1"/>
  <c r="D1458" i="1"/>
  <c r="C1458" i="1"/>
  <c r="H1457" i="1"/>
  <c r="F1457" i="1"/>
  <c r="D1457" i="1"/>
  <c r="C1457" i="1"/>
  <c r="H1456" i="1"/>
  <c r="F1456" i="1"/>
  <c r="D1456" i="1"/>
  <c r="C1456" i="1"/>
  <c r="H1455" i="1"/>
  <c r="F1455" i="1"/>
  <c r="D1455" i="1"/>
  <c r="C1455" i="1"/>
  <c r="H1454" i="1"/>
  <c r="F1454" i="1"/>
  <c r="D1454" i="1"/>
  <c r="C1454" i="1"/>
  <c r="H1453" i="1"/>
  <c r="F1453" i="1"/>
  <c r="D1453" i="1"/>
  <c r="C1453" i="1"/>
  <c r="H1452" i="1"/>
  <c r="F1452" i="1"/>
  <c r="D1452" i="1"/>
  <c r="C1452" i="1"/>
  <c r="H1451" i="1"/>
  <c r="F1451" i="1"/>
  <c r="D1451" i="1"/>
  <c r="C1451" i="1"/>
  <c r="H1450" i="1"/>
  <c r="F1450" i="1"/>
  <c r="D1450" i="1"/>
  <c r="C1450" i="1"/>
  <c r="H1449" i="1"/>
  <c r="F1449" i="1"/>
  <c r="D1449" i="1"/>
  <c r="C1449" i="1"/>
  <c r="H1448" i="1"/>
  <c r="F1448" i="1"/>
  <c r="D1448" i="1"/>
  <c r="C1448" i="1"/>
  <c r="H1447" i="1"/>
  <c r="F1447" i="1"/>
  <c r="D1447" i="1"/>
  <c r="C1447" i="1"/>
  <c r="H1446" i="1"/>
  <c r="F1446" i="1"/>
  <c r="D1446" i="1"/>
  <c r="C1446" i="1"/>
  <c r="H1445" i="1"/>
  <c r="F1445" i="1"/>
  <c r="D1445" i="1"/>
  <c r="C1445" i="1"/>
  <c r="H1444" i="1"/>
  <c r="F1444" i="1"/>
  <c r="D1444" i="1"/>
  <c r="C1444" i="1"/>
  <c r="H1443" i="1"/>
  <c r="F1443" i="1"/>
  <c r="D1443" i="1"/>
  <c r="C1443" i="1"/>
  <c r="H1442" i="1"/>
  <c r="F1442" i="1"/>
  <c r="D1442" i="1"/>
  <c r="C1442" i="1"/>
  <c r="H1441" i="1"/>
  <c r="F1441" i="1"/>
  <c r="D1441" i="1"/>
  <c r="C1441" i="1"/>
  <c r="H1440" i="1"/>
  <c r="F1440" i="1"/>
  <c r="D1440" i="1"/>
  <c r="C1440" i="1"/>
  <c r="H1439" i="1"/>
  <c r="F1439" i="1"/>
  <c r="D1439" i="1"/>
  <c r="C1439" i="1"/>
  <c r="H1438" i="1"/>
  <c r="F1438" i="1"/>
  <c r="D1438" i="1"/>
  <c r="C1438" i="1"/>
  <c r="H1437" i="1"/>
  <c r="F1437" i="1"/>
  <c r="D1437" i="1"/>
  <c r="C1437" i="1"/>
  <c r="H1436" i="1"/>
  <c r="F1436" i="1"/>
  <c r="D1436" i="1"/>
  <c r="C1436" i="1"/>
  <c r="H1435" i="1"/>
  <c r="F1435" i="1"/>
  <c r="D1435" i="1"/>
  <c r="C1435" i="1"/>
  <c r="H1434" i="1"/>
  <c r="F1434" i="1"/>
  <c r="D1434" i="1"/>
  <c r="C1434" i="1"/>
  <c r="H1433" i="1"/>
  <c r="F1433" i="1"/>
  <c r="D1433" i="1"/>
  <c r="C1433" i="1"/>
  <c r="H1432" i="1"/>
  <c r="F1432" i="1"/>
  <c r="D1432" i="1"/>
  <c r="C1432" i="1"/>
  <c r="H1431" i="1"/>
  <c r="F1431" i="1"/>
  <c r="D1431" i="1"/>
  <c r="C1431" i="1"/>
  <c r="H1430" i="1"/>
  <c r="F1430" i="1"/>
  <c r="D1430" i="1"/>
  <c r="C1430" i="1"/>
  <c r="H1429" i="1"/>
  <c r="F1429" i="1"/>
  <c r="D1429" i="1"/>
  <c r="C1429" i="1"/>
  <c r="H1428" i="1"/>
  <c r="F1428" i="1"/>
  <c r="D1428" i="1"/>
  <c r="C1428" i="1"/>
  <c r="H1427" i="1"/>
  <c r="F1427" i="1"/>
  <c r="D1427" i="1"/>
  <c r="C1427" i="1"/>
  <c r="H1426" i="1"/>
  <c r="F1426" i="1"/>
  <c r="D1426" i="1"/>
  <c r="C1426" i="1"/>
  <c r="H1425" i="1"/>
  <c r="F1425" i="1"/>
  <c r="D1425" i="1"/>
  <c r="C1425" i="1"/>
  <c r="H1424" i="1"/>
  <c r="F1424" i="1"/>
  <c r="D1424" i="1"/>
  <c r="C1424" i="1"/>
  <c r="H1423" i="1"/>
  <c r="F1423" i="1"/>
  <c r="D1423" i="1"/>
  <c r="C1423" i="1"/>
  <c r="H1422" i="1"/>
  <c r="F1422" i="1"/>
  <c r="D1422" i="1"/>
  <c r="C1422" i="1"/>
  <c r="H1421" i="1"/>
  <c r="F1421" i="1"/>
  <c r="D1421" i="1"/>
  <c r="C1421" i="1"/>
  <c r="H1420" i="1"/>
  <c r="F1420" i="1"/>
  <c r="D1420" i="1"/>
  <c r="C1420" i="1"/>
  <c r="H1419" i="1"/>
  <c r="F1419" i="1"/>
  <c r="D1419" i="1"/>
  <c r="C1419" i="1"/>
  <c r="H1418" i="1"/>
  <c r="F1418" i="1"/>
  <c r="D1418" i="1"/>
  <c r="C1418" i="1"/>
  <c r="H1417" i="1"/>
  <c r="F1417" i="1"/>
  <c r="D1417" i="1"/>
  <c r="C1417" i="1"/>
  <c r="H1416" i="1"/>
  <c r="F1416" i="1"/>
  <c r="D1416" i="1"/>
  <c r="C1416" i="1"/>
  <c r="H1415" i="1"/>
  <c r="F1415" i="1"/>
  <c r="D1415" i="1"/>
  <c r="C1415" i="1"/>
  <c r="H1414" i="1"/>
  <c r="F1414" i="1"/>
  <c r="D1414" i="1"/>
  <c r="C1414" i="1"/>
  <c r="H1413" i="1"/>
  <c r="F1413" i="1"/>
  <c r="D1413" i="1"/>
  <c r="C1413" i="1"/>
  <c r="H1412" i="1"/>
  <c r="F1412" i="1"/>
  <c r="D1412" i="1"/>
  <c r="C1412" i="1"/>
  <c r="H1411" i="1"/>
  <c r="F1411" i="1"/>
  <c r="D1411" i="1"/>
  <c r="C1411" i="1"/>
  <c r="H1410" i="1"/>
  <c r="F1410" i="1"/>
  <c r="D1410" i="1"/>
  <c r="C1410" i="1"/>
  <c r="H1409" i="1"/>
  <c r="F1409" i="1"/>
  <c r="D1409" i="1"/>
  <c r="C1409" i="1"/>
  <c r="H1408" i="1"/>
  <c r="F1408" i="1"/>
  <c r="D1408" i="1"/>
  <c r="C1408" i="1"/>
  <c r="H1407" i="1"/>
  <c r="F1407" i="1"/>
  <c r="D1407" i="1"/>
  <c r="C1407" i="1"/>
  <c r="H1406" i="1"/>
  <c r="F1406" i="1"/>
  <c r="D1406" i="1"/>
  <c r="C1406" i="1"/>
  <c r="H1405" i="1"/>
  <c r="F1405" i="1"/>
  <c r="D1405" i="1"/>
  <c r="C1405" i="1"/>
  <c r="H1404" i="1"/>
  <c r="F1404" i="1"/>
  <c r="D1404" i="1"/>
  <c r="C1404" i="1"/>
  <c r="H1403" i="1"/>
  <c r="F1403" i="1"/>
  <c r="D1403" i="1"/>
  <c r="C1403" i="1"/>
  <c r="H1402" i="1"/>
  <c r="F1402" i="1"/>
  <c r="D1402" i="1"/>
  <c r="C1402" i="1"/>
  <c r="H1401" i="1"/>
  <c r="F1401" i="1"/>
  <c r="D1401" i="1"/>
  <c r="C1401" i="1"/>
  <c r="H1400" i="1"/>
  <c r="F1400" i="1"/>
  <c r="D1400" i="1"/>
  <c r="C1400" i="1"/>
  <c r="H1399" i="1"/>
  <c r="F1399" i="1"/>
  <c r="D1399" i="1"/>
  <c r="C1399" i="1"/>
  <c r="H1398" i="1"/>
  <c r="F1398" i="1"/>
  <c r="D1398" i="1"/>
  <c r="C1398" i="1"/>
  <c r="H1397" i="1"/>
  <c r="F1397" i="1"/>
  <c r="D1397" i="1"/>
  <c r="C1397" i="1"/>
  <c r="H1396" i="1"/>
  <c r="F1396" i="1"/>
  <c r="D1396" i="1"/>
  <c r="C1396" i="1"/>
  <c r="H1395" i="1"/>
  <c r="F1395" i="1"/>
  <c r="D1395" i="1"/>
  <c r="C1395" i="1"/>
  <c r="H1394" i="1"/>
  <c r="F1394" i="1"/>
  <c r="D1394" i="1"/>
  <c r="C1394" i="1"/>
  <c r="H1393" i="1"/>
  <c r="F1393" i="1"/>
  <c r="D1393" i="1"/>
  <c r="C1393" i="1"/>
  <c r="H1392" i="1"/>
  <c r="F1392" i="1"/>
  <c r="D1392" i="1"/>
  <c r="C1392" i="1"/>
  <c r="H1391" i="1"/>
  <c r="F1391" i="1"/>
  <c r="D1391" i="1"/>
  <c r="C1391" i="1"/>
  <c r="H1390" i="1"/>
  <c r="F1390" i="1"/>
  <c r="D1390" i="1"/>
  <c r="C1390" i="1"/>
  <c r="H1389" i="1"/>
  <c r="F1389" i="1"/>
  <c r="D1389" i="1"/>
  <c r="C1389" i="1"/>
  <c r="H1388" i="1"/>
  <c r="F1388" i="1"/>
  <c r="D1388" i="1"/>
  <c r="C1388" i="1"/>
  <c r="H1387" i="1"/>
  <c r="F1387" i="1"/>
  <c r="D1387" i="1"/>
  <c r="C1387" i="1"/>
  <c r="H1386" i="1"/>
  <c r="F1386" i="1"/>
  <c r="D1386" i="1"/>
  <c r="C1386" i="1"/>
  <c r="H1385" i="1"/>
  <c r="F1385" i="1"/>
  <c r="D1385" i="1"/>
  <c r="C1385" i="1"/>
  <c r="H1384" i="1"/>
  <c r="F1384" i="1"/>
  <c r="D1384" i="1"/>
  <c r="C1384" i="1"/>
  <c r="H1383" i="1"/>
  <c r="F1383" i="1"/>
  <c r="D1383" i="1"/>
  <c r="C1383" i="1"/>
  <c r="H1382" i="1"/>
  <c r="F1382" i="1"/>
  <c r="D1382" i="1"/>
  <c r="C1382" i="1"/>
  <c r="H1381" i="1"/>
  <c r="F1381" i="1"/>
  <c r="D1381" i="1"/>
  <c r="C1381" i="1"/>
  <c r="H1380" i="1"/>
  <c r="F1380" i="1"/>
  <c r="D1380" i="1"/>
  <c r="C1380" i="1"/>
  <c r="H1379" i="1"/>
  <c r="F1379" i="1"/>
  <c r="D1379" i="1"/>
  <c r="C1379" i="1"/>
  <c r="H1378" i="1"/>
  <c r="F1378" i="1"/>
  <c r="D1378" i="1"/>
  <c r="C1378" i="1"/>
  <c r="H1377" i="1"/>
  <c r="F1377" i="1"/>
  <c r="D1377" i="1"/>
  <c r="C1377" i="1"/>
  <c r="H1376" i="1"/>
  <c r="F1376" i="1"/>
  <c r="D1376" i="1"/>
  <c r="C1376" i="1"/>
  <c r="H1375" i="1"/>
  <c r="F1375" i="1"/>
  <c r="D1375" i="1"/>
  <c r="C1375" i="1"/>
  <c r="H1374" i="1"/>
  <c r="F1374" i="1"/>
  <c r="D1374" i="1"/>
  <c r="C1374" i="1"/>
  <c r="H1373" i="1"/>
  <c r="F1373" i="1"/>
  <c r="D1373" i="1"/>
  <c r="C1373" i="1"/>
  <c r="H1372" i="1"/>
  <c r="F1372" i="1"/>
  <c r="D1372" i="1"/>
  <c r="C1372" i="1"/>
  <c r="H1371" i="1"/>
  <c r="F1371" i="1"/>
  <c r="D1371" i="1"/>
  <c r="C1371" i="1"/>
  <c r="H1370" i="1"/>
  <c r="F1370" i="1"/>
  <c r="D1370" i="1"/>
  <c r="C1370" i="1"/>
  <c r="H1369" i="1"/>
  <c r="F1369" i="1"/>
  <c r="D1369" i="1"/>
  <c r="C1369" i="1"/>
  <c r="H1368" i="1"/>
  <c r="F1368" i="1"/>
  <c r="D1368" i="1"/>
  <c r="C1368" i="1"/>
  <c r="H1367" i="1"/>
  <c r="F1367" i="1"/>
  <c r="D1367" i="1"/>
  <c r="C1367" i="1"/>
  <c r="H1366" i="1"/>
  <c r="F1366" i="1"/>
  <c r="D1366" i="1"/>
  <c r="C1366" i="1"/>
  <c r="H1365" i="1"/>
  <c r="F1365" i="1"/>
  <c r="D1365" i="1"/>
  <c r="C1365" i="1"/>
  <c r="H1364" i="1"/>
  <c r="F1364" i="1"/>
  <c r="D1364" i="1"/>
  <c r="C1364" i="1"/>
  <c r="H1363" i="1"/>
  <c r="F1363" i="1"/>
  <c r="D1363" i="1"/>
  <c r="C1363" i="1"/>
  <c r="H1362" i="1"/>
  <c r="F1362" i="1"/>
  <c r="D1362" i="1"/>
  <c r="C1362" i="1"/>
  <c r="H1361" i="1"/>
  <c r="F1361" i="1"/>
  <c r="D1361" i="1"/>
  <c r="C1361" i="1"/>
  <c r="H1360" i="1"/>
  <c r="F1360" i="1"/>
  <c r="D1360" i="1"/>
  <c r="C1360" i="1"/>
  <c r="H1359" i="1"/>
  <c r="F1359" i="1"/>
  <c r="D1359" i="1"/>
  <c r="C1359" i="1"/>
  <c r="H1358" i="1"/>
  <c r="F1358" i="1"/>
  <c r="D1358" i="1"/>
  <c r="C1358" i="1"/>
  <c r="H1357" i="1"/>
  <c r="F1357" i="1"/>
  <c r="D1357" i="1"/>
  <c r="C1357" i="1"/>
  <c r="H1356" i="1"/>
  <c r="F1356" i="1"/>
  <c r="D1356" i="1"/>
  <c r="C1356" i="1"/>
  <c r="H1355" i="1"/>
  <c r="F1355" i="1"/>
  <c r="D1355" i="1"/>
  <c r="C1355" i="1"/>
  <c r="H1354" i="1"/>
  <c r="F1354" i="1"/>
  <c r="D1354" i="1"/>
  <c r="C1354" i="1"/>
  <c r="H1353" i="1"/>
  <c r="F1353" i="1"/>
  <c r="D1353" i="1"/>
  <c r="C1353" i="1"/>
  <c r="H1352" i="1"/>
  <c r="F1352" i="1"/>
  <c r="D1352" i="1"/>
  <c r="C1352" i="1"/>
  <c r="H1351" i="1"/>
  <c r="F1351" i="1"/>
  <c r="D1351" i="1"/>
  <c r="C1351" i="1"/>
  <c r="H1350" i="1"/>
  <c r="F1350" i="1"/>
  <c r="D1350" i="1"/>
  <c r="C1350" i="1"/>
  <c r="H1349" i="1"/>
  <c r="F1349" i="1"/>
  <c r="D1349" i="1"/>
  <c r="C1349" i="1"/>
  <c r="H1348" i="1"/>
  <c r="F1348" i="1"/>
  <c r="D1348" i="1"/>
  <c r="C1348" i="1"/>
  <c r="H1347" i="1"/>
  <c r="F1347" i="1"/>
  <c r="D1347" i="1"/>
  <c r="C1347" i="1"/>
  <c r="H1346" i="1"/>
  <c r="F1346" i="1"/>
  <c r="D1346" i="1"/>
  <c r="C1346" i="1"/>
  <c r="H1345" i="1"/>
  <c r="F1345" i="1"/>
  <c r="D1345" i="1"/>
  <c r="C1345" i="1"/>
  <c r="H1344" i="1"/>
  <c r="F1344" i="1"/>
  <c r="D1344" i="1"/>
  <c r="C1344" i="1"/>
  <c r="H1343" i="1"/>
  <c r="F1343" i="1"/>
  <c r="D1343" i="1"/>
  <c r="C1343" i="1"/>
  <c r="H1342" i="1"/>
  <c r="F1342" i="1"/>
  <c r="D1342" i="1"/>
  <c r="C1342" i="1"/>
  <c r="H1341" i="1"/>
  <c r="F1341" i="1"/>
  <c r="D1341" i="1"/>
  <c r="C1341" i="1"/>
  <c r="H1340" i="1"/>
  <c r="F1340" i="1"/>
  <c r="D1340" i="1"/>
  <c r="C1340" i="1"/>
  <c r="H1339" i="1"/>
  <c r="F1339" i="1"/>
  <c r="D1339" i="1"/>
  <c r="C1339" i="1"/>
  <c r="H1338" i="1"/>
  <c r="F1338" i="1"/>
  <c r="D1338" i="1"/>
  <c r="C1338" i="1"/>
  <c r="H1337" i="1"/>
  <c r="F1337" i="1"/>
  <c r="D1337" i="1"/>
  <c r="C1337" i="1"/>
  <c r="H1336" i="1"/>
  <c r="F1336" i="1"/>
  <c r="D1336" i="1"/>
  <c r="C1336" i="1"/>
  <c r="H1335" i="1"/>
  <c r="F1335" i="1"/>
  <c r="D1335" i="1"/>
  <c r="C1335" i="1"/>
  <c r="H1334" i="1"/>
  <c r="F1334" i="1"/>
  <c r="D1334" i="1"/>
  <c r="C1334" i="1"/>
  <c r="H1333" i="1"/>
  <c r="F1333" i="1"/>
  <c r="D1333" i="1"/>
  <c r="C1333" i="1"/>
  <c r="H1332" i="1"/>
  <c r="F1332" i="1"/>
  <c r="D1332" i="1"/>
  <c r="C1332" i="1"/>
  <c r="H1331" i="1"/>
  <c r="F1331" i="1"/>
  <c r="D1331" i="1"/>
  <c r="C1331" i="1"/>
  <c r="H1330" i="1"/>
  <c r="F1330" i="1"/>
  <c r="D1330" i="1"/>
  <c r="C1330" i="1"/>
  <c r="H1329" i="1"/>
  <c r="F1329" i="1"/>
  <c r="D1329" i="1"/>
  <c r="C1329" i="1"/>
  <c r="H1328" i="1"/>
  <c r="F1328" i="1"/>
  <c r="D1328" i="1"/>
  <c r="C1328" i="1"/>
  <c r="H1327" i="1"/>
  <c r="F1327" i="1"/>
  <c r="D1327" i="1"/>
  <c r="C1327" i="1"/>
  <c r="H1326" i="1"/>
  <c r="F1326" i="1"/>
  <c r="D1326" i="1"/>
  <c r="C1326" i="1"/>
  <c r="H1325" i="1"/>
  <c r="F1325" i="1"/>
  <c r="D1325" i="1"/>
  <c r="C1325" i="1"/>
  <c r="H1324" i="1"/>
  <c r="F1324" i="1"/>
  <c r="D1324" i="1"/>
  <c r="C1324" i="1"/>
  <c r="H1323" i="1"/>
  <c r="F1323" i="1"/>
  <c r="D1323" i="1"/>
  <c r="C1323" i="1"/>
  <c r="H1322" i="1"/>
  <c r="F1322" i="1"/>
  <c r="D1322" i="1"/>
  <c r="C1322" i="1"/>
  <c r="H1321" i="1"/>
  <c r="F1321" i="1"/>
  <c r="D1321" i="1"/>
  <c r="C1321" i="1"/>
  <c r="H1320" i="1"/>
  <c r="F1320" i="1"/>
  <c r="D1320" i="1"/>
  <c r="C1320" i="1"/>
  <c r="H1319" i="1"/>
  <c r="F1319" i="1"/>
  <c r="D1319" i="1"/>
  <c r="C1319" i="1"/>
  <c r="H1318" i="1"/>
  <c r="F1318" i="1"/>
  <c r="D1318" i="1"/>
  <c r="C1318" i="1"/>
  <c r="H1317" i="1"/>
  <c r="F1317" i="1"/>
  <c r="D1317" i="1"/>
  <c r="C1317" i="1"/>
  <c r="H1316" i="1"/>
  <c r="F1316" i="1"/>
  <c r="D1316" i="1"/>
  <c r="C1316" i="1"/>
  <c r="H1315" i="1"/>
  <c r="F1315" i="1"/>
  <c r="D1315" i="1"/>
  <c r="C1315" i="1"/>
  <c r="H1314" i="1"/>
  <c r="F1314" i="1"/>
  <c r="D1314" i="1"/>
  <c r="C1314" i="1"/>
  <c r="H1313" i="1"/>
  <c r="F1313" i="1"/>
  <c r="D1313" i="1"/>
  <c r="C1313" i="1"/>
  <c r="H1312" i="1"/>
  <c r="F1312" i="1"/>
  <c r="D1312" i="1"/>
  <c r="C1312" i="1"/>
  <c r="H1311" i="1"/>
  <c r="F1311" i="1"/>
  <c r="D1311" i="1"/>
  <c r="C1311" i="1"/>
  <c r="H1310" i="1"/>
  <c r="F1310" i="1"/>
  <c r="D1310" i="1"/>
  <c r="C1310" i="1"/>
  <c r="H1309" i="1"/>
  <c r="F1309" i="1"/>
  <c r="D1309" i="1"/>
  <c r="C1309" i="1"/>
  <c r="H1308" i="1"/>
  <c r="F1308" i="1"/>
  <c r="D1308" i="1"/>
  <c r="C1308" i="1"/>
  <c r="H1307" i="1"/>
  <c r="F1307" i="1"/>
  <c r="D1307" i="1"/>
  <c r="C1307" i="1"/>
  <c r="H1306" i="1"/>
  <c r="F1306" i="1"/>
  <c r="D1306" i="1"/>
  <c r="C1306" i="1"/>
  <c r="H1305" i="1"/>
  <c r="F1305" i="1"/>
  <c r="D1305" i="1"/>
  <c r="C1305" i="1"/>
  <c r="H1304" i="1"/>
  <c r="F1304" i="1"/>
  <c r="D1304" i="1"/>
  <c r="C1304" i="1"/>
  <c r="H1303" i="1"/>
  <c r="F1303" i="1"/>
  <c r="D1303" i="1"/>
  <c r="C1303" i="1"/>
  <c r="H1302" i="1"/>
  <c r="F1302" i="1"/>
  <c r="D1302" i="1"/>
  <c r="C1302" i="1"/>
  <c r="H1301" i="1"/>
  <c r="F1301" i="1"/>
  <c r="D1301" i="1"/>
  <c r="C1301" i="1"/>
  <c r="H1300" i="1"/>
  <c r="F1300" i="1"/>
  <c r="D1300" i="1"/>
  <c r="C1300" i="1"/>
  <c r="H1299" i="1"/>
  <c r="F1299" i="1"/>
  <c r="D1299" i="1"/>
  <c r="C1299" i="1"/>
  <c r="H1298" i="1"/>
  <c r="F1298" i="1"/>
  <c r="D1298" i="1"/>
  <c r="C1298" i="1"/>
  <c r="H1297" i="1"/>
  <c r="F1297" i="1"/>
  <c r="D1297" i="1"/>
  <c r="C1297" i="1"/>
  <c r="H1296" i="1"/>
  <c r="F1296" i="1"/>
  <c r="D1296" i="1"/>
  <c r="C1296" i="1"/>
  <c r="H1295" i="1"/>
  <c r="F1295" i="1"/>
  <c r="D1295" i="1"/>
  <c r="C1295" i="1"/>
  <c r="H1294" i="1"/>
  <c r="F1294" i="1"/>
  <c r="D1294" i="1"/>
  <c r="C1294" i="1"/>
  <c r="H1293" i="1"/>
  <c r="F1293" i="1"/>
  <c r="D1293" i="1"/>
  <c r="C1293" i="1"/>
  <c r="H1292" i="1"/>
  <c r="F1292" i="1"/>
  <c r="D1292" i="1"/>
  <c r="C1292" i="1"/>
  <c r="H1291" i="1"/>
  <c r="F1291" i="1"/>
  <c r="D1291" i="1"/>
  <c r="C1291" i="1"/>
  <c r="H1290" i="1"/>
  <c r="F1290" i="1"/>
  <c r="D1290" i="1"/>
  <c r="C1290" i="1"/>
  <c r="H1289" i="1"/>
  <c r="F1289" i="1"/>
  <c r="D1289" i="1"/>
  <c r="C1289" i="1"/>
  <c r="H1288" i="1"/>
  <c r="F1288" i="1"/>
  <c r="D1288" i="1"/>
  <c r="C1288" i="1"/>
  <c r="H1287" i="1"/>
  <c r="F1287" i="1"/>
  <c r="D1287" i="1"/>
  <c r="C1287" i="1"/>
  <c r="H1286" i="1"/>
  <c r="F1286" i="1"/>
  <c r="D1286" i="1"/>
  <c r="C1286" i="1"/>
  <c r="H1285" i="1"/>
  <c r="F1285" i="1"/>
  <c r="D1285" i="1"/>
  <c r="C1285" i="1"/>
  <c r="H1284" i="1"/>
  <c r="F1284" i="1"/>
  <c r="D1284" i="1"/>
  <c r="C1284" i="1"/>
  <c r="H1283" i="1"/>
  <c r="F1283" i="1"/>
  <c r="D1283" i="1"/>
  <c r="C1283" i="1"/>
  <c r="H1282" i="1"/>
  <c r="F1282" i="1"/>
  <c r="D1282" i="1"/>
  <c r="C1282" i="1"/>
  <c r="H1281" i="1"/>
  <c r="F1281" i="1"/>
  <c r="D1281" i="1"/>
  <c r="C1281" i="1"/>
  <c r="H1280" i="1"/>
  <c r="F1280" i="1"/>
  <c r="D1280" i="1"/>
  <c r="C1280" i="1"/>
  <c r="H1279" i="1"/>
  <c r="F1279" i="1"/>
  <c r="D1279" i="1"/>
  <c r="C1279" i="1"/>
  <c r="H1278" i="1"/>
  <c r="F1278" i="1"/>
  <c r="D1278" i="1"/>
  <c r="C1278" i="1"/>
  <c r="H1277" i="1"/>
  <c r="F1277" i="1"/>
  <c r="D1277" i="1"/>
  <c r="C1277" i="1"/>
  <c r="H1276" i="1"/>
  <c r="F1276" i="1"/>
  <c r="D1276" i="1"/>
  <c r="C1276" i="1"/>
  <c r="H1275" i="1"/>
  <c r="F1275" i="1"/>
  <c r="D1275" i="1"/>
  <c r="C1275" i="1"/>
  <c r="H1274" i="1"/>
  <c r="F1274" i="1"/>
  <c r="D1274" i="1"/>
  <c r="C1274" i="1"/>
  <c r="H1273" i="1"/>
  <c r="F1273" i="1"/>
  <c r="D1273" i="1"/>
  <c r="C1273" i="1"/>
  <c r="H1272" i="1"/>
  <c r="F1272" i="1"/>
  <c r="D1272" i="1"/>
  <c r="C1272" i="1"/>
  <c r="H1271" i="1"/>
  <c r="F1271" i="1"/>
  <c r="D1271" i="1"/>
  <c r="C1271" i="1"/>
  <c r="H1270" i="1"/>
  <c r="F1270" i="1"/>
  <c r="D1270" i="1"/>
  <c r="C1270" i="1"/>
  <c r="H1269" i="1"/>
  <c r="F1269" i="1"/>
  <c r="D1269" i="1"/>
  <c r="C1269" i="1"/>
  <c r="H1268" i="1"/>
  <c r="F1268" i="1"/>
  <c r="D1268" i="1"/>
  <c r="C1268" i="1"/>
  <c r="H1267" i="1"/>
  <c r="F1267" i="1"/>
  <c r="D1267" i="1"/>
  <c r="C1267" i="1"/>
  <c r="H1266" i="1"/>
  <c r="F1266" i="1"/>
  <c r="D1266" i="1"/>
  <c r="C1266" i="1"/>
  <c r="H1265" i="1"/>
  <c r="F1265" i="1"/>
  <c r="D1265" i="1"/>
  <c r="C1265" i="1"/>
  <c r="H1264" i="1"/>
  <c r="F1264" i="1"/>
  <c r="D1264" i="1"/>
  <c r="C1264" i="1"/>
  <c r="H1263" i="1"/>
  <c r="F1263" i="1"/>
  <c r="D1263" i="1"/>
  <c r="C1263" i="1"/>
  <c r="H1262" i="1"/>
  <c r="F1262" i="1"/>
  <c r="D1262" i="1"/>
  <c r="C1262" i="1"/>
  <c r="H1261" i="1"/>
  <c r="F1261" i="1"/>
  <c r="D1261" i="1"/>
  <c r="C1261" i="1"/>
  <c r="H1260" i="1"/>
  <c r="F1260" i="1"/>
  <c r="D1260" i="1"/>
  <c r="C1260" i="1"/>
  <c r="H1259" i="1"/>
  <c r="F1259" i="1"/>
  <c r="D1259" i="1"/>
  <c r="C1259" i="1"/>
  <c r="H1258" i="1"/>
  <c r="F1258" i="1"/>
  <c r="D1258" i="1"/>
  <c r="C1258" i="1"/>
  <c r="H1257" i="1"/>
  <c r="F1257" i="1"/>
  <c r="D1257" i="1"/>
  <c r="C1257" i="1"/>
  <c r="H1256" i="1"/>
  <c r="F1256" i="1"/>
  <c r="D1256" i="1"/>
  <c r="C1256" i="1"/>
  <c r="H1255" i="1"/>
  <c r="F1255" i="1"/>
  <c r="D1255" i="1"/>
  <c r="C1255" i="1"/>
  <c r="H1254" i="1"/>
  <c r="F1254" i="1"/>
  <c r="D1254" i="1"/>
  <c r="C1254" i="1"/>
  <c r="H1253" i="1"/>
  <c r="F1253" i="1"/>
  <c r="D1253" i="1"/>
  <c r="C1253" i="1"/>
  <c r="H1252" i="1"/>
  <c r="F1252" i="1"/>
  <c r="D1252" i="1"/>
  <c r="C1252" i="1"/>
  <c r="H1251" i="1"/>
  <c r="F1251" i="1"/>
  <c r="D1251" i="1"/>
  <c r="C1251" i="1"/>
  <c r="H1250" i="1"/>
  <c r="F1250" i="1"/>
  <c r="D1250" i="1"/>
  <c r="C1250" i="1"/>
  <c r="H1249" i="1"/>
  <c r="F1249" i="1"/>
  <c r="D1249" i="1"/>
  <c r="C1249" i="1"/>
  <c r="H1248" i="1"/>
  <c r="F1248" i="1"/>
  <c r="D1248" i="1"/>
  <c r="C1248" i="1"/>
  <c r="H1247" i="1"/>
  <c r="F1247" i="1"/>
  <c r="D1247" i="1"/>
  <c r="C1247" i="1"/>
  <c r="H1246" i="1"/>
  <c r="F1246" i="1"/>
  <c r="D1246" i="1"/>
  <c r="C1246" i="1"/>
  <c r="H1245" i="1"/>
  <c r="F1245" i="1"/>
  <c r="D1245" i="1"/>
  <c r="C1245" i="1"/>
  <c r="H1244" i="1"/>
  <c r="F1244" i="1"/>
  <c r="D1244" i="1"/>
  <c r="C1244" i="1"/>
  <c r="H1243" i="1"/>
  <c r="F1243" i="1"/>
  <c r="D1243" i="1"/>
  <c r="C1243" i="1"/>
  <c r="H1242" i="1"/>
  <c r="F1242" i="1"/>
  <c r="D1242" i="1"/>
  <c r="C1242" i="1"/>
  <c r="H1241" i="1"/>
  <c r="F1241" i="1"/>
  <c r="D1241" i="1"/>
  <c r="C1241" i="1"/>
  <c r="H1240" i="1"/>
  <c r="F1240" i="1"/>
  <c r="D1240" i="1"/>
  <c r="C1240" i="1"/>
  <c r="H1239" i="1"/>
  <c r="F1239" i="1"/>
  <c r="D1239" i="1"/>
  <c r="C1239" i="1"/>
  <c r="H1238" i="1"/>
  <c r="F1238" i="1"/>
  <c r="D1238" i="1"/>
  <c r="C1238" i="1"/>
  <c r="H1237" i="1"/>
  <c r="F1237" i="1"/>
  <c r="D1237" i="1"/>
  <c r="C1237" i="1"/>
  <c r="H1236" i="1"/>
  <c r="F1236" i="1"/>
  <c r="D1236" i="1"/>
  <c r="C1236" i="1"/>
  <c r="H1235" i="1"/>
  <c r="F1235" i="1"/>
  <c r="D1235" i="1"/>
  <c r="C1235" i="1"/>
  <c r="H1234" i="1"/>
  <c r="F1234" i="1"/>
  <c r="D1234" i="1"/>
  <c r="C1234" i="1"/>
  <c r="H1233" i="1"/>
  <c r="F1233" i="1"/>
  <c r="D1233" i="1"/>
  <c r="C1233" i="1"/>
  <c r="H1232" i="1"/>
  <c r="F1232" i="1"/>
  <c r="D1232" i="1"/>
  <c r="C1232" i="1"/>
  <c r="H1231" i="1"/>
  <c r="F1231" i="1"/>
  <c r="D1231" i="1"/>
  <c r="C1231" i="1"/>
  <c r="H1230" i="1"/>
  <c r="F1230" i="1"/>
  <c r="D1230" i="1"/>
  <c r="C1230" i="1"/>
  <c r="H1229" i="1"/>
  <c r="F1229" i="1"/>
  <c r="D1229" i="1"/>
  <c r="C1229" i="1"/>
  <c r="H1228" i="1"/>
  <c r="F1228" i="1"/>
  <c r="D1228" i="1"/>
  <c r="C1228" i="1"/>
  <c r="H1227" i="1"/>
  <c r="F1227" i="1"/>
  <c r="D1227" i="1"/>
  <c r="C1227" i="1"/>
  <c r="H1226" i="1"/>
  <c r="F1226" i="1"/>
  <c r="D1226" i="1"/>
  <c r="C1226" i="1"/>
  <c r="H1225" i="1"/>
  <c r="F1225" i="1"/>
  <c r="D1225" i="1"/>
  <c r="C1225" i="1"/>
  <c r="H1224" i="1"/>
  <c r="F1224" i="1"/>
  <c r="D1224" i="1"/>
  <c r="C1224" i="1"/>
  <c r="H1223" i="1"/>
  <c r="F1223" i="1"/>
  <c r="D1223" i="1"/>
  <c r="C1223" i="1"/>
  <c r="H1222" i="1"/>
  <c r="F1222" i="1"/>
  <c r="D1222" i="1"/>
  <c r="C1222" i="1"/>
  <c r="H1221" i="1"/>
  <c r="F1221" i="1"/>
  <c r="D1221" i="1"/>
  <c r="C1221" i="1"/>
  <c r="H1220" i="1"/>
  <c r="F1220" i="1"/>
  <c r="D1220" i="1"/>
  <c r="C1220" i="1"/>
  <c r="H1219" i="1"/>
  <c r="F1219" i="1"/>
  <c r="D1219" i="1"/>
  <c r="C1219" i="1"/>
  <c r="H1218" i="1"/>
  <c r="F1218" i="1"/>
  <c r="D1218" i="1"/>
  <c r="C1218" i="1"/>
  <c r="H1217" i="1"/>
  <c r="F1217" i="1"/>
  <c r="D1217" i="1"/>
  <c r="C1217" i="1"/>
  <c r="H1216" i="1"/>
  <c r="F1216" i="1"/>
  <c r="D1216" i="1"/>
  <c r="C1216" i="1"/>
  <c r="H1215" i="1"/>
  <c r="F1215" i="1"/>
  <c r="D1215" i="1"/>
  <c r="C1215" i="1"/>
  <c r="H1214" i="1"/>
  <c r="F1214" i="1"/>
  <c r="D1214" i="1"/>
  <c r="C1214" i="1"/>
  <c r="H1213" i="1"/>
  <c r="F1213" i="1"/>
  <c r="D1213" i="1"/>
  <c r="C1213" i="1"/>
  <c r="H1212" i="1"/>
  <c r="F1212" i="1"/>
  <c r="D1212" i="1"/>
  <c r="C1212" i="1"/>
  <c r="H1211" i="1"/>
  <c r="F1211" i="1"/>
  <c r="D1211" i="1"/>
  <c r="C1211" i="1"/>
  <c r="H1210" i="1"/>
  <c r="F1210" i="1"/>
  <c r="D1210" i="1"/>
  <c r="C1210" i="1"/>
  <c r="H1209" i="1"/>
  <c r="F1209" i="1"/>
  <c r="D1209" i="1"/>
  <c r="C1209" i="1"/>
  <c r="H1208" i="1"/>
  <c r="F1208" i="1"/>
  <c r="D1208" i="1"/>
  <c r="C1208" i="1"/>
  <c r="H1207" i="1"/>
  <c r="F1207" i="1"/>
  <c r="D1207" i="1"/>
  <c r="C1207" i="1"/>
  <c r="H1206" i="1"/>
  <c r="F1206" i="1"/>
  <c r="D1206" i="1"/>
  <c r="C1206" i="1"/>
  <c r="H1205" i="1"/>
  <c r="F1205" i="1"/>
  <c r="D1205" i="1"/>
  <c r="C1205" i="1"/>
  <c r="H1204" i="1"/>
  <c r="F1204" i="1"/>
  <c r="D1204" i="1"/>
  <c r="C1204" i="1"/>
  <c r="H1203" i="1"/>
  <c r="F1203" i="1"/>
  <c r="D1203" i="1"/>
  <c r="C1203" i="1"/>
  <c r="H1202" i="1"/>
  <c r="F1202" i="1"/>
  <c r="D1202" i="1"/>
  <c r="C1202" i="1"/>
  <c r="H1201" i="1"/>
  <c r="F1201" i="1"/>
  <c r="D1201" i="1"/>
  <c r="C1201" i="1"/>
  <c r="H1200" i="1"/>
  <c r="F1200" i="1"/>
  <c r="D1200" i="1"/>
  <c r="C1200" i="1"/>
  <c r="H1199" i="1"/>
  <c r="F1199" i="1"/>
  <c r="D1199" i="1"/>
  <c r="C1199" i="1"/>
  <c r="H1198" i="1"/>
  <c r="F1198" i="1"/>
  <c r="D1198" i="1"/>
  <c r="C1198" i="1"/>
  <c r="H1197" i="1"/>
  <c r="F1197" i="1"/>
  <c r="D1197" i="1"/>
  <c r="C1197" i="1"/>
  <c r="H1196" i="1"/>
  <c r="F1196" i="1"/>
  <c r="D1196" i="1"/>
  <c r="C1196" i="1"/>
  <c r="H1195" i="1"/>
  <c r="F1195" i="1"/>
  <c r="D1195" i="1"/>
  <c r="C1195" i="1"/>
  <c r="H1194" i="1"/>
  <c r="F1194" i="1"/>
  <c r="D1194" i="1"/>
  <c r="C1194" i="1"/>
  <c r="H1193" i="1"/>
  <c r="F1193" i="1"/>
  <c r="D1193" i="1"/>
  <c r="C1193" i="1"/>
  <c r="H1192" i="1"/>
  <c r="F1192" i="1"/>
  <c r="D1192" i="1"/>
  <c r="C1192" i="1"/>
  <c r="H1191" i="1"/>
  <c r="F1191" i="1"/>
  <c r="D1191" i="1"/>
  <c r="C1191" i="1"/>
  <c r="H1190" i="1"/>
  <c r="F1190" i="1"/>
  <c r="D1190" i="1"/>
  <c r="C1190" i="1"/>
  <c r="H1189" i="1"/>
  <c r="F1189" i="1"/>
  <c r="D1189" i="1"/>
  <c r="C1189" i="1"/>
  <c r="H1188" i="1"/>
  <c r="F1188" i="1"/>
  <c r="D1188" i="1"/>
  <c r="C1188" i="1"/>
  <c r="H1187" i="1"/>
  <c r="F1187" i="1"/>
  <c r="D1187" i="1"/>
  <c r="C1187" i="1"/>
  <c r="H1186" i="1"/>
  <c r="F1186" i="1"/>
  <c r="D1186" i="1"/>
  <c r="C1186" i="1"/>
  <c r="H1185" i="1"/>
  <c r="F1185" i="1"/>
  <c r="D1185" i="1"/>
  <c r="C1185" i="1"/>
  <c r="H1184" i="1"/>
  <c r="F1184" i="1"/>
  <c r="D1184" i="1"/>
  <c r="C1184" i="1"/>
  <c r="H1183" i="1"/>
  <c r="F1183" i="1"/>
  <c r="D1183" i="1"/>
  <c r="C1183" i="1"/>
  <c r="H1182" i="1"/>
  <c r="F1182" i="1"/>
  <c r="D1182" i="1"/>
  <c r="C1182" i="1"/>
  <c r="H1181" i="1"/>
  <c r="F1181" i="1"/>
  <c r="D1181" i="1"/>
  <c r="C1181" i="1"/>
  <c r="H1180" i="1"/>
  <c r="F1180" i="1"/>
  <c r="D1180" i="1"/>
  <c r="C1180" i="1"/>
  <c r="H1179" i="1"/>
  <c r="F1179" i="1"/>
  <c r="D1179" i="1"/>
  <c r="C1179" i="1"/>
  <c r="H1178" i="1"/>
  <c r="F1178" i="1"/>
  <c r="D1178" i="1"/>
  <c r="C1178" i="1"/>
  <c r="H1177" i="1"/>
  <c r="F1177" i="1"/>
  <c r="D1177" i="1"/>
  <c r="C1177" i="1"/>
  <c r="H1176" i="1"/>
  <c r="F1176" i="1"/>
  <c r="D1176" i="1"/>
  <c r="C1176" i="1"/>
  <c r="H1175" i="1"/>
  <c r="F1175" i="1"/>
  <c r="D1175" i="1"/>
  <c r="C1175" i="1"/>
  <c r="H1174" i="1"/>
  <c r="F1174" i="1"/>
  <c r="D1174" i="1"/>
  <c r="C1174" i="1"/>
  <c r="H1173" i="1"/>
  <c r="F1173" i="1"/>
  <c r="D1173" i="1"/>
  <c r="C1173" i="1"/>
  <c r="H1172" i="1"/>
  <c r="F1172" i="1"/>
  <c r="D1172" i="1"/>
  <c r="C1172" i="1"/>
  <c r="H1171" i="1"/>
  <c r="F1171" i="1"/>
  <c r="D1171" i="1"/>
  <c r="C1171" i="1"/>
  <c r="H1170" i="1"/>
  <c r="F1170" i="1"/>
  <c r="D1170" i="1"/>
  <c r="C1170" i="1"/>
  <c r="H1169" i="1"/>
  <c r="F1169" i="1"/>
  <c r="D1169" i="1"/>
  <c r="C1169" i="1"/>
  <c r="H1168" i="1"/>
  <c r="F1168" i="1"/>
  <c r="D1168" i="1"/>
  <c r="C1168" i="1"/>
  <c r="H1167" i="1"/>
  <c r="F1167" i="1"/>
  <c r="D1167" i="1"/>
  <c r="C1167" i="1"/>
  <c r="H1166" i="1"/>
  <c r="F1166" i="1"/>
  <c r="D1166" i="1"/>
  <c r="C1166" i="1"/>
  <c r="H1165" i="1"/>
  <c r="F1165" i="1"/>
  <c r="D1165" i="1"/>
  <c r="C1165" i="1"/>
  <c r="H1164" i="1"/>
  <c r="F1164" i="1"/>
  <c r="D1164" i="1"/>
  <c r="C1164" i="1"/>
  <c r="H1163" i="1"/>
  <c r="F1163" i="1"/>
  <c r="D1163" i="1"/>
  <c r="C1163" i="1"/>
  <c r="H1162" i="1"/>
  <c r="F1162" i="1"/>
  <c r="D1162" i="1"/>
  <c r="C1162" i="1"/>
  <c r="H1161" i="1"/>
  <c r="F1161" i="1"/>
  <c r="D1161" i="1"/>
  <c r="C1161" i="1"/>
  <c r="H1160" i="1"/>
  <c r="F1160" i="1"/>
  <c r="D1160" i="1"/>
  <c r="C1160" i="1"/>
  <c r="H1159" i="1"/>
  <c r="F1159" i="1"/>
  <c r="D1159" i="1"/>
  <c r="C1159" i="1"/>
  <c r="H1158" i="1"/>
  <c r="F1158" i="1"/>
  <c r="D1158" i="1"/>
  <c r="C1158" i="1"/>
  <c r="H1157" i="1"/>
  <c r="F1157" i="1"/>
  <c r="D1157" i="1"/>
  <c r="C1157" i="1"/>
  <c r="H1156" i="1"/>
  <c r="F1156" i="1"/>
  <c r="D1156" i="1"/>
  <c r="C1156" i="1"/>
  <c r="H1155" i="1"/>
  <c r="F1155" i="1"/>
  <c r="D1155" i="1"/>
  <c r="C1155" i="1"/>
  <c r="H1154" i="1"/>
  <c r="F1154" i="1"/>
  <c r="D1154" i="1"/>
  <c r="C1154" i="1"/>
  <c r="H1153" i="1"/>
  <c r="F1153" i="1"/>
  <c r="D1153" i="1"/>
  <c r="C1153" i="1"/>
  <c r="H1152" i="1"/>
  <c r="F1152" i="1"/>
  <c r="D1152" i="1"/>
  <c r="C1152" i="1"/>
  <c r="H1151" i="1"/>
  <c r="F1151" i="1"/>
  <c r="D1151" i="1"/>
  <c r="C1151" i="1"/>
  <c r="H1150" i="1"/>
  <c r="F1150" i="1"/>
  <c r="D1150" i="1"/>
  <c r="C1150" i="1"/>
  <c r="H1149" i="1"/>
  <c r="F1149" i="1"/>
  <c r="D1149" i="1"/>
  <c r="C1149" i="1"/>
  <c r="H1148" i="1"/>
  <c r="F1148" i="1"/>
  <c r="D1148" i="1"/>
  <c r="C1148" i="1"/>
  <c r="H1147" i="1"/>
  <c r="F1147" i="1"/>
  <c r="D1147" i="1"/>
  <c r="C1147" i="1"/>
  <c r="H1146" i="1"/>
  <c r="F1146" i="1"/>
  <c r="D1146" i="1"/>
  <c r="C1146" i="1"/>
  <c r="H1145" i="1"/>
  <c r="F1145" i="1"/>
  <c r="D1145" i="1"/>
  <c r="C1145" i="1"/>
  <c r="H1144" i="1"/>
  <c r="F1144" i="1"/>
  <c r="D1144" i="1"/>
  <c r="C1144" i="1"/>
  <c r="H1143" i="1"/>
  <c r="F1143" i="1"/>
  <c r="D1143" i="1"/>
  <c r="C1143" i="1"/>
  <c r="H1142" i="1"/>
  <c r="F1142" i="1"/>
  <c r="D1142" i="1"/>
  <c r="C1142" i="1"/>
  <c r="H1141" i="1"/>
  <c r="F1141" i="1"/>
  <c r="D1141" i="1"/>
  <c r="C1141" i="1"/>
  <c r="H1140" i="1"/>
  <c r="F1140" i="1"/>
  <c r="D1140" i="1"/>
  <c r="C1140" i="1"/>
  <c r="H1139" i="1"/>
  <c r="F1139" i="1"/>
  <c r="D1139" i="1"/>
  <c r="C1139" i="1"/>
  <c r="H1138" i="1"/>
  <c r="F1138" i="1"/>
  <c r="D1138" i="1"/>
  <c r="C1138" i="1"/>
  <c r="H1137" i="1"/>
  <c r="F1137" i="1"/>
  <c r="D1137" i="1"/>
  <c r="C1137" i="1"/>
  <c r="H1136" i="1"/>
  <c r="F1136" i="1"/>
  <c r="D1136" i="1"/>
  <c r="C1136" i="1"/>
  <c r="H1135" i="1"/>
  <c r="F1135" i="1"/>
  <c r="D1135" i="1"/>
  <c r="C1135" i="1"/>
  <c r="H1134" i="1"/>
  <c r="F1134" i="1"/>
  <c r="D1134" i="1"/>
  <c r="C1134" i="1"/>
  <c r="H1133" i="1"/>
  <c r="F1133" i="1"/>
  <c r="D1133" i="1"/>
  <c r="C1133" i="1"/>
  <c r="H1132" i="1"/>
  <c r="F1132" i="1"/>
  <c r="D1132" i="1"/>
  <c r="C1132" i="1"/>
  <c r="H1131" i="1"/>
  <c r="F1131" i="1"/>
  <c r="D1131" i="1"/>
  <c r="C1131" i="1"/>
  <c r="H1130" i="1"/>
  <c r="F1130" i="1"/>
  <c r="D1130" i="1"/>
  <c r="C1130" i="1"/>
  <c r="H1129" i="1"/>
  <c r="F1129" i="1"/>
  <c r="D1129" i="1"/>
  <c r="C1129" i="1"/>
  <c r="H1128" i="1"/>
  <c r="F1128" i="1"/>
  <c r="D1128" i="1"/>
  <c r="C1128" i="1"/>
  <c r="H1127" i="1"/>
  <c r="F1127" i="1"/>
  <c r="D1127" i="1"/>
  <c r="C1127" i="1"/>
  <c r="H1126" i="1"/>
  <c r="F1126" i="1"/>
  <c r="D1126" i="1"/>
  <c r="C1126" i="1"/>
  <c r="H1125" i="1"/>
  <c r="F1125" i="1"/>
  <c r="D1125" i="1"/>
  <c r="C1125" i="1"/>
  <c r="H1124" i="1"/>
  <c r="F1124" i="1"/>
  <c r="D1124" i="1"/>
  <c r="C1124" i="1"/>
  <c r="H1123" i="1"/>
  <c r="F1123" i="1"/>
  <c r="D1123" i="1"/>
  <c r="C1123" i="1"/>
  <c r="H1122" i="1"/>
  <c r="F1122" i="1"/>
  <c r="D1122" i="1"/>
  <c r="C1122" i="1"/>
  <c r="H1121" i="1"/>
  <c r="F1121" i="1"/>
  <c r="D1121" i="1"/>
  <c r="C1121" i="1"/>
  <c r="H1120" i="1"/>
  <c r="F1120" i="1"/>
  <c r="D1120" i="1"/>
  <c r="C1120" i="1"/>
  <c r="H1119" i="1"/>
  <c r="F1119" i="1"/>
  <c r="D1119" i="1"/>
  <c r="C1119" i="1"/>
  <c r="H1118" i="1"/>
  <c r="F1118" i="1"/>
  <c r="D1118" i="1"/>
  <c r="C1118" i="1"/>
  <c r="H1117" i="1"/>
  <c r="F1117" i="1"/>
  <c r="D1117" i="1"/>
  <c r="C1117" i="1"/>
  <c r="H1116" i="1"/>
  <c r="F1116" i="1"/>
  <c r="D1116" i="1"/>
  <c r="C1116" i="1"/>
  <c r="H1115" i="1"/>
  <c r="F1115" i="1"/>
  <c r="D1115" i="1"/>
  <c r="C1115" i="1"/>
  <c r="H1114" i="1"/>
  <c r="F1114" i="1"/>
  <c r="D1114" i="1"/>
  <c r="C1114" i="1"/>
  <c r="H1113" i="1"/>
  <c r="F1113" i="1"/>
  <c r="D1113" i="1"/>
  <c r="C1113" i="1"/>
  <c r="H1112" i="1"/>
  <c r="F1112" i="1"/>
  <c r="D1112" i="1"/>
  <c r="C1112" i="1"/>
  <c r="H1111" i="1"/>
  <c r="F1111" i="1"/>
  <c r="D1111" i="1"/>
  <c r="C1111" i="1"/>
  <c r="H1110" i="1"/>
  <c r="F1110" i="1"/>
  <c r="D1110" i="1"/>
  <c r="C1110" i="1"/>
  <c r="H1109" i="1"/>
  <c r="F1109" i="1"/>
  <c r="D1109" i="1"/>
  <c r="C1109" i="1"/>
  <c r="H1108" i="1"/>
  <c r="F1108" i="1"/>
  <c r="D1108" i="1"/>
  <c r="C1108" i="1"/>
  <c r="H1107" i="1"/>
  <c r="F1107" i="1"/>
  <c r="D1107" i="1"/>
  <c r="C1107" i="1"/>
  <c r="H1106" i="1"/>
  <c r="F1106" i="1"/>
  <c r="D1106" i="1"/>
  <c r="C1106" i="1"/>
  <c r="H1105" i="1"/>
  <c r="F1105" i="1"/>
  <c r="D1105" i="1"/>
  <c r="C1105" i="1"/>
  <c r="H1104" i="1"/>
  <c r="F1104" i="1"/>
  <c r="D1104" i="1"/>
  <c r="C1104" i="1"/>
  <c r="H1103" i="1"/>
  <c r="F1103" i="1"/>
  <c r="D1103" i="1"/>
  <c r="C1103" i="1"/>
  <c r="H1102" i="1"/>
  <c r="F1102" i="1"/>
  <c r="D1102" i="1"/>
  <c r="C1102" i="1"/>
  <c r="H1101" i="1"/>
  <c r="F1101" i="1"/>
  <c r="D1101" i="1"/>
  <c r="C1101" i="1"/>
  <c r="H1100" i="1"/>
  <c r="F1100" i="1"/>
  <c r="D1100" i="1"/>
  <c r="C1100" i="1"/>
  <c r="H1099" i="1"/>
  <c r="F1099" i="1"/>
  <c r="D1099" i="1"/>
  <c r="C1099" i="1"/>
  <c r="H1098" i="1"/>
  <c r="F1098" i="1"/>
  <c r="D1098" i="1"/>
  <c r="C1098" i="1"/>
  <c r="H1097" i="1"/>
  <c r="F1097" i="1"/>
  <c r="D1097" i="1"/>
  <c r="C1097" i="1"/>
  <c r="H1096" i="1"/>
  <c r="F1096" i="1"/>
  <c r="D1096" i="1"/>
  <c r="C1096" i="1"/>
  <c r="H1095" i="1"/>
  <c r="F1095" i="1"/>
  <c r="D1095" i="1"/>
  <c r="C1095" i="1"/>
  <c r="H1094" i="1"/>
  <c r="F1094" i="1"/>
  <c r="D1094" i="1"/>
  <c r="C1094" i="1"/>
  <c r="H1093" i="1"/>
  <c r="F1093" i="1"/>
  <c r="D1093" i="1"/>
  <c r="C1093" i="1"/>
  <c r="H1092" i="1"/>
  <c r="F1092" i="1"/>
  <c r="D1092" i="1"/>
  <c r="C1092" i="1"/>
  <c r="H1091" i="1"/>
  <c r="F1091" i="1"/>
  <c r="D1091" i="1"/>
  <c r="C1091" i="1"/>
  <c r="H1090" i="1"/>
  <c r="F1090" i="1"/>
  <c r="D1090" i="1"/>
  <c r="C1090" i="1"/>
  <c r="H1089" i="1"/>
  <c r="F1089" i="1"/>
  <c r="D1089" i="1"/>
  <c r="C1089" i="1"/>
  <c r="H1088" i="1"/>
  <c r="F1088" i="1"/>
  <c r="D1088" i="1"/>
  <c r="C1088" i="1"/>
  <c r="H1087" i="1"/>
  <c r="F1087" i="1"/>
  <c r="D1087" i="1"/>
  <c r="C1087" i="1"/>
  <c r="H1086" i="1"/>
  <c r="F1086" i="1"/>
  <c r="D1086" i="1"/>
  <c r="C1086" i="1"/>
  <c r="H1085" i="1"/>
  <c r="F1085" i="1"/>
  <c r="D1085" i="1"/>
  <c r="C1085" i="1"/>
  <c r="H1084" i="1"/>
  <c r="F1084" i="1"/>
  <c r="D1084" i="1"/>
  <c r="C1084" i="1"/>
  <c r="H1083" i="1"/>
  <c r="F1083" i="1"/>
  <c r="D1083" i="1"/>
  <c r="C1083" i="1"/>
  <c r="H1082" i="1"/>
  <c r="F1082" i="1"/>
  <c r="D1082" i="1"/>
  <c r="C1082" i="1"/>
  <c r="H1081" i="1"/>
  <c r="F1081" i="1"/>
  <c r="D1081" i="1"/>
  <c r="C1081" i="1"/>
  <c r="H1080" i="1"/>
  <c r="F1080" i="1"/>
  <c r="D1080" i="1"/>
  <c r="C1080" i="1"/>
  <c r="H1079" i="1"/>
  <c r="F1079" i="1"/>
  <c r="D1079" i="1"/>
  <c r="C1079" i="1"/>
  <c r="H1078" i="1"/>
  <c r="F1078" i="1"/>
  <c r="D1078" i="1"/>
  <c r="C1078" i="1"/>
  <c r="H1077" i="1"/>
  <c r="F1077" i="1"/>
  <c r="D1077" i="1"/>
  <c r="C1077" i="1"/>
  <c r="H1076" i="1"/>
  <c r="F1076" i="1"/>
  <c r="D1076" i="1"/>
  <c r="C1076" i="1"/>
  <c r="H1075" i="1"/>
  <c r="F1075" i="1"/>
  <c r="D1075" i="1"/>
  <c r="C1075" i="1"/>
  <c r="H1074" i="1"/>
  <c r="F1074" i="1"/>
  <c r="D1074" i="1"/>
  <c r="C1074" i="1"/>
  <c r="H1073" i="1"/>
  <c r="F1073" i="1"/>
  <c r="D1073" i="1"/>
  <c r="C1073" i="1"/>
  <c r="H1072" i="1"/>
  <c r="F1072" i="1"/>
  <c r="D1072" i="1"/>
  <c r="C1072" i="1"/>
  <c r="H1071" i="1"/>
  <c r="F1071" i="1"/>
  <c r="D1071" i="1"/>
  <c r="C1071" i="1"/>
  <c r="H1070" i="1"/>
  <c r="F1070" i="1"/>
  <c r="D1070" i="1"/>
  <c r="C1070" i="1"/>
  <c r="H1069" i="1"/>
  <c r="F1069" i="1"/>
  <c r="D1069" i="1"/>
  <c r="C1069" i="1"/>
  <c r="H1068" i="1"/>
  <c r="F1068" i="1"/>
  <c r="D1068" i="1"/>
  <c r="C1068" i="1"/>
  <c r="H1067" i="1"/>
  <c r="F1067" i="1"/>
  <c r="D1067" i="1"/>
  <c r="C1067" i="1"/>
  <c r="H1066" i="1"/>
  <c r="F1066" i="1"/>
  <c r="D1066" i="1"/>
  <c r="C1066" i="1"/>
  <c r="H1065" i="1"/>
  <c r="F1065" i="1"/>
  <c r="D1065" i="1"/>
  <c r="C1065" i="1"/>
  <c r="H1064" i="1"/>
  <c r="F1064" i="1"/>
  <c r="D1064" i="1"/>
  <c r="C1064" i="1"/>
  <c r="H1063" i="1"/>
  <c r="F1063" i="1"/>
  <c r="D1063" i="1"/>
  <c r="C1063" i="1"/>
  <c r="H1062" i="1"/>
  <c r="F1062" i="1"/>
  <c r="D1062" i="1"/>
  <c r="C1062" i="1"/>
  <c r="H1061" i="1"/>
  <c r="F1061" i="1"/>
  <c r="D1061" i="1"/>
  <c r="C1061" i="1"/>
  <c r="H1060" i="1"/>
  <c r="F1060" i="1"/>
  <c r="D1060" i="1"/>
  <c r="C1060" i="1"/>
  <c r="H1059" i="1"/>
  <c r="F1059" i="1"/>
  <c r="D1059" i="1"/>
  <c r="C1059" i="1"/>
  <c r="H1058" i="1"/>
  <c r="F1058" i="1"/>
  <c r="D1058" i="1"/>
  <c r="C1058" i="1"/>
  <c r="H1057" i="1"/>
  <c r="F1057" i="1"/>
  <c r="D1057" i="1"/>
  <c r="C1057" i="1"/>
  <c r="H1056" i="1"/>
  <c r="F1056" i="1"/>
  <c r="D1056" i="1"/>
  <c r="C1056" i="1"/>
  <c r="H1055" i="1"/>
  <c r="F1055" i="1"/>
  <c r="D1055" i="1"/>
  <c r="C1055" i="1"/>
  <c r="H1054" i="1"/>
  <c r="F1054" i="1"/>
  <c r="D1054" i="1"/>
  <c r="C1054" i="1"/>
  <c r="H1053" i="1"/>
  <c r="F1053" i="1"/>
  <c r="D1053" i="1"/>
  <c r="C1053" i="1"/>
  <c r="H1052" i="1"/>
  <c r="F1052" i="1"/>
  <c r="D1052" i="1"/>
  <c r="C1052" i="1"/>
  <c r="H1051" i="1"/>
  <c r="F1051" i="1"/>
  <c r="D1051" i="1"/>
  <c r="C1051" i="1"/>
  <c r="H1050" i="1"/>
  <c r="F1050" i="1"/>
  <c r="D1050" i="1"/>
  <c r="C1050" i="1"/>
  <c r="H1049" i="1"/>
  <c r="F1049" i="1"/>
  <c r="D1049" i="1"/>
  <c r="C1049" i="1"/>
  <c r="H1048" i="1"/>
  <c r="F1048" i="1"/>
  <c r="D1048" i="1"/>
  <c r="C1048" i="1"/>
  <c r="H1047" i="1"/>
  <c r="F1047" i="1"/>
  <c r="D1047" i="1"/>
  <c r="C1047" i="1"/>
  <c r="H1046" i="1"/>
  <c r="F1046" i="1"/>
  <c r="D1046" i="1"/>
  <c r="C1046" i="1"/>
  <c r="H1045" i="1"/>
  <c r="F1045" i="1"/>
  <c r="D1045" i="1"/>
  <c r="C1045" i="1"/>
  <c r="H1044" i="1"/>
  <c r="F1044" i="1"/>
  <c r="D1044" i="1"/>
  <c r="C1044" i="1"/>
  <c r="H1043" i="1"/>
  <c r="F1043" i="1"/>
  <c r="D1043" i="1"/>
  <c r="C1043" i="1"/>
  <c r="H1042" i="1"/>
  <c r="F1042" i="1"/>
  <c r="D1042" i="1"/>
  <c r="C1042" i="1"/>
  <c r="H1041" i="1"/>
  <c r="F1041" i="1"/>
  <c r="D1041" i="1"/>
  <c r="C1041" i="1"/>
  <c r="H1040" i="1"/>
  <c r="F1040" i="1"/>
  <c r="D1040" i="1"/>
  <c r="C1040" i="1"/>
  <c r="H1039" i="1"/>
  <c r="F1039" i="1"/>
  <c r="D1039" i="1"/>
  <c r="C1039" i="1"/>
  <c r="H1038" i="1"/>
  <c r="F1038" i="1"/>
  <c r="D1038" i="1"/>
  <c r="C1038" i="1"/>
  <c r="H1037" i="1"/>
  <c r="F1037" i="1"/>
  <c r="D1037" i="1"/>
  <c r="C1037" i="1"/>
  <c r="H1036" i="1"/>
  <c r="F1036" i="1"/>
  <c r="D1036" i="1"/>
  <c r="C1036" i="1"/>
  <c r="H1035" i="1"/>
  <c r="F1035" i="1"/>
  <c r="D1035" i="1"/>
  <c r="C1035" i="1"/>
  <c r="H1034" i="1"/>
  <c r="F1034" i="1"/>
  <c r="D1034" i="1"/>
  <c r="C1034" i="1"/>
  <c r="H1033" i="1"/>
  <c r="F1033" i="1"/>
  <c r="D1033" i="1"/>
  <c r="C1033" i="1"/>
  <c r="H1032" i="1"/>
  <c r="F1032" i="1"/>
  <c r="D1032" i="1"/>
  <c r="C1032" i="1"/>
  <c r="H1031" i="1"/>
  <c r="F1031" i="1"/>
  <c r="D1031" i="1"/>
  <c r="C1031" i="1"/>
  <c r="H1030" i="1"/>
  <c r="F1030" i="1"/>
  <c r="D1030" i="1"/>
  <c r="C1030" i="1"/>
  <c r="H1029" i="1"/>
  <c r="F1029" i="1"/>
  <c r="D1029" i="1"/>
  <c r="C1029" i="1"/>
  <c r="H1028" i="1"/>
  <c r="F1028" i="1"/>
  <c r="D1028" i="1"/>
  <c r="C1028" i="1"/>
  <c r="H1027" i="1"/>
  <c r="F1027" i="1"/>
  <c r="D1027" i="1"/>
  <c r="C1027" i="1"/>
  <c r="H1026" i="1"/>
  <c r="F1026" i="1"/>
  <c r="D1026" i="1"/>
  <c r="C1026" i="1"/>
  <c r="H1025" i="1"/>
  <c r="F1025" i="1"/>
  <c r="D1025" i="1"/>
  <c r="C1025" i="1"/>
  <c r="H1024" i="1"/>
  <c r="F1024" i="1"/>
  <c r="D1024" i="1"/>
  <c r="C1024" i="1"/>
  <c r="H1023" i="1"/>
  <c r="F1023" i="1"/>
  <c r="D1023" i="1"/>
  <c r="C1023" i="1"/>
  <c r="H1022" i="1"/>
  <c r="F1022" i="1"/>
  <c r="D1022" i="1"/>
  <c r="C1022" i="1"/>
  <c r="H1021" i="1"/>
  <c r="F1021" i="1"/>
  <c r="D1021" i="1"/>
  <c r="C1021" i="1"/>
  <c r="H1020" i="1"/>
  <c r="F1020" i="1"/>
  <c r="D1020" i="1"/>
  <c r="C1020" i="1"/>
  <c r="H1019" i="1"/>
  <c r="F1019" i="1"/>
  <c r="D1019" i="1"/>
  <c r="C1019" i="1"/>
  <c r="H1018" i="1"/>
  <c r="F1018" i="1"/>
  <c r="D1018" i="1"/>
  <c r="C1018" i="1"/>
  <c r="H1017" i="1"/>
  <c r="F1017" i="1"/>
  <c r="D1017" i="1"/>
  <c r="C1017" i="1"/>
  <c r="H1016" i="1"/>
  <c r="F1016" i="1"/>
  <c r="D1016" i="1"/>
  <c r="C1016" i="1"/>
  <c r="H1015" i="1"/>
  <c r="F1015" i="1"/>
  <c r="D1015" i="1"/>
  <c r="C1015" i="1"/>
  <c r="H1014" i="1"/>
  <c r="F1014" i="1"/>
  <c r="D1014" i="1"/>
  <c r="C1014" i="1"/>
  <c r="H1013" i="1"/>
  <c r="F1013" i="1"/>
  <c r="D1013" i="1"/>
  <c r="C1013" i="1"/>
  <c r="H1012" i="1"/>
  <c r="F1012" i="1"/>
  <c r="D1012" i="1"/>
  <c r="C1012" i="1"/>
  <c r="H1011" i="1"/>
  <c r="F1011" i="1"/>
  <c r="D1011" i="1"/>
  <c r="C1011" i="1"/>
  <c r="H1010" i="1"/>
  <c r="F1010" i="1"/>
  <c r="D1010" i="1"/>
  <c r="C1010" i="1"/>
  <c r="H1009" i="1"/>
  <c r="F1009" i="1"/>
  <c r="D1009" i="1"/>
  <c r="C1009" i="1"/>
  <c r="H1008" i="1"/>
  <c r="F1008" i="1"/>
  <c r="D1008" i="1"/>
  <c r="C1008" i="1"/>
  <c r="H1007" i="1"/>
  <c r="F1007" i="1"/>
  <c r="D1007" i="1"/>
  <c r="C1007" i="1"/>
  <c r="H1006" i="1"/>
  <c r="F1006" i="1"/>
  <c r="D1006" i="1"/>
  <c r="C1006" i="1"/>
  <c r="H1005" i="1"/>
  <c r="F1005" i="1"/>
  <c r="D1005" i="1"/>
  <c r="C1005" i="1"/>
  <c r="H1004" i="1"/>
  <c r="F1004" i="1"/>
  <c r="D1004" i="1"/>
  <c r="C1004" i="1"/>
  <c r="H1003" i="1"/>
  <c r="F1003" i="1"/>
  <c r="D1003" i="1"/>
  <c r="C1003" i="1"/>
  <c r="H1002" i="1"/>
  <c r="F1002" i="1"/>
  <c r="D1002" i="1"/>
  <c r="C1002" i="1"/>
  <c r="H1001" i="1"/>
  <c r="F1001" i="1"/>
  <c r="D1001" i="1"/>
  <c r="C1001" i="1"/>
  <c r="H1000" i="1"/>
  <c r="F1000" i="1"/>
  <c r="D1000" i="1"/>
  <c r="C1000" i="1"/>
  <c r="H999" i="1"/>
  <c r="F999" i="1"/>
  <c r="D999" i="1"/>
  <c r="C999" i="1"/>
  <c r="H998" i="1"/>
  <c r="F998" i="1"/>
  <c r="D998" i="1"/>
  <c r="C998" i="1"/>
  <c r="H997" i="1"/>
  <c r="F997" i="1"/>
  <c r="D997" i="1"/>
  <c r="C997" i="1"/>
  <c r="H996" i="1"/>
  <c r="F996" i="1"/>
  <c r="D996" i="1"/>
  <c r="C996" i="1"/>
  <c r="H995" i="1"/>
  <c r="F995" i="1"/>
  <c r="D995" i="1"/>
  <c r="C995" i="1"/>
  <c r="H994" i="1"/>
  <c r="F994" i="1"/>
  <c r="D994" i="1"/>
  <c r="C994" i="1"/>
  <c r="H993" i="1"/>
  <c r="F993" i="1"/>
  <c r="D993" i="1"/>
  <c r="C993" i="1"/>
  <c r="H992" i="1"/>
  <c r="F992" i="1"/>
  <c r="D992" i="1"/>
  <c r="C992" i="1"/>
  <c r="H991" i="1"/>
  <c r="F991" i="1"/>
  <c r="D991" i="1"/>
  <c r="C991" i="1"/>
  <c r="H990" i="1"/>
  <c r="F990" i="1"/>
  <c r="D990" i="1"/>
  <c r="C990" i="1"/>
  <c r="H989" i="1"/>
  <c r="F989" i="1"/>
  <c r="D989" i="1"/>
  <c r="C989" i="1"/>
  <c r="H988" i="1"/>
  <c r="F988" i="1"/>
  <c r="D988" i="1"/>
  <c r="C988" i="1"/>
  <c r="H987" i="1"/>
  <c r="F987" i="1"/>
  <c r="D987" i="1"/>
  <c r="C987" i="1"/>
  <c r="H986" i="1"/>
  <c r="F986" i="1"/>
  <c r="D986" i="1"/>
  <c r="C986" i="1"/>
  <c r="H985" i="1"/>
  <c r="F985" i="1"/>
  <c r="D985" i="1"/>
  <c r="C985" i="1"/>
  <c r="H984" i="1"/>
  <c r="F984" i="1"/>
  <c r="D984" i="1"/>
  <c r="C984" i="1"/>
  <c r="H983" i="1"/>
  <c r="F983" i="1"/>
  <c r="D983" i="1"/>
  <c r="C983" i="1"/>
  <c r="H982" i="1"/>
  <c r="F982" i="1"/>
  <c r="D982" i="1"/>
  <c r="C982" i="1"/>
  <c r="H981" i="1"/>
  <c r="F981" i="1"/>
  <c r="D981" i="1"/>
  <c r="C981" i="1"/>
  <c r="H980" i="1"/>
  <c r="F980" i="1"/>
  <c r="D980" i="1"/>
  <c r="C980" i="1"/>
  <c r="H979" i="1"/>
  <c r="F979" i="1"/>
  <c r="D979" i="1"/>
  <c r="C979" i="1"/>
  <c r="H978" i="1"/>
  <c r="F978" i="1"/>
  <c r="D978" i="1"/>
  <c r="C978" i="1"/>
  <c r="H977" i="1"/>
  <c r="F977" i="1"/>
  <c r="D977" i="1"/>
  <c r="C977" i="1"/>
  <c r="H976" i="1"/>
  <c r="F976" i="1"/>
  <c r="D976" i="1"/>
  <c r="C976" i="1"/>
  <c r="H975" i="1"/>
  <c r="F975" i="1"/>
  <c r="D975" i="1"/>
  <c r="C975" i="1"/>
  <c r="H974" i="1"/>
  <c r="F974" i="1"/>
  <c r="D974" i="1"/>
  <c r="C974" i="1"/>
  <c r="H973" i="1"/>
  <c r="F973" i="1"/>
  <c r="D973" i="1"/>
  <c r="C973" i="1"/>
  <c r="H972" i="1"/>
  <c r="F972" i="1"/>
  <c r="D972" i="1"/>
  <c r="C972" i="1"/>
  <c r="H971" i="1"/>
  <c r="F971" i="1"/>
  <c r="D971" i="1"/>
  <c r="C971" i="1"/>
  <c r="H970" i="1"/>
  <c r="F970" i="1"/>
  <c r="D970" i="1"/>
  <c r="C970" i="1"/>
  <c r="H969" i="1"/>
  <c r="F969" i="1"/>
  <c r="D969" i="1"/>
  <c r="C969" i="1"/>
  <c r="H968" i="1"/>
  <c r="F968" i="1"/>
  <c r="D968" i="1"/>
  <c r="C968" i="1"/>
  <c r="H967" i="1"/>
  <c r="F967" i="1"/>
  <c r="D967" i="1"/>
  <c r="C967" i="1"/>
  <c r="H966" i="1"/>
  <c r="F966" i="1"/>
  <c r="D966" i="1"/>
  <c r="C966" i="1"/>
  <c r="H965" i="1"/>
  <c r="F965" i="1"/>
  <c r="D965" i="1"/>
  <c r="C965" i="1"/>
  <c r="H964" i="1"/>
  <c r="F964" i="1"/>
  <c r="D964" i="1"/>
  <c r="C964" i="1"/>
  <c r="H963" i="1"/>
  <c r="F963" i="1"/>
  <c r="D963" i="1"/>
  <c r="C963" i="1"/>
  <c r="H962" i="1"/>
  <c r="F962" i="1"/>
  <c r="D962" i="1"/>
  <c r="C962" i="1"/>
  <c r="H961" i="1"/>
  <c r="F961" i="1"/>
  <c r="D961" i="1"/>
  <c r="C961" i="1"/>
  <c r="H960" i="1"/>
  <c r="F960" i="1"/>
  <c r="D960" i="1"/>
  <c r="C960" i="1"/>
  <c r="H959" i="1"/>
  <c r="F959" i="1"/>
  <c r="D959" i="1"/>
  <c r="C959" i="1"/>
  <c r="H958" i="1"/>
  <c r="F958" i="1"/>
  <c r="D958" i="1"/>
  <c r="C958" i="1"/>
  <c r="H957" i="1"/>
  <c r="F957" i="1"/>
  <c r="D957" i="1"/>
  <c r="C957" i="1"/>
  <c r="H956" i="1"/>
  <c r="F956" i="1"/>
  <c r="D956" i="1"/>
  <c r="C956" i="1"/>
  <c r="H955" i="1"/>
  <c r="F955" i="1"/>
  <c r="D955" i="1"/>
  <c r="C955" i="1"/>
  <c r="H954" i="1"/>
  <c r="F954" i="1"/>
  <c r="D954" i="1"/>
  <c r="C954" i="1"/>
  <c r="H953" i="1"/>
  <c r="F953" i="1"/>
  <c r="D953" i="1"/>
  <c r="C953" i="1"/>
  <c r="H952" i="1"/>
  <c r="F952" i="1"/>
  <c r="D952" i="1"/>
  <c r="C952" i="1"/>
  <c r="H951" i="1"/>
  <c r="F951" i="1"/>
  <c r="D951" i="1"/>
  <c r="C951" i="1"/>
  <c r="H950" i="1"/>
  <c r="F950" i="1"/>
  <c r="D950" i="1"/>
  <c r="C950" i="1"/>
  <c r="H949" i="1"/>
  <c r="F949" i="1"/>
  <c r="D949" i="1"/>
  <c r="C949" i="1"/>
  <c r="H948" i="1"/>
  <c r="F948" i="1"/>
  <c r="D948" i="1"/>
  <c r="C948" i="1"/>
  <c r="H947" i="1"/>
  <c r="F947" i="1"/>
  <c r="D947" i="1"/>
  <c r="C947" i="1"/>
  <c r="H946" i="1"/>
  <c r="F946" i="1"/>
  <c r="D946" i="1"/>
  <c r="C946" i="1"/>
  <c r="H945" i="1"/>
  <c r="F945" i="1"/>
  <c r="D945" i="1"/>
  <c r="C945" i="1"/>
  <c r="H944" i="1"/>
  <c r="F944" i="1"/>
  <c r="D944" i="1"/>
  <c r="C944" i="1"/>
  <c r="H943" i="1"/>
  <c r="F943" i="1"/>
  <c r="D943" i="1"/>
  <c r="C943" i="1"/>
  <c r="H942" i="1"/>
  <c r="F942" i="1"/>
  <c r="D942" i="1"/>
  <c r="C942" i="1"/>
  <c r="H941" i="1"/>
  <c r="F941" i="1"/>
  <c r="D941" i="1"/>
  <c r="C941" i="1"/>
  <c r="H940" i="1"/>
  <c r="F940" i="1"/>
  <c r="D940" i="1"/>
  <c r="C940" i="1"/>
  <c r="H939" i="1"/>
  <c r="F939" i="1"/>
  <c r="D939" i="1"/>
  <c r="C939" i="1"/>
  <c r="H938" i="1"/>
  <c r="F938" i="1"/>
  <c r="D938" i="1"/>
  <c r="C938" i="1"/>
  <c r="H937" i="1"/>
  <c r="F937" i="1"/>
  <c r="D937" i="1"/>
  <c r="C937" i="1"/>
  <c r="H936" i="1"/>
  <c r="F936" i="1"/>
  <c r="D936" i="1"/>
  <c r="C936" i="1"/>
  <c r="H935" i="1"/>
  <c r="F935" i="1"/>
  <c r="D935" i="1"/>
  <c r="C935" i="1"/>
  <c r="H934" i="1"/>
  <c r="F934" i="1"/>
  <c r="D934" i="1"/>
  <c r="C934" i="1"/>
  <c r="H933" i="1"/>
  <c r="F933" i="1"/>
  <c r="D933" i="1"/>
  <c r="C933" i="1"/>
  <c r="H932" i="1"/>
  <c r="F932" i="1"/>
  <c r="D932" i="1"/>
  <c r="C932" i="1"/>
  <c r="H931" i="1"/>
  <c r="F931" i="1"/>
  <c r="D931" i="1"/>
  <c r="C931" i="1"/>
  <c r="H930" i="1"/>
  <c r="F930" i="1"/>
  <c r="D930" i="1"/>
  <c r="C930" i="1"/>
  <c r="H929" i="1"/>
  <c r="F929" i="1"/>
  <c r="D929" i="1"/>
  <c r="C929" i="1"/>
  <c r="H928" i="1"/>
  <c r="F928" i="1"/>
  <c r="D928" i="1"/>
  <c r="C928" i="1"/>
  <c r="H927" i="1"/>
  <c r="F927" i="1"/>
  <c r="D927" i="1"/>
  <c r="C927" i="1"/>
  <c r="H926" i="1"/>
  <c r="F926" i="1"/>
  <c r="D926" i="1"/>
  <c r="C926" i="1"/>
  <c r="H925" i="1"/>
  <c r="F925" i="1"/>
  <c r="D925" i="1"/>
  <c r="C925" i="1"/>
  <c r="H924" i="1"/>
  <c r="F924" i="1"/>
  <c r="D924" i="1"/>
  <c r="C924" i="1"/>
  <c r="H923" i="1"/>
  <c r="F923" i="1"/>
  <c r="D923" i="1"/>
  <c r="C923" i="1"/>
  <c r="H922" i="1"/>
  <c r="F922" i="1"/>
  <c r="D922" i="1"/>
  <c r="C922" i="1"/>
  <c r="H921" i="1"/>
  <c r="F921" i="1"/>
  <c r="D921" i="1"/>
  <c r="C921" i="1"/>
  <c r="H920" i="1"/>
  <c r="F920" i="1"/>
  <c r="D920" i="1"/>
  <c r="C920" i="1"/>
  <c r="H919" i="1"/>
  <c r="F919" i="1"/>
  <c r="D919" i="1"/>
  <c r="C919" i="1"/>
  <c r="H918" i="1"/>
  <c r="F918" i="1"/>
  <c r="D918" i="1"/>
  <c r="C918" i="1"/>
  <c r="H917" i="1"/>
  <c r="F917" i="1"/>
  <c r="D917" i="1"/>
  <c r="C917" i="1"/>
  <c r="H916" i="1"/>
  <c r="F916" i="1"/>
  <c r="D916" i="1"/>
  <c r="C916" i="1"/>
  <c r="H915" i="1"/>
  <c r="F915" i="1"/>
  <c r="D915" i="1"/>
  <c r="C915" i="1"/>
  <c r="H914" i="1"/>
  <c r="F914" i="1"/>
  <c r="D914" i="1"/>
  <c r="C914" i="1"/>
  <c r="H913" i="1"/>
  <c r="F913" i="1"/>
  <c r="D913" i="1"/>
  <c r="C913" i="1"/>
  <c r="H912" i="1"/>
  <c r="F912" i="1"/>
  <c r="D912" i="1"/>
  <c r="C912" i="1"/>
  <c r="H911" i="1"/>
  <c r="F911" i="1"/>
  <c r="D911" i="1"/>
  <c r="C911" i="1"/>
  <c r="H910" i="1"/>
  <c r="F910" i="1"/>
  <c r="D910" i="1"/>
  <c r="C910" i="1"/>
  <c r="H909" i="1"/>
  <c r="F909" i="1"/>
  <c r="D909" i="1"/>
  <c r="C909" i="1"/>
  <c r="H908" i="1"/>
  <c r="F908" i="1"/>
  <c r="D908" i="1"/>
  <c r="C908" i="1"/>
  <c r="H907" i="1"/>
  <c r="F907" i="1"/>
  <c r="D907" i="1"/>
  <c r="C907" i="1"/>
  <c r="H906" i="1"/>
  <c r="F906" i="1"/>
  <c r="D906" i="1"/>
  <c r="C906" i="1"/>
  <c r="H905" i="1"/>
  <c r="F905" i="1"/>
  <c r="D905" i="1"/>
  <c r="C905" i="1"/>
  <c r="H904" i="1"/>
  <c r="F904" i="1"/>
  <c r="D904" i="1"/>
  <c r="C904" i="1"/>
  <c r="H903" i="1"/>
  <c r="F903" i="1"/>
  <c r="D903" i="1"/>
  <c r="C903" i="1"/>
  <c r="H902" i="1"/>
  <c r="F902" i="1"/>
  <c r="D902" i="1"/>
  <c r="C902" i="1"/>
  <c r="H901" i="1"/>
  <c r="F901" i="1"/>
  <c r="D901" i="1"/>
  <c r="C901" i="1"/>
  <c r="H900" i="1"/>
  <c r="F900" i="1"/>
  <c r="D900" i="1"/>
  <c r="C900" i="1"/>
  <c r="H899" i="1"/>
  <c r="F899" i="1"/>
  <c r="D899" i="1"/>
  <c r="C899" i="1"/>
  <c r="H898" i="1"/>
  <c r="F898" i="1"/>
  <c r="D898" i="1"/>
  <c r="C898" i="1"/>
  <c r="H897" i="1"/>
  <c r="F897" i="1"/>
  <c r="D897" i="1"/>
  <c r="C897" i="1"/>
  <c r="H896" i="1"/>
  <c r="F896" i="1"/>
  <c r="D896" i="1"/>
  <c r="C896" i="1"/>
  <c r="H895" i="1"/>
  <c r="F895" i="1"/>
  <c r="D895" i="1"/>
  <c r="C895" i="1"/>
  <c r="H894" i="1"/>
  <c r="F894" i="1"/>
  <c r="D894" i="1"/>
  <c r="C894" i="1"/>
  <c r="H893" i="1"/>
  <c r="F893" i="1"/>
  <c r="D893" i="1"/>
  <c r="C893" i="1"/>
  <c r="H892" i="1"/>
  <c r="F892" i="1"/>
  <c r="D892" i="1"/>
  <c r="C892" i="1"/>
  <c r="H891" i="1"/>
  <c r="F891" i="1"/>
  <c r="D891" i="1"/>
  <c r="C891" i="1"/>
  <c r="H890" i="1"/>
  <c r="F890" i="1"/>
  <c r="D890" i="1"/>
  <c r="C890" i="1"/>
  <c r="H889" i="1"/>
  <c r="F889" i="1"/>
  <c r="D889" i="1"/>
  <c r="C889" i="1"/>
  <c r="H888" i="1"/>
  <c r="F888" i="1"/>
  <c r="D888" i="1"/>
  <c r="C888" i="1"/>
  <c r="H887" i="1"/>
  <c r="F887" i="1"/>
  <c r="D887" i="1"/>
  <c r="C887" i="1"/>
  <c r="H886" i="1"/>
  <c r="F886" i="1"/>
  <c r="D886" i="1"/>
  <c r="C886" i="1"/>
  <c r="H885" i="1"/>
  <c r="F885" i="1"/>
  <c r="D885" i="1"/>
  <c r="C885" i="1"/>
  <c r="H884" i="1"/>
  <c r="F884" i="1"/>
  <c r="D884" i="1"/>
  <c r="C884" i="1"/>
  <c r="H883" i="1"/>
  <c r="F883" i="1"/>
  <c r="D883" i="1"/>
  <c r="C883" i="1"/>
  <c r="H882" i="1"/>
  <c r="F882" i="1"/>
  <c r="D882" i="1"/>
  <c r="C882" i="1"/>
  <c r="H881" i="1"/>
  <c r="F881" i="1"/>
  <c r="D881" i="1"/>
  <c r="C881" i="1"/>
  <c r="H880" i="1"/>
  <c r="F880" i="1"/>
  <c r="D880" i="1"/>
  <c r="C880" i="1"/>
  <c r="H879" i="1"/>
  <c r="F879" i="1"/>
  <c r="D879" i="1"/>
  <c r="C879" i="1"/>
  <c r="H878" i="1"/>
  <c r="F878" i="1"/>
  <c r="D878" i="1"/>
  <c r="C878" i="1"/>
  <c r="H877" i="1"/>
  <c r="F877" i="1"/>
  <c r="D877" i="1"/>
  <c r="C877" i="1"/>
  <c r="H876" i="1"/>
  <c r="F876" i="1"/>
  <c r="D876" i="1"/>
  <c r="C876" i="1"/>
  <c r="H875" i="1"/>
  <c r="F875" i="1"/>
  <c r="D875" i="1"/>
  <c r="C875" i="1"/>
  <c r="H874" i="1"/>
  <c r="F874" i="1"/>
  <c r="D874" i="1"/>
  <c r="C874" i="1"/>
  <c r="H873" i="1"/>
  <c r="F873" i="1"/>
  <c r="D873" i="1"/>
  <c r="C873" i="1"/>
  <c r="H872" i="1"/>
  <c r="F872" i="1"/>
  <c r="D872" i="1"/>
  <c r="C872" i="1"/>
  <c r="H871" i="1"/>
  <c r="F871" i="1"/>
  <c r="D871" i="1"/>
  <c r="C871" i="1"/>
  <c r="H870" i="1"/>
  <c r="F870" i="1"/>
  <c r="D870" i="1"/>
  <c r="C870" i="1"/>
  <c r="H869" i="1"/>
  <c r="F869" i="1"/>
  <c r="D869" i="1"/>
  <c r="C869" i="1"/>
  <c r="H868" i="1"/>
  <c r="F868" i="1"/>
  <c r="D868" i="1"/>
  <c r="C868" i="1"/>
  <c r="H867" i="1"/>
  <c r="F867" i="1"/>
  <c r="D867" i="1"/>
  <c r="C867" i="1"/>
  <c r="H866" i="1"/>
  <c r="F866" i="1"/>
  <c r="D866" i="1"/>
  <c r="C866" i="1"/>
  <c r="H865" i="1"/>
  <c r="F865" i="1"/>
  <c r="D865" i="1"/>
  <c r="C865" i="1"/>
  <c r="H864" i="1"/>
  <c r="F864" i="1"/>
  <c r="D864" i="1"/>
  <c r="C864" i="1"/>
  <c r="H863" i="1"/>
  <c r="F863" i="1"/>
  <c r="D863" i="1"/>
  <c r="C863" i="1"/>
  <c r="H862" i="1"/>
  <c r="F862" i="1"/>
  <c r="D862" i="1"/>
  <c r="C862" i="1"/>
  <c r="H861" i="1"/>
  <c r="F861" i="1"/>
  <c r="D861" i="1"/>
  <c r="C861" i="1"/>
  <c r="H860" i="1"/>
  <c r="F860" i="1"/>
  <c r="D860" i="1"/>
  <c r="C860" i="1"/>
  <c r="H859" i="1"/>
  <c r="F859" i="1"/>
  <c r="D859" i="1"/>
  <c r="C859" i="1"/>
  <c r="H858" i="1"/>
  <c r="F858" i="1"/>
  <c r="D858" i="1"/>
  <c r="C858" i="1"/>
  <c r="H857" i="1"/>
  <c r="F857" i="1"/>
  <c r="D857" i="1"/>
  <c r="C857" i="1"/>
  <c r="H856" i="1"/>
  <c r="F856" i="1"/>
  <c r="D856" i="1"/>
  <c r="C856" i="1"/>
  <c r="H855" i="1"/>
  <c r="F855" i="1"/>
  <c r="D855" i="1"/>
  <c r="C855" i="1"/>
  <c r="H854" i="1"/>
  <c r="F854" i="1"/>
  <c r="D854" i="1"/>
  <c r="C854" i="1"/>
  <c r="H853" i="1"/>
  <c r="F853" i="1"/>
  <c r="D853" i="1"/>
  <c r="C853" i="1"/>
  <c r="H852" i="1"/>
  <c r="F852" i="1"/>
  <c r="D852" i="1"/>
  <c r="C852" i="1"/>
  <c r="H851" i="1"/>
  <c r="F851" i="1"/>
  <c r="D851" i="1"/>
  <c r="C851" i="1"/>
  <c r="H850" i="1"/>
  <c r="F850" i="1"/>
  <c r="D850" i="1"/>
  <c r="C850" i="1"/>
  <c r="H849" i="1"/>
  <c r="F849" i="1"/>
  <c r="D849" i="1"/>
  <c r="C849" i="1"/>
  <c r="H848" i="1"/>
  <c r="F848" i="1"/>
  <c r="D848" i="1"/>
  <c r="C848" i="1"/>
  <c r="H847" i="1"/>
  <c r="F847" i="1"/>
  <c r="D847" i="1"/>
  <c r="C847" i="1"/>
  <c r="H846" i="1"/>
  <c r="F846" i="1"/>
  <c r="D846" i="1"/>
  <c r="C846" i="1"/>
  <c r="H845" i="1"/>
  <c r="F845" i="1"/>
  <c r="D845" i="1"/>
  <c r="C845" i="1"/>
  <c r="H844" i="1"/>
  <c r="F844" i="1"/>
  <c r="D844" i="1"/>
  <c r="C844" i="1"/>
  <c r="H843" i="1"/>
  <c r="F843" i="1"/>
  <c r="D843" i="1"/>
  <c r="C843" i="1"/>
  <c r="H842" i="1"/>
  <c r="F842" i="1"/>
  <c r="D842" i="1"/>
  <c r="C842" i="1"/>
  <c r="H841" i="1"/>
  <c r="F841" i="1"/>
  <c r="D841" i="1"/>
  <c r="C841" i="1"/>
  <c r="H840" i="1"/>
  <c r="F840" i="1"/>
  <c r="D840" i="1"/>
  <c r="C840" i="1"/>
  <c r="H839" i="1"/>
  <c r="F839" i="1"/>
  <c r="D839" i="1"/>
  <c r="C839" i="1"/>
  <c r="H838" i="1"/>
  <c r="F838" i="1"/>
  <c r="D838" i="1"/>
  <c r="C838" i="1"/>
  <c r="H837" i="1"/>
  <c r="F837" i="1"/>
  <c r="D837" i="1"/>
  <c r="C837" i="1"/>
  <c r="H836" i="1"/>
  <c r="F836" i="1"/>
  <c r="D836" i="1"/>
  <c r="C836" i="1"/>
  <c r="H835" i="1"/>
  <c r="F835" i="1"/>
  <c r="D835" i="1"/>
  <c r="C835" i="1"/>
  <c r="H834" i="1"/>
  <c r="F834" i="1"/>
  <c r="D834" i="1"/>
  <c r="C834" i="1"/>
  <c r="H833" i="1"/>
  <c r="F833" i="1"/>
  <c r="D833" i="1"/>
  <c r="C833" i="1"/>
  <c r="H832" i="1"/>
  <c r="F832" i="1"/>
  <c r="D832" i="1"/>
  <c r="C832" i="1"/>
  <c r="H831" i="1"/>
  <c r="F831" i="1"/>
  <c r="D831" i="1"/>
  <c r="C831" i="1"/>
  <c r="H830" i="1"/>
  <c r="F830" i="1"/>
  <c r="D830" i="1"/>
  <c r="C830" i="1"/>
  <c r="H829" i="1"/>
  <c r="F829" i="1"/>
  <c r="D829" i="1"/>
  <c r="C829" i="1"/>
  <c r="H828" i="1"/>
  <c r="F828" i="1"/>
  <c r="D828" i="1"/>
  <c r="C828" i="1"/>
  <c r="H827" i="1"/>
  <c r="F827" i="1"/>
  <c r="D827" i="1"/>
  <c r="C827" i="1"/>
  <c r="H826" i="1"/>
  <c r="F826" i="1"/>
  <c r="D826" i="1"/>
  <c r="C826" i="1"/>
  <c r="H825" i="1"/>
  <c r="F825" i="1"/>
  <c r="D825" i="1"/>
  <c r="C825" i="1"/>
  <c r="H824" i="1"/>
  <c r="F824" i="1"/>
  <c r="D824" i="1"/>
  <c r="C824" i="1"/>
  <c r="H823" i="1"/>
  <c r="F823" i="1"/>
  <c r="D823" i="1"/>
  <c r="C823" i="1"/>
  <c r="H822" i="1"/>
  <c r="F822" i="1"/>
  <c r="D822" i="1"/>
  <c r="C822" i="1"/>
  <c r="H821" i="1"/>
  <c r="F821" i="1"/>
  <c r="D821" i="1"/>
  <c r="C821" i="1"/>
  <c r="H820" i="1"/>
  <c r="F820" i="1"/>
  <c r="D820" i="1"/>
  <c r="C820" i="1"/>
  <c r="H819" i="1"/>
  <c r="F819" i="1"/>
  <c r="D819" i="1"/>
  <c r="C819" i="1"/>
  <c r="H818" i="1"/>
  <c r="F818" i="1"/>
  <c r="D818" i="1"/>
  <c r="C818" i="1"/>
  <c r="H817" i="1"/>
  <c r="F817" i="1"/>
  <c r="D817" i="1"/>
  <c r="C817" i="1"/>
  <c r="H816" i="1"/>
  <c r="F816" i="1"/>
  <c r="D816" i="1"/>
  <c r="C816" i="1"/>
  <c r="H815" i="1"/>
  <c r="F815" i="1"/>
  <c r="D815" i="1"/>
  <c r="C815" i="1"/>
  <c r="H814" i="1"/>
  <c r="F814" i="1"/>
  <c r="D814" i="1"/>
  <c r="C814" i="1"/>
  <c r="H813" i="1"/>
  <c r="F813" i="1"/>
  <c r="D813" i="1"/>
  <c r="C813" i="1"/>
  <c r="H812" i="1"/>
  <c r="F812" i="1"/>
  <c r="D812" i="1"/>
  <c r="C812" i="1"/>
  <c r="H811" i="1"/>
  <c r="F811" i="1"/>
  <c r="D811" i="1"/>
  <c r="C811" i="1"/>
  <c r="H810" i="1"/>
  <c r="F810" i="1"/>
  <c r="D810" i="1"/>
  <c r="C810" i="1"/>
  <c r="H809" i="1"/>
  <c r="F809" i="1"/>
  <c r="D809" i="1"/>
  <c r="C809" i="1"/>
  <c r="H808" i="1"/>
  <c r="F808" i="1"/>
  <c r="D808" i="1"/>
  <c r="C808" i="1"/>
  <c r="H807" i="1"/>
  <c r="F807" i="1"/>
  <c r="D807" i="1"/>
  <c r="C807" i="1"/>
  <c r="H806" i="1"/>
  <c r="F806" i="1"/>
  <c r="D806" i="1"/>
  <c r="C806" i="1"/>
  <c r="H805" i="1"/>
  <c r="F805" i="1"/>
  <c r="D805" i="1"/>
  <c r="C805" i="1"/>
  <c r="H804" i="1"/>
  <c r="F804" i="1"/>
  <c r="D804" i="1"/>
  <c r="C804" i="1"/>
  <c r="H803" i="1"/>
  <c r="F803" i="1"/>
  <c r="D803" i="1"/>
  <c r="C803" i="1"/>
  <c r="H802" i="1"/>
  <c r="F802" i="1"/>
  <c r="D802" i="1"/>
  <c r="C802" i="1"/>
  <c r="H801" i="1"/>
  <c r="F801" i="1"/>
  <c r="D801" i="1"/>
  <c r="C801" i="1"/>
  <c r="H800" i="1"/>
  <c r="F800" i="1"/>
  <c r="D800" i="1"/>
  <c r="C800" i="1"/>
  <c r="H799" i="1"/>
  <c r="F799" i="1"/>
  <c r="D799" i="1"/>
  <c r="C799" i="1"/>
  <c r="H798" i="1"/>
  <c r="F798" i="1"/>
  <c r="D798" i="1"/>
  <c r="C798" i="1"/>
  <c r="H797" i="1"/>
  <c r="F797" i="1"/>
  <c r="D797" i="1"/>
  <c r="C797" i="1"/>
  <c r="H796" i="1"/>
  <c r="F796" i="1"/>
  <c r="D796" i="1"/>
  <c r="C796" i="1"/>
  <c r="H795" i="1"/>
  <c r="F795" i="1"/>
  <c r="D795" i="1"/>
  <c r="C795" i="1"/>
  <c r="H794" i="1"/>
  <c r="F794" i="1"/>
  <c r="D794" i="1"/>
  <c r="C794" i="1"/>
  <c r="H793" i="1"/>
  <c r="F793" i="1"/>
  <c r="D793" i="1"/>
  <c r="C793" i="1"/>
  <c r="H792" i="1"/>
  <c r="F792" i="1"/>
  <c r="D792" i="1"/>
  <c r="C792" i="1"/>
  <c r="H791" i="1"/>
  <c r="F791" i="1"/>
  <c r="D791" i="1"/>
  <c r="C791" i="1"/>
  <c r="H790" i="1"/>
  <c r="F790" i="1"/>
  <c r="D790" i="1"/>
  <c r="C790" i="1"/>
  <c r="H789" i="1"/>
  <c r="F789" i="1"/>
  <c r="D789" i="1"/>
  <c r="C789" i="1"/>
  <c r="H788" i="1"/>
  <c r="F788" i="1"/>
  <c r="D788" i="1"/>
  <c r="C788" i="1"/>
  <c r="H787" i="1"/>
  <c r="F787" i="1"/>
  <c r="D787" i="1"/>
  <c r="C787" i="1"/>
  <c r="H786" i="1"/>
  <c r="F786" i="1"/>
  <c r="D786" i="1"/>
  <c r="C786" i="1"/>
  <c r="H785" i="1"/>
  <c r="F785" i="1"/>
  <c r="D785" i="1"/>
  <c r="C785" i="1"/>
  <c r="H784" i="1"/>
  <c r="F784" i="1"/>
  <c r="D784" i="1"/>
  <c r="C784" i="1"/>
  <c r="H783" i="1"/>
  <c r="F783" i="1"/>
  <c r="D783" i="1"/>
  <c r="C783" i="1"/>
  <c r="H782" i="1"/>
  <c r="F782" i="1"/>
  <c r="D782" i="1"/>
  <c r="C782" i="1"/>
  <c r="H781" i="1"/>
  <c r="F781" i="1"/>
  <c r="D781" i="1"/>
  <c r="C781" i="1"/>
  <c r="H780" i="1"/>
  <c r="F780" i="1"/>
  <c r="D780" i="1"/>
  <c r="C780" i="1"/>
  <c r="H779" i="1"/>
  <c r="F779" i="1"/>
  <c r="D779" i="1"/>
  <c r="C779" i="1"/>
  <c r="H778" i="1"/>
  <c r="F778" i="1"/>
  <c r="D778" i="1"/>
  <c r="C778" i="1"/>
  <c r="H777" i="1"/>
  <c r="F777" i="1"/>
  <c r="D777" i="1"/>
  <c r="C777" i="1"/>
  <c r="H776" i="1"/>
  <c r="F776" i="1"/>
  <c r="D776" i="1"/>
  <c r="C776" i="1"/>
  <c r="H775" i="1"/>
  <c r="F775" i="1"/>
  <c r="D775" i="1"/>
  <c r="C775" i="1"/>
  <c r="H774" i="1"/>
  <c r="F774" i="1"/>
  <c r="D774" i="1"/>
  <c r="C774" i="1"/>
  <c r="H773" i="1"/>
  <c r="F773" i="1"/>
  <c r="D773" i="1"/>
  <c r="C773" i="1"/>
  <c r="H772" i="1"/>
  <c r="F772" i="1"/>
  <c r="D772" i="1"/>
  <c r="C772" i="1"/>
  <c r="H771" i="1"/>
  <c r="F771" i="1"/>
  <c r="D771" i="1"/>
  <c r="C771" i="1"/>
  <c r="H770" i="1"/>
  <c r="F770" i="1"/>
  <c r="D770" i="1"/>
  <c r="C770" i="1"/>
  <c r="H769" i="1"/>
  <c r="F769" i="1"/>
  <c r="D769" i="1"/>
  <c r="C769" i="1"/>
  <c r="H768" i="1"/>
  <c r="F768" i="1"/>
  <c r="D768" i="1"/>
  <c r="C768" i="1"/>
  <c r="H767" i="1"/>
  <c r="F767" i="1"/>
  <c r="D767" i="1"/>
  <c r="C767" i="1"/>
  <c r="H766" i="1"/>
  <c r="F766" i="1"/>
  <c r="D766" i="1"/>
  <c r="C766" i="1"/>
  <c r="H765" i="1"/>
  <c r="F765" i="1"/>
  <c r="D765" i="1"/>
  <c r="C765" i="1"/>
  <c r="H764" i="1"/>
  <c r="F764" i="1"/>
  <c r="D764" i="1"/>
  <c r="C764" i="1"/>
  <c r="H763" i="1"/>
  <c r="F763" i="1"/>
  <c r="D763" i="1"/>
  <c r="C763" i="1"/>
  <c r="H762" i="1"/>
  <c r="F762" i="1"/>
  <c r="D762" i="1"/>
  <c r="C762" i="1"/>
  <c r="H761" i="1"/>
  <c r="F761" i="1"/>
  <c r="D761" i="1"/>
  <c r="C761" i="1"/>
  <c r="H760" i="1"/>
  <c r="F760" i="1"/>
  <c r="D760" i="1"/>
  <c r="C760" i="1"/>
  <c r="H759" i="1"/>
  <c r="F759" i="1"/>
  <c r="D759" i="1"/>
  <c r="C759" i="1"/>
  <c r="H758" i="1"/>
  <c r="F758" i="1"/>
  <c r="D758" i="1"/>
  <c r="C758" i="1"/>
  <c r="H757" i="1"/>
  <c r="F757" i="1"/>
  <c r="D757" i="1"/>
  <c r="C757" i="1"/>
  <c r="H756" i="1"/>
  <c r="F756" i="1"/>
  <c r="D756" i="1"/>
  <c r="C756" i="1"/>
  <c r="H755" i="1"/>
  <c r="F755" i="1"/>
  <c r="D755" i="1"/>
  <c r="C755" i="1"/>
  <c r="H754" i="1"/>
  <c r="F754" i="1"/>
  <c r="D754" i="1"/>
  <c r="C754" i="1"/>
  <c r="H753" i="1"/>
  <c r="F753" i="1"/>
  <c r="D753" i="1"/>
  <c r="C753" i="1"/>
  <c r="H752" i="1"/>
  <c r="F752" i="1"/>
  <c r="D752" i="1"/>
  <c r="C752" i="1"/>
  <c r="H751" i="1"/>
  <c r="F751" i="1"/>
  <c r="D751" i="1"/>
  <c r="C751" i="1"/>
  <c r="H750" i="1"/>
  <c r="F750" i="1"/>
  <c r="D750" i="1"/>
  <c r="C750" i="1"/>
  <c r="H749" i="1"/>
  <c r="F749" i="1"/>
  <c r="D749" i="1"/>
  <c r="C749" i="1"/>
  <c r="H748" i="1"/>
  <c r="F748" i="1"/>
  <c r="D748" i="1"/>
  <c r="C748" i="1"/>
  <c r="H747" i="1"/>
  <c r="F747" i="1"/>
  <c r="D747" i="1"/>
  <c r="C747" i="1"/>
  <c r="H746" i="1"/>
  <c r="F746" i="1"/>
  <c r="D746" i="1"/>
  <c r="C746" i="1"/>
  <c r="H745" i="1"/>
  <c r="F745" i="1"/>
  <c r="D745" i="1"/>
  <c r="C745" i="1"/>
  <c r="H744" i="1"/>
  <c r="F744" i="1"/>
  <c r="D744" i="1"/>
  <c r="C744" i="1"/>
  <c r="H743" i="1"/>
  <c r="F743" i="1"/>
  <c r="D743" i="1"/>
  <c r="C743" i="1"/>
  <c r="H742" i="1"/>
  <c r="F742" i="1"/>
  <c r="D742" i="1"/>
  <c r="C742" i="1"/>
  <c r="H741" i="1"/>
  <c r="F741" i="1"/>
  <c r="D741" i="1"/>
  <c r="C741" i="1"/>
  <c r="H740" i="1"/>
  <c r="F740" i="1"/>
  <c r="D740" i="1"/>
  <c r="C740" i="1"/>
  <c r="H739" i="1"/>
  <c r="F739" i="1"/>
  <c r="D739" i="1"/>
  <c r="C739" i="1"/>
  <c r="H738" i="1"/>
  <c r="F738" i="1"/>
  <c r="D738" i="1"/>
  <c r="C738" i="1"/>
  <c r="H737" i="1"/>
  <c r="F737" i="1"/>
  <c r="D737" i="1"/>
  <c r="C737" i="1"/>
  <c r="H736" i="1"/>
  <c r="F736" i="1"/>
  <c r="D736" i="1"/>
  <c r="C736" i="1"/>
  <c r="H735" i="1"/>
  <c r="F735" i="1"/>
  <c r="D735" i="1"/>
  <c r="C735" i="1"/>
  <c r="H734" i="1"/>
  <c r="F734" i="1"/>
  <c r="D734" i="1"/>
  <c r="C734" i="1"/>
  <c r="H733" i="1"/>
  <c r="F733" i="1"/>
  <c r="D733" i="1"/>
  <c r="C733" i="1"/>
  <c r="H732" i="1"/>
  <c r="F732" i="1"/>
  <c r="D732" i="1"/>
  <c r="C732" i="1"/>
  <c r="H731" i="1"/>
  <c r="F731" i="1"/>
  <c r="D731" i="1"/>
  <c r="C731" i="1"/>
  <c r="H730" i="1"/>
  <c r="F730" i="1"/>
  <c r="D730" i="1"/>
  <c r="C730" i="1"/>
  <c r="H729" i="1"/>
  <c r="F729" i="1"/>
  <c r="D729" i="1"/>
  <c r="C729" i="1"/>
  <c r="H728" i="1"/>
  <c r="F728" i="1"/>
  <c r="D728" i="1"/>
  <c r="C728" i="1"/>
  <c r="H727" i="1"/>
  <c r="F727" i="1"/>
  <c r="D727" i="1"/>
  <c r="C727" i="1"/>
  <c r="H726" i="1"/>
  <c r="F726" i="1"/>
  <c r="D726" i="1"/>
  <c r="C726" i="1"/>
  <c r="H725" i="1"/>
  <c r="F725" i="1"/>
  <c r="D725" i="1"/>
  <c r="C725" i="1"/>
  <c r="H724" i="1"/>
  <c r="F724" i="1"/>
  <c r="D724" i="1"/>
  <c r="C724" i="1"/>
  <c r="H723" i="1"/>
  <c r="F723" i="1"/>
  <c r="D723" i="1"/>
  <c r="C723" i="1"/>
  <c r="H722" i="1"/>
  <c r="F722" i="1"/>
  <c r="D722" i="1"/>
  <c r="C722" i="1"/>
  <c r="H721" i="1"/>
  <c r="F721" i="1"/>
  <c r="D721" i="1"/>
  <c r="C721" i="1"/>
  <c r="H720" i="1"/>
  <c r="F720" i="1"/>
  <c r="D720" i="1"/>
  <c r="C720" i="1"/>
  <c r="H719" i="1"/>
  <c r="F719" i="1"/>
  <c r="D719" i="1"/>
  <c r="C719" i="1"/>
  <c r="H718" i="1"/>
  <c r="F718" i="1"/>
  <c r="D718" i="1"/>
  <c r="C718" i="1"/>
  <c r="H717" i="1"/>
  <c r="F717" i="1"/>
  <c r="D717" i="1"/>
  <c r="C717" i="1"/>
  <c r="H716" i="1"/>
  <c r="F716" i="1"/>
  <c r="D716" i="1"/>
  <c r="C716" i="1"/>
  <c r="H715" i="1"/>
  <c r="F715" i="1"/>
  <c r="D715" i="1"/>
  <c r="C715" i="1"/>
  <c r="H714" i="1"/>
  <c r="F714" i="1"/>
  <c r="D714" i="1"/>
  <c r="C714" i="1"/>
  <c r="H713" i="1"/>
  <c r="F713" i="1"/>
  <c r="D713" i="1"/>
  <c r="C713" i="1"/>
  <c r="H712" i="1"/>
  <c r="F712" i="1"/>
  <c r="D712" i="1"/>
  <c r="C712" i="1"/>
  <c r="H711" i="1"/>
  <c r="F711" i="1"/>
  <c r="D711" i="1"/>
  <c r="C711" i="1"/>
  <c r="H710" i="1"/>
  <c r="F710" i="1"/>
  <c r="D710" i="1"/>
  <c r="C710" i="1"/>
  <c r="H709" i="1"/>
  <c r="F709" i="1"/>
  <c r="D709" i="1"/>
  <c r="C709" i="1"/>
  <c r="H708" i="1"/>
  <c r="F708" i="1"/>
  <c r="D708" i="1"/>
  <c r="C708" i="1"/>
  <c r="H707" i="1"/>
  <c r="F707" i="1"/>
  <c r="D707" i="1"/>
  <c r="C707" i="1"/>
  <c r="H706" i="1"/>
  <c r="F706" i="1"/>
  <c r="D706" i="1"/>
  <c r="C706" i="1"/>
  <c r="H705" i="1"/>
  <c r="F705" i="1"/>
  <c r="D705" i="1"/>
  <c r="C705" i="1"/>
  <c r="H704" i="1"/>
  <c r="F704" i="1"/>
  <c r="D704" i="1"/>
  <c r="C704" i="1"/>
  <c r="H703" i="1"/>
  <c r="F703" i="1"/>
  <c r="D703" i="1"/>
  <c r="C703" i="1"/>
  <c r="H702" i="1"/>
  <c r="F702" i="1"/>
  <c r="D702" i="1"/>
  <c r="C702" i="1"/>
  <c r="H701" i="1"/>
  <c r="F701" i="1"/>
  <c r="D701" i="1"/>
  <c r="C701" i="1"/>
  <c r="H700" i="1"/>
  <c r="F700" i="1"/>
  <c r="D700" i="1"/>
  <c r="C700" i="1"/>
  <c r="H699" i="1"/>
  <c r="F699" i="1"/>
  <c r="D699" i="1"/>
  <c r="C699" i="1"/>
  <c r="H698" i="1"/>
  <c r="F698" i="1"/>
  <c r="D698" i="1"/>
  <c r="C698" i="1"/>
  <c r="H697" i="1"/>
  <c r="F697" i="1"/>
  <c r="D697" i="1"/>
  <c r="C697" i="1"/>
  <c r="H696" i="1"/>
  <c r="F696" i="1"/>
  <c r="D696" i="1"/>
  <c r="C696" i="1"/>
  <c r="H695" i="1"/>
  <c r="F695" i="1"/>
  <c r="D695" i="1"/>
  <c r="C695" i="1"/>
  <c r="H694" i="1"/>
  <c r="F694" i="1"/>
  <c r="D694" i="1"/>
  <c r="C694" i="1"/>
  <c r="H693" i="1"/>
  <c r="F693" i="1"/>
  <c r="D693" i="1"/>
  <c r="C693" i="1"/>
  <c r="H692" i="1"/>
  <c r="F692" i="1"/>
  <c r="D692" i="1"/>
  <c r="C692" i="1"/>
  <c r="H691" i="1"/>
  <c r="F691" i="1"/>
  <c r="D691" i="1"/>
  <c r="C691" i="1"/>
  <c r="H690" i="1"/>
  <c r="F690" i="1"/>
  <c r="D690" i="1"/>
  <c r="C690" i="1"/>
  <c r="H689" i="1"/>
  <c r="F689" i="1"/>
  <c r="D689" i="1"/>
  <c r="C689" i="1"/>
  <c r="H688" i="1"/>
  <c r="F688" i="1"/>
  <c r="D688" i="1"/>
  <c r="C688" i="1"/>
  <c r="H687" i="1"/>
  <c r="F687" i="1"/>
  <c r="D687" i="1"/>
  <c r="C687" i="1"/>
  <c r="H686" i="1"/>
  <c r="F686" i="1"/>
  <c r="D686" i="1"/>
  <c r="C686" i="1"/>
  <c r="H685" i="1"/>
  <c r="F685" i="1"/>
  <c r="D685" i="1"/>
  <c r="C685" i="1"/>
  <c r="H684" i="1"/>
  <c r="F684" i="1"/>
  <c r="D684" i="1"/>
  <c r="C684" i="1"/>
  <c r="H683" i="1"/>
  <c r="F683" i="1"/>
  <c r="D683" i="1"/>
  <c r="C683" i="1"/>
  <c r="H682" i="1"/>
  <c r="F682" i="1"/>
  <c r="D682" i="1"/>
  <c r="C682" i="1"/>
  <c r="H681" i="1"/>
  <c r="F681" i="1"/>
  <c r="D681" i="1"/>
  <c r="C681" i="1"/>
  <c r="H680" i="1"/>
  <c r="F680" i="1"/>
  <c r="D680" i="1"/>
  <c r="C680" i="1"/>
  <c r="H679" i="1"/>
  <c r="F679" i="1"/>
  <c r="D679" i="1"/>
  <c r="C679" i="1"/>
  <c r="H678" i="1"/>
  <c r="F678" i="1"/>
  <c r="D678" i="1"/>
  <c r="C678" i="1"/>
  <c r="H677" i="1"/>
  <c r="F677" i="1"/>
  <c r="D677" i="1"/>
  <c r="C677" i="1"/>
  <c r="H676" i="1"/>
  <c r="F676" i="1"/>
  <c r="D676" i="1"/>
  <c r="C676" i="1"/>
  <c r="H675" i="1"/>
  <c r="F675" i="1"/>
  <c r="D675" i="1"/>
  <c r="C675" i="1"/>
  <c r="H674" i="1"/>
  <c r="F674" i="1"/>
  <c r="D674" i="1"/>
  <c r="C674" i="1"/>
  <c r="H673" i="1"/>
  <c r="F673" i="1"/>
  <c r="D673" i="1"/>
  <c r="C673" i="1"/>
  <c r="H672" i="1"/>
  <c r="F672" i="1"/>
  <c r="D672" i="1"/>
  <c r="C672" i="1"/>
  <c r="H671" i="1"/>
  <c r="F671" i="1"/>
  <c r="D671" i="1"/>
  <c r="C671" i="1"/>
  <c r="H670" i="1"/>
  <c r="F670" i="1"/>
  <c r="D670" i="1"/>
  <c r="C670" i="1"/>
  <c r="H669" i="1"/>
  <c r="F669" i="1"/>
  <c r="D669" i="1"/>
  <c r="C669" i="1"/>
  <c r="H668" i="1"/>
  <c r="F668" i="1"/>
  <c r="D668" i="1"/>
  <c r="C668" i="1"/>
  <c r="H667" i="1"/>
  <c r="F667" i="1"/>
  <c r="D667" i="1"/>
  <c r="C667" i="1"/>
  <c r="H666" i="1"/>
  <c r="F666" i="1"/>
  <c r="D666" i="1"/>
  <c r="C666" i="1"/>
  <c r="H665" i="1"/>
  <c r="F665" i="1"/>
  <c r="D665" i="1"/>
  <c r="C665" i="1"/>
  <c r="H664" i="1"/>
  <c r="F664" i="1"/>
  <c r="D664" i="1"/>
  <c r="C664" i="1"/>
  <c r="H663" i="1"/>
  <c r="F663" i="1"/>
  <c r="D663" i="1"/>
  <c r="C663" i="1"/>
  <c r="H662" i="1"/>
  <c r="F662" i="1"/>
  <c r="D662" i="1"/>
  <c r="C662" i="1"/>
  <c r="H661" i="1"/>
  <c r="F661" i="1"/>
  <c r="D661" i="1"/>
  <c r="C661" i="1"/>
  <c r="H660" i="1"/>
  <c r="F660" i="1"/>
  <c r="D660" i="1"/>
  <c r="C660" i="1"/>
  <c r="H659" i="1"/>
  <c r="F659" i="1"/>
  <c r="D659" i="1"/>
  <c r="C659" i="1"/>
  <c r="H658" i="1"/>
  <c r="F658" i="1"/>
  <c r="D658" i="1"/>
  <c r="C658" i="1"/>
  <c r="H657" i="1"/>
  <c r="F657" i="1"/>
  <c r="D657" i="1"/>
  <c r="C657" i="1"/>
  <c r="H656" i="1"/>
  <c r="F656" i="1"/>
  <c r="D656" i="1"/>
  <c r="C656" i="1"/>
  <c r="H655" i="1"/>
  <c r="F655" i="1"/>
  <c r="D655" i="1"/>
  <c r="C655" i="1"/>
  <c r="H654" i="1"/>
  <c r="F654" i="1"/>
  <c r="D654" i="1"/>
  <c r="C654" i="1"/>
  <c r="H653" i="1"/>
  <c r="F653" i="1"/>
  <c r="D653" i="1"/>
  <c r="C653" i="1"/>
  <c r="H652" i="1"/>
  <c r="F652" i="1"/>
  <c r="D652" i="1"/>
  <c r="C652" i="1"/>
  <c r="H651" i="1"/>
  <c r="F651" i="1"/>
  <c r="D651" i="1"/>
  <c r="C651" i="1"/>
  <c r="H650" i="1"/>
  <c r="F650" i="1"/>
  <c r="D650" i="1"/>
  <c r="C650" i="1"/>
  <c r="H649" i="1"/>
  <c r="F649" i="1"/>
  <c r="D649" i="1"/>
  <c r="C649" i="1"/>
  <c r="H648" i="1"/>
  <c r="F648" i="1"/>
  <c r="D648" i="1"/>
  <c r="C648" i="1"/>
  <c r="H647" i="1"/>
  <c r="F647" i="1"/>
  <c r="D647" i="1"/>
  <c r="C647" i="1"/>
  <c r="H646" i="1"/>
  <c r="F646" i="1"/>
  <c r="D646" i="1"/>
  <c r="C646" i="1"/>
  <c r="H645" i="1"/>
  <c r="F645" i="1"/>
  <c r="D645" i="1"/>
  <c r="C645" i="1"/>
  <c r="H644" i="1"/>
  <c r="F644" i="1"/>
  <c r="D644" i="1"/>
  <c r="C644" i="1"/>
  <c r="H643" i="1"/>
  <c r="F643" i="1"/>
  <c r="D643" i="1"/>
  <c r="C643" i="1"/>
  <c r="H642" i="1"/>
  <c r="F642" i="1"/>
  <c r="D642" i="1"/>
  <c r="C642" i="1"/>
  <c r="H641" i="1"/>
  <c r="F641" i="1"/>
  <c r="D641" i="1"/>
  <c r="C641" i="1"/>
  <c r="H640" i="1"/>
  <c r="F640" i="1"/>
  <c r="D640" i="1"/>
  <c r="C640" i="1"/>
  <c r="H639" i="1"/>
  <c r="F639" i="1"/>
  <c r="D639" i="1"/>
  <c r="C639" i="1"/>
  <c r="H638" i="1"/>
  <c r="F638" i="1"/>
  <c r="D638" i="1"/>
  <c r="C638" i="1"/>
  <c r="H637" i="1"/>
  <c r="F637" i="1"/>
  <c r="D637" i="1"/>
  <c r="C637" i="1"/>
  <c r="H636" i="1"/>
  <c r="F636" i="1"/>
  <c r="D636" i="1"/>
  <c r="C636" i="1"/>
  <c r="H635" i="1"/>
  <c r="F635" i="1"/>
  <c r="D635" i="1"/>
  <c r="C635" i="1"/>
  <c r="H634" i="1"/>
  <c r="F634" i="1"/>
  <c r="D634" i="1"/>
  <c r="C634" i="1"/>
  <c r="H633" i="1"/>
  <c r="F633" i="1"/>
  <c r="D633" i="1"/>
  <c r="C633" i="1"/>
  <c r="H632" i="1"/>
  <c r="F632" i="1"/>
  <c r="D632" i="1"/>
  <c r="C632" i="1"/>
  <c r="H631" i="1"/>
  <c r="F631" i="1"/>
  <c r="D631" i="1"/>
  <c r="C631" i="1"/>
  <c r="H630" i="1"/>
  <c r="F630" i="1"/>
  <c r="D630" i="1"/>
  <c r="C630" i="1"/>
  <c r="H629" i="1"/>
  <c r="F629" i="1"/>
  <c r="D629" i="1"/>
  <c r="C629" i="1"/>
  <c r="H628" i="1"/>
  <c r="F628" i="1"/>
  <c r="D628" i="1"/>
  <c r="C628" i="1"/>
  <c r="H627" i="1"/>
  <c r="F627" i="1"/>
  <c r="D627" i="1"/>
  <c r="C627" i="1"/>
  <c r="H626" i="1"/>
  <c r="F626" i="1"/>
  <c r="D626" i="1"/>
  <c r="C626" i="1"/>
  <c r="H625" i="1"/>
  <c r="F625" i="1"/>
  <c r="D625" i="1"/>
  <c r="C625" i="1"/>
  <c r="H624" i="1"/>
  <c r="F624" i="1"/>
  <c r="D624" i="1"/>
  <c r="C624" i="1"/>
  <c r="H623" i="1"/>
  <c r="F623" i="1"/>
  <c r="D623" i="1"/>
  <c r="C623" i="1"/>
  <c r="H622" i="1"/>
  <c r="F622" i="1"/>
  <c r="D622" i="1"/>
  <c r="C622" i="1"/>
  <c r="H621" i="1"/>
  <c r="F621" i="1"/>
  <c r="D621" i="1"/>
  <c r="C621" i="1"/>
  <c r="H620" i="1"/>
  <c r="F620" i="1"/>
  <c r="D620" i="1"/>
  <c r="C620" i="1"/>
  <c r="H619" i="1"/>
  <c r="F619" i="1"/>
  <c r="D619" i="1"/>
  <c r="C619" i="1"/>
  <c r="H618" i="1"/>
  <c r="F618" i="1"/>
  <c r="D618" i="1"/>
  <c r="C618" i="1"/>
  <c r="H617" i="1"/>
  <c r="F617" i="1"/>
  <c r="D617" i="1"/>
  <c r="C617" i="1"/>
  <c r="H616" i="1"/>
  <c r="F616" i="1"/>
  <c r="D616" i="1"/>
  <c r="C616" i="1"/>
  <c r="H615" i="1"/>
  <c r="F615" i="1"/>
  <c r="D615" i="1"/>
  <c r="C615" i="1"/>
  <c r="H614" i="1"/>
  <c r="F614" i="1"/>
  <c r="D614" i="1"/>
  <c r="C614" i="1"/>
  <c r="H613" i="1"/>
  <c r="F613" i="1"/>
  <c r="D613" i="1"/>
  <c r="C613" i="1"/>
  <c r="H612" i="1"/>
  <c r="F612" i="1"/>
  <c r="D612" i="1"/>
  <c r="C612" i="1"/>
  <c r="H611" i="1"/>
  <c r="F611" i="1"/>
  <c r="D611" i="1"/>
  <c r="C611" i="1"/>
  <c r="H610" i="1"/>
  <c r="F610" i="1"/>
  <c r="D610" i="1"/>
  <c r="C610" i="1"/>
  <c r="H609" i="1"/>
  <c r="F609" i="1"/>
  <c r="D609" i="1"/>
  <c r="C609" i="1"/>
  <c r="H608" i="1"/>
  <c r="F608" i="1"/>
  <c r="D608" i="1"/>
  <c r="C608" i="1"/>
  <c r="H607" i="1"/>
  <c r="F607" i="1"/>
  <c r="D607" i="1"/>
  <c r="C607" i="1"/>
  <c r="H606" i="1"/>
  <c r="F606" i="1"/>
  <c r="D606" i="1"/>
  <c r="C606" i="1"/>
  <c r="H605" i="1"/>
  <c r="F605" i="1"/>
  <c r="D605" i="1"/>
  <c r="C605" i="1"/>
  <c r="H604" i="1"/>
  <c r="F604" i="1"/>
  <c r="D604" i="1"/>
  <c r="C604" i="1"/>
  <c r="H603" i="1"/>
  <c r="F603" i="1"/>
  <c r="D603" i="1"/>
  <c r="C603" i="1"/>
  <c r="H602" i="1"/>
  <c r="F602" i="1"/>
  <c r="D602" i="1"/>
  <c r="C602" i="1"/>
  <c r="H601" i="1"/>
  <c r="F601" i="1"/>
  <c r="D601" i="1"/>
  <c r="C601" i="1"/>
  <c r="H600" i="1"/>
  <c r="F600" i="1"/>
  <c r="D600" i="1"/>
  <c r="C600" i="1"/>
  <c r="H599" i="1"/>
  <c r="F599" i="1"/>
  <c r="D599" i="1"/>
  <c r="C599" i="1"/>
  <c r="H598" i="1"/>
  <c r="F598" i="1"/>
  <c r="D598" i="1"/>
  <c r="C598" i="1"/>
  <c r="H597" i="1"/>
  <c r="F597" i="1"/>
  <c r="D597" i="1"/>
  <c r="C597" i="1"/>
  <c r="H596" i="1"/>
  <c r="F596" i="1"/>
  <c r="D596" i="1"/>
  <c r="C596" i="1"/>
  <c r="H595" i="1"/>
  <c r="F595" i="1"/>
  <c r="D595" i="1"/>
  <c r="C595" i="1"/>
  <c r="H594" i="1"/>
  <c r="F594" i="1"/>
  <c r="D594" i="1"/>
  <c r="C594" i="1"/>
  <c r="H593" i="1"/>
  <c r="F593" i="1"/>
  <c r="D593" i="1"/>
  <c r="C593" i="1"/>
  <c r="H592" i="1"/>
  <c r="F592" i="1"/>
  <c r="D592" i="1"/>
  <c r="C592" i="1"/>
  <c r="H591" i="1"/>
  <c r="F591" i="1"/>
  <c r="D591" i="1"/>
  <c r="C591" i="1"/>
  <c r="H590" i="1"/>
  <c r="F590" i="1"/>
  <c r="D590" i="1"/>
  <c r="C590" i="1"/>
  <c r="H589" i="1"/>
  <c r="F589" i="1"/>
  <c r="D589" i="1"/>
  <c r="C589" i="1"/>
  <c r="H588" i="1"/>
  <c r="F588" i="1"/>
  <c r="D588" i="1"/>
  <c r="C588" i="1"/>
  <c r="H587" i="1"/>
  <c r="F587" i="1"/>
  <c r="D587" i="1"/>
  <c r="C587" i="1"/>
  <c r="H586" i="1"/>
  <c r="F586" i="1"/>
  <c r="D586" i="1"/>
  <c r="C586" i="1"/>
  <c r="H585" i="1"/>
  <c r="F585" i="1"/>
  <c r="D585" i="1"/>
  <c r="C585" i="1"/>
  <c r="H584" i="1"/>
  <c r="F584" i="1"/>
  <c r="D584" i="1"/>
  <c r="C584" i="1"/>
  <c r="H583" i="1"/>
  <c r="F583" i="1"/>
  <c r="D583" i="1"/>
  <c r="C583" i="1"/>
  <c r="H582" i="1"/>
  <c r="F582" i="1"/>
  <c r="D582" i="1"/>
  <c r="C582" i="1"/>
  <c r="H581" i="1"/>
  <c r="F581" i="1"/>
  <c r="D581" i="1"/>
  <c r="C581" i="1"/>
  <c r="H580" i="1"/>
  <c r="F580" i="1"/>
  <c r="D580" i="1"/>
  <c r="C580" i="1"/>
  <c r="H579" i="1"/>
  <c r="F579" i="1"/>
  <c r="D579" i="1"/>
  <c r="C579" i="1"/>
  <c r="H578" i="1"/>
  <c r="F578" i="1"/>
  <c r="D578" i="1"/>
  <c r="C578" i="1"/>
  <c r="H577" i="1"/>
  <c r="F577" i="1"/>
  <c r="D577" i="1"/>
  <c r="C577" i="1"/>
  <c r="H576" i="1"/>
  <c r="F576" i="1"/>
  <c r="D576" i="1"/>
  <c r="C576" i="1"/>
  <c r="H575" i="1"/>
  <c r="F575" i="1"/>
  <c r="D575" i="1"/>
  <c r="C575" i="1"/>
  <c r="H574" i="1"/>
  <c r="F574" i="1"/>
  <c r="D574" i="1"/>
  <c r="C574" i="1"/>
  <c r="H573" i="1"/>
  <c r="F573" i="1"/>
  <c r="D573" i="1"/>
  <c r="C573" i="1"/>
  <c r="H572" i="1"/>
  <c r="F572" i="1"/>
  <c r="D572" i="1"/>
  <c r="C572" i="1"/>
  <c r="H571" i="1"/>
  <c r="F571" i="1"/>
  <c r="D571" i="1"/>
  <c r="C571" i="1"/>
  <c r="H570" i="1"/>
  <c r="F570" i="1"/>
  <c r="D570" i="1"/>
  <c r="C570" i="1"/>
  <c r="H569" i="1"/>
  <c r="F569" i="1"/>
  <c r="D569" i="1"/>
  <c r="C569" i="1"/>
  <c r="H568" i="1"/>
  <c r="F568" i="1"/>
  <c r="D568" i="1"/>
  <c r="C568" i="1"/>
  <c r="H567" i="1"/>
  <c r="F567" i="1"/>
  <c r="D567" i="1"/>
  <c r="C567" i="1"/>
  <c r="H566" i="1"/>
  <c r="F566" i="1"/>
  <c r="D566" i="1"/>
  <c r="C566" i="1"/>
  <c r="H565" i="1"/>
  <c r="F565" i="1"/>
  <c r="D565" i="1"/>
  <c r="C565" i="1"/>
  <c r="H564" i="1"/>
  <c r="F564" i="1"/>
  <c r="D564" i="1"/>
  <c r="C564" i="1"/>
  <c r="H563" i="1"/>
  <c r="F563" i="1"/>
  <c r="D563" i="1"/>
  <c r="C563" i="1"/>
  <c r="H562" i="1"/>
  <c r="F562" i="1"/>
  <c r="D562" i="1"/>
  <c r="C562" i="1"/>
  <c r="H561" i="1"/>
  <c r="F561" i="1"/>
  <c r="D561" i="1"/>
  <c r="C561" i="1"/>
  <c r="H560" i="1"/>
  <c r="F560" i="1"/>
  <c r="D560" i="1"/>
  <c r="C560" i="1"/>
  <c r="H559" i="1"/>
  <c r="F559" i="1"/>
  <c r="D559" i="1"/>
  <c r="C559" i="1"/>
  <c r="H558" i="1"/>
  <c r="F558" i="1"/>
  <c r="D558" i="1"/>
  <c r="C558" i="1"/>
  <c r="H557" i="1"/>
  <c r="F557" i="1"/>
  <c r="D557" i="1"/>
  <c r="C557" i="1"/>
  <c r="H556" i="1"/>
  <c r="F556" i="1"/>
  <c r="D556" i="1"/>
  <c r="C556" i="1"/>
  <c r="H555" i="1"/>
  <c r="F555" i="1"/>
  <c r="D555" i="1"/>
  <c r="C555" i="1"/>
  <c r="H554" i="1"/>
  <c r="F554" i="1"/>
  <c r="D554" i="1"/>
  <c r="C554" i="1"/>
  <c r="H553" i="1"/>
  <c r="F553" i="1"/>
  <c r="D553" i="1"/>
  <c r="C553" i="1"/>
  <c r="H552" i="1"/>
  <c r="F552" i="1"/>
  <c r="D552" i="1"/>
  <c r="C552" i="1"/>
  <c r="H551" i="1"/>
  <c r="F551" i="1"/>
  <c r="D551" i="1"/>
  <c r="C551" i="1"/>
  <c r="H550" i="1"/>
  <c r="F550" i="1"/>
  <c r="D550" i="1"/>
  <c r="C550" i="1"/>
  <c r="H549" i="1"/>
  <c r="F549" i="1"/>
  <c r="D549" i="1"/>
  <c r="C549" i="1"/>
  <c r="H548" i="1"/>
  <c r="F548" i="1"/>
  <c r="D548" i="1"/>
  <c r="C548" i="1"/>
  <c r="H547" i="1"/>
  <c r="F547" i="1"/>
  <c r="D547" i="1"/>
  <c r="C547" i="1"/>
  <c r="H546" i="1"/>
  <c r="F546" i="1"/>
  <c r="D546" i="1"/>
  <c r="C546" i="1"/>
  <c r="H545" i="1"/>
  <c r="F545" i="1"/>
  <c r="D545" i="1"/>
  <c r="C545" i="1"/>
  <c r="H544" i="1"/>
  <c r="F544" i="1"/>
  <c r="D544" i="1"/>
  <c r="C544" i="1"/>
  <c r="H543" i="1"/>
  <c r="F543" i="1"/>
  <c r="D543" i="1"/>
  <c r="C543" i="1"/>
  <c r="H542" i="1"/>
  <c r="F542" i="1"/>
  <c r="D542" i="1"/>
  <c r="C542" i="1"/>
  <c r="H541" i="1"/>
  <c r="F541" i="1"/>
  <c r="D541" i="1"/>
  <c r="C541" i="1"/>
  <c r="H540" i="1"/>
  <c r="F540" i="1"/>
  <c r="D540" i="1"/>
  <c r="C540" i="1"/>
  <c r="H539" i="1"/>
  <c r="F539" i="1"/>
  <c r="D539" i="1"/>
  <c r="C539" i="1"/>
  <c r="H538" i="1"/>
  <c r="F538" i="1"/>
  <c r="D538" i="1"/>
  <c r="C538" i="1"/>
  <c r="H537" i="1"/>
  <c r="F537" i="1"/>
  <c r="D537" i="1"/>
  <c r="C537" i="1"/>
  <c r="H536" i="1"/>
  <c r="F536" i="1"/>
  <c r="D536" i="1"/>
  <c r="C536" i="1"/>
  <c r="H535" i="1"/>
  <c r="F535" i="1"/>
  <c r="D535" i="1"/>
  <c r="C535" i="1"/>
  <c r="H534" i="1"/>
  <c r="F534" i="1"/>
  <c r="D534" i="1"/>
  <c r="C534" i="1"/>
  <c r="H533" i="1"/>
  <c r="F533" i="1"/>
  <c r="D533" i="1"/>
  <c r="C533" i="1"/>
  <c r="H532" i="1"/>
  <c r="F532" i="1"/>
  <c r="D532" i="1"/>
  <c r="C532" i="1"/>
  <c r="H531" i="1"/>
  <c r="F531" i="1"/>
  <c r="D531" i="1"/>
  <c r="C531" i="1"/>
  <c r="H530" i="1"/>
  <c r="F530" i="1"/>
  <c r="D530" i="1"/>
  <c r="C530" i="1"/>
  <c r="H529" i="1"/>
  <c r="F529" i="1"/>
  <c r="D529" i="1"/>
  <c r="C529" i="1"/>
  <c r="H528" i="1"/>
  <c r="F528" i="1"/>
  <c r="D528" i="1"/>
  <c r="C528" i="1"/>
  <c r="H527" i="1"/>
  <c r="F527" i="1"/>
  <c r="D527" i="1"/>
  <c r="C527" i="1"/>
  <c r="H526" i="1"/>
  <c r="F526" i="1"/>
  <c r="D526" i="1"/>
  <c r="C526" i="1"/>
  <c r="H525" i="1"/>
  <c r="F525" i="1"/>
  <c r="D525" i="1"/>
  <c r="C525" i="1"/>
  <c r="H524" i="1"/>
  <c r="F524" i="1"/>
  <c r="D524" i="1"/>
  <c r="C524" i="1"/>
  <c r="H523" i="1"/>
  <c r="F523" i="1"/>
  <c r="D523" i="1"/>
  <c r="C523" i="1"/>
  <c r="H522" i="1"/>
  <c r="F522" i="1"/>
  <c r="D522" i="1"/>
  <c r="C522" i="1"/>
  <c r="H521" i="1"/>
  <c r="F521" i="1"/>
  <c r="D521" i="1"/>
  <c r="C521" i="1"/>
  <c r="H520" i="1"/>
  <c r="F520" i="1"/>
  <c r="D520" i="1"/>
  <c r="C520" i="1"/>
  <c r="H519" i="1"/>
  <c r="F519" i="1"/>
  <c r="D519" i="1"/>
  <c r="C519" i="1"/>
  <c r="H518" i="1"/>
  <c r="F518" i="1"/>
  <c r="D518" i="1"/>
  <c r="C518" i="1"/>
  <c r="H517" i="1"/>
  <c r="F517" i="1"/>
  <c r="D517" i="1"/>
  <c r="C517" i="1"/>
  <c r="H516" i="1"/>
  <c r="F516" i="1"/>
  <c r="D516" i="1"/>
  <c r="C516" i="1"/>
  <c r="H515" i="1"/>
  <c r="F515" i="1"/>
  <c r="D515" i="1"/>
  <c r="C515" i="1"/>
  <c r="H514" i="1"/>
  <c r="F514" i="1"/>
  <c r="D514" i="1"/>
  <c r="C514" i="1"/>
  <c r="H513" i="1"/>
  <c r="F513" i="1"/>
  <c r="D513" i="1"/>
  <c r="C513" i="1"/>
  <c r="H512" i="1"/>
  <c r="F512" i="1"/>
  <c r="D512" i="1"/>
  <c r="C512" i="1"/>
  <c r="H511" i="1"/>
  <c r="F511" i="1"/>
  <c r="D511" i="1"/>
  <c r="C511" i="1"/>
  <c r="H510" i="1"/>
  <c r="F510" i="1"/>
  <c r="D510" i="1"/>
  <c r="C510" i="1"/>
  <c r="H509" i="1"/>
  <c r="F509" i="1"/>
  <c r="D509" i="1"/>
  <c r="C509" i="1"/>
  <c r="H508" i="1"/>
  <c r="F508" i="1"/>
  <c r="D508" i="1"/>
  <c r="C508" i="1"/>
  <c r="H507" i="1"/>
  <c r="F507" i="1"/>
  <c r="D507" i="1"/>
  <c r="C507" i="1"/>
  <c r="H506" i="1"/>
  <c r="F506" i="1"/>
  <c r="D506" i="1"/>
  <c r="C506" i="1"/>
  <c r="H505" i="1"/>
  <c r="F505" i="1"/>
  <c r="D505" i="1"/>
  <c r="C505" i="1"/>
  <c r="H504" i="1"/>
  <c r="F504" i="1"/>
  <c r="D504" i="1"/>
  <c r="C504" i="1"/>
  <c r="H503" i="1"/>
  <c r="F503" i="1"/>
  <c r="D503" i="1"/>
  <c r="C503" i="1"/>
  <c r="H502" i="1"/>
  <c r="F502" i="1"/>
  <c r="D502" i="1"/>
  <c r="C502" i="1"/>
  <c r="H501" i="1"/>
  <c r="F501" i="1"/>
  <c r="D501" i="1"/>
  <c r="C501" i="1"/>
  <c r="H500" i="1"/>
  <c r="F500" i="1"/>
  <c r="D500" i="1"/>
  <c r="C500" i="1"/>
  <c r="H499" i="1"/>
  <c r="F499" i="1"/>
  <c r="D499" i="1"/>
  <c r="C499" i="1"/>
  <c r="H498" i="1"/>
  <c r="F498" i="1"/>
  <c r="D498" i="1"/>
  <c r="C498" i="1"/>
  <c r="H497" i="1"/>
  <c r="F497" i="1"/>
  <c r="D497" i="1"/>
  <c r="C497" i="1"/>
  <c r="H496" i="1"/>
  <c r="F496" i="1"/>
  <c r="D496" i="1"/>
  <c r="C496" i="1"/>
  <c r="H495" i="1"/>
  <c r="F495" i="1"/>
  <c r="D495" i="1"/>
  <c r="C495" i="1"/>
  <c r="H494" i="1"/>
  <c r="F494" i="1"/>
  <c r="D494" i="1"/>
  <c r="C494" i="1"/>
  <c r="H493" i="1"/>
  <c r="F493" i="1"/>
  <c r="D493" i="1"/>
  <c r="C493" i="1"/>
  <c r="H492" i="1"/>
  <c r="F492" i="1"/>
  <c r="D492" i="1"/>
  <c r="C492" i="1"/>
  <c r="H491" i="1"/>
  <c r="F491" i="1"/>
  <c r="D491" i="1"/>
  <c r="C491" i="1"/>
  <c r="H490" i="1"/>
  <c r="F490" i="1"/>
  <c r="D490" i="1"/>
  <c r="C490" i="1"/>
  <c r="H489" i="1"/>
  <c r="F489" i="1"/>
  <c r="D489" i="1"/>
  <c r="C489" i="1"/>
  <c r="H488" i="1"/>
  <c r="F488" i="1"/>
  <c r="D488" i="1"/>
  <c r="C488" i="1"/>
  <c r="H487" i="1"/>
  <c r="F487" i="1"/>
  <c r="D487" i="1"/>
  <c r="C487" i="1"/>
  <c r="H486" i="1"/>
  <c r="F486" i="1"/>
  <c r="D486" i="1"/>
  <c r="C486" i="1"/>
  <c r="H485" i="1"/>
  <c r="F485" i="1"/>
  <c r="D485" i="1"/>
  <c r="C485" i="1"/>
  <c r="H484" i="1"/>
  <c r="F484" i="1"/>
  <c r="D484" i="1"/>
  <c r="C484" i="1"/>
  <c r="H483" i="1"/>
  <c r="F483" i="1"/>
  <c r="D483" i="1"/>
  <c r="C483" i="1"/>
  <c r="H482" i="1"/>
  <c r="F482" i="1"/>
  <c r="D482" i="1"/>
  <c r="C482" i="1"/>
  <c r="H481" i="1"/>
  <c r="F481" i="1"/>
  <c r="D481" i="1"/>
  <c r="C481" i="1"/>
  <c r="H480" i="1"/>
  <c r="F480" i="1"/>
  <c r="D480" i="1"/>
  <c r="C480" i="1"/>
  <c r="H479" i="1"/>
  <c r="F479" i="1"/>
  <c r="D479" i="1"/>
  <c r="C479" i="1"/>
  <c r="H478" i="1"/>
  <c r="F478" i="1"/>
  <c r="D478" i="1"/>
  <c r="C478" i="1"/>
  <c r="H477" i="1"/>
  <c r="F477" i="1"/>
  <c r="D477" i="1"/>
  <c r="C477" i="1"/>
  <c r="H476" i="1"/>
  <c r="F476" i="1"/>
  <c r="D476" i="1"/>
  <c r="C476" i="1"/>
  <c r="H475" i="1"/>
  <c r="F475" i="1"/>
  <c r="D475" i="1"/>
  <c r="C475" i="1"/>
  <c r="H474" i="1"/>
  <c r="F474" i="1"/>
  <c r="D474" i="1"/>
  <c r="C474" i="1"/>
  <c r="H473" i="1"/>
  <c r="F473" i="1"/>
  <c r="D473" i="1"/>
  <c r="C473" i="1"/>
  <c r="H472" i="1"/>
  <c r="F472" i="1"/>
  <c r="D472" i="1"/>
  <c r="C472" i="1"/>
  <c r="H471" i="1"/>
  <c r="F471" i="1"/>
  <c r="D471" i="1"/>
  <c r="C471" i="1"/>
  <c r="H470" i="1"/>
  <c r="F470" i="1"/>
  <c r="D470" i="1"/>
  <c r="C470" i="1"/>
  <c r="H469" i="1"/>
  <c r="F469" i="1"/>
  <c r="D469" i="1"/>
  <c r="C469" i="1"/>
  <c r="H468" i="1"/>
  <c r="F468" i="1"/>
  <c r="D468" i="1"/>
  <c r="C468" i="1"/>
  <c r="H467" i="1"/>
  <c r="F467" i="1"/>
  <c r="D467" i="1"/>
  <c r="C467" i="1"/>
  <c r="H466" i="1"/>
  <c r="F466" i="1"/>
  <c r="D466" i="1"/>
  <c r="C466" i="1"/>
  <c r="H465" i="1"/>
  <c r="F465" i="1"/>
  <c r="D465" i="1"/>
  <c r="C465" i="1"/>
  <c r="H464" i="1"/>
  <c r="F464" i="1"/>
  <c r="D464" i="1"/>
  <c r="C464" i="1"/>
  <c r="H463" i="1"/>
  <c r="F463" i="1"/>
  <c r="D463" i="1"/>
  <c r="C463" i="1"/>
  <c r="H462" i="1"/>
  <c r="F462" i="1"/>
  <c r="D462" i="1"/>
  <c r="C462" i="1"/>
  <c r="H461" i="1"/>
  <c r="F461" i="1"/>
  <c r="D461" i="1"/>
  <c r="C461" i="1"/>
  <c r="H460" i="1"/>
  <c r="F460" i="1"/>
  <c r="D460" i="1"/>
  <c r="C460" i="1"/>
  <c r="H459" i="1"/>
  <c r="F459" i="1"/>
  <c r="D459" i="1"/>
  <c r="C459" i="1"/>
  <c r="H458" i="1"/>
  <c r="F458" i="1"/>
  <c r="D458" i="1"/>
  <c r="C458" i="1"/>
  <c r="H457" i="1"/>
  <c r="F457" i="1"/>
  <c r="D457" i="1"/>
  <c r="C457" i="1"/>
  <c r="H456" i="1"/>
  <c r="F456" i="1"/>
  <c r="D456" i="1"/>
  <c r="C456" i="1"/>
  <c r="H455" i="1"/>
  <c r="F455" i="1"/>
  <c r="D455" i="1"/>
  <c r="C455" i="1"/>
  <c r="H454" i="1"/>
  <c r="F454" i="1"/>
  <c r="D454" i="1"/>
  <c r="C454" i="1"/>
  <c r="H453" i="1"/>
  <c r="F453" i="1"/>
  <c r="D453" i="1"/>
  <c r="C453" i="1"/>
  <c r="H452" i="1"/>
  <c r="F452" i="1"/>
  <c r="D452" i="1"/>
  <c r="C452" i="1"/>
  <c r="H451" i="1"/>
  <c r="F451" i="1"/>
  <c r="D451" i="1"/>
  <c r="C451" i="1"/>
  <c r="H450" i="1"/>
  <c r="F450" i="1"/>
  <c r="D450" i="1"/>
  <c r="C450" i="1"/>
  <c r="H449" i="1"/>
  <c r="F449" i="1"/>
  <c r="D449" i="1"/>
  <c r="C449" i="1"/>
  <c r="H448" i="1"/>
  <c r="F448" i="1"/>
  <c r="D448" i="1"/>
  <c r="C448" i="1"/>
  <c r="H447" i="1"/>
  <c r="F447" i="1"/>
  <c r="D447" i="1"/>
  <c r="C447" i="1"/>
  <c r="H446" i="1"/>
  <c r="F446" i="1"/>
  <c r="D446" i="1"/>
  <c r="C446" i="1"/>
  <c r="H445" i="1"/>
  <c r="F445" i="1"/>
  <c r="D445" i="1"/>
  <c r="C445" i="1"/>
  <c r="H444" i="1"/>
  <c r="F444" i="1"/>
  <c r="D444" i="1"/>
  <c r="C444" i="1"/>
  <c r="H443" i="1"/>
  <c r="F443" i="1"/>
  <c r="D443" i="1"/>
  <c r="C443" i="1"/>
  <c r="H442" i="1"/>
  <c r="F442" i="1"/>
  <c r="D442" i="1"/>
  <c r="C442" i="1"/>
  <c r="H441" i="1"/>
  <c r="F441" i="1"/>
  <c r="D441" i="1"/>
  <c r="C441" i="1"/>
  <c r="H440" i="1"/>
  <c r="F440" i="1"/>
  <c r="D440" i="1"/>
  <c r="C440" i="1"/>
  <c r="H439" i="1"/>
  <c r="F439" i="1"/>
  <c r="D439" i="1"/>
  <c r="C439" i="1"/>
  <c r="H438" i="1"/>
  <c r="F438" i="1"/>
  <c r="D438" i="1"/>
  <c r="C438" i="1"/>
  <c r="H437" i="1"/>
  <c r="F437" i="1"/>
  <c r="D437" i="1"/>
  <c r="C437" i="1"/>
  <c r="H436" i="1"/>
  <c r="F436" i="1"/>
  <c r="D436" i="1"/>
  <c r="C436" i="1"/>
  <c r="H435" i="1"/>
  <c r="F435" i="1"/>
  <c r="D435" i="1"/>
  <c r="C435" i="1"/>
  <c r="H434" i="1"/>
  <c r="F434" i="1"/>
  <c r="D434" i="1"/>
  <c r="C434" i="1"/>
  <c r="H433" i="1"/>
  <c r="F433" i="1"/>
  <c r="D433" i="1"/>
  <c r="C433" i="1"/>
  <c r="H432" i="1"/>
  <c r="F432" i="1"/>
  <c r="D432" i="1"/>
  <c r="C432" i="1"/>
  <c r="H431" i="1"/>
  <c r="F431" i="1"/>
  <c r="D431" i="1"/>
  <c r="C431" i="1"/>
  <c r="H430" i="1"/>
  <c r="F430" i="1"/>
  <c r="D430" i="1"/>
  <c r="C430" i="1"/>
  <c r="H429" i="1"/>
  <c r="F429" i="1"/>
  <c r="D429" i="1"/>
  <c r="C429" i="1"/>
  <c r="H428" i="1"/>
  <c r="F428" i="1"/>
  <c r="D428" i="1"/>
  <c r="C428" i="1"/>
  <c r="H427" i="1"/>
  <c r="F427" i="1"/>
  <c r="D427" i="1"/>
  <c r="C427" i="1"/>
  <c r="H426" i="1"/>
  <c r="F426" i="1"/>
  <c r="D426" i="1"/>
  <c r="C426" i="1"/>
  <c r="H425" i="1"/>
  <c r="F425" i="1"/>
  <c r="D425" i="1"/>
  <c r="C425" i="1"/>
  <c r="H424" i="1"/>
  <c r="F424" i="1"/>
  <c r="D424" i="1"/>
  <c r="C424" i="1"/>
  <c r="H423" i="1"/>
  <c r="F423" i="1"/>
  <c r="D423" i="1"/>
  <c r="C423" i="1"/>
  <c r="H422" i="1"/>
  <c r="F422" i="1"/>
  <c r="D422" i="1"/>
  <c r="C422" i="1"/>
  <c r="H421" i="1"/>
  <c r="F421" i="1"/>
  <c r="D421" i="1"/>
  <c r="C421" i="1"/>
  <c r="H420" i="1"/>
  <c r="F420" i="1"/>
  <c r="D420" i="1"/>
  <c r="C420" i="1"/>
  <c r="H419" i="1"/>
  <c r="F419" i="1"/>
  <c r="D419" i="1"/>
  <c r="C419" i="1"/>
  <c r="H418" i="1"/>
  <c r="F418" i="1"/>
  <c r="D418" i="1"/>
  <c r="C418" i="1"/>
  <c r="H417" i="1"/>
  <c r="F417" i="1"/>
  <c r="D417" i="1"/>
  <c r="C417" i="1"/>
  <c r="H416" i="1"/>
  <c r="F416" i="1"/>
  <c r="D416" i="1"/>
  <c r="C416" i="1"/>
  <c r="H415" i="1"/>
  <c r="F415" i="1"/>
  <c r="D415" i="1"/>
  <c r="C415" i="1"/>
  <c r="H414" i="1"/>
  <c r="F414" i="1"/>
  <c r="D414" i="1"/>
  <c r="C414" i="1"/>
  <c r="H413" i="1"/>
  <c r="F413" i="1"/>
  <c r="D413" i="1"/>
  <c r="C413" i="1"/>
  <c r="H412" i="1"/>
  <c r="F412" i="1"/>
  <c r="D412" i="1"/>
  <c r="C412" i="1"/>
  <c r="H411" i="1"/>
  <c r="F411" i="1"/>
  <c r="D411" i="1"/>
  <c r="C411" i="1"/>
  <c r="H410" i="1"/>
  <c r="F410" i="1"/>
  <c r="D410" i="1"/>
  <c r="C410" i="1"/>
  <c r="H409" i="1"/>
  <c r="F409" i="1"/>
  <c r="D409" i="1"/>
  <c r="C409" i="1"/>
  <c r="H408" i="1"/>
  <c r="F408" i="1"/>
  <c r="D408" i="1"/>
  <c r="C408" i="1"/>
  <c r="H407" i="1"/>
  <c r="F407" i="1"/>
  <c r="D407" i="1"/>
  <c r="C407" i="1"/>
  <c r="H406" i="1"/>
  <c r="F406" i="1"/>
  <c r="D406" i="1"/>
  <c r="C406" i="1"/>
  <c r="H405" i="1"/>
  <c r="F405" i="1"/>
  <c r="D405" i="1"/>
  <c r="C405" i="1"/>
  <c r="H404" i="1"/>
  <c r="F404" i="1"/>
  <c r="D404" i="1"/>
  <c r="C404" i="1"/>
  <c r="H403" i="1"/>
  <c r="F403" i="1"/>
  <c r="D403" i="1"/>
  <c r="C403" i="1"/>
  <c r="H402" i="1"/>
  <c r="F402" i="1"/>
  <c r="D402" i="1"/>
  <c r="C402" i="1"/>
  <c r="H401" i="1"/>
  <c r="F401" i="1"/>
  <c r="D401" i="1"/>
  <c r="C401" i="1"/>
  <c r="H400" i="1"/>
  <c r="F400" i="1"/>
  <c r="D400" i="1"/>
  <c r="C400" i="1"/>
  <c r="H399" i="1"/>
  <c r="F399" i="1"/>
  <c r="D399" i="1"/>
  <c r="C399" i="1"/>
  <c r="H398" i="1"/>
  <c r="F398" i="1"/>
  <c r="D398" i="1"/>
  <c r="C398" i="1"/>
  <c r="H397" i="1"/>
  <c r="F397" i="1"/>
  <c r="D397" i="1"/>
  <c r="C397" i="1"/>
  <c r="H396" i="1"/>
  <c r="F396" i="1"/>
  <c r="D396" i="1"/>
  <c r="C396" i="1"/>
  <c r="H395" i="1"/>
  <c r="F395" i="1"/>
  <c r="D395" i="1"/>
  <c r="C395" i="1"/>
  <c r="H394" i="1"/>
  <c r="F394" i="1"/>
  <c r="D394" i="1"/>
  <c r="C394" i="1"/>
  <c r="H393" i="1"/>
  <c r="F393" i="1"/>
  <c r="D393" i="1"/>
  <c r="C393" i="1"/>
  <c r="H392" i="1"/>
  <c r="F392" i="1"/>
  <c r="D392" i="1"/>
  <c r="C392" i="1"/>
  <c r="H391" i="1"/>
  <c r="F391" i="1"/>
  <c r="D391" i="1"/>
  <c r="C391" i="1"/>
  <c r="H390" i="1"/>
  <c r="F390" i="1"/>
  <c r="D390" i="1"/>
  <c r="C390" i="1"/>
  <c r="H389" i="1"/>
  <c r="F389" i="1"/>
  <c r="D389" i="1"/>
  <c r="C389" i="1"/>
  <c r="H388" i="1"/>
  <c r="F388" i="1"/>
  <c r="D388" i="1"/>
  <c r="C388" i="1"/>
  <c r="H387" i="1"/>
  <c r="F387" i="1"/>
  <c r="D387" i="1"/>
  <c r="C387" i="1"/>
  <c r="H386" i="1"/>
  <c r="F386" i="1"/>
  <c r="D386" i="1"/>
  <c r="C386" i="1"/>
  <c r="H385" i="1"/>
  <c r="F385" i="1"/>
  <c r="D385" i="1"/>
  <c r="C385" i="1"/>
  <c r="H384" i="1"/>
  <c r="F384" i="1"/>
  <c r="D384" i="1"/>
  <c r="C384" i="1"/>
  <c r="H383" i="1"/>
  <c r="F383" i="1"/>
  <c r="D383" i="1"/>
  <c r="C383" i="1"/>
  <c r="H382" i="1"/>
  <c r="F382" i="1"/>
  <c r="D382" i="1"/>
  <c r="C382" i="1"/>
  <c r="H381" i="1"/>
  <c r="F381" i="1"/>
  <c r="D381" i="1"/>
  <c r="C381" i="1"/>
  <c r="H380" i="1"/>
  <c r="F380" i="1"/>
  <c r="D380" i="1"/>
  <c r="C380" i="1"/>
  <c r="H379" i="1"/>
  <c r="F379" i="1"/>
  <c r="D379" i="1"/>
  <c r="C379" i="1"/>
  <c r="H378" i="1"/>
  <c r="F378" i="1"/>
  <c r="D378" i="1"/>
  <c r="C378" i="1"/>
  <c r="H377" i="1"/>
  <c r="F377" i="1"/>
  <c r="D377" i="1"/>
  <c r="C377" i="1"/>
  <c r="H376" i="1"/>
  <c r="F376" i="1"/>
  <c r="D376" i="1"/>
  <c r="C376" i="1"/>
  <c r="H375" i="1"/>
  <c r="F375" i="1"/>
  <c r="D375" i="1"/>
  <c r="C375" i="1"/>
  <c r="H374" i="1"/>
  <c r="F374" i="1"/>
  <c r="D374" i="1"/>
  <c r="C374" i="1"/>
  <c r="H373" i="1"/>
  <c r="F373" i="1"/>
  <c r="D373" i="1"/>
  <c r="C373" i="1"/>
  <c r="H372" i="1"/>
  <c r="F372" i="1"/>
  <c r="D372" i="1"/>
  <c r="C372" i="1"/>
  <c r="H371" i="1"/>
  <c r="F371" i="1"/>
  <c r="D371" i="1"/>
  <c r="C371" i="1"/>
  <c r="H370" i="1"/>
  <c r="F370" i="1"/>
  <c r="D370" i="1"/>
  <c r="C370" i="1"/>
  <c r="H369" i="1"/>
  <c r="F369" i="1"/>
  <c r="D369" i="1"/>
  <c r="C369" i="1"/>
  <c r="H368" i="1"/>
  <c r="F368" i="1"/>
  <c r="D368" i="1"/>
  <c r="C368" i="1"/>
  <c r="H367" i="1"/>
  <c r="F367" i="1"/>
  <c r="D367" i="1"/>
  <c r="C367" i="1"/>
  <c r="H366" i="1"/>
  <c r="F366" i="1"/>
  <c r="D366" i="1"/>
  <c r="C366" i="1"/>
  <c r="H365" i="1"/>
  <c r="F365" i="1"/>
  <c r="D365" i="1"/>
  <c r="C365" i="1"/>
  <c r="H364" i="1"/>
  <c r="F364" i="1"/>
  <c r="D364" i="1"/>
  <c r="C364" i="1"/>
  <c r="H363" i="1"/>
  <c r="F363" i="1"/>
  <c r="D363" i="1"/>
  <c r="C363" i="1"/>
  <c r="H362" i="1"/>
  <c r="F362" i="1"/>
  <c r="D362" i="1"/>
  <c r="C362" i="1"/>
  <c r="H361" i="1"/>
  <c r="F361" i="1"/>
  <c r="D361" i="1"/>
  <c r="C361" i="1"/>
  <c r="H360" i="1"/>
  <c r="F360" i="1"/>
  <c r="D360" i="1"/>
  <c r="C360" i="1"/>
  <c r="H359" i="1"/>
  <c r="F359" i="1"/>
  <c r="D359" i="1"/>
  <c r="C359" i="1"/>
  <c r="H358" i="1"/>
  <c r="F358" i="1"/>
  <c r="D358" i="1"/>
  <c r="C358" i="1"/>
  <c r="H357" i="1"/>
  <c r="F357" i="1"/>
  <c r="D357" i="1"/>
  <c r="C357" i="1"/>
  <c r="H356" i="1"/>
  <c r="F356" i="1"/>
  <c r="D356" i="1"/>
  <c r="C356" i="1"/>
  <c r="H355" i="1"/>
  <c r="F355" i="1"/>
  <c r="D355" i="1"/>
  <c r="C355" i="1"/>
  <c r="H354" i="1"/>
  <c r="F354" i="1"/>
  <c r="D354" i="1"/>
  <c r="C354" i="1"/>
  <c r="H353" i="1"/>
  <c r="F353" i="1"/>
  <c r="D353" i="1"/>
  <c r="C353" i="1"/>
  <c r="H352" i="1"/>
  <c r="F352" i="1"/>
  <c r="D352" i="1"/>
  <c r="C352" i="1"/>
  <c r="H351" i="1"/>
  <c r="F351" i="1"/>
  <c r="D351" i="1"/>
  <c r="C351" i="1"/>
  <c r="H350" i="1"/>
  <c r="F350" i="1"/>
  <c r="D350" i="1"/>
  <c r="C350" i="1"/>
  <c r="H349" i="1"/>
  <c r="F349" i="1"/>
  <c r="D349" i="1"/>
  <c r="C349" i="1"/>
  <c r="H348" i="1"/>
  <c r="F348" i="1"/>
  <c r="D348" i="1"/>
  <c r="C348" i="1"/>
  <c r="H347" i="1"/>
  <c r="F347" i="1"/>
  <c r="D347" i="1"/>
  <c r="C347" i="1"/>
  <c r="H346" i="1"/>
  <c r="F346" i="1"/>
  <c r="D346" i="1"/>
  <c r="C346" i="1"/>
  <c r="H345" i="1"/>
  <c r="F345" i="1"/>
  <c r="D345" i="1"/>
  <c r="C345" i="1"/>
  <c r="H344" i="1"/>
  <c r="F344" i="1"/>
  <c r="D344" i="1"/>
  <c r="C344" i="1"/>
  <c r="H343" i="1"/>
  <c r="F343" i="1"/>
  <c r="D343" i="1"/>
  <c r="C343" i="1"/>
  <c r="H342" i="1"/>
  <c r="F342" i="1"/>
  <c r="D342" i="1"/>
  <c r="C342" i="1"/>
  <c r="H341" i="1"/>
  <c r="F341" i="1"/>
  <c r="D341" i="1"/>
  <c r="C341" i="1"/>
  <c r="H340" i="1"/>
  <c r="F340" i="1"/>
  <c r="D340" i="1"/>
  <c r="C340" i="1"/>
  <c r="H339" i="1"/>
  <c r="F339" i="1"/>
  <c r="D339" i="1"/>
  <c r="C339" i="1"/>
  <c r="H338" i="1"/>
  <c r="F338" i="1"/>
  <c r="D338" i="1"/>
  <c r="C338" i="1"/>
  <c r="H337" i="1"/>
  <c r="F337" i="1"/>
  <c r="D337" i="1"/>
  <c r="C337" i="1"/>
  <c r="H336" i="1"/>
  <c r="F336" i="1"/>
  <c r="D336" i="1"/>
  <c r="C336" i="1"/>
  <c r="H335" i="1"/>
  <c r="F335" i="1"/>
  <c r="D335" i="1"/>
  <c r="C335" i="1"/>
  <c r="H334" i="1"/>
  <c r="F334" i="1"/>
  <c r="D334" i="1"/>
  <c r="C334" i="1"/>
  <c r="H333" i="1"/>
  <c r="F333" i="1"/>
  <c r="D333" i="1"/>
  <c r="C333" i="1"/>
  <c r="H332" i="1"/>
  <c r="F332" i="1"/>
  <c r="D332" i="1"/>
  <c r="C332" i="1"/>
  <c r="H331" i="1"/>
  <c r="F331" i="1"/>
  <c r="D331" i="1"/>
  <c r="C331" i="1"/>
  <c r="H330" i="1"/>
  <c r="F330" i="1"/>
  <c r="D330" i="1"/>
  <c r="C330" i="1"/>
  <c r="H329" i="1"/>
  <c r="F329" i="1"/>
  <c r="D329" i="1"/>
  <c r="C329" i="1"/>
  <c r="H328" i="1"/>
  <c r="F328" i="1"/>
  <c r="D328" i="1"/>
  <c r="C328" i="1"/>
  <c r="H327" i="1"/>
  <c r="F327" i="1"/>
  <c r="D327" i="1"/>
  <c r="C327" i="1"/>
  <c r="H326" i="1"/>
  <c r="F326" i="1"/>
  <c r="D326" i="1"/>
  <c r="C326" i="1"/>
  <c r="H325" i="1"/>
  <c r="F325" i="1"/>
  <c r="D325" i="1"/>
  <c r="C325" i="1"/>
  <c r="H324" i="1"/>
  <c r="F324" i="1"/>
  <c r="D324" i="1"/>
  <c r="C324" i="1"/>
  <c r="H323" i="1"/>
  <c r="F323" i="1"/>
  <c r="D323" i="1"/>
  <c r="C323" i="1"/>
  <c r="H322" i="1"/>
  <c r="F322" i="1"/>
  <c r="D322" i="1"/>
  <c r="C322" i="1"/>
  <c r="H321" i="1"/>
  <c r="F321" i="1"/>
  <c r="D321" i="1"/>
  <c r="C321" i="1"/>
  <c r="H320" i="1"/>
  <c r="F320" i="1"/>
  <c r="D320" i="1"/>
  <c r="C320" i="1"/>
  <c r="H319" i="1"/>
  <c r="F319" i="1"/>
  <c r="D319" i="1"/>
  <c r="C319" i="1"/>
  <c r="H318" i="1"/>
  <c r="F318" i="1"/>
  <c r="D318" i="1"/>
  <c r="C318" i="1"/>
  <c r="H317" i="1"/>
  <c r="F317" i="1"/>
  <c r="D317" i="1"/>
  <c r="C317" i="1"/>
  <c r="H316" i="1"/>
  <c r="F316" i="1"/>
  <c r="D316" i="1"/>
  <c r="C316" i="1"/>
  <c r="H315" i="1"/>
  <c r="F315" i="1"/>
  <c r="D315" i="1"/>
  <c r="C315" i="1"/>
  <c r="H314" i="1"/>
  <c r="F314" i="1"/>
  <c r="D314" i="1"/>
  <c r="C314" i="1"/>
  <c r="H313" i="1"/>
  <c r="F313" i="1"/>
  <c r="D313" i="1"/>
  <c r="C313" i="1"/>
  <c r="H312" i="1"/>
  <c r="F312" i="1"/>
  <c r="D312" i="1"/>
  <c r="C312" i="1"/>
  <c r="H311" i="1"/>
  <c r="F311" i="1"/>
  <c r="D311" i="1"/>
  <c r="C311" i="1"/>
  <c r="H310" i="1"/>
  <c r="F310" i="1"/>
  <c r="D310" i="1"/>
  <c r="C310" i="1"/>
  <c r="H309" i="1"/>
  <c r="F309" i="1"/>
  <c r="D309" i="1"/>
  <c r="C309" i="1"/>
  <c r="H308" i="1"/>
  <c r="F308" i="1"/>
  <c r="D308" i="1"/>
  <c r="C308" i="1"/>
  <c r="H307" i="1"/>
  <c r="F307" i="1"/>
  <c r="D307" i="1"/>
  <c r="C307" i="1"/>
  <c r="H306" i="1"/>
  <c r="F306" i="1"/>
  <c r="D306" i="1"/>
  <c r="C306" i="1"/>
  <c r="H305" i="1"/>
  <c r="F305" i="1"/>
  <c r="D305" i="1"/>
  <c r="C305" i="1"/>
  <c r="H304" i="1"/>
  <c r="F304" i="1"/>
  <c r="D304" i="1"/>
  <c r="C304" i="1"/>
  <c r="H303" i="1"/>
  <c r="F303" i="1"/>
  <c r="D303" i="1"/>
  <c r="C303" i="1"/>
  <c r="H302" i="1"/>
  <c r="F302" i="1"/>
  <c r="D302" i="1"/>
  <c r="C302" i="1"/>
  <c r="H301" i="1"/>
  <c r="F301" i="1"/>
  <c r="D301" i="1"/>
  <c r="C301" i="1"/>
  <c r="H300" i="1"/>
  <c r="F300" i="1"/>
  <c r="D300" i="1"/>
  <c r="C300" i="1"/>
  <c r="H299" i="1"/>
  <c r="F299" i="1"/>
  <c r="D299" i="1"/>
  <c r="C299" i="1"/>
  <c r="H298" i="1"/>
  <c r="F298" i="1"/>
  <c r="D298" i="1"/>
  <c r="C298" i="1"/>
  <c r="H297" i="1"/>
  <c r="F297" i="1"/>
  <c r="D297" i="1"/>
  <c r="C297" i="1"/>
  <c r="H296" i="1"/>
  <c r="F296" i="1"/>
  <c r="D296" i="1"/>
  <c r="C296" i="1"/>
  <c r="H295" i="1"/>
  <c r="F295" i="1"/>
  <c r="D295" i="1"/>
  <c r="C295" i="1"/>
  <c r="H294" i="1"/>
  <c r="F294" i="1"/>
  <c r="D294" i="1"/>
  <c r="C294" i="1"/>
  <c r="H293" i="1"/>
  <c r="F293" i="1"/>
  <c r="D293" i="1"/>
  <c r="C293" i="1"/>
  <c r="H292" i="1"/>
  <c r="F292" i="1"/>
  <c r="D292" i="1"/>
  <c r="C292" i="1"/>
  <c r="H291" i="1"/>
  <c r="F291" i="1"/>
  <c r="D291" i="1"/>
  <c r="C291" i="1"/>
  <c r="H290" i="1"/>
  <c r="F290" i="1"/>
  <c r="D290" i="1"/>
  <c r="C290" i="1"/>
  <c r="H289" i="1"/>
  <c r="F289" i="1"/>
  <c r="D289" i="1"/>
  <c r="C289" i="1"/>
  <c r="H288" i="1"/>
  <c r="F288" i="1"/>
  <c r="D288" i="1"/>
  <c r="C288" i="1"/>
  <c r="H287" i="1"/>
  <c r="F287" i="1"/>
  <c r="D287" i="1"/>
  <c r="C287" i="1"/>
  <c r="H286" i="1"/>
  <c r="F286" i="1"/>
  <c r="D286" i="1"/>
  <c r="C286" i="1"/>
  <c r="H285" i="1"/>
  <c r="F285" i="1"/>
  <c r="D285" i="1"/>
  <c r="C285" i="1"/>
  <c r="H284" i="1"/>
  <c r="F284" i="1"/>
  <c r="D284" i="1"/>
  <c r="C284" i="1"/>
  <c r="H283" i="1"/>
  <c r="F283" i="1"/>
  <c r="D283" i="1"/>
  <c r="C283" i="1"/>
  <c r="H282" i="1"/>
  <c r="F282" i="1"/>
  <c r="D282" i="1"/>
  <c r="C282" i="1"/>
  <c r="H281" i="1"/>
  <c r="F281" i="1"/>
  <c r="D281" i="1"/>
  <c r="C281" i="1"/>
  <c r="H280" i="1"/>
  <c r="F280" i="1"/>
  <c r="D280" i="1"/>
  <c r="C280" i="1"/>
  <c r="H279" i="1"/>
  <c r="F279" i="1"/>
  <c r="D279" i="1"/>
  <c r="C279" i="1"/>
  <c r="H278" i="1"/>
  <c r="F278" i="1"/>
  <c r="D278" i="1"/>
  <c r="C278" i="1"/>
  <c r="H277" i="1"/>
  <c r="F277" i="1"/>
  <c r="D277" i="1"/>
  <c r="C277" i="1"/>
  <c r="H276" i="1"/>
  <c r="F276" i="1"/>
  <c r="D276" i="1"/>
  <c r="C276" i="1"/>
  <c r="H275" i="1"/>
  <c r="F275" i="1"/>
  <c r="D275" i="1"/>
  <c r="C275" i="1"/>
  <c r="H274" i="1"/>
  <c r="F274" i="1"/>
  <c r="D274" i="1"/>
  <c r="C274" i="1"/>
  <c r="H273" i="1"/>
  <c r="F273" i="1"/>
  <c r="D273" i="1"/>
  <c r="C273" i="1"/>
  <c r="H272" i="1"/>
  <c r="F272" i="1"/>
  <c r="D272" i="1"/>
  <c r="C272" i="1"/>
  <c r="H271" i="1"/>
  <c r="F271" i="1"/>
  <c r="D271" i="1"/>
  <c r="C271" i="1"/>
  <c r="H270" i="1"/>
  <c r="F270" i="1"/>
  <c r="D270" i="1"/>
  <c r="C270" i="1"/>
  <c r="H269" i="1"/>
  <c r="F269" i="1"/>
  <c r="D269" i="1"/>
  <c r="C269" i="1"/>
  <c r="H268" i="1"/>
  <c r="F268" i="1"/>
  <c r="D268" i="1"/>
  <c r="C268" i="1"/>
  <c r="H267" i="1"/>
  <c r="F267" i="1"/>
  <c r="D267" i="1"/>
  <c r="C267" i="1"/>
  <c r="H266" i="1"/>
  <c r="F266" i="1"/>
  <c r="D266" i="1"/>
  <c r="C266" i="1"/>
  <c r="H265" i="1"/>
  <c r="F265" i="1"/>
  <c r="D265" i="1"/>
  <c r="C265" i="1"/>
  <c r="H264" i="1"/>
  <c r="F264" i="1"/>
  <c r="D264" i="1"/>
  <c r="C264" i="1"/>
  <c r="H263" i="1"/>
  <c r="F263" i="1"/>
  <c r="D263" i="1"/>
  <c r="C263" i="1"/>
  <c r="H262" i="1"/>
  <c r="F262" i="1"/>
  <c r="D262" i="1"/>
  <c r="C262" i="1"/>
  <c r="H261" i="1"/>
  <c r="F261" i="1"/>
  <c r="D261" i="1"/>
  <c r="C261" i="1"/>
  <c r="H260" i="1"/>
  <c r="F260" i="1"/>
  <c r="D260" i="1"/>
  <c r="C260" i="1"/>
  <c r="H259" i="1"/>
  <c r="F259" i="1"/>
  <c r="D259" i="1"/>
  <c r="C259" i="1"/>
  <c r="H258" i="1"/>
  <c r="F258" i="1"/>
  <c r="D258" i="1"/>
  <c r="C258" i="1"/>
  <c r="H257" i="1"/>
  <c r="F257" i="1"/>
  <c r="D257" i="1"/>
  <c r="C257" i="1"/>
  <c r="H256" i="1"/>
  <c r="F256" i="1"/>
  <c r="D256" i="1"/>
  <c r="C256" i="1"/>
  <c r="H255" i="1"/>
  <c r="F255" i="1"/>
  <c r="D255" i="1"/>
  <c r="C255" i="1"/>
  <c r="H254" i="1"/>
  <c r="F254" i="1"/>
  <c r="D254" i="1"/>
  <c r="C254" i="1"/>
  <c r="H253" i="1"/>
  <c r="F253" i="1"/>
  <c r="D253" i="1"/>
  <c r="C253" i="1"/>
  <c r="H252" i="1"/>
  <c r="F252" i="1"/>
  <c r="D252" i="1"/>
  <c r="C252" i="1"/>
  <c r="H251" i="1"/>
  <c r="F251" i="1"/>
  <c r="D251" i="1"/>
  <c r="C251" i="1"/>
  <c r="H250" i="1"/>
  <c r="F250" i="1"/>
  <c r="D250" i="1"/>
  <c r="C250" i="1"/>
  <c r="H249" i="1"/>
  <c r="F249" i="1"/>
  <c r="D249" i="1"/>
  <c r="C249" i="1"/>
  <c r="H248" i="1"/>
  <c r="F248" i="1"/>
  <c r="D248" i="1"/>
  <c r="C248" i="1"/>
  <c r="H247" i="1"/>
  <c r="F247" i="1"/>
  <c r="D247" i="1"/>
  <c r="C247" i="1"/>
  <c r="H246" i="1"/>
  <c r="F246" i="1"/>
  <c r="D246" i="1"/>
  <c r="C246" i="1"/>
  <c r="H245" i="1"/>
  <c r="F245" i="1"/>
  <c r="D245" i="1"/>
  <c r="C245" i="1"/>
  <c r="H244" i="1"/>
  <c r="F244" i="1"/>
  <c r="D244" i="1"/>
  <c r="C244" i="1"/>
  <c r="H243" i="1"/>
  <c r="F243" i="1"/>
  <c r="D243" i="1"/>
  <c r="C243" i="1"/>
  <c r="H242" i="1"/>
  <c r="F242" i="1"/>
  <c r="D242" i="1"/>
  <c r="C242" i="1"/>
  <c r="H241" i="1"/>
  <c r="F241" i="1"/>
  <c r="D241" i="1"/>
  <c r="C241" i="1"/>
  <c r="H240" i="1"/>
  <c r="F240" i="1"/>
  <c r="D240" i="1"/>
  <c r="C240" i="1"/>
  <c r="H239" i="1"/>
  <c r="F239" i="1"/>
  <c r="D239" i="1"/>
  <c r="C239" i="1"/>
  <c r="H238" i="1"/>
  <c r="F238" i="1"/>
  <c r="D238" i="1"/>
  <c r="C238" i="1"/>
  <c r="H237" i="1"/>
  <c r="F237" i="1"/>
  <c r="D237" i="1"/>
  <c r="C237" i="1"/>
  <c r="H236" i="1"/>
  <c r="F236" i="1"/>
  <c r="D236" i="1"/>
  <c r="C236" i="1"/>
  <c r="H235" i="1"/>
  <c r="F235" i="1"/>
  <c r="D235" i="1"/>
  <c r="C235" i="1"/>
  <c r="H234" i="1"/>
  <c r="F234" i="1"/>
  <c r="D234" i="1"/>
  <c r="C234" i="1"/>
  <c r="H233" i="1"/>
  <c r="F233" i="1"/>
  <c r="D233" i="1"/>
  <c r="C233" i="1"/>
  <c r="H232" i="1"/>
  <c r="F232" i="1"/>
  <c r="D232" i="1"/>
  <c r="C232" i="1"/>
  <c r="H231" i="1"/>
  <c r="F231" i="1"/>
  <c r="D231" i="1"/>
  <c r="C231" i="1"/>
  <c r="H230" i="1"/>
  <c r="F230" i="1"/>
  <c r="D230" i="1"/>
  <c r="C230" i="1"/>
  <c r="H229" i="1"/>
  <c r="F229" i="1"/>
  <c r="D229" i="1"/>
  <c r="C229" i="1"/>
  <c r="H228" i="1"/>
  <c r="F228" i="1"/>
  <c r="D228" i="1"/>
  <c r="C228" i="1"/>
  <c r="H227" i="1"/>
  <c r="F227" i="1"/>
  <c r="D227" i="1"/>
  <c r="C227" i="1"/>
  <c r="H226" i="1"/>
  <c r="F226" i="1"/>
  <c r="D226" i="1"/>
  <c r="C226" i="1"/>
  <c r="H225" i="1"/>
  <c r="F225" i="1"/>
  <c r="D225" i="1"/>
  <c r="C225" i="1"/>
  <c r="H224" i="1"/>
  <c r="F224" i="1"/>
  <c r="D224" i="1"/>
  <c r="C224" i="1"/>
  <c r="H223" i="1"/>
  <c r="F223" i="1"/>
  <c r="D223" i="1"/>
  <c r="C223" i="1"/>
  <c r="H222" i="1"/>
  <c r="F222" i="1"/>
  <c r="D222" i="1"/>
  <c r="C222" i="1"/>
  <c r="H221" i="1"/>
  <c r="F221" i="1"/>
  <c r="D221" i="1"/>
  <c r="C221" i="1"/>
  <c r="H220" i="1"/>
  <c r="F220" i="1"/>
  <c r="D220" i="1"/>
  <c r="C220" i="1"/>
  <c r="H219" i="1"/>
  <c r="F219" i="1"/>
  <c r="D219" i="1"/>
  <c r="C219" i="1"/>
  <c r="H218" i="1"/>
  <c r="F218" i="1"/>
  <c r="D218" i="1"/>
  <c r="C218" i="1"/>
  <c r="H217" i="1"/>
  <c r="F217" i="1"/>
  <c r="D217" i="1"/>
  <c r="C217" i="1"/>
  <c r="H216" i="1"/>
  <c r="F216" i="1"/>
  <c r="D216" i="1"/>
  <c r="C216" i="1"/>
  <c r="H215" i="1"/>
  <c r="F215" i="1"/>
  <c r="D215" i="1"/>
  <c r="C215" i="1"/>
  <c r="H214" i="1"/>
  <c r="F214" i="1"/>
  <c r="D214" i="1"/>
  <c r="C214" i="1"/>
  <c r="H213" i="1"/>
  <c r="F213" i="1"/>
  <c r="D213" i="1"/>
  <c r="C213" i="1"/>
  <c r="H212" i="1"/>
  <c r="F212" i="1"/>
  <c r="D212" i="1"/>
  <c r="C212" i="1"/>
  <c r="H211" i="1"/>
  <c r="F211" i="1"/>
  <c r="D211" i="1"/>
  <c r="C211" i="1"/>
  <c r="H210" i="1"/>
  <c r="F210" i="1"/>
  <c r="D210" i="1"/>
  <c r="C210" i="1"/>
  <c r="H209" i="1"/>
  <c r="F209" i="1"/>
  <c r="D209" i="1"/>
  <c r="C209" i="1"/>
  <c r="H208" i="1"/>
  <c r="F208" i="1"/>
  <c r="D208" i="1"/>
  <c r="C208" i="1"/>
  <c r="H207" i="1"/>
  <c r="F207" i="1"/>
  <c r="D207" i="1"/>
  <c r="C207" i="1"/>
  <c r="H206" i="1"/>
  <c r="F206" i="1"/>
  <c r="D206" i="1"/>
  <c r="C206" i="1"/>
  <c r="H205" i="1"/>
  <c r="F205" i="1"/>
  <c r="D205" i="1"/>
  <c r="C205" i="1"/>
  <c r="H204" i="1"/>
  <c r="F204" i="1"/>
  <c r="D204" i="1"/>
  <c r="C204" i="1"/>
  <c r="H203" i="1"/>
  <c r="F203" i="1"/>
  <c r="D203" i="1"/>
  <c r="C203" i="1"/>
  <c r="H202" i="1"/>
  <c r="F202" i="1"/>
  <c r="D202" i="1"/>
  <c r="C202" i="1"/>
  <c r="H201" i="1"/>
  <c r="F201" i="1"/>
  <c r="D201" i="1"/>
  <c r="C201" i="1"/>
  <c r="H200" i="1"/>
  <c r="F200" i="1"/>
  <c r="D200" i="1"/>
  <c r="C200" i="1"/>
  <c r="H199" i="1"/>
  <c r="F199" i="1"/>
  <c r="D199" i="1"/>
  <c r="C199" i="1"/>
  <c r="H198" i="1"/>
  <c r="F198" i="1"/>
  <c r="D198" i="1"/>
  <c r="C198" i="1"/>
  <c r="H197" i="1"/>
  <c r="F197" i="1"/>
  <c r="D197" i="1"/>
  <c r="C197" i="1"/>
  <c r="H196" i="1"/>
  <c r="F196" i="1"/>
  <c r="D196" i="1"/>
  <c r="C196" i="1"/>
  <c r="H195" i="1"/>
  <c r="F195" i="1"/>
  <c r="D195" i="1"/>
  <c r="C195" i="1"/>
  <c r="H194" i="1"/>
  <c r="F194" i="1"/>
  <c r="D194" i="1"/>
  <c r="C194" i="1"/>
  <c r="H193" i="1"/>
  <c r="F193" i="1"/>
  <c r="D193" i="1"/>
  <c r="C193" i="1"/>
  <c r="H192" i="1"/>
  <c r="F192" i="1"/>
  <c r="D192" i="1"/>
  <c r="C192" i="1"/>
  <c r="H191" i="1"/>
  <c r="F191" i="1"/>
  <c r="D191" i="1"/>
  <c r="C191" i="1"/>
  <c r="H190" i="1"/>
  <c r="F190" i="1"/>
  <c r="D190" i="1"/>
  <c r="C190" i="1"/>
  <c r="H189" i="1"/>
  <c r="F189" i="1"/>
  <c r="D189" i="1"/>
  <c r="C189" i="1"/>
  <c r="H188" i="1"/>
  <c r="F188" i="1"/>
  <c r="D188" i="1"/>
  <c r="C188" i="1"/>
  <c r="H187" i="1"/>
  <c r="F187" i="1"/>
  <c r="D187" i="1"/>
  <c r="C187" i="1"/>
  <c r="H186" i="1"/>
  <c r="F186" i="1"/>
  <c r="D186" i="1"/>
  <c r="C186" i="1"/>
  <c r="H185" i="1"/>
  <c r="F185" i="1"/>
  <c r="D185" i="1"/>
  <c r="C185" i="1"/>
  <c r="H184" i="1"/>
  <c r="F184" i="1"/>
  <c r="D184" i="1"/>
  <c r="C184" i="1"/>
  <c r="H183" i="1"/>
  <c r="F183" i="1"/>
  <c r="D183" i="1"/>
  <c r="C183" i="1"/>
  <c r="H182" i="1"/>
  <c r="F182" i="1"/>
  <c r="D182" i="1"/>
  <c r="C182" i="1"/>
  <c r="H181" i="1"/>
  <c r="F181" i="1"/>
  <c r="D181" i="1"/>
  <c r="C181" i="1"/>
  <c r="H180" i="1"/>
  <c r="F180" i="1"/>
  <c r="D180" i="1"/>
  <c r="C180" i="1"/>
  <c r="H179" i="1"/>
  <c r="F179" i="1"/>
  <c r="D179" i="1"/>
  <c r="C179" i="1"/>
  <c r="H178" i="1"/>
  <c r="F178" i="1"/>
  <c r="D178" i="1"/>
  <c r="C178" i="1"/>
  <c r="H177" i="1"/>
  <c r="F177" i="1"/>
  <c r="D177" i="1"/>
  <c r="C177" i="1"/>
  <c r="H176" i="1"/>
  <c r="F176" i="1"/>
  <c r="D176" i="1"/>
  <c r="C176" i="1"/>
  <c r="H175" i="1"/>
  <c r="F175" i="1"/>
  <c r="D175" i="1"/>
  <c r="C175" i="1"/>
  <c r="H174" i="1"/>
  <c r="F174" i="1"/>
  <c r="D174" i="1"/>
  <c r="C174" i="1"/>
  <c r="H173" i="1"/>
  <c r="F173" i="1"/>
  <c r="D173" i="1"/>
  <c r="C173" i="1"/>
  <c r="H172" i="1"/>
  <c r="F172" i="1"/>
  <c r="D172" i="1"/>
  <c r="C172" i="1"/>
  <c r="H171" i="1"/>
  <c r="F171" i="1"/>
  <c r="D171" i="1"/>
  <c r="C171" i="1"/>
  <c r="H170" i="1"/>
  <c r="F170" i="1"/>
  <c r="D170" i="1"/>
  <c r="C170" i="1"/>
  <c r="H169" i="1"/>
  <c r="F169" i="1"/>
  <c r="D169" i="1"/>
  <c r="C169" i="1"/>
  <c r="H168" i="1"/>
  <c r="F168" i="1"/>
  <c r="D168" i="1"/>
  <c r="C168" i="1"/>
  <c r="H167" i="1"/>
  <c r="F167" i="1"/>
  <c r="D167" i="1"/>
  <c r="C167" i="1"/>
  <c r="H166" i="1"/>
  <c r="F166" i="1"/>
  <c r="D166" i="1"/>
  <c r="C166" i="1"/>
  <c r="H165" i="1"/>
  <c r="F165" i="1"/>
  <c r="D165" i="1"/>
  <c r="C165" i="1"/>
  <c r="H164" i="1"/>
  <c r="F164" i="1"/>
  <c r="D164" i="1"/>
  <c r="C164" i="1"/>
  <c r="H163" i="1"/>
  <c r="F163" i="1"/>
  <c r="D163" i="1"/>
  <c r="C163" i="1"/>
  <c r="H162" i="1"/>
  <c r="F162" i="1"/>
  <c r="D162" i="1"/>
  <c r="C162" i="1"/>
  <c r="H161" i="1"/>
  <c r="F161" i="1"/>
  <c r="D161" i="1"/>
  <c r="C161" i="1"/>
  <c r="H160" i="1"/>
  <c r="F160" i="1"/>
  <c r="D160" i="1"/>
  <c r="C160" i="1"/>
  <c r="H159" i="1"/>
  <c r="F159" i="1"/>
  <c r="D159" i="1"/>
  <c r="C159" i="1"/>
  <c r="H158" i="1"/>
  <c r="F158" i="1"/>
  <c r="D158" i="1"/>
  <c r="C158" i="1"/>
  <c r="H157" i="1"/>
  <c r="F157" i="1"/>
  <c r="D157" i="1"/>
  <c r="C157" i="1"/>
  <c r="H156" i="1"/>
  <c r="F156" i="1"/>
  <c r="D156" i="1"/>
  <c r="C156" i="1"/>
  <c r="H155" i="1"/>
  <c r="F155" i="1"/>
  <c r="D155" i="1"/>
  <c r="C155" i="1"/>
  <c r="H154" i="1"/>
  <c r="F154" i="1"/>
  <c r="D154" i="1"/>
  <c r="C154" i="1"/>
  <c r="H153" i="1"/>
  <c r="F153" i="1"/>
  <c r="D153" i="1"/>
  <c r="C153" i="1"/>
  <c r="H152" i="1"/>
  <c r="F152" i="1"/>
  <c r="D152" i="1"/>
  <c r="C152" i="1"/>
  <c r="H151" i="1"/>
  <c r="F151" i="1"/>
  <c r="D151" i="1"/>
  <c r="C151" i="1"/>
  <c r="H150" i="1"/>
  <c r="F150" i="1"/>
  <c r="D150" i="1"/>
  <c r="C150" i="1"/>
  <c r="H149" i="1"/>
  <c r="F149" i="1"/>
  <c r="D149" i="1"/>
  <c r="C149" i="1"/>
  <c r="H148" i="1"/>
  <c r="F148" i="1"/>
  <c r="D148" i="1"/>
  <c r="C148" i="1"/>
  <c r="H147" i="1"/>
  <c r="F147" i="1"/>
  <c r="D147" i="1"/>
  <c r="C147" i="1"/>
  <c r="H146" i="1"/>
  <c r="F146" i="1"/>
  <c r="D146" i="1"/>
  <c r="C146" i="1"/>
  <c r="H145" i="1"/>
  <c r="F145" i="1"/>
  <c r="D145" i="1"/>
  <c r="C145" i="1"/>
  <c r="H144" i="1"/>
  <c r="F144" i="1"/>
  <c r="D144" i="1"/>
  <c r="C144" i="1"/>
  <c r="H143" i="1"/>
  <c r="F143" i="1"/>
  <c r="D143" i="1"/>
  <c r="C143" i="1"/>
  <c r="H142" i="1"/>
  <c r="F142" i="1"/>
  <c r="D142" i="1"/>
  <c r="C142" i="1"/>
  <c r="H141" i="1"/>
  <c r="F141" i="1"/>
  <c r="D141" i="1"/>
  <c r="C141" i="1"/>
  <c r="H140" i="1"/>
  <c r="F140" i="1"/>
  <c r="D140" i="1"/>
  <c r="C140" i="1"/>
  <c r="H139" i="1"/>
  <c r="F139" i="1"/>
  <c r="D139" i="1"/>
  <c r="C139" i="1"/>
  <c r="H138" i="1"/>
  <c r="F138" i="1"/>
  <c r="D138" i="1"/>
  <c r="C138" i="1"/>
  <c r="H137" i="1"/>
  <c r="F137" i="1"/>
  <c r="D137" i="1"/>
  <c r="C137" i="1"/>
  <c r="H136" i="1"/>
  <c r="F136" i="1"/>
  <c r="D136" i="1"/>
  <c r="C136" i="1"/>
  <c r="H135" i="1"/>
  <c r="F135" i="1"/>
  <c r="D135" i="1"/>
  <c r="C135" i="1"/>
  <c r="H134" i="1"/>
  <c r="F134" i="1"/>
  <c r="D134" i="1"/>
  <c r="C134" i="1"/>
  <c r="H133" i="1"/>
  <c r="F133" i="1"/>
  <c r="D133" i="1"/>
  <c r="C133" i="1"/>
  <c r="H132" i="1"/>
  <c r="F132" i="1"/>
  <c r="D132" i="1"/>
  <c r="C132" i="1"/>
  <c r="H131" i="1"/>
  <c r="F131" i="1"/>
  <c r="D131" i="1"/>
  <c r="C131" i="1"/>
  <c r="H130" i="1"/>
  <c r="F130" i="1"/>
  <c r="D130" i="1"/>
  <c r="C130" i="1"/>
  <c r="H129" i="1"/>
  <c r="F129" i="1"/>
  <c r="D129" i="1"/>
  <c r="C129" i="1"/>
  <c r="H128" i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23" i="1"/>
  <c r="F123" i="1"/>
  <c r="D123" i="1"/>
  <c r="C123" i="1"/>
  <c r="H122" i="1"/>
  <c r="F122" i="1"/>
  <c r="D122" i="1"/>
  <c r="C122" i="1"/>
  <c r="H121" i="1"/>
  <c r="F121" i="1"/>
  <c r="D121" i="1"/>
  <c r="C121" i="1"/>
  <c r="H120" i="1"/>
  <c r="F120" i="1"/>
  <c r="D120" i="1"/>
  <c r="C120" i="1"/>
  <c r="H119" i="1"/>
  <c r="F119" i="1"/>
  <c r="D119" i="1"/>
  <c r="C119" i="1"/>
  <c r="H118" i="1"/>
  <c r="F118" i="1"/>
  <c r="D118" i="1"/>
  <c r="C118" i="1"/>
  <c r="H117" i="1"/>
  <c r="F117" i="1"/>
  <c r="D117" i="1"/>
  <c r="C117" i="1"/>
  <c r="H116" i="1"/>
  <c r="F116" i="1"/>
  <c r="D116" i="1"/>
  <c r="C116" i="1"/>
  <c r="H115" i="1"/>
  <c r="F115" i="1"/>
  <c r="D115" i="1"/>
  <c r="C115" i="1"/>
  <c r="H114" i="1"/>
  <c r="F114" i="1"/>
  <c r="D114" i="1"/>
  <c r="C114" i="1"/>
  <c r="H113" i="1"/>
  <c r="F113" i="1"/>
  <c r="D113" i="1"/>
  <c r="C113" i="1"/>
  <c r="H112" i="1"/>
  <c r="F112" i="1"/>
  <c r="D112" i="1"/>
  <c r="C112" i="1"/>
  <c r="H111" i="1"/>
  <c r="F111" i="1"/>
  <c r="D111" i="1"/>
  <c r="C111" i="1"/>
  <c r="H110" i="1"/>
  <c r="F110" i="1"/>
  <c r="D110" i="1"/>
  <c r="C110" i="1"/>
  <c r="H109" i="1"/>
  <c r="F109" i="1"/>
  <c r="D109" i="1"/>
  <c r="C109" i="1"/>
  <c r="H108" i="1"/>
  <c r="F108" i="1"/>
  <c r="D108" i="1"/>
  <c r="C108" i="1"/>
  <c r="H107" i="1"/>
  <c r="F107" i="1"/>
  <c r="D107" i="1"/>
  <c r="C107" i="1"/>
  <c r="H106" i="1"/>
  <c r="F106" i="1"/>
  <c r="D106" i="1"/>
  <c r="C106" i="1"/>
  <c r="H105" i="1"/>
  <c r="F105" i="1"/>
  <c r="D105" i="1"/>
  <c r="C105" i="1"/>
  <c r="H104" i="1"/>
  <c r="F104" i="1"/>
  <c r="D104" i="1"/>
  <c r="C104" i="1"/>
  <c r="H103" i="1"/>
  <c r="F103" i="1"/>
  <c r="D103" i="1"/>
  <c r="C103" i="1"/>
  <c r="H102" i="1"/>
  <c r="F102" i="1"/>
  <c r="D102" i="1"/>
  <c r="C102" i="1"/>
  <c r="H101" i="1"/>
  <c r="F101" i="1"/>
  <c r="D101" i="1"/>
  <c r="C101" i="1"/>
  <c r="H100" i="1"/>
  <c r="F100" i="1"/>
  <c r="D100" i="1"/>
  <c r="C100" i="1"/>
  <c r="H99" i="1"/>
  <c r="F99" i="1"/>
  <c r="D99" i="1"/>
  <c r="C99" i="1"/>
  <c r="H98" i="1"/>
  <c r="F98" i="1"/>
  <c r="D98" i="1"/>
  <c r="C98" i="1"/>
  <c r="H97" i="1"/>
  <c r="F97" i="1"/>
  <c r="D97" i="1"/>
  <c r="C97" i="1"/>
  <c r="H96" i="1"/>
  <c r="F96" i="1"/>
  <c r="D96" i="1"/>
  <c r="C96" i="1"/>
  <c r="H95" i="1"/>
  <c r="F95" i="1"/>
  <c r="D95" i="1"/>
  <c r="C95" i="1"/>
  <c r="H94" i="1"/>
  <c r="F94" i="1"/>
  <c r="D94" i="1"/>
  <c r="C94" i="1"/>
  <c r="H93" i="1"/>
  <c r="F93" i="1"/>
  <c r="D93" i="1"/>
  <c r="C93" i="1"/>
  <c r="H92" i="1"/>
  <c r="F92" i="1"/>
  <c r="D92" i="1"/>
  <c r="C92" i="1"/>
  <c r="H91" i="1"/>
  <c r="F91" i="1"/>
  <c r="D91" i="1"/>
  <c r="C91" i="1"/>
  <c r="H90" i="1"/>
  <c r="F90" i="1"/>
  <c r="D90" i="1"/>
  <c r="C90" i="1"/>
  <c r="H89" i="1"/>
  <c r="F89" i="1"/>
  <c r="D89" i="1"/>
  <c r="C89" i="1"/>
  <c r="H88" i="1"/>
  <c r="F88" i="1"/>
  <c r="D88" i="1"/>
  <c r="C88" i="1"/>
  <c r="H87" i="1"/>
  <c r="F87" i="1"/>
  <c r="D87" i="1"/>
  <c r="C87" i="1"/>
  <c r="H86" i="1"/>
  <c r="F86" i="1"/>
  <c r="D86" i="1"/>
  <c r="C86" i="1"/>
  <c r="H85" i="1"/>
  <c r="F85" i="1"/>
  <c r="D85" i="1"/>
  <c r="C85" i="1"/>
  <c r="H84" i="1"/>
  <c r="F84" i="1"/>
  <c r="D84" i="1"/>
  <c r="C84" i="1"/>
  <c r="H83" i="1"/>
  <c r="F83" i="1"/>
  <c r="D83" i="1"/>
  <c r="C83" i="1"/>
  <c r="H82" i="1"/>
  <c r="F82" i="1"/>
  <c r="D82" i="1"/>
  <c r="C82" i="1"/>
  <c r="H81" i="1"/>
  <c r="F81" i="1"/>
  <c r="D81" i="1"/>
  <c r="C81" i="1"/>
  <c r="H80" i="1"/>
  <c r="F80" i="1"/>
  <c r="D80" i="1"/>
  <c r="C80" i="1"/>
  <c r="H79" i="1"/>
  <c r="F79" i="1"/>
  <c r="D79" i="1"/>
  <c r="C79" i="1"/>
  <c r="H78" i="1"/>
  <c r="F78" i="1"/>
  <c r="D78" i="1"/>
  <c r="C78" i="1"/>
  <c r="H77" i="1"/>
  <c r="F77" i="1"/>
  <c r="D77" i="1"/>
  <c r="C77" i="1"/>
  <c r="H76" i="1"/>
  <c r="F76" i="1"/>
  <c r="D76" i="1"/>
  <c r="C76" i="1"/>
  <c r="H75" i="1"/>
  <c r="F75" i="1"/>
  <c r="D75" i="1"/>
  <c r="C75" i="1"/>
  <c r="H74" i="1"/>
  <c r="F74" i="1"/>
  <c r="D74" i="1"/>
  <c r="C74" i="1"/>
  <c r="H73" i="1"/>
  <c r="F73" i="1"/>
  <c r="D73" i="1"/>
  <c r="C73" i="1"/>
  <c r="H72" i="1"/>
  <c r="F72" i="1"/>
  <c r="D72" i="1"/>
  <c r="C72" i="1"/>
  <c r="H71" i="1"/>
  <c r="F71" i="1"/>
  <c r="D71" i="1"/>
  <c r="C71" i="1"/>
  <c r="H70" i="1"/>
  <c r="F70" i="1"/>
  <c r="D70" i="1"/>
  <c r="C70" i="1"/>
  <c r="H69" i="1"/>
  <c r="F69" i="1"/>
  <c r="D69" i="1"/>
  <c r="C69" i="1"/>
  <c r="H68" i="1"/>
  <c r="F68" i="1"/>
  <c r="D68" i="1"/>
  <c r="C68" i="1"/>
  <c r="H67" i="1"/>
  <c r="F67" i="1"/>
  <c r="D67" i="1"/>
  <c r="C67" i="1"/>
  <c r="H66" i="1"/>
  <c r="F66" i="1"/>
  <c r="D66" i="1"/>
  <c r="C66" i="1"/>
  <c r="H65" i="1"/>
  <c r="F65" i="1"/>
  <c r="D65" i="1"/>
  <c r="C65" i="1"/>
  <c r="H64" i="1"/>
  <c r="F64" i="1"/>
  <c r="D64" i="1"/>
  <c r="C64" i="1"/>
  <c r="H63" i="1"/>
  <c r="F63" i="1"/>
  <c r="D63" i="1"/>
  <c r="C63" i="1"/>
  <c r="H62" i="1"/>
  <c r="F62" i="1"/>
  <c r="D62" i="1"/>
  <c r="C62" i="1"/>
  <c r="H61" i="1"/>
  <c r="F61" i="1"/>
  <c r="D61" i="1"/>
  <c r="C61" i="1"/>
  <c r="H60" i="1"/>
  <c r="F60" i="1"/>
  <c r="D60" i="1"/>
  <c r="C60" i="1"/>
  <c r="H59" i="1"/>
  <c r="F59" i="1"/>
  <c r="D59" i="1"/>
  <c r="C59" i="1"/>
  <c r="H58" i="1"/>
  <c r="F58" i="1"/>
  <c r="D58" i="1"/>
  <c r="C58" i="1"/>
  <c r="H57" i="1"/>
  <c r="F57" i="1"/>
  <c r="D57" i="1"/>
  <c r="C57" i="1"/>
  <c r="H56" i="1"/>
  <c r="F56" i="1"/>
  <c r="D56" i="1"/>
  <c r="C56" i="1"/>
  <c r="H55" i="1"/>
  <c r="F55" i="1"/>
  <c r="D55" i="1"/>
  <c r="C55" i="1"/>
  <c r="H54" i="1"/>
  <c r="F54" i="1"/>
  <c r="D54" i="1"/>
  <c r="C54" i="1"/>
  <c r="H53" i="1"/>
  <c r="F53" i="1"/>
  <c r="D53" i="1"/>
  <c r="C53" i="1"/>
  <c r="H52" i="1"/>
  <c r="F52" i="1"/>
  <c r="D52" i="1"/>
  <c r="C52" i="1"/>
  <c r="H51" i="1"/>
  <c r="F51" i="1"/>
  <c r="D51" i="1"/>
  <c r="C51" i="1"/>
  <c r="H50" i="1"/>
  <c r="F50" i="1"/>
  <c r="D50" i="1"/>
  <c r="C50" i="1"/>
  <c r="H49" i="1"/>
  <c r="F49" i="1"/>
  <c r="D49" i="1"/>
  <c r="C49" i="1"/>
  <c r="H48" i="1"/>
  <c r="F48" i="1"/>
  <c r="D48" i="1"/>
  <c r="C48" i="1"/>
  <c r="H47" i="1"/>
  <c r="F47" i="1"/>
  <c r="D47" i="1"/>
  <c r="C47" i="1"/>
  <c r="H46" i="1"/>
  <c r="F46" i="1"/>
  <c r="D46" i="1"/>
  <c r="C46" i="1"/>
  <c r="H45" i="1"/>
  <c r="F45" i="1"/>
  <c r="D45" i="1"/>
  <c r="C45" i="1"/>
  <c r="H44" i="1"/>
  <c r="F44" i="1"/>
  <c r="D44" i="1"/>
  <c r="C44" i="1"/>
  <c r="H43" i="1"/>
  <c r="F43" i="1"/>
  <c r="D43" i="1"/>
  <c r="C43" i="1"/>
  <c r="H42" i="1"/>
  <c r="F42" i="1"/>
  <c r="D42" i="1"/>
  <c r="C42" i="1"/>
  <c r="H41" i="1"/>
  <c r="F41" i="1"/>
  <c r="D41" i="1"/>
  <c r="C41" i="1"/>
  <c r="H40" i="1"/>
  <c r="F40" i="1"/>
  <c r="D40" i="1"/>
  <c r="C40" i="1"/>
  <c r="H39" i="1"/>
  <c r="F39" i="1"/>
  <c r="D39" i="1"/>
  <c r="C39" i="1"/>
  <c r="H38" i="1"/>
  <c r="F38" i="1"/>
  <c r="D38" i="1"/>
  <c r="C38" i="1"/>
  <c r="H37" i="1"/>
  <c r="F37" i="1"/>
  <c r="D37" i="1"/>
  <c r="C37" i="1"/>
  <c r="H36" i="1"/>
  <c r="F36" i="1"/>
  <c r="D36" i="1"/>
  <c r="C36" i="1"/>
  <c r="H35" i="1"/>
  <c r="F35" i="1"/>
  <c r="D35" i="1"/>
  <c r="C35" i="1"/>
  <c r="H34" i="1"/>
  <c r="F34" i="1"/>
  <c r="D34" i="1"/>
  <c r="C34" i="1"/>
  <c r="H33" i="1"/>
  <c r="F33" i="1"/>
  <c r="D33" i="1"/>
  <c r="C33" i="1"/>
  <c r="H32" i="1"/>
  <c r="F32" i="1"/>
  <c r="D32" i="1"/>
  <c r="C32" i="1"/>
  <c r="H31" i="1"/>
  <c r="F31" i="1"/>
  <c r="D31" i="1"/>
  <c r="C31" i="1"/>
  <c r="H30" i="1"/>
  <c r="F30" i="1"/>
  <c r="D30" i="1"/>
  <c r="C30" i="1"/>
  <c r="H29" i="1"/>
  <c r="F29" i="1"/>
  <c r="D29" i="1"/>
  <c r="C29" i="1"/>
  <c r="H28" i="1"/>
  <c r="F28" i="1"/>
  <c r="D28" i="1"/>
  <c r="C28" i="1"/>
  <c r="H27" i="1"/>
  <c r="F27" i="1"/>
  <c r="D27" i="1"/>
  <c r="C27" i="1"/>
  <c r="H26" i="1"/>
  <c r="F26" i="1"/>
  <c r="D26" i="1"/>
  <c r="C26" i="1"/>
  <c r="H25" i="1"/>
  <c r="F25" i="1"/>
  <c r="D25" i="1"/>
  <c r="C25" i="1"/>
  <c r="H24" i="1"/>
  <c r="F24" i="1"/>
  <c r="D24" i="1"/>
  <c r="C24" i="1"/>
  <c r="H23" i="1"/>
  <c r="F23" i="1"/>
  <c r="D23" i="1"/>
  <c r="C23" i="1"/>
  <c r="H22" i="1"/>
  <c r="F22" i="1"/>
  <c r="D22" i="1"/>
  <c r="C22" i="1"/>
  <c r="H21" i="1"/>
  <c r="F21" i="1"/>
  <c r="D21" i="1"/>
  <c r="C21" i="1"/>
  <c r="H20" i="1"/>
  <c r="F20" i="1"/>
  <c r="D20" i="1"/>
  <c r="C20" i="1"/>
  <c r="H19" i="1"/>
  <c r="F19" i="1"/>
  <c r="D19" i="1"/>
  <c r="C19" i="1"/>
  <c r="H18" i="1"/>
  <c r="F18" i="1"/>
  <c r="D18" i="1"/>
  <c r="C18" i="1"/>
  <c r="H17" i="1"/>
  <c r="F17" i="1"/>
  <c r="D17" i="1"/>
  <c r="C17" i="1"/>
  <c r="H16" i="1"/>
  <c r="F16" i="1"/>
  <c r="D16" i="1"/>
  <c r="C16" i="1"/>
  <c r="H15" i="1"/>
  <c r="F15" i="1"/>
  <c r="D15" i="1"/>
  <c r="C15" i="1"/>
  <c r="H14" i="1"/>
  <c r="F14" i="1"/>
  <c r="D14" i="1"/>
  <c r="C14" i="1"/>
  <c r="H13" i="1"/>
  <c r="F13" i="1"/>
  <c r="D13" i="1"/>
  <c r="C13" i="1"/>
  <c r="H12" i="1"/>
  <c r="F12" i="1"/>
  <c r="D12" i="1"/>
  <c r="C12" i="1"/>
  <c r="H11" i="1"/>
  <c r="F11" i="1"/>
  <c r="D11" i="1"/>
  <c r="C11" i="1"/>
  <c r="H10" i="1"/>
  <c r="F10" i="1"/>
  <c r="D10" i="1"/>
  <c r="C10" i="1"/>
  <c r="H9" i="1"/>
  <c r="F9" i="1"/>
  <c r="D9" i="1"/>
  <c r="C9" i="1"/>
  <c r="H8" i="1"/>
  <c r="F8" i="1"/>
  <c r="D8" i="1"/>
  <c r="C8" i="1"/>
  <c r="H7" i="1"/>
  <c r="F7" i="1"/>
  <c r="D7" i="1"/>
  <c r="C7" i="1"/>
  <c r="H6" i="1"/>
  <c r="F6" i="1"/>
  <c r="D6" i="1"/>
  <c r="C6" i="1"/>
  <c r="H5" i="1"/>
  <c r="F5" i="1"/>
  <c r="D5" i="1"/>
  <c r="C5" i="1"/>
</calcChain>
</file>

<file path=xl/sharedStrings.xml><?xml version="1.0" encoding="utf-8"?>
<sst xmlns="http://schemas.openxmlformats.org/spreadsheetml/2006/main" count="17243" uniqueCount="16972">
  <si>
    <t>Logarithmic</t>
  </si>
  <si>
    <t>Linear</t>
  </si>
  <si>
    <t>GI Number</t>
  </si>
  <si>
    <t>Gene Symbol</t>
  </si>
  <si>
    <t>log Abundance</t>
  </si>
  <si>
    <t>Virtual Blot</t>
  </si>
  <si>
    <t>Annotation</t>
  </si>
  <si>
    <t>124487289</t>
  </si>
  <si>
    <t xml:space="preserve">APOBEC1 complementation factor </t>
  </si>
  <si>
    <t>283483963</t>
  </si>
  <si>
    <t>lactosylceramide 4-alpha-galactosyltransferase</t>
  </si>
  <si>
    <t>241982696</t>
  </si>
  <si>
    <t xml:space="preserve">aladin </t>
  </si>
  <si>
    <t>21313520</t>
  </si>
  <si>
    <t>acetoacetyl-CoA synthetase</t>
  </si>
  <si>
    <t>110625673</t>
  </si>
  <si>
    <t xml:space="preserve">alpha- and gamma-adaptin-binding protein p34 </t>
  </si>
  <si>
    <t>73695877</t>
  </si>
  <si>
    <t>AP2 associated kinase 1 isoform 2</t>
  </si>
  <si>
    <t>91992157</t>
  </si>
  <si>
    <t>AP2 associated kinase 1 isoform 1</t>
  </si>
  <si>
    <t>295789038</t>
  </si>
  <si>
    <t>UPF0366 protein C11orf67 homolog isoform 1</t>
  </si>
  <si>
    <t>295789042</t>
  </si>
  <si>
    <t>UPF0366 protein C11orf67 homolog isoform 3</t>
  </si>
  <si>
    <t>295789044</t>
  </si>
  <si>
    <t>UPF0366 protein C11orf67 homolog isoform 4</t>
  </si>
  <si>
    <t>40254393</t>
  </si>
  <si>
    <t>UPF0366 protein C11orf67 homolog isoform 2</t>
  </si>
  <si>
    <t>299473737</t>
  </si>
  <si>
    <t>angio-associated migratory cell protein isoform 1</t>
  </si>
  <si>
    <t>82524294</t>
  </si>
  <si>
    <t>angio-associated migratory cell protein isoform 2</t>
  </si>
  <si>
    <t>258679441</t>
  </si>
  <si>
    <t xml:space="preserve">protein AAR2 homolog </t>
  </si>
  <si>
    <t>34610207</t>
  </si>
  <si>
    <t xml:space="preserve">alanine--tRNA ligase, cytoplasmic </t>
  </si>
  <si>
    <t>52630311</t>
  </si>
  <si>
    <t>alanine--tRNA ligase, mitochondrial precursor</t>
  </si>
  <si>
    <t>21450213</t>
  </si>
  <si>
    <t>alanyl-tRNA editing protein Aarsd1</t>
  </si>
  <si>
    <t>227496837</t>
  </si>
  <si>
    <t xml:space="preserve">L-aminoadipate-semialdehyde dehydrogenase-phosphopantetheinyl transferase </t>
  </si>
  <si>
    <t>9790013</t>
  </si>
  <si>
    <t>protein AATF</t>
  </si>
  <si>
    <t>283483966</t>
  </si>
  <si>
    <t>4-aminobutyrate aminotransferase, mitochondrial isoform 2 precursor</t>
  </si>
  <si>
    <t>37202121</t>
  </si>
  <si>
    <t>4-aminobutyrate aminotransferase, mitochondrial isoform 1 precursor</t>
  </si>
  <si>
    <t>116292744</t>
  </si>
  <si>
    <t>ATP-binding cassette sub-family A member 13</t>
  </si>
  <si>
    <t>110225379</t>
  </si>
  <si>
    <t>ATP-binding cassette sub-family A member 2</t>
  </si>
  <si>
    <t>88759350</t>
  </si>
  <si>
    <t>ATP-binding cassette sub-family A member 3</t>
  </si>
  <si>
    <t>6671495</t>
  </si>
  <si>
    <t>retinal-specific ATP-binding cassette transporter</t>
  </si>
  <si>
    <t>146134400</t>
  </si>
  <si>
    <t>ATP-binding cassette sub-family A member 5</t>
  </si>
  <si>
    <t>15451840</t>
  </si>
  <si>
    <t>ATP-binding cassette sub-family A member 7</t>
  </si>
  <si>
    <t>153792543</t>
  </si>
  <si>
    <t>ATP-binding cassette sub-family A member 9</t>
  </si>
  <si>
    <t>9506367</t>
  </si>
  <si>
    <t xml:space="preserve">ATP-binding cassette sub-family B member 10, mitochondrial </t>
  </si>
  <si>
    <t>17647117</t>
  </si>
  <si>
    <t xml:space="preserve">ATP-binding cassette sub-family B member 6, mitochondrial </t>
  </si>
  <si>
    <t>169234938</t>
  </si>
  <si>
    <t xml:space="preserve">ATP-binding cassette sub-family B member 7, mitochondrial </t>
  </si>
  <si>
    <t>27753995</t>
  </si>
  <si>
    <t>ATP-binding cassette sub-family B member 8, mitochondrial precursor</t>
  </si>
  <si>
    <t>6678848</t>
  </si>
  <si>
    <t>multidrug resistance-associated protein 1</t>
  </si>
  <si>
    <t>116063566</t>
  </si>
  <si>
    <t>canalicular multispecific organic anion transporter 1</t>
  </si>
  <si>
    <t>90403595</t>
  </si>
  <si>
    <t>canalicular multispecific organic anion transporter 2</t>
  </si>
  <si>
    <t>255683320</t>
  </si>
  <si>
    <t xml:space="preserve">ATP-binding cassette, sub-family C (CFTR/MRP), member 4 isoform 1 </t>
  </si>
  <si>
    <t>255683324</t>
  </si>
  <si>
    <t xml:space="preserve">ATP-binding cassette, sub-family C (CFTR/MRP), member 4 isoform 2 </t>
  </si>
  <si>
    <t>255683328</t>
  </si>
  <si>
    <t xml:space="preserve">ATP-binding cassette, sub-family C (CFTR/MRP), member 4 isoform 3 </t>
  </si>
  <si>
    <t>6671497</t>
  </si>
  <si>
    <t>ATP-binding cassette sub-family D member 1</t>
  </si>
  <si>
    <t>60218877</t>
  </si>
  <si>
    <t>ATP-binding cassette sub-family D member 3</t>
  </si>
  <si>
    <t>226052788</t>
  </si>
  <si>
    <t>ATP-binding cassette sub-family D member 4</t>
  </si>
  <si>
    <t>114205431</t>
  </si>
  <si>
    <t>ATP-binding cassette sub-family E member 1</t>
  </si>
  <si>
    <t>39930335</t>
  </si>
  <si>
    <t>ATP-binding cassette sub-family F member 1</t>
  </si>
  <si>
    <t>23956078</t>
  </si>
  <si>
    <t>ATP-binding cassette sub-family F member 2 isoform 1</t>
  </si>
  <si>
    <t>299473734</t>
  </si>
  <si>
    <t>ATP-binding cassette sub-family F member 2 isoform 2</t>
  </si>
  <si>
    <t>29789050</t>
  </si>
  <si>
    <t>ATP-binding cassette sub-family F member 3</t>
  </si>
  <si>
    <t>6752944</t>
  </si>
  <si>
    <t>ATP-binding cassette sub-family G member 2</t>
  </si>
  <si>
    <t>269784760</t>
  </si>
  <si>
    <t>abhydrolase domain-containing protein 10, mitochondrial precursor</t>
  </si>
  <si>
    <t>440918693</t>
  </si>
  <si>
    <t>mycophenolic acid acyl-glucuronide esterase, mitochondrial isoform 2 precursor</t>
  </si>
  <si>
    <t>159110817</t>
  </si>
  <si>
    <t xml:space="preserve">monoacylglycerol lipase ABHD12 </t>
  </si>
  <si>
    <t>124487441</t>
  </si>
  <si>
    <t>abhydrolase domain-containing protein 13</t>
  </si>
  <si>
    <t>171460960</t>
  </si>
  <si>
    <t xml:space="preserve">alpha/beta hydrolase domain-containing protein 14B </t>
  </si>
  <si>
    <t>30519896</t>
  </si>
  <si>
    <t>abhydrolase domain-containing protein 16A</t>
  </si>
  <si>
    <t>38142456</t>
  </si>
  <si>
    <t xml:space="preserve">abhydrolase domain-containing protein FAM108B1 precursor </t>
  </si>
  <si>
    <t>326937491</t>
  </si>
  <si>
    <t>abhydrolase domain-containing protein 4 isoform 1</t>
  </si>
  <si>
    <t>326937494</t>
  </si>
  <si>
    <t>abhydrolase domain-containing protein 4 isoform 2</t>
  </si>
  <si>
    <t>13385690</t>
  </si>
  <si>
    <t xml:space="preserve">1-acylglycerol-3-phosphate O-acyltransferase ABHD5 </t>
  </si>
  <si>
    <t>31560264</t>
  </si>
  <si>
    <t xml:space="preserve">monoacylglycerol lipase ABHD6 </t>
  </si>
  <si>
    <t>116089341</t>
  </si>
  <si>
    <t xml:space="preserve">abl interactor 1 isoform 1 </t>
  </si>
  <si>
    <t>116089343</t>
  </si>
  <si>
    <t xml:space="preserve">abl interactor 1 isoform 4 </t>
  </si>
  <si>
    <t>116089345</t>
  </si>
  <si>
    <t xml:space="preserve">abl interactor 1 isoform 2 </t>
  </si>
  <si>
    <t>116089347</t>
  </si>
  <si>
    <t xml:space="preserve">abl interactor 1 isoform 3 </t>
  </si>
  <si>
    <t>116089351</t>
  </si>
  <si>
    <t xml:space="preserve">abl interactor 1 isoform 5 </t>
  </si>
  <si>
    <t>162951865</t>
  </si>
  <si>
    <t xml:space="preserve">tyrosine-protein kinase ABL1 isoform b </t>
  </si>
  <si>
    <t>162951870</t>
  </si>
  <si>
    <t xml:space="preserve">tyrosine-protein kinase ABL1 isoform a </t>
  </si>
  <si>
    <t>157057145</t>
  </si>
  <si>
    <t>actin-binding LIM protein 1 isoform 1</t>
  </si>
  <si>
    <t>157057174</t>
  </si>
  <si>
    <t>actin-binding LIM protein 1 isoform 2</t>
  </si>
  <si>
    <t>157057554</t>
  </si>
  <si>
    <t>actin-binding LIM protein 1 isoform 3</t>
  </si>
  <si>
    <t>37574113</t>
  </si>
  <si>
    <t xml:space="preserve">active breakpoint cluster region-related protein isoform 1 </t>
  </si>
  <si>
    <t>38683820</t>
  </si>
  <si>
    <t xml:space="preserve">active breakpoint cluster region-related protein isoform 2 </t>
  </si>
  <si>
    <t>38683822</t>
  </si>
  <si>
    <t xml:space="preserve">active breakpoint cluster region-related protein isoform 3 </t>
  </si>
  <si>
    <t>153791468</t>
  </si>
  <si>
    <t>costars family protein ABRACL</t>
  </si>
  <si>
    <t>49402267</t>
  </si>
  <si>
    <t xml:space="preserve">ankyrin repeat and BTB/POZ domain-containing protein 2 </t>
  </si>
  <si>
    <t>18700004</t>
  </si>
  <si>
    <t xml:space="preserve">3-ketoacyl-CoA thiolase A, peroxisomal precursor </t>
  </si>
  <si>
    <t>22122797</t>
  </si>
  <si>
    <t xml:space="preserve">3-ketoacyl-CoA thiolase B, peroxisomal precursor </t>
  </si>
  <si>
    <t>29126205</t>
  </si>
  <si>
    <t xml:space="preserve">3-ketoacyl-CoA thiolase, mitochondrial </t>
  </si>
  <si>
    <t>125656173</t>
  </si>
  <si>
    <t xml:space="preserve">acetyl-CoA carboxylase 1 </t>
  </si>
  <si>
    <t>157042798</t>
  </si>
  <si>
    <t xml:space="preserve">acetyl-Coenzyme A carboxylase beta precursor </t>
  </si>
  <si>
    <t>156255157</t>
  </si>
  <si>
    <t xml:space="preserve">acyl-CoA dehydrogenase family member 10 </t>
  </si>
  <si>
    <t>74271799</t>
  </si>
  <si>
    <t xml:space="preserve">acyl-CoA dehydrogenase family member 11 </t>
  </si>
  <si>
    <t>257467675</t>
  </si>
  <si>
    <t>acyl-Coenzyme A dehydrogenase family, member 10-like</t>
  </si>
  <si>
    <t>118403322</t>
  </si>
  <si>
    <t>isobutyryl-CoA dehydrogenase, mitochondrial precursor</t>
  </si>
  <si>
    <t>100817933</t>
  </si>
  <si>
    <t>acyl-CoA dehydrogenase family member 9, mitochondrial</t>
  </si>
  <si>
    <t>31982520</t>
  </si>
  <si>
    <t>long-chain specific acyl-CoA dehydrogenase, mitochondrial precursor</t>
  </si>
  <si>
    <t>6680618</t>
  </si>
  <si>
    <t>medium-chain specific acyl-CoA dehydrogenase, mitochondrial precursor</t>
  </si>
  <si>
    <t>31982522</t>
  </si>
  <si>
    <t>short-chain specific acyl-CoA dehydrogenase, mitochondrial precursor</t>
  </si>
  <si>
    <t>17647119</t>
  </si>
  <si>
    <t>short/branched chain specific acyl-CoA dehydrogenase, mitochondrial</t>
  </si>
  <si>
    <t>23956084</t>
  </si>
  <si>
    <t xml:space="preserve">very long-chain specific acyl-CoA dehydrogenase, mitochondrial precursor </t>
  </si>
  <si>
    <t>62079289</t>
  </si>
  <si>
    <t>arf-GAP with coiled-coil, ANK repeat and PH domain-containing protein 2</t>
  </si>
  <si>
    <t>21450129</t>
  </si>
  <si>
    <t>acetyl-CoA acetyltransferase, mitochondrial precursor</t>
  </si>
  <si>
    <t>148747461</t>
  </si>
  <si>
    <t xml:space="preserve">acetyl-CoA acetyltransferase, cytosolic </t>
  </si>
  <si>
    <t>110625948</t>
  </si>
  <si>
    <t>acetyl-Coenzyme A acetyltransferase 3</t>
  </si>
  <si>
    <t>229608928</t>
  </si>
  <si>
    <t>Golgi resident protein GCP60</t>
  </si>
  <si>
    <t>156255161</t>
  </si>
  <si>
    <t>acyl-CoA-binding domain-containing protein 5 isoform d</t>
  </si>
  <si>
    <t>156255163</t>
  </si>
  <si>
    <t xml:space="preserve">acyl-CoA-binding domain-containing protein 5 isoform a precursor </t>
  </si>
  <si>
    <t>156255165</t>
  </si>
  <si>
    <t xml:space="preserve">acyl-CoA-binding domain-containing protein 5 isoform b precursor </t>
  </si>
  <si>
    <t>27229192</t>
  </si>
  <si>
    <t>acyl-CoA-binding domain-containing protein 5 isoform c</t>
  </si>
  <si>
    <t>224809391</t>
  </si>
  <si>
    <t>acyl-CoA-binding domain-containing protein 6 isoform 2</t>
  </si>
  <si>
    <t>224809393</t>
  </si>
  <si>
    <t>acyl-CoA-binding domain-containing protein 6 isoform 3</t>
  </si>
  <si>
    <t>224809389</t>
  </si>
  <si>
    <t>acyl-CoA-binding domain-containing protein 6 isoform 1</t>
  </si>
  <si>
    <t>60593059</t>
  </si>
  <si>
    <t xml:space="preserve">adrenocortical dysplasia protein </t>
  </si>
  <si>
    <t>194394192</t>
  </si>
  <si>
    <t xml:space="preserve">apoptotic chromatin condensation inducer in the nucleus isoform 1 </t>
  </si>
  <si>
    <t>194394195</t>
  </si>
  <si>
    <t xml:space="preserve">apoptotic chromatin condensation inducer in the nucleus isoform 3 </t>
  </si>
  <si>
    <t>336176080</t>
  </si>
  <si>
    <t xml:space="preserve">apoptotic chromatin condensation inducer in the nucleus isoform 5 </t>
  </si>
  <si>
    <t>336176082</t>
  </si>
  <si>
    <t xml:space="preserve">apoptotic chromatin condensation inducer in the nucleus isoform 6 </t>
  </si>
  <si>
    <t>146231985</t>
  </si>
  <si>
    <t xml:space="preserve">apoptotic chromatin condensation inducer in the nucleus isoform 2 </t>
  </si>
  <si>
    <t>194394197</t>
  </si>
  <si>
    <t xml:space="preserve">apoptotic chromatin condensation inducer in the nucleus isoform 4 </t>
  </si>
  <si>
    <t>29293809</t>
  </si>
  <si>
    <t>ATP-citrate synthase isoform 2</t>
  </si>
  <si>
    <t>313151222</t>
  </si>
  <si>
    <t>ATP-citrate synthase isoform 1</t>
  </si>
  <si>
    <t>110347487</t>
  </si>
  <si>
    <t xml:space="preserve">cytoplasmic aconitate hydratase </t>
  </si>
  <si>
    <t>18079339</t>
  </si>
  <si>
    <t>aconitate hydratase, mitochondrial precursor</t>
  </si>
  <si>
    <t>6753550</t>
  </si>
  <si>
    <t>acyl-coenzyme A thioesterase 1</t>
  </si>
  <si>
    <t>154426268</t>
  </si>
  <si>
    <t>acyl-coenzyme A thioesterase 10, mitochondrial precursor</t>
  </si>
  <si>
    <t>18482377</t>
  </si>
  <si>
    <t>acyl-coenzyme A thioesterase 12</t>
  </si>
  <si>
    <t>13385260</t>
  </si>
  <si>
    <t>acyl-coenzyme A thioesterase 13</t>
  </si>
  <si>
    <t>238624114</t>
  </si>
  <si>
    <t>acyl-coenzyme A thioesterase 2, mitochondrial precursor</t>
  </si>
  <si>
    <t>19527406</t>
  </si>
  <si>
    <t>acyl-coenzyme A thioesterase 3</t>
  </si>
  <si>
    <t>269308227</t>
  </si>
  <si>
    <t>acyl-coenzyme A thioesterase 4</t>
  </si>
  <si>
    <t>238550185</t>
  </si>
  <si>
    <t>acyl-coenzyme A thioesterase 5</t>
  </si>
  <si>
    <t>110626167</t>
  </si>
  <si>
    <t>acyl-coenzyme A thioesterase 6</t>
  </si>
  <si>
    <t>225690614</t>
  </si>
  <si>
    <t>cytosolic acyl coenzyme A thioester hydrolase isoform 2</t>
  </si>
  <si>
    <t>225690616</t>
  </si>
  <si>
    <t>cytosolic acyl coenzyme A thioester hydrolase isoform 1</t>
  </si>
  <si>
    <t>225690618</t>
  </si>
  <si>
    <t>cytosolic acyl coenzyme A thioester hydrolase isoform 3</t>
  </si>
  <si>
    <t>254587964</t>
  </si>
  <si>
    <t>acyl-coenzyme A thioesterase 8</t>
  </si>
  <si>
    <t>31980998</t>
  </si>
  <si>
    <t xml:space="preserve">acyl-coenzyme A thioesterase 9, mitochondrial </t>
  </si>
  <si>
    <t>429484484</t>
  </si>
  <si>
    <t xml:space="preserve">peroxisomal acyl-coenzyme A oxidase 1 isoform 2 </t>
  </si>
  <si>
    <t>66793429</t>
  </si>
  <si>
    <t xml:space="preserve">peroxisomal acyl-coenzyme A oxidase 1 isoform 1 </t>
  </si>
  <si>
    <t>34328334</t>
  </si>
  <si>
    <t xml:space="preserve">peroxisomal acyl-coenzyme A oxidase 3 </t>
  </si>
  <si>
    <t>159032062</t>
  </si>
  <si>
    <t>low molecular weight phosphotyrosine protein phosphatase isoform 1</t>
  </si>
  <si>
    <t>29150253</t>
  </si>
  <si>
    <t>lysosomal acid phosphatase precursor</t>
  </si>
  <si>
    <t>66773165</t>
  </si>
  <si>
    <t>lysophosphatidic acid phosphatase type 6 precursor</t>
  </si>
  <si>
    <t>24418933</t>
  </si>
  <si>
    <t xml:space="preserve">acyl-CoA synthetase family member 2, mitochondrial precursor </t>
  </si>
  <si>
    <t>113199775</t>
  </si>
  <si>
    <t xml:space="preserve">acyl-CoA synthetase family member 3, mitochondrial precursor </t>
  </si>
  <si>
    <t>31560705</t>
  </si>
  <si>
    <t xml:space="preserve">long-chain-fatty-acid--CoA ligase 1 </t>
  </si>
  <si>
    <t>209977076</t>
  </si>
  <si>
    <t xml:space="preserve">long-chain-fatty-acid--CoA ligase 3 isoform b </t>
  </si>
  <si>
    <t>75992920</t>
  </si>
  <si>
    <t xml:space="preserve">long-chain-fatty-acid--CoA ligase 3 isoform a </t>
  </si>
  <si>
    <t>46518528</t>
  </si>
  <si>
    <t xml:space="preserve">long-chain-fatty-acid--CoA ligase 4 isoform 1 </t>
  </si>
  <si>
    <t>75992925</t>
  </si>
  <si>
    <t xml:space="preserve">long-chain-fatty-acid--CoA ligase 4 isoform 2 </t>
  </si>
  <si>
    <t>58218988</t>
  </si>
  <si>
    <t xml:space="preserve">long-chain-fatty-acid--CoA ligase 5 </t>
  </si>
  <si>
    <t>31980996</t>
  </si>
  <si>
    <t>acetyl-coenzyme A synthetase, cytoplasmic</t>
  </si>
  <si>
    <t>33563240</t>
  </si>
  <si>
    <t>actin, alpha skeletal muscle</t>
  </si>
  <si>
    <t>6671507</t>
  </si>
  <si>
    <t>actin, aortic smooth muscle</t>
  </si>
  <si>
    <t>6671509</t>
  </si>
  <si>
    <t xml:space="preserve">actin, cytoplasmic 1 </t>
  </si>
  <si>
    <t>30425250</t>
  </si>
  <si>
    <t xml:space="preserve">beta-actin-like protein 2 </t>
  </si>
  <si>
    <t>14192922</t>
  </si>
  <si>
    <t xml:space="preserve">actin, alpha cardiac muscle 1 </t>
  </si>
  <si>
    <t>6752954</t>
  </si>
  <si>
    <t xml:space="preserve">actin, cytoplasmic 2 </t>
  </si>
  <si>
    <t>157823889</t>
  </si>
  <si>
    <t>actin, gamma-enteric smooth muscle</t>
  </si>
  <si>
    <t>189181668</t>
  </si>
  <si>
    <t xml:space="preserve">actin-like protein 6A </t>
  </si>
  <si>
    <t>13937393</t>
  </si>
  <si>
    <t xml:space="preserve">actin-like protein 6B </t>
  </si>
  <si>
    <t>61097906</t>
  </si>
  <si>
    <t xml:space="preserve">alpha-actinin-1 </t>
  </si>
  <si>
    <t>157951643</t>
  </si>
  <si>
    <t xml:space="preserve">alpha-actinin-2 </t>
  </si>
  <si>
    <t>7304855</t>
  </si>
  <si>
    <t xml:space="preserve">alpha-actinin-3 </t>
  </si>
  <si>
    <t>11230802</t>
  </si>
  <si>
    <t xml:space="preserve">alpha-actinin-4 </t>
  </si>
  <si>
    <t>226246593</t>
  </si>
  <si>
    <t xml:space="preserve">actin-related protein 10 </t>
  </si>
  <si>
    <t>8392847</t>
  </si>
  <si>
    <t xml:space="preserve">alpha-centractin </t>
  </si>
  <si>
    <t>22122615</t>
  </si>
  <si>
    <t xml:space="preserve">beta-centractin </t>
  </si>
  <si>
    <t>22122825</t>
  </si>
  <si>
    <t xml:space="preserve">actin-related protein 2 </t>
  </si>
  <si>
    <t>329664963</t>
  </si>
  <si>
    <t xml:space="preserve">actin-related protein 3 </t>
  </si>
  <si>
    <t>52345394</t>
  </si>
  <si>
    <t xml:space="preserve">actin-related protein 3B </t>
  </si>
  <si>
    <t>13384746</t>
  </si>
  <si>
    <t xml:space="preserve">aminoacylase-1 </t>
  </si>
  <si>
    <t>31982632</t>
  </si>
  <si>
    <t xml:space="preserve">aspartoacylase-2 </t>
  </si>
  <si>
    <t>13384810</t>
  </si>
  <si>
    <t xml:space="preserve">acylphosphatase-1 </t>
  </si>
  <si>
    <t>150378458</t>
  </si>
  <si>
    <t xml:space="preserve">disintegrin and metalloproteinase domain-containing protein 10 precursor </t>
  </si>
  <si>
    <t>471270257</t>
  </si>
  <si>
    <t>disintegrin and metalloproteinase domain-containing protein 17 isoform 2</t>
  </si>
  <si>
    <t>110347485</t>
  </si>
  <si>
    <t xml:space="preserve">disintegrin and metalloproteinase domain-containing protein 17 precursor </t>
  </si>
  <si>
    <t>160358787</t>
  </si>
  <si>
    <t xml:space="preserve">disintegrin and metalloproteinase domain-containing protein 9 precursor </t>
  </si>
  <si>
    <t>401782598</t>
  </si>
  <si>
    <t>disintegrin and metalloproteinase domain-containing protein 9 isoform 1</t>
  </si>
  <si>
    <t>148529020</t>
  </si>
  <si>
    <t xml:space="preserve">ADAM metallopeptidase with thrombospondin type 1 motif, 17 precursor </t>
  </si>
  <si>
    <t>165905595</t>
  </si>
  <si>
    <t>ADAMTS-like protein 5 isoform 1 precursor</t>
  </si>
  <si>
    <t>148368976</t>
  </si>
  <si>
    <t xml:space="preserve">centaurin, alpha 1 </t>
  </si>
  <si>
    <t>26006859</t>
  </si>
  <si>
    <t xml:space="preserve">arf-GAP with dual PH domain-containing protein 2 </t>
  </si>
  <si>
    <t>226371677</t>
  </si>
  <si>
    <t>double-stranded RNA-specific adenosine deaminase isoform 3</t>
  </si>
  <si>
    <t>226371679</t>
  </si>
  <si>
    <t>double-stranded RNA-specific adenosine deaminase isoform 1</t>
  </si>
  <si>
    <t>226371684</t>
  </si>
  <si>
    <t>double-stranded RNA-specific adenosine deaminase isoform 2</t>
  </si>
  <si>
    <t>7304859</t>
  </si>
  <si>
    <t>tRNA-specific adenosine deaminase 1</t>
  </si>
  <si>
    <t>61098160</t>
  </si>
  <si>
    <t>tRNA-specific adenosine deaminase 2</t>
  </si>
  <si>
    <t>154759286</t>
  </si>
  <si>
    <t xml:space="preserve">tRNA-specific adenosine deaminase-like protein 3 </t>
  </si>
  <si>
    <t>21312430</t>
  </si>
  <si>
    <t xml:space="preserve">uncharacterized aarF domain-containing protein kinase 1 precursor </t>
  </si>
  <si>
    <t>169234776</t>
  </si>
  <si>
    <t>uncharacterized aarF domain-containing protein kinase 5</t>
  </si>
  <si>
    <t>148747309</t>
  </si>
  <si>
    <t>adenylate cyclase type 5</t>
  </si>
  <si>
    <t>86604721</t>
  </si>
  <si>
    <t>adenylate cyclase type 6</t>
  </si>
  <si>
    <t>156255171</t>
  </si>
  <si>
    <t xml:space="preserve">alpha-adducin isoform 1 </t>
  </si>
  <si>
    <t>156255173</t>
  </si>
  <si>
    <t xml:space="preserve">alpha-adducin isoform 3 </t>
  </si>
  <si>
    <t>7304861</t>
  </si>
  <si>
    <t xml:space="preserve">alpha-adducin isoform 2 </t>
  </si>
  <si>
    <t>427918090</t>
  </si>
  <si>
    <t xml:space="preserve">beta-adducin isoform 1 </t>
  </si>
  <si>
    <t>427918097</t>
  </si>
  <si>
    <t xml:space="preserve">beta-adducin isoform 2 </t>
  </si>
  <si>
    <t>6724311</t>
  </si>
  <si>
    <t xml:space="preserve">alcohol dehydrogenase 1 </t>
  </si>
  <si>
    <t>31982511</t>
  </si>
  <si>
    <t xml:space="preserve">alcohol dehydrogenase class-3 </t>
  </si>
  <si>
    <t>31560625</t>
  </si>
  <si>
    <t>alcohol dehydrogenase class 4 mu/sigma chain</t>
  </si>
  <si>
    <t>19527270</t>
  </si>
  <si>
    <t>1,2-dihydroxy-3-keto-5-methylthiopentene dioxygenase</t>
  </si>
  <si>
    <t>38259186</t>
  </si>
  <si>
    <t>adiponectin receptor protein 1</t>
  </si>
  <si>
    <t>-</t>
  </si>
  <si>
    <t>19527306</t>
  </si>
  <si>
    <t>adenosine kinase isoform 1</t>
  </si>
  <si>
    <t>339895909</t>
  </si>
  <si>
    <t>adenosine kinase isoform 2</t>
  </si>
  <si>
    <t>90093349</t>
  </si>
  <si>
    <t>activity-dependent neuroprotector homeobox protein</t>
  </si>
  <si>
    <t>225703118</t>
  </si>
  <si>
    <t>2-aminoethanethiol dioxygenase</t>
  </si>
  <si>
    <t>21312406</t>
  </si>
  <si>
    <t xml:space="preserve">ADP-dependent glucokinase precursor </t>
  </si>
  <si>
    <t>6680658</t>
  </si>
  <si>
    <t xml:space="preserve">[Protein ADP-ribosylarginine] hydrolase </t>
  </si>
  <si>
    <t>28916671</t>
  </si>
  <si>
    <t xml:space="preserve">poly(ADP-ribose) glycohydrolase ARH3 </t>
  </si>
  <si>
    <t>33859769</t>
  </si>
  <si>
    <t>beta-adrenergic receptor kinase 1</t>
  </si>
  <si>
    <t>78711830</t>
  </si>
  <si>
    <t>beta-adrenergic receptor kinase 2 isoform 1</t>
  </si>
  <si>
    <t>31981027</t>
  </si>
  <si>
    <t>proteasomal ubiquitin receptor ADRM1</t>
  </si>
  <si>
    <t>29788764</t>
  </si>
  <si>
    <t>adenylosuccinate lyase</t>
  </si>
  <si>
    <t>31560737</t>
  </si>
  <si>
    <t>adenylosuccinate synthetase isozyme 2</t>
  </si>
  <si>
    <t>6671519</t>
  </si>
  <si>
    <t>adenylosuccinate synthetase isozyme 1</t>
  </si>
  <si>
    <t>33859696</t>
  </si>
  <si>
    <t>actin filament-associated protein 1</t>
  </si>
  <si>
    <t>22122607</t>
  </si>
  <si>
    <t xml:space="preserve">actin filament-associated protein 1-like 2 isoform 3 </t>
  </si>
  <si>
    <t>295317357</t>
  </si>
  <si>
    <t xml:space="preserve">actin filament-associated protein 1-like 2 isoform 1 </t>
  </si>
  <si>
    <t>295317359</t>
  </si>
  <si>
    <t xml:space="preserve">actin filament-associated protein 1-like 2 isoform 2 </t>
  </si>
  <si>
    <t>17298672</t>
  </si>
  <si>
    <t>AF4/FMR2 family member 4</t>
  </si>
  <si>
    <t>66792806</t>
  </si>
  <si>
    <t xml:space="preserve">AFG3-like protein 1 </t>
  </si>
  <si>
    <t>110625761</t>
  </si>
  <si>
    <t xml:space="preserve">AFG3-like protein 2 </t>
  </si>
  <si>
    <t>21746157</t>
  </si>
  <si>
    <t>kynurenine formamidase</t>
  </si>
  <si>
    <t>31088896</t>
  </si>
  <si>
    <t xml:space="preserve">aftiphilin isoform 1 </t>
  </si>
  <si>
    <t>357394879</t>
  </si>
  <si>
    <t xml:space="preserve">aftiphilin isoform 2 </t>
  </si>
  <si>
    <t>326439050</t>
  </si>
  <si>
    <t>N(4)-(beta-N-acetylglucosaminyl)-L-asparaginase isoform 2 precursor</t>
  </si>
  <si>
    <t>54292135</t>
  </si>
  <si>
    <t>N(4)-(beta-N-acetylglucosaminyl)-L-asparaginase isoform 1 precursor</t>
  </si>
  <si>
    <t>312839828</t>
  </si>
  <si>
    <t xml:space="preserve">cytosolic carboxypeptidase 4 </t>
  </si>
  <si>
    <t>33563260</t>
  </si>
  <si>
    <t xml:space="preserve">arf-GAP domain and FG repeat-containing protein 1 </t>
  </si>
  <si>
    <t>21704138</t>
  </si>
  <si>
    <t xml:space="preserve">arf-GAP domain and FG repeat-containing protein 2 isoform 1 </t>
  </si>
  <si>
    <t>30039690</t>
  </si>
  <si>
    <t xml:space="preserve">arf-GAP domain and FG repeat-containing protein 2 isoform 2 </t>
  </si>
  <si>
    <t>37537518</t>
  </si>
  <si>
    <t>acylglycerol kinase, mitochondrial precursor</t>
  </si>
  <si>
    <t>124486747</t>
  </si>
  <si>
    <t xml:space="preserve">glycogen debranching enzyme </t>
  </si>
  <si>
    <t>251823852</t>
  </si>
  <si>
    <t>protein argonaute-1</t>
  </si>
  <si>
    <t>219842353</t>
  </si>
  <si>
    <t>protein argonaute-2</t>
  </si>
  <si>
    <t>240120065</t>
  </si>
  <si>
    <t>protein argonaute-3</t>
  </si>
  <si>
    <t>68448547</t>
  </si>
  <si>
    <t>protein argonaute-4</t>
  </si>
  <si>
    <t>23956162</t>
  </si>
  <si>
    <t>1-acyl-sn-glycerol-3-phosphate acyltransferase beta precursor</t>
  </si>
  <si>
    <t>27229278</t>
  </si>
  <si>
    <t xml:space="preserve">1-acyl-sn-glycerol-3-phosphate acyltransferase gamma </t>
  </si>
  <si>
    <t>27229064</t>
  </si>
  <si>
    <t xml:space="preserve">1-acyl-sn-glycerol-3-phosphate acyltransferase delta </t>
  </si>
  <si>
    <t>27229077</t>
  </si>
  <si>
    <t xml:space="preserve">1-acyl-sn-glycerol-3-phosphate acyltransferase epsilon </t>
  </si>
  <si>
    <t>295444834</t>
  </si>
  <si>
    <t xml:space="preserve">alkyldihydroxyacetonephosphate synthase, peroxisomal </t>
  </si>
  <si>
    <t>344217723</t>
  </si>
  <si>
    <t>agrin precursor</t>
  </si>
  <si>
    <t>262263372</t>
  </si>
  <si>
    <t xml:space="preserve">adenosylhomocysteinase </t>
  </si>
  <si>
    <t>27734986</t>
  </si>
  <si>
    <t xml:space="preserve">putative adenosylhomocysteinase 2 </t>
  </si>
  <si>
    <t>283837832</t>
  </si>
  <si>
    <t xml:space="preserve">putative adenosylhomocysteinase 3 isoform 3 </t>
  </si>
  <si>
    <t>342307099</t>
  </si>
  <si>
    <t xml:space="preserve">putative adenosylhomocysteinase 3 isoform 1 </t>
  </si>
  <si>
    <t>342307101</t>
  </si>
  <si>
    <t xml:space="preserve">putative adenosylhomocysteinase 3 isoform 2 </t>
  </si>
  <si>
    <t>90403607</t>
  </si>
  <si>
    <t>AHNAK nucleoprotein isoform 3</t>
  </si>
  <si>
    <t>61743961</t>
  </si>
  <si>
    <t>AHNAK nucleoprotein isoform 1</t>
  </si>
  <si>
    <t>309262791</t>
  </si>
  <si>
    <t xml:space="preserve">PREDICTED: protein AHNAK2 </t>
  </si>
  <si>
    <t>22122515</t>
  </si>
  <si>
    <t>activator of 90 kDa heat shock protein ATPase homolog 1</t>
  </si>
  <si>
    <t>62530188</t>
  </si>
  <si>
    <t>activator of 90 kDa heat shock protein ATPase homolog 2</t>
  </si>
  <si>
    <t>37718970</t>
  </si>
  <si>
    <t>proteasome-associated protein ECM29 homolog</t>
  </si>
  <si>
    <t>237858808</t>
  </si>
  <si>
    <t xml:space="preserve">UPF0723 protein C11orf83 homolog precursor </t>
  </si>
  <si>
    <t>61557491</t>
  </si>
  <si>
    <t xml:space="preserve">UPF0444 transmembrane protein C12orf23 homolog </t>
  </si>
  <si>
    <t>161484644</t>
  </si>
  <si>
    <t>uncharacterized protein C6orf132 homolog</t>
  </si>
  <si>
    <t>208431789</t>
  </si>
  <si>
    <t>UPF0696 protein C11orf68 homolog isoform a</t>
  </si>
  <si>
    <t>32189430</t>
  </si>
  <si>
    <t>axin interactor, dorsalization-associated protein</t>
  </si>
  <si>
    <t>21553105</t>
  </si>
  <si>
    <t>allograft inflammatory factor 1-like</t>
  </si>
  <si>
    <t>6755004</t>
  </si>
  <si>
    <t xml:space="preserve">apoptosis-inducing factor 1, mitochondrial precursor </t>
  </si>
  <si>
    <t>262050654</t>
  </si>
  <si>
    <t xml:space="preserve">apoptosis-inducing factor 2 isoform 1 </t>
  </si>
  <si>
    <t>30017355</t>
  </si>
  <si>
    <t xml:space="preserve">apoptosis-inducing factor 2 isoform 2 </t>
  </si>
  <si>
    <t>163965368</t>
  </si>
  <si>
    <t xml:space="preserve">absent in melanoma 1 protein </t>
  </si>
  <si>
    <t>126012517</t>
  </si>
  <si>
    <t xml:space="preserve">aminoacyl tRNA synthase complex-interacting multifunctional protein 1 </t>
  </si>
  <si>
    <t>22122695</t>
  </si>
  <si>
    <t xml:space="preserve">aminoacyl tRNA synthase complex-interacting multifunctional protein 2 isoform 2 </t>
  </si>
  <si>
    <t>288541337</t>
  </si>
  <si>
    <t xml:space="preserve">aminoacyl tRNA synthase complex-interacting multifunctional protein 2 isoform 1 </t>
  </si>
  <si>
    <t>7709982</t>
  </si>
  <si>
    <t xml:space="preserve">AH receptor-interacting protein </t>
  </si>
  <si>
    <t>219283242</t>
  </si>
  <si>
    <t>uncharacterized protein C14orf142 homolog</t>
  </si>
  <si>
    <t>34328230</t>
  </si>
  <si>
    <t>adenylate kinase 2, mitochondrial isoform b</t>
  </si>
  <si>
    <t>77020262</t>
  </si>
  <si>
    <t>adenylate kinase 2, mitochondrial isoform a</t>
  </si>
  <si>
    <t>23956104</t>
  </si>
  <si>
    <t>GTP:AMP phosphotransferase AK3, mitochondrial</t>
  </si>
  <si>
    <t>13626040</t>
  </si>
  <si>
    <t>A-kinase anchor protein 12</t>
  </si>
  <si>
    <t>189181672</t>
  </si>
  <si>
    <t>A kinase (PRKA) anchor protein 13</t>
  </si>
  <si>
    <t>78711832</t>
  </si>
  <si>
    <t>A-kinase anchor protein 2 isoform 3</t>
  </si>
  <si>
    <t>78711834</t>
  </si>
  <si>
    <t>A-kinase anchor protein 2 isoform 2</t>
  </si>
  <si>
    <t>78711836</t>
  </si>
  <si>
    <t>A-kinase anchor protein 2 isoform 1</t>
  </si>
  <si>
    <t>31560394</t>
  </si>
  <si>
    <t>A-kinase anchor protein 8</t>
  </si>
  <si>
    <t>125661048</t>
  </si>
  <si>
    <t>A-kinase anchor protein 9</t>
  </si>
  <si>
    <t>10946870</t>
  </si>
  <si>
    <t xml:space="preserve">alcohol dehydrogenase [NADP(+)] </t>
  </si>
  <si>
    <t>71067102</t>
  </si>
  <si>
    <t>aldo-keto reductase family 1, member B10</t>
  </si>
  <si>
    <t>160707894</t>
  </si>
  <si>
    <t>aldose reductase</t>
  </si>
  <si>
    <t>160415215</t>
  </si>
  <si>
    <t>aldose reductase-related protein 1</t>
  </si>
  <si>
    <t>6679791</t>
  </si>
  <si>
    <t>aldose reductase-related protein 2</t>
  </si>
  <si>
    <t>85719330</t>
  </si>
  <si>
    <t>aldo-keto reductase family 1, member C12</t>
  </si>
  <si>
    <t>171846276</t>
  </si>
  <si>
    <t>aldo-keto reductase family 1 member C13</t>
  </si>
  <si>
    <t>282398141</t>
  </si>
  <si>
    <t>aldo-keto reductase family 1, member C19</t>
  </si>
  <si>
    <t>93277108</t>
  </si>
  <si>
    <t>1,5-anhydro-D-fructose reductase</t>
  </si>
  <si>
    <t>240120054</t>
  </si>
  <si>
    <t>aflatoxin B1 aldehyde reductase member 2</t>
  </si>
  <si>
    <t>260166608</t>
  </si>
  <si>
    <t xml:space="preserve">RAC-alpha serine/threonine-protein kinase isoform 2 </t>
  </si>
  <si>
    <t>6753034</t>
  </si>
  <si>
    <t xml:space="preserve">RAC-alpha serine/threonine-protein kinase isoform 1 </t>
  </si>
  <si>
    <t>21312878</t>
  </si>
  <si>
    <t>proline-rich AKT1 substrate 1</t>
  </si>
  <si>
    <t>6680674</t>
  </si>
  <si>
    <t xml:space="preserve">RAC-beta serine/threonine-protein kinase </t>
  </si>
  <si>
    <t>190883484</t>
  </si>
  <si>
    <t xml:space="preserve">RAC-gamma serine/threonine-protein kinase </t>
  </si>
  <si>
    <t>6753918</t>
  </si>
  <si>
    <t>AKT-interacting protein</t>
  </si>
  <si>
    <t>34328485</t>
  </si>
  <si>
    <t xml:space="preserve">delta-aminolevulinic acid dehydratase </t>
  </si>
  <si>
    <t>163310765</t>
  </si>
  <si>
    <t xml:space="preserve">serum albumin precursor </t>
  </si>
  <si>
    <t>31791059</t>
  </si>
  <si>
    <t xml:space="preserve">CD166 antigen precursor </t>
  </si>
  <si>
    <t>26080429</t>
  </si>
  <si>
    <t>aldehyde dehydrogenase family 16 member A1</t>
  </si>
  <si>
    <t>255958292</t>
  </si>
  <si>
    <t>delta-1-pyrroline-5-carboxylate synthase isoform 1</t>
  </si>
  <si>
    <t>255958294</t>
  </si>
  <si>
    <t>delta-1-pyrroline-5-carboxylate synthase isoform 2</t>
  </si>
  <si>
    <t>85861182</t>
  </si>
  <si>
    <t xml:space="preserve">retinal dehydrogenase 1 </t>
  </si>
  <si>
    <t>7106242</t>
  </si>
  <si>
    <t>aldehyde dehydrogenase, cytosolic 1</t>
  </si>
  <si>
    <t>6753036</t>
  </si>
  <si>
    <t>aldehyde dehydrogenase, mitochondrial precursor</t>
  </si>
  <si>
    <t>163310769</t>
  </si>
  <si>
    <t>aldehyde dehydrogenase, dimeric NADP-preferring</t>
  </si>
  <si>
    <t>75677435</t>
  </si>
  <si>
    <t xml:space="preserve">fatty aldehyde dehydrogenase </t>
  </si>
  <si>
    <t>34328288</t>
  </si>
  <si>
    <t>aldehyde dehydrogenase family 3 member B1</t>
  </si>
  <si>
    <t>294460012</t>
  </si>
  <si>
    <t>aldehyde dehydrogenase 3 family, member B2</t>
  </si>
  <si>
    <t>407262588</t>
  </si>
  <si>
    <t xml:space="preserve">PREDICTED: aldehyde dehydrogenase family 3 member B1 </t>
  </si>
  <si>
    <t>27369748</t>
  </si>
  <si>
    <t>succinate-semialdehyde dehydrogenase, mitochondrial precursor</t>
  </si>
  <si>
    <t>19527258</t>
  </si>
  <si>
    <t xml:space="preserve">methylmalonate-semialdehyde dehydrogenase [acylating], mitochondrial precursor </t>
  </si>
  <si>
    <t>188035915</t>
  </si>
  <si>
    <t xml:space="preserve">alpha-aminoadipic semialdehyde dehydrogenase isoform b </t>
  </si>
  <si>
    <t>188219757</t>
  </si>
  <si>
    <t xml:space="preserve">alpha-aminoadipic semialdehyde dehydrogenase isoform a </t>
  </si>
  <si>
    <t>115334671</t>
  </si>
  <si>
    <t>4-trimethylaminobutyraldehyde dehydrogenase</t>
  </si>
  <si>
    <t>293597567</t>
  </si>
  <si>
    <t>fructose-bisphosphate aldolase A isoform 1 precursor</t>
  </si>
  <si>
    <t>6671539</t>
  </si>
  <si>
    <t xml:space="preserve">fructose-bisphosphate aldolase A isoform 2 </t>
  </si>
  <si>
    <t>312922382</t>
  </si>
  <si>
    <t xml:space="preserve">aldolase 1 A retrogene 1 </t>
  </si>
  <si>
    <t>476007882</t>
  </si>
  <si>
    <t xml:space="preserve">fructose-bisphosphate aldolase A-like </t>
  </si>
  <si>
    <t>21450291</t>
  </si>
  <si>
    <t xml:space="preserve">fructose-bisphosphate aldolase B </t>
  </si>
  <si>
    <t>60687506</t>
  </si>
  <si>
    <t xml:space="preserve">fructose-bisphosphate aldolase C </t>
  </si>
  <si>
    <t>215276946</t>
  </si>
  <si>
    <t>dol-P-Man:Man(7)GlcNAc(2)-PP-Dol alpha-1,6-mannosyltransferase isoform 1</t>
  </si>
  <si>
    <t>13195608</t>
  </si>
  <si>
    <t xml:space="preserve">UDP-N-acetylglucosamine transferase subunit ALG14 homolog </t>
  </si>
  <si>
    <t>21728372</t>
  </si>
  <si>
    <t>dolichyl-phosphate beta-glucosyltransferase</t>
  </si>
  <si>
    <t>110625726</t>
  </si>
  <si>
    <t xml:space="preserve">alpha-ketoglutarate-dependent dioxygenase alkB homolog 3 </t>
  </si>
  <si>
    <t>31044423</t>
  </si>
  <si>
    <t xml:space="preserve">RNA demethylase ALKBH5 </t>
  </si>
  <si>
    <t>189181674</t>
  </si>
  <si>
    <t xml:space="preserve">alsin isoform 2 </t>
  </si>
  <si>
    <t>237757295</t>
  </si>
  <si>
    <t xml:space="preserve">alsin isoform 1 </t>
  </si>
  <si>
    <t>6755763</t>
  </si>
  <si>
    <t>THO complex subunit 4</t>
  </si>
  <si>
    <t>148238335</t>
  </si>
  <si>
    <t>aly/REF export factor 2</t>
  </si>
  <si>
    <t>46518506</t>
  </si>
  <si>
    <t>alpha-methylacyl-CoA racemase</t>
  </si>
  <si>
    <t>31982133</t>
  </si>
  <si>
    <t xml:space="preserve">putative N-acetylglucosamine-6-phosphate deacetylase </t>
  </si>
  <si>
    <t>113205073</t>
  </si>
  <si>
    <t>E3 ubiquitin-protein ligase AMFR</t>
  </si>
  <si>
    <t>9506383</t>
  </si>
  <si>
    <t xml:space="preserve">AMME syndrome candidate gene 1 protein homolog </t>
  </si>
  <si>
    <t>23943793</t>
  </si>
  <si>
    <t>AMMECR1-like protein isoform 2</t>
  </si>
  <si>
    <t>334848200</t>
  </si>
  <si>
    <t>AMMECR1-like protein isoform 1</t>
  </si>
  <si>
    <t>114431240</t>
  </si>
  <si>
    <t xml:space="preserve">AMP deaminase 1 </t>
  </si>
  <si>
    <t>21311925</t>
  </si>
  <si>
    <t xml:space="preserve">AMP deaminase 2 </t>
  </si>
  <si>
    <t>66792802</t>
  </si>
  <si>
    <t xml:space="preserve">AMP deaminase 3 </t>
  </si>
  <si>
    <t>228008323</t>
  </si>
  <si>
    <t>anaphase-promoting complex subunit 1</t>
  </si>
  <si>
    <t>84039696</t>
  </si>
  <si>
    <t>anaphase-promoting complex subunit 11</t>
  </si>
  <si>
    <t>31088920</t>
  </si>
  <si>
    <t>anaphase-promoting complex subunit 13</t>
  </si>
  <si>
    <t>13384936</t>
  </si>
  <si>
    <t>anaphase-promoting complex subunit 16</t>
  </si>
  <si>
    <t>260763928</t>
  </si>
  <si>
    <t>anaphase-promoting complex subunit 2</t>
  </si>
  <si>
    <t>23956182</t>
  </si>
  <si>
    <t>anaphase-promoting complex subunit 4</t>
  </si>
  <si>
    <t>109809751</t>
  </si>
  <si>
    <t>anaphase-promoting complex subunit 5 isoform a</t>
  </si>
  <si>
    <t>109809753</t>
  </si>
  <si>
    <t>anaphase-promoting complex subunit 5 isoform b</t>
  </si>
  <si>
    <t>163310734</t>
  </si>
  <si>
    <t>protein angel homolog 1</t>
  </si>
  <si>
    <t>116256499</t>
  </si>
  <si>
    <t xml:space="preserve">ankyrin-3 isoform i </t>
  </si>
  <si>
    <t>22129789</t>
  </si>
  <si>
    <t xml:space="preserve">ankyrin-3 isoform g </t>
  </si>
  <si>
    <t>86262153</t>
  </si>
  <si>
    <t xml:space="preserve">ankyrin-3 isoform f </t>
  </si>
  <si>
    <t>116256491</t>
  </si>
  <si>
    <t xml:space="preserve">ankyrin-3 isoform a </t>
  </si>
  <si>
    <t>116256493</t>
  </si>
  <si>
    <t xml:space="preserve">ankyrin-3 isoform d </t>
  </si>
  <si>
    <t>116256497</t>
  </si>
  <si>
    <t xml:space="preserve">ankyrin-3 isoform b </t>
  </si>
  <si>
    <t>116256503</t>
  </si>
  <si>
    <t xml:space="preserve">ankyrin-3 isoform e </t>
  </si>
  <si>
    <t>116256505</t>
  </si>
  <si>
    <t xml:space="preserve">ankyrin-3 isoform h </t>
  </si>
  <si>
    <t>25121946</t>
  </si>
  <si>
    <t xml:space="preserve">ankyrin-3 isoform c </t>
  </si>
  <si>
    <t>85702366</t>
  </si>
  <si>
    <t xml:space="preserve">ankyrin repeat and FYVE domain-containing protein 1 </t>
  </si>
  <si>
    <t>158749543</t>
  </si>
  <si>
    <t xml:space="preserve">ankyrin repeat and KH domain-containing protein 1 </t>
  </si>
  <si>
    <t>61656165</t>
  </si>
  <si>
    <t xml:space="preserve">ankyrin repeat and IBR domain-containing protein 1 </t>
  </si>
  <si>
    <t>189181677</t>
  </si>
  <si>
    <t xml:space="preserve">ankyrin repeat and LEM domain containing 1 </t>
  </si>
  <si>
    <t>269308251</t>
  </si>
  <si>
    <t xml:space="preserve">ankyrin repeat and MYND domain-containing protein 2 </t>
  </si>
  <si>
    <t>61651675</t>
  </si>
  <si>
    <t xml:space="preserve">ankyrin repeat domain-containing protein 13A </t>
  </si>
  <si>
    <t>142363888</t>
  </si>
  <si>
    <t xml:space="preserve">ankyrin repeat domain-containing protein 13D </t>
  </si>
  <si>
    <t>40549395</t>
  </si>
  <si>
    <t xml:space="preserve">ankyrin repeat domain-containing protein 17 isoform b </t>
  </si>
  <si>
    <t>40549397</t>
  </si>
  <si>
    <t xml:space="preserve">ankyrin repeat domain-containing protein 17 isoform a </t>
  </si>
  <si>
    <t>48597001</t>
  </si>
  <si>
    <t xml:space="preserve">ankyrin repeat domain-containing protein 22 </t>
  </si>
  <si>
    <t>66841376</t>
  </si>
  <si>
    <t>serine/threonine-protein phosphatase 6 regulatory ankyrin repeat subunit A</t>
  </si>
  <si>
    <t>125656161</t>
  </si>
  <si>
    <t xml:space="preserve">ankyrin repeat domain-containing protein 40 isoform 1 </t>
  </si>
  <si>
    <t>125656167</t>
  </si>
  <si>
    <t xml:space="preserve">ankyrin repeat domain-containing protein 40 isoform 2 </t>
  </si>
  <si>
    <t>29789417</t>
  </si>
  <si>
    <t xml:space="preserve">ankyrin repeat domain-containing protein 46 </t>
  </si>
  <si>
    <t>31088892</t>
  </si>
  <si>
    <t xml:space="preserve">ankyrin repeat and SAM domain-containing protein 1A </t>
  </si>
  <si>
    <t>188528655</t>
  </si>
  <si>
    <t xml:space="preserve">ankyrin repeat and SAM domain-containing protein 3 </t>
  </si>
  <si>
    <t>110556649</t>
  </si>
  <si>
    <t>ankyrin repeat and zinc finger domain-containing protein 1 isoform 1</t>
  </si>
  <si>
    <t>251823794</t>
  </si>
  <si>
    <t xml:space="preserve">actin-binding protein anillin </t>
  </si>
  <si>
    <t>30794236</t>
  </si>
  <si>
    <t xml:space="preserve">anoctamin-10 isoform 1 </t>
  </si>
  <si>
    <t>428673529</t>
  </si>
  <si>
    <t xml:space="preserve">anoctamin-10 isoform 2 </t>
  </si>
  <si>
    <t>359465539</t>
  </si>
  <si>
    <t xml:space="preserve">anoctamin-6 isoform 1 </t>
  </si>
  <si>
    <t>40254290</t>
  </si>
  <si>
    <t xml:space="preserve">anoctamin-6 isoform 2 </t>
  </si>
  <si>
    <t>40254600</t>
  </si>
  <si>
    <t>acidic leucine-rich nuclear phosphoprotein 32 family member A</t>
  </si>
  <si>
    <t>18700032</t>
  </si>
  <si>
    <t>acidic leucine-rich nuclear phosphoprotein 32 family member B</t>
  </si>
  <si>
    <t>359279954</t>
  </si>
  <si>
    <t>acidic leucine-rich nuclear phosphoprotein 32 family member E isoform 3</t>
  </si>
  <si>
    <t>254587996</t>
  </si>
  <si>
    <t>acidic leucine-rich nuclear phosphoprotein 32 family member E isoform 1</t>
  </si>
  <si>
    <t>359279956</t>
  </si>
  <si>
    <t>acidic leucine-rich nuclear phosphoprotein 32 family member E isoform 2</t>
  </si>
  <si>
    <t>225637487</t>
  </si>
  <si>
    <t>aminopeptidase N</t>
  </si>
  <si>
    <t>124517663</t>
  </si>
  <si>
    <t>annexin A1</t>
  </si>
  <si>
    <t>160707921</t>
  </si>
  <si>
    <t>annexin A11</t>
  </si>
  <si>
    <t>6996913</t>
  </si>
  <si>
    <t>annexin A2</t>
  </si>
  <si>
    <t>160707925</t>
  </si>
  <si>
    <t>annexin A3</t>
  </si>
  <si>
    <t>161016799</t>
  </si>
  <si>
    <t>annexin A4</t>
  </si>
  <si>
    <t>6753060</t>
  </si>
  <si>
    <t>annexin A5</t>
  </si>
  <si>
    <t>158966670</t>
  </si>
  <si>
    <t>annexin A6 isoform b</t>
  </si>
  <si>
    <t>31981302</t>
  </si>
  <si>
    <t>annexin A6 isoform a</t>
  </si>
  <si>
    <t>160707956</t>
  </si>
  <si>
    <t>annexin A7</t>
  </si>
  <si>
    <t>145864475</t>
  </si>
  <si>
    <t>annexin A9</t>
  </si>
  <si>
    <t>34098972</t>
  </si>
  <si>
    <t>retina-specific copper amine oxidase</t>
  </si>
  <si>
    <t>6753066</t>
  </si>
  <si>
    <t>membrane primary amine oxidase</t>
  </si>
  <si>
    <t>339895913</t>
  </si>
  <si>
    <t>AP-1 complex subunit beta-1 isoform 1</t>
  </si>
  <si>
    <t>339895916</t>
  </si>
  <si>
    <t>AP-1 complex subunit beta-1 isoform 3</t>
  </si>
  <si>
    <t>88853578</t>
  </si>
  <si>
    <t>AP-1 complex subunit beta-1 isoform 2</t>
  </si>
  <si>
    <t>56744242</t>
  </si>
  <si>
    <t>AP-1 complex subunit gamma-1</t>
  </si>
  <si>
    <t>160707961</t>
  </si>
  <si>
    <t xml:space="preserve">AP-1 complex subunit gamma-like 2 </t>
  </si>
  <si>
    <t>6671557</t>
  </si>
  <si>
    <t>AP-1 complex subunit mu-1</t>
  </si>
  <si>
    <t>160333502</t>
  </si>
  <si>
    <t>AP-1 complex subunit mu-2 isoform 1</t>
  </si>
  <si>
    <t>160333508</t>
  </si>
  <si>
    <t>AP-1 complex subunit mu-2 isoform 2</t>
  </si>
  <si>
    <t>6671559</t>
  </si>
  <si>
    <t>AP-1 complex subunit sigma-1A</t>
  </si>
  <si>
    <t>40254484</t>
  </si>
  <si>
    <t>AP-1 complex subunit sigma-2</t>
  </si>
  <si>
    <t>35215317</t>
  </si>
  <si>
    <t>AP-1 complex subunit sigma-3</t>
  </si>
  <si>
    <t>116256510</t>
  </si>
  <si>
    <t>AP-2 complex subunit alpha-1 isoform b</t>
  </si>
  <si>
    <t>6671561</t>
  </si>
  <si>
    <t>AP-2 complex subunit alpha-1 isoform a</t>
  </si>
  <si>
    <t>163644277</t>
  </si>
  <si>
    <t>AP-2 complex subunit alpha-2</t>
  </si>
  <si>
    <t>21313640</t>
  </si>
  <si>
    <t>AP-2 complex subunit beta isoform b</t>
  </si>
  <si>
    <t>78711838</t>
  </si>
  <si>
    <t>AP-2 complex subunit beta isoform a</t>
  </si>
  <si>
    <t>6753074</t>
  </si>
  <si>
    <t>AP-2 complex subunit mu</t>
  </si>
  <si>
    <t>161086984</t>
  </si>
  <si>
    <t>AP-2 complex subunit sigma</t>
  </si>
  <si>
    <t>163310776</t>
  </si>
  <si>
    <t>AP-3 complex subunit beta-1</t>
  </si>
  <si>
    <t>52317148</t>
  </si>
  <si>
    <t>AP-3 complex subunit beta-2</t>
  </si>
  <si>
    <t>6671565</t>
  </si>
  <si>
    <t>AP-3 complex subunit delta-1</t>
  </si>
  <si>
    <t>254281313</t>
  </si>
  <si>
    <t>AP-3 complex subunit mu-1</t>
  </si>
  <si>
    <t>170763481</t>
  </si>
  <si>
    <t>AP-3 complex subunit mu-2</t>
  </si>
  <si>
    <t>6753078</t>
  </si>
  <si>
    <t>AP-3 complex subunit sigma-1</t>
  </si>
  <si>
    <t>160707971</t>
  </si>
  <si>
    <t>AP-3 complex subunit sigma-2</t>
  </si>
  <si>
    <t>254588018</t>
  </si>
  <si>
    <t>AP-4 complex subunit beta-1 isoform a</t>
  </si>
  <si>
    <t>254588022</t>
  </si>
  <si>
    <t>AP-4 complex subunit beta-1 isoform b</t>
  </si>
  <si>
    <t>17998681</t>
  </si>
  <si>
    <t>AP-4 complex subunit sigma-1</t>
  </si>
  <si>
    <t>75677454</t>
  </si>
  <si>
    <t>AP-5 complex subunit beta-1</t>
  </si>
  <si>
    <t>225543139</t>
  </si>
  <si>
    <t>AP-5 complex subunit mu-1</t>
  </si>
  <si>
    <t>31980819</t>
  </si>
  <si>
    <t>AP-5 complex subunit sigma-1</t>
  </si>
  <si>
    <t>82546849</t>
  </si>
  <si>
    <t>AP-5 complex subunit zeta-1</t>
  </si>
  <si>
    <t>110347471</t>
  </si>
  <si>
    <t>apoptotic protease-activating factor 1</t>
  </si>
  <si>
    <t>110625864</t>
  </si>
  <si>
    <t xml:space="preserve">protein APCDD1 precursor </t>
  </si>
  <si>
    <t>214010153</t>
  </si>
  <si>
    <t>acylamino-acid-releasing enzyme</t>
  </si>
  <si>
    <t>6753086</t>
  </si>
  <si>
    <t xml:space="preserve">DNA-(apurinic or apyrimidinic site) lyase </t>
  </si>
  <si>
    <t>189339191</t>
  </si>
  <si>
    <t xml:space="preserve">gamma-secretase subunit APH-1A isoform 2 </t>
  </si>
  <si>
    <t>22203751</t>
  </si>
  <si>
    <t xml:space="preserve">gamma-secretase subunit APH-1A isoform 1 </t>
  </si>
  <si>
    <t>94158994</t>
  </si>
  <si>
    <t xml:space="preserve">apoptosis inhibitor 5 </t>
  </si>
  <si>
    <t>258613873</t>
  </si>
  <si>
    <t>methylthioribulose-1-phosphate dehydratase</t>
  </si>
  <si>
    <t>281427262</t>
  </si>
  <si>
    <t>aprataxin and PNK-like factor isoform 1</t>
  </si>
  <si>
    <t>31541860</t>
  </si>
  <si>
    <t>aprataxin and PNK-like factor isoform 2</t>
  </si>
  <si>
    <t>156255192</t>
  </si>
  <si>
    <t>amyloid-like protein 2 isoform a precursor</t>
  </si>
  <si>
    <t>156255194</t>
  </si>
  <si>
    <t>amyloid-like protein 2 isoform b precursor</t>
  </si>
  <si>
    <t>6753094</t>
  </si>
  <si>
    <t>amyloid-like protein 2 isoform c precursor</t>
  </si>
  <si>
    <t>21313668</t>
  </si>
  <si>
    <t>adipocyte plasma membrane-associated protein</t>
  </si>
  <si>
    <t>21553309</t>
  </si>
  <si>
    <t xml:space="preserve">NAD(P)H-hydrate epimerase precursor </t>
  </si>
  <si>
    <t>238018108</t>
  </si>
  <si>
    <t>DNA dC-_dU-editing enzyme APOBEC-3 isoform 1</t>
  </si>
  <si>
    <t>85861172</t>
  </si>
  <si>
    <t>DNA dC-_dU-editing enzyme APOBEC-3 isoform 2</t>
  </si>
  <si>
    <t>238776830</t>
  </si>
  <si>
    <t xml:space="preserve">apolipoprotein L 10b </t>
  </si>
  <si>
    <t>161484642</t>
  </si>
  <si>
    <t>apolipoprotein O isoform 1</t>
  </si>
  <si>
    <t>313569763</t>
  </si>
  <si>
    <t>apolipoprotein O isoform 3</t>
  </si>
  <si>
    <t>313569872</t>
  </si>
  <si>
    <t>apolipoprotein O isoform 2</t>
  </si>
  <si>
    <t>13386062</t>
  </si>
  <si>
    <t xml:space="preserve">apolipoprotein O-like precursor </t>
  </si>
  <si>
    <t>311893401</t>
  </si>
  <si>
    <t xml:space="preserve">amyloid beta A4 protein isoform 1 precursor </t>
  </si>
  <si>
    <t>311893404</t>
  </si>
  <si>
    <t xml:space="preserve">amyloid beta A4 protein isoform 3 precursor </t>
  </si>
  <si>
    <t>311893406</t>
  </si>
  <si>
    <t xml:space="preserve">amyloid beta A4 protein isoform 5 precursor </t>
  </si>
  <si>
    <t>311893408</t>
  </si>
  <si>
    <t xml:space="preserve">amyloid beta A4 protein isoform 6 precursor </t>
  </si>
  <si>
    <t>47271504</t>
  </si>
  <si>
    <t xml:space="preserve">amyloid beta A4 protein isoform 2 precursor </t>
  </si>
  <si>
    <t>21699066</t>
  </si>
  <si>
    <t xml:space="preserve">DCC-interacting protein 13-alpha </t>
  </si>
  <si>
    <t>21644587</t>
  </si>
  <si>
    <t xml:space="preserve">DCC-interacting protein 13-beta </t>
  </si>
  <si>
    <t>118601013</t>
  </si>
  <si>
    <t>adenine phosphoribosyltransferase</t>
  </si>
  <si>
    <t>160415209</t>
  </si>
  <si>
    <t xml:space="preserve">aquaporin-2 </t>
  </si>
  <si>
    <t>163644327</t>
  </si>
  <si>
    <t xml:space="preserve">intron-binding protein aquarius </t>
  </si>
  <si>
    <t>227496776</t>
  </si>
  <si>
    <t xml:space="preserve">serine/threonine-protein kinase A-Raf isoform 2 </t>
  </si>
  <si>
    <t>27545181</t>
  </si>
  <si>
    <t xml:space="preserve">serine/threonine-protein kinase A-Raf isoform 1 </t>
  </si>
  <si>
    <t>148747410</t>
  </si>
  <si>
    <t xml:space="preserve">coatomer subunit delta </t>
  </si>
  <si>
    <t>6680716</t>
  </si>
  <si>
    <t xml:space="preserve">ADP-ribosylation factor 1 </t>
  </si>
  <si>
    <t>6671571</t>
  </si>
  <si>
    <t xml:space="preserve">ADP-ribosylation factor 2 </t>
  </si>
  <si>
    <t>6680718</t>
  </si>
  <si>
    <t xml:space="preserve">ADP-ribosylation factor 3 </t>
  </si>
  <si>
    <t>6680720</t>
  </si>
  <si>
    <t xml:space="preserve">ADP-ribosylation factor 4 </t>
  </si>
  <si>
    <t>6680722</t>
  </si>
  <si>
    <t xml:space="preserve">ADP-ribosylation factor 5 </t>
  </si>
  <si>
    <t>6680724</t>
  </si>
  <si>
    <t xml:space="preserve">ADP-ribosylation factor 6 </t>
  </si>
  <si>
    <t>295148126</t>
  </si>
  <si>
    <t xml:space="preserve">ADP-ribosylation factor GTPase-activating protein 1 isoform b </t>
  </si>
  <si>
    <t>295148131</t>
  </si>
  <si>
    <t xml:space="preserve">ADP-ribosylation factor GTPase-activating protein 1 isoform c </t>
  </si>
  <si>
    <t>295148135</t>
  </si>
  <si>
    <t xml:space="preserve">ADP-ribosylation factor GTPase-activating protein 1 isoform d </t>
  </si>
  <si>
    <t>31542139</t>
  </si>
  <si>
    <t xml:space="preserve">ADP-ribosylation factor GTPase-activating protein 1 isoform a </t>
  </si>
  <si>
    <t>260763915</t>
  </si>
  <si>
    <t xml:space="preserve">ADP-ribosylation factor GTPase-activating protein 2 isoform 1 </t>
  </si>
  <si>
    <t>260763917</t>
  </si>
  <si>
    <t xml:space="preserve">ADP-ribosylation factor GTPase-activating protein 2 isoform 2 </t>
  </si>
  <si>
    <t>30841021</t>
  </si>
  <si>
    <t xml:space="preserve">ADP-ribosylation factor GTPase-activating protein 3 </t>
  </si>
  <si>
    <t>156231075</t>
  </si>
  <si>
    <t>brefeldin A-inhibited guanine nucleotide-exchange protein 1</t>
  </si>
  <si>
    <t>148229140</t>
  </si>
  <si>
    <t>brefeldin A-inhibited guanine nucleotide-exchange protein 2</t>
  </si>
  <si>
    <t>124487362</t>
  </si>
  <si>
    <t xml:space="preserve">arfaptin-1 </t>
  </si>
  <si>
    <t>228008331</t>
  </si>
  <si>
    <t xml:space="preserve">arfaptin-2 </t>
  </si>
  <si>
    <t>260763870</t>
  </si>
  <si>
    <t>ADP-ribosylation factor-related protein 1 isoform 1</t>
  </si>
  <si>
    <t>260763882</t>
  </si>
  <si>
    <t>ADP-ribosylation factor-related protein 1 isoform 2</t>
  </si>
  <si>
    <t>7106255</t>
  </si>
  <si>
    <t xml:space="preserve">arginase-1 </t>
  </si>
  <si>
    <t>6753110</t>
  </si>
  <si>
    <t xml:space="preserve">arginase-2, mitochondrial precursor </t>
  </si>
  <si>
    <t>134152669</t>
  </si>
  <si>
    <t xml:space="preserve">arginine and glutamate-rich protein 1 </t>
  </si>
  <si>
    <t>225543420</t>
  </si>
  <si>
    <t>rho GTPase-activating protein 1 isoform 2</t>
  </si>
  <si>
    <t>225543424</t>
  </si>
  <si>
    <t>rho GTPase-activating protein 1 isoform 1</t>
  </si>
  <si>
    <t>116174786</t>
  </si>
  <si>
    <t>rho GTPase-activating protein 10</t>
  </si>
  <si>
    <t>169790939</t>
  </si>
  <si>
    <t>rho GTPase-activating protein 17 isoform a</t>
  </si>
  <si>
    <t>169790941</t>
  </si>
  <si>
    <t>rho GTPase-activating protein 17 isoform b</t>
  </si>
  <si>
    <t>169790943</t>
  </si>
  <si>
    <t>rho GTPase-activating protein 17 isoform c</t>
  </si>
  <si>
    <t>169790945</t>
  </si>
  <si>
    <t>rho GTPase-activating protein 17 isoform d</t>
  </si>
  <si>
    <t>169790947</t>
  </si>
  <si>
    <t>rho GTPase-activating protein 17 isoform e</t>
  </si>
  <si>
    <t>33563313</t>
  </si>
  <si>
    <t>rho GTPase-activating protein 18</t>
  </si>
  <si>
    <t>83582811</t>
  </si>
  <si>
    <t>rho GTPase-activating protein 25 isoform a</t>
  </si>
  <si>
    <t>83582813</t>
  </si>
  <si>
    <t>rho GTPase-activating protein 25 isoform b</t>
  </si>
  <si>
    <t>83776555</t>
  </si>
  <si>
    <t>rho GTPase-activating protein 27 isoform 2</t>
  </si>
  <si>
    <t>118130870</t>
  </si>
  <si>
    <t>rho GTPase-activating protein 27 isoform 3</t>
  </si>
  <si>
    <t>327412300</t>
  </si>
  <si>
    <t>rho GTPase-activating protein 27 isoform 1</t>
  </si>
  <si>
    <t>33563303</t>
  </si>
  <si>
    <t>rho GTPase-activating protein 29</t>
  </si>
  <si>
    <t>229608953</t>
  </si>
  <si>
    <t>rho GTPase-activating protein 30</t>
  </si>
  <si>
    <t>30142699</t>
  </si>
  <si>
    <t>rho GTPase-activating protein 33</t>
  </si>
  <si>
    <t>86262151</t>
  </si>
  <si>
    <t>rho GTPase-activating protein 5</t>
  </si>
  <si>
    <t>31982030</t>
  </si>
  <si>
    <t>rho GDP-dissociation inhibitor 1</t>
  </si>
  <si>
    <t>33563236</t>
  </si>
  <si>
    <t>rho GDP-dissociation inhibitor 2</t>
  </si>
  <si>
    <t>194306547</t>
  </si>
  <si>
    <t>rho guanine nucleotide exchange factor 1 isoform a</t>
  </si>
  <si>
    <t>194306549</t>
  </si>
  <si>
    <t>rho guanine nucleotide exchange factor 1 isoform b</t>
  </si>
  <si>
    <t>194306551</t>
  </si>
  <si>
    <t>rho guanine nucleotide exchange factor 1 isoform c</t>
  </si>
  <si>
    <t>6678668</t>
  </si>
  <si>
    <t>rho guanine nucleotide exchange factor 1 isoform d</t>
  </si>
  <si>
    <t>111378383</t>
  </si>
  <si>
    <t>rho guanine nucleotide exchange factor 10 isoform b</t>
  </si>
  <si>
    <t>111378388</t>
  </si>
  <si>
    <t>rho guanine nucleotide exchange factor 10 isoform a</t>
  </si>
  <si>
    <t>163310755</t>
  </si>
  <si>
    <t xml:space="preserve">rho guanine nucleotide exchange factor 10-like protein isoform b </t>
  </si>
  <si>
    <t>163310757</t>
  </si>
  <si>
    <t xml:space="preserve">rho guanine nucleotide exchange factor 10-like protein isoform c </t>
  </si>
  <si>
    <t>163310759</t>
  </si>
  <si>
    <t xml:space="preserve">rho guanine nucleotide exchange factor 10-like protein isoform a </t>
  </si>
  <si>
    <t>51491850</t>
  </si>
  <si>
    <t>rho guanine nucleotide exchange factor 11</t>
  </si>
  <si>
    <t>145046273</t>
  </si>
  <si>
    <t>rho guanine nucleotide exchange factor 12</t>
  </si>
  <si>
    <t>163838664</t>
  </si>
  <si>
    <t>rho guanine nucleotide exchange factor 16</t>
  </si>
  <si>
    <t>41056261</t>
  </si>
  <si>
    <t>rho guanine nucleotide exchange factor 18</t>
  </si>
  <si>
    <t>170650647</t>
  </si>
  <si>
    <t>rho guanine nucleotide exchange factor 2 isoform 1</t>
  </si>
  <si>
    <t>312032458</t>
  </si>
  <si>
    <t>rho guanine nucleotide exchange factor 2 isoform 2</t>
  </si>
  <si>
    <t>312032460</t>
  </si>
  <si>
    <t>rho guanine nucleotide exchange factor 2 isoform 3</t>
  </si>
  <si>
    <t>312032462</t>
  </si>
  <si>
    <t>rho guanine nucleotide exchange factor 2 isoform 4</t>
  </si>
  <si>
    <t>123702010</t>
  </si>
  <si>
    <t>rho guanine nucleotide exchange factor 28</t>
  </si>
  <si>
    <t>160333547</t>
  </si>
  <si>
    <t>rho guanine nucleotide exchange factor 37</t>
  </si>
  <si>
    <t>56699448</t>
  </si>
  <si>
    <t>rho guanine nucleotide exchange factor 4</t>
  </si>
  <si>
    <t>110625819</t>
  </si>
  <si>
    <t>rho guanine nucleotide exchange factor 40 isoform 1</t>
  </si>
  <si>
    <t>225543507</t>
  </si>
  <si>
    <t>rho guanine nucleotide exchange factor 40 isoform 2</t>
  </si>
  <si>
    <t>225543509</t>
  </si>
  <si>
    <t>rho guanine nucleotide exchange factor 40 isoform 3</t>
  </si>
  <si>
    <t>169234803</t>
  </si>
  <si>
    <t>rho guanine nucleotide exchange factor 5</t>
  </si>
  <si>
    <t>270132620</t>
  </si>
  <si>
    <t>rho guanine nucleotide exchange factor 6</t>
  </si>
  <si>
    <t>165377085</t>
  </si>
  <si>
    <t>rho guanine nucleotide exchange factor 7 isoform a</t>
  </si>
  <si>
    <t>165377089</t>
  </si>
  <si>
    <t>rho guanine nucleotide exchange factor 7 isoform b</t>
  </si>
  <si>
    <t>31980859</t>
  </si>
  <si>
    <t>rho guanine nucleotide exchange factor 7 isoform c</t>
  </si>
  <si>
    <t>84370312</t>
  </si>
  <si>
    <t>rho guanine nucleotide exchange factor 9</t>
  </si>
  <si>
    <t>124249109</t>
  </si>
  <si>
    <t xml:space="preserve">AT-rich interactive domain-containing protein 1A </t>
  </si>
  <si>
    <t>163954953</t>
  </si>
  <si>
    <t>E3 ubiquitin-protein ligase ARIH1</t>
  </si>
  <si>
    <t>6753118</t>
  </si>
  <si>
    <t>E3 ubiquitin-protein ligase ARIH2</t>
  </si>
  <si>
    <t>153792526</t>
  </si>
  <si>
    <t>ADP-ribosylation factor-like protein 1</t>
  </si>
  <si>
    <t>255683326</t>
  </si>
  <si>
    <t>ADP-ribosylation factor-like protein 13B</t>
  </si>
  <si>
    <t>27369856</t>
  </si>
  <si>
    <t>ADP-ribosylation factor-like protein 15</t>
  </si>
  <si>
    <t>31980988</t>
  </si>
  <si>
    <t>ADP-ribosylation factor-like protein 2</t>
  </si>
  <si>
    <t>18859591</t>
  </si>
  <si>
    <t xml:space="preserve">ADP-ribosylation factor-like protein 2-binding protein isoform 1 </t>
  </si>
  <si>
    <t>30348958</t>
  </si>
  <si>
    <t xml:space="preserve">ADP-ribosylation factor-like protein 2-binding protein isoform 2 </t>
  </si>
  <si>
    <t>9789881</t>
  </si>
  <si>
    <t>ADP-ribosylation factor-like protein 3</t>
  </si>
  <si>
    <t>113462000</t>
  </si>
  <si>
    <t>ADP-ribosylation factor-like protein 4C</t>
  </si>
  <si>
    <t>33695144</t>
  </si>
  <si>
    <t>ADP-ribosylation factor-like protein 5A</t>
  </si>
  <si>
    <t>27229225</t>
  </si>
  <si>
    <t>ADP-ribosylation factor-like protein 5B</t>
  </si>
  <si>
    <t>46402217</t>
  </si>
  <si>
    <t>ADP-ribosylation factor-like protein 5C</t>
  </si>
  <si>
    <t>188528681</t>
  </si>
  <si>
    <t>ADP-ribosylation factor-like protein 6</t>
  </si>
  <si>
    <t>45433590</t>
  </si>
  <si>
    <t>ADP-ribosylation factor-like protein 6-interacting protein 1</t>
  </si>
  <si>
    <t>21362283</t>
  </si>
  <si>
    <t>ADP-ribosylation factor-like protein 6-interacting protein 4</t>
  </si>
  <si>
    <t>14149750</t>
  </si>
  <si>
    <t>PRA1 family protein 3</t>
  </si>
  <si>
    <t>254281227</t>
  </si>
  <si>
    <t>ADP-ribosylation factor-like protein 6-interacting protein 6</t>
  </si>
  <si>
    <t>23956194</t>
  </si>
  <si>
    <t>ADP-ribosylation factor-like protein 8A</t>
  </si>
  <si>
    <t>13385518</t>
  </si>
  <si>
    <t>ADP-ribosylation factor-like protein 8B</t>
  </si>
  <si>
    <t>21312676</t>
  </si>
  <si>
    <t>armadillo repeat-containing protein 1</t>
  </si>
  <si>
    <t>377833866</t>
  </si>
  <si>
    <t xml:space="preserve">PREDICTED: armadillo repeat-containing protein 1 </t>
  </si>
  <si>
    <t>13385536</t>
  </si>
  <si>
    <t>armadillo repeat-containing protein 10</t>
  </si>
  <si>
    <t>113199755</t>
  </si>
  <si>
    <t>armadillo repeat-containing protein 6</t>
  </si>
  <si>
    <t>29244300</t>
  </si>
  <si>
    <t>armadillo repeat-containing protein 7</t>
  </si>
  <si>
    <t>260763997</t>
  </si>
  <si>
    <t>armadillo repeat-containing protein 8 isoform 1</t>
  </si>
  <si>
    <t>260763999</t>
  </si>
  <si>
    <t>armadillo repeat-containing protein 8 isoform 2</t>
  </si>
  <si>
    <t>83627702</t>
  </si>
  <si>
    <t xml:space="preserve">aryl hydrocarbon receptor nuclear translocator isoform b </t>
  </si>
  <si>
    <t>83627709</t>
  </si>
  <si>
    <t xml:space="preserve">aryl hydrocarbon receptor nuclear translocator isoform a </t>
  </si>
  <si>
    <t>34328095</t>
  </si>
  <si>
    <t>aryl hydrocarbon receptor nuclear translocator 2</t>
  </si>
  <si>
    <t>9790221</t>
  </si>
  <si>
    <t>actin-related protein 41673 complex subunit 1A</t>
  </si>
  <si>
    <t>160837788</t>
  </si>
  <si>
    <t>actin-related protein 41673 complex subunit 1B</t>
  </si>
  <si>
    <t>112363072</t>
  </si>
  <si>
    <t>actin-related protein 41673 complex subunit 2</t>
  </si>
  <si>
    <t>9790141</t>
  </si>
  <si>
    <t>actin-related protein 41673 complex subunit 3</t>
  </si>
  <si>
    <t>13386054</t>
  </si>
  <si>
    <t>actin-related protein 41673 complex subunit 4 isoform 1</t>
  </si>
  <si>
    <t>281427242</t>
  </si>
  <si>
    <t>actin-related protein 41673 complex subunit 4 isoform 2</t>
  </si>
  <si>
    <t>281427244</t>
  </si>
  <si>
    <t>actin-related protein 41673 complex subunit 4 isoform 3</t>
  </si>
  <si>
    <t>224809382</t>
  </si>
  <si>
    <t>actin-related protein 41673 complex subunit 5</t>
  </si>
  <si>
    <t>21312654</t>
  </si>
  <si>
    <t xml:space="preserve">actin-related protein 41673 complex subunit 5-like protein </t>
  </si>
  <si>
    <t>10946986</t>
  </si>
  <si>
    <t xml:space="preserve">cAMP-regulated phosphoprotein 19 isoform 1 </t>
  </si>
  <si>
    <t>217416411</t>
  </si>
  <si>
    <t xml:space="preserve">cAMP-regulated phosphoprotein 19 isoform 2 </t>
  </si>
  <si>
    <t>244798004</t>
  </si>
  <si>
    <t>arrestin domain-containing protein 1 isoform a</t>
  </si>
  <si>
    <t>244798112</t>
  </si>
  <si>
    <t>arrestin domain-containing protein 1 isoform b</t>
  </si>
  <si>
    <t>67972647</t>
  </si>
  <si>
    <t xml:space="preserve">arylsulfatase A precursor </t>
  </si>
  <si>
    <t>125656171</t>
  </si>
  <si>
    <t xml:space="preserve">arylsulfatase B precursor </t>
  </si>
  <si>
    <t>433809355;40254129</t>
  </si>
  <si>
    <t>armadillo repeat protein deleted in velo-cardio-facial syndrome homolog isoform 1</t>
  </si>
  <si>
    <t>40254129</t>
  </si>
  <si>
    <t>433809348</t>
  </si>
  <si>
    <t>armadillo repeat protein deleted in velo-cardio-facial syndrome homolog isoform 3</t>
  </si>
  <si>
    <t>433809350</t>
  </si>
  <si>
    <t>armadillo repeat protein deleted in velo-cardio-facial syndrome homolog isoform 4</t>
  </si>
  <si>
    <t>433809357</t>
  </si>
  <si>
    <t>armadillo repeat protein deleted in velo-cardio-facial syndrome homolog isoform 2</t>
  </si>
  <si>
    <t>21624631</t>
  </si>
  <si>
    <t xml:space="preserve">signal peptidase complex subunit 3 </t>
  </si>
  <si>
    <t>9790019</t>
  </si>
  <si>
    <t xml:space="preserve">acid ceramidase precursor </t>
  </si>
  <si>
    <t>9055168</t>
  </si>
  <si>
    <t>neutral ceramidase</t>
  </si>
  <si>
    <t>451327597</t>
  </si>
  <si>
    <t xml:space="preserve">arf-GAP with SH3 domain, ANK repeat and PH domain-containing protein 1 isoform b </t>
  </si>
  <si>
    <t>451327599</t>
  </si>
  <si>
    <t xml:space="preserve">arf-GAP with SH3 domain, ANK repeat and PH domain-containing protein 1 isoform c </t>
  </si>
  <si>
    <t>451327601</t>
  </si>
  <si>
    <t xml:space="preserve">arf-GAP with SH3 domain, ANK repeat and PH domain-containing protein 1 isoform d </t>
  </si>
  <si>
    <t>451327606</t>
  </si>
  <si>
    <t xml:space="preserve">arf-GAP with SH3 domain, ANK repeat and PH domain-containing protein 1 isoform e </t>
  </si>
  <si>
    <t>65301464</t>
  </si>
  <si>
    <t xml:space="preserve">arf-GAP with SH3 domain, ANK repeat and PH domain-containing protein 1 </t>
  </si>
  <si>
    <t>147907212</t>
  </si>
  <si>
    <t xml:space="preserve">arf-GAP with SH3 domain, ANK repeat and PH domain-containing protein 2 isoform b </t>
  </si>
  <si>
    <t>148223355</t>
  </si>
  <si>
    <t xml:space="preserve">arf-GAP with SH3 domain, ANK repeat and PH domain-containing protein 2 isoform a </t>
  </si>
  <si>
    <t>206597526</t>
  </si>
  <si>
    <t xml:space="preserve">arf-GAP with SH3 domain, ANK repeat and PH domain-containing protein 2 isoform c </t>
  </si>
  <si>
    <t>282721040</t>
  </si>
  <si>
    <t xml:space="preserve">ankyrin repeat and SOCS box protein 14 isoform 2 </t>
  </si>
  <si>
    <t>268370092</t>
  </si>
  <si>
    <t xml:space="preserve">ankyrin repeat and SOCS box protein 15 </t>
  </si>
  <si>
    <t>17505202</t>
  </si>
  <si>
    <t xml:space="preserve">ankyrin repeat and SOCS box protein 4 </t>
  </si>
  <si>
    <t>58037141</t>
  </si>
  <si>
    <t xml:space="preserve">activating signal cointegrator 1 complex subunit 1 </t>
  </si>
  <si>
    <t>20270208</t>
  </si>
  <si>
    <t xml:space="preserve">activating signal cointegrator 1 complex subunit 2 </t>
  </si>
  <si>
    <t>225703058</t>
  </si>
  <si>
    <t xml:space="preserve">activating signal cointegrator 1 complex subunit 3 </t>
  </si>
  <si>
    <t>13384964</t>
  </si>
  <si>
    <t xml:space="preserve">histone chaperone ASF1A </t>
  </si>
  <si>
    <t>21313226</t>
  </si>
  <si>
    <t xml:space="preserve">histone chaperone ASF1B </t>
  </si>
  <si>
    <t>124248550</t>
  </si>
  <si>
    <t>set1/Ash2 histone methyltransferase complex subunit ASH2 isoform b</t>
  </si>
  <si>
    <t>124248552</t>
  </si>
  <si>
    <t>set1/Ash2 histone methyltransferase complex subunit ASH2 isoform a</t>
  </si>
  <si>
    <t>19526986</t>
  </si>
  <si>
    <t>argininosuccinate lyase</t>
  </si>
  <si>
    <t>12025542</t>
  </si>
  <si>
    <t>ATPase Asna1</t>
  </si>
  <si>
    <t>33469123</t>
  </si>
  <si>
    <t xml:space="preserve">asparagine synthetase [glutamine-hydrolyzing] </t>
  </si>
  <si>
    <t>125628654</t>
  </si>
  <si>
    <t>aspartyl/asparaginyl beta-hydroxylase isoform 2</t>
  </si>
  <si>
    <t>295390570</t>
  </si>
  <si>
    <t>aspartyl/asparaginyl beta-hydroxylase isoform 6</t>
  </si>
  <si>
    <t>295390587</t>
  </si>
  <si>
    <t>aspartyl/asparaginyl beta-hydroxylase isoform 7</t>
  </si>
  <si>
    <t>295390598</t>
  </si>
  <si>
    <t>aspartyl/asparaginyl beta-hydroxylase isoform 9</t>
  </si>
  <si>
    <t>125628659</t>
  </si>
  <si>
    <t>aspartyl/asparaginyl beta-hydroxylase isoform 1</t>
  </si>
  <si>
    <t>295390525</t>
  </si>
  <si>
    <t>aspartyl/asparaginyl beta-hydroxylase isoform 3</t>
  </si>
  <si>
    <t>295390538</t>
  </si>
  <si>
    <t>aspartyl/asparaginyl beta-hydroxylase isoform 4</t>
  </si>
  <si>
    <t>295390552</t>
  </si>
  <si>
    <t>aspartyl/asparaginyl beta-hydroxylase isoform 5</t>
  </si>
  <si>
    <t>295390613</t>
  </si>
  <si>
    <t>aspartyl/asparaginyl beta-hydroxylase isoform 8</t>
  </si>
  <si>
    <t>295390633</t>
  </si>
  <si>
    <t>aspartyl/asparaginyl beta-hydroxylase isoform 10</t>
  </si>
  <si>
    <t>87298845</t>
  </si>
  <si>
    <t xml:space="preserve">abnormal spindle-like microcephaly-associated protein homolog </t>
  </si>
  <si>
    <t>255982537</t>
  </si>
  <si>
    <t>tether containing UBX domain for GLUT4 isoform 3</t>
  </si>
  <si>
    <t>38016200</t>
  </si>
  <si>
    <t>tether containing UBX domain for GLUT4 isoform 2</t>
  </si>
  <si>
    <t>30794438</t>
  </si>
  <si>
    <t>tether containing UBX domain for GLUT4 isoform 1</t>
  </si>
  <si>
    <t>6996911</t>
  </si>
  <si>
    <t>argininosuccinate synthase</t>
  </si>
  <si>
    <t>31560168</t>
  </si>
  <si>
    <t>ATPase family AAA domain-containing protein 1</t>
  </si>
  <si>
    <t>91199557</t>
  </si>
  <si>
    <t>ATPase family AAA domain-containing protein 2</t>
  </si>
  <si>
    <t>239985513</t>
  </si>
  <si>
    <t>ATPase family AAA domain-containing protein 3</t>
  </si>
  <si>
    <t>209862913</t>
  </si>
  <si>
    <t xml:space="preserve">arginyl-tRNA--protein transferase 1 isoform 4 </t>
  </si>
  <si>
    <t>31542151</t>
  </si>
  <si>
    <t xml:space="preserve">arginyl-tRNA--protein transferase 1 isoform 1 </t>
  </si>
  <si>
    <t>405113032</t>
  </si>
  <si>
    <t xml:space="preserve">arginyl-tRNA--protein transferase 1 isoform 2 </t>
  </si>
  <si>
    <t>71274127</t>
  </si>
  <si>
    <t xml:space="preserve">arginyl-tRNA--protein transferase 1 isoform 3 </t>
  </si>
  <si>
    <t>124486811</t>
  </si>
  <si>
    <t>cyclic AMP-dependent transcription factor ATF-6 alpha</t>
  </si>
  <si>
    <t>34328232</t>
  </si>
  <si>
    <t>activating transcription factor 7-interacting protein 1</t>
  </si>
  <si>
    <t>27777650</t>
  </si>
  <si>
    <t xml:space="preserve">autophagy-related protein 16-1 isoform 2 </t>
  </si>
  <si>
    <t>329663747</t>
  </si>
  <si>
    <t xml:space="preserve">autophagy-related protein 16-1 isoform 1 </t>
  </si>
  <si>
    <t>329663755</t>
  </si>
  <si>
    <t xml:space="preserve">autophagy-related protein 16-1 isoform 3 </t>
  </si>
  <si>
    <t>118197274</t>
  </si>
  <si>
    <t xml:space="preserve">autophagy-related protein 2 homolog B </t>
  </si>
  <si>
    <t>13385890</t>
  </si>
  <si>
    <t xml:space="preserve">ubiquitin-like-conjugating enzyme ATG3 </t>
  </si>
  <si>
    <t>27883848</t>
  </si>
  <si>
    <t xml:space="preserve">cysteine protease ATG4B </t>
  </si>
  <si>
    <t>16716341</t>
  </si>
  <si>
    <t xml:space="preserve">autophagy protein 5 </t>
  </si>
  <si>
    <t>22550098</t>
  </si>
  <si>
    <t>ubiquitin-like modifier-activating enzyme ATG7</t>
  </si>
  <si>
    <t>22550098;358679371</t>
  </si>
  <si>
    <t>358679369</t>
  </si>
  <si>
    <t>ubiquitin-like modifier-activating enzyme ATG7 isoform 1</t>
  </si>
  <si>
    <t>227908823</t>
  </si>
  <si>
    <t xml:space="preserve">bifunctional purine biosynthesis protein PURH </t>
  </si>
  <si>
    <t>30519971</t>
  </si>
  <si>
    <t xml:space="preserve">atlastin-1 </t>
  </si>
  <si>
    <t>557786119</t>
  </si>
  <si>
    <t xml:space="preserve">atlastin-2 isoform 3 </t>
  </si>
  <si>
    <t>119372300</t>
  </si>
  <si>
    <t xml:space="preserve">atlastin-2 isoform 1 </t>
  </si>
  <si>
    <t>119372304</t>
  </si>
  <si>
    <t xml:space="preserve">atlastin-2 isoform 2 </t>
  </si>
  <si>
    <t>254826716</t>
  </si>
  <si>
    <t xml:space="preserve">atlastin-3 isoform 1 </t>
  </si>
  <si>
    <t>254826718</t>
  </si>
  <si>
    <t xml:space="preserve">atlastin-3 isoform 2 </t>
  </si>
  <si>
    <t>163838660</t>
  </si>
  <si>
    <t xml:space="preserve">serine-protein kinase ATM </t>
  </si>
  <si>
    <t>239049657</t>
  </si>
  <si>
    <t>ATM interactor</t>
  </si>
  <si>
    <t>6753136</t>
  </si>
  <si>
    <t>copper transport protein ATOX1</t>
  </si>
  <si>
    <t>7656914</t>
  </si>
  <si>
    <t>probable phospholipid-transporting ATPase IH</t>
  </si>
  <si>
    <t>62632754</t>
  </si>
  <si>
    <t xml:space="preserve">ATPase, class VI, type 11B </t>
  </si>
  <si>
    <t>157168326</t>
  </si>
  <si>
    <t xml:space="preserve">potassium-transporting ATPase alpha chain 2 </t>
  </si>
  <si>
    <t>283135194</t>
  </si>
  <si>
    <t>probable cation-transporting ATPase 13A1</t>
  </si>
  <si>
    <t>189339252</t>
  </si>
  <si>
    <t>probable cation-transporting ATPase 13A3 isoform 2</t>
  </si>
  <si>
    <t>189339254</t>
  </si>
  <si>
    <t>probable cation-transporting ATPase 13A3 isoform 1</t>
  </si>
  <si>
    <t>21450277</t>
  </si>
  <si>
    <t xml:space="preserve">sodium/potassium-transporting ATPase subunit alpha-1 precursor </t>
  </si>
  <si>
    <t>30409956</t>
  </si>
  <si>
    <t xml:space="preserve">sodium/potassium-transporting ATPase subunit alpha-2 precursor </t>
  </si>
  <si>
    <t>21450321</t>
  </si>
  <si>
    <t>sodium/potassium-transporting ATPase subunit alpha-3</t>
  </si>
  <si>
    <t>226958351</t>
  </si>
  <si>
    <t>sodium/potassium-transporting ATPase subunit alpha-4</t>
  </si>
  <si>
    <t>6753138</t>
  </si>
  <si>
    <t>sodium/potassium-transporting ATPase subunit beta-1</t>
  </si>
  <si>
    <t>6680744</t>
  </si>
  <si>
    <t>sodium/potassium-transporting ATPase subunit beta-3</t>
  </si>
  <si>
    <t>36031132</t>
  </si>
  <si>
    <t xml:space="preserve">sarcoplasmic/endoplasmic reticulum calcium ATPase 1 </t>
  </si>
  <si>
    <t>158635979</t>
  </si>
  <si>
    <t xml:space="preserve">sarcoplasmic/endoplasmic reticulum calcium ATPase 2 isoform a </t>
  </si>
  <si>
    <t>6806903</t>
  </si>
  <si>
    <t xml:space="preserve">sarcoplasmic/endoplasmic reticulum calcium ATPase 2 isoform b </t>
  </si>
  <si>
    <t>254039658</t>
  </si>
  <si>
    <t xml:space="preserve">sarcoplasmic/endoplasmic reticulum calcium ATPase 3 isoform a </t>
  </si>
  <si>
    <t>254039660</t>
  </si>
  <si>
    <t xml:space="preserve">sarcoplasmic/endoplasmic reticulum calcium ATPase 3 isoform c </t>
  </si>
  <si>
    <t>31542159</t>
  </si>
  <si>
    <t xml:space="preserve">sarcoplasmic/endoplasmic reticulum calcium ATPase 3 isoform b </t>
  </si>
  <si>
    <t>62234487</t>
  </si>
  <si>
    <t xml:space="preserve">plasma membrane calcium ATPase 1 </t>
  </si>
  <si>
    <t>6753140</t>
  </si>
  <si>
    <t xml:space="preserve">plasma membrane calcium-transporting ATPase 2 </t>
  </si>
  <si>
    <t>80861454</t>
  </si>
  <si>
    <t>56699478</t>
  </si>
  <si>
    <t xml:space="preserve">plasma membrane calcium ATPase 3 </t>
  </si>
  <si>
    <t>269784615</t>
  </si>
  <si>
    <t xml:space="preserve">plasma membrane calcium ATPase 4 isoform a </t>
  </si>
  <si>
    <t>54261793</t>
  </si>
  <si>
    <t xml:space="preserve">plasma membrane calcium ATPase 4 isoform b </t>
  </si>
  <si>
    <t>225690606</t>
  </si>
  <si>
    <t>calcium-transporting ATPase type 2C member 1 isoform 2</t>
  </si>
  <si>
    <t>359465596</t>
  </si>
  <si>
    <t>calcium-transporting ATPase type 2C member 1 isoform 1</t>
  </si>
  <si>
    <t>359465610</t>
  </si>
  <si>
    <t>calcium-transporting ATPase type 2C member 1 isoform 3</t>
  </si>
  <si>
    <t>110225337</t>
  </si>
  <si>
    <t xml:space="preserve">potassium-transporting ATPase alpha chain 1 </t>
  </si>
  <si>
    <t>6680748</t>
  </si>
  <si>
    <t>ATP synthase subunit alpha, mitochondrial precursor</t>
  </si>
  <si>
    <t>31980648</t>
  </si>
  <si>
    <t>ATP synthase subunit beta, mitochondrial precursor</t>
  </si>
  <si>
    <t>163838641</t>
  </si>
  <si>
    <t xml:space="preserve">ATP synthase subunit gamma, mitochondrial isoform a </t>
  </si>
  <si>
    <t>163838648</t>
  </si>
  <si>
    <t xml:space="preserve">ATP synthase subunit gamma, mitochondrial isoform b </t>
  </si>
  <si>
    <t>166851828</t>
  </si>
  <si>
    <t>ATP synthase subunit delta, mitochondrial precursor</t>
  </si>
  <si>
    <t>13385484</t>
  </si>
  <si>
    <t xml:space="preserve">ATP synthase subunit epsilon, mitochondrial </t>
  </si>
  <si>
    <t>78214312</t>
  </si>
  <si>
    <t>ATP synthase subunit b, mitochondrial precursor</t>
  </si>
  <si>
    <t>21313679</t>
  </si>
  <si>
    <t xml:space="preserve">ATP synthase subunit d, mitochondrial </t>
  </si>
  <si>
    <t>7949005</t>
  </si>
  <si>
    <t>ATP synthase-coupling factor 6, mitochondrial precursor</t>
  </si>
  <si>
    <t>10181184</t>
  </si>
  <si>
    <t xml:space="preserve">ATP synthase subunit f, mitochondrial </t>
  </si>
  <si>
    <t>83715998</t>
  </si>
  <si>
    <t xml:space="preserve">ATP synthase subunit e, mitochondrial </t>
  </si>
  <si>
    <t>31980744</t>
  </si>
  <si>
    <t xml:space="preserve">ATP synthase subunit g, mitochondrial </t>
  </si>
  <si>
    <t>20070412;149251053</t>
  </si>
  <si>
    <t>ATP synthase subunit O, mitochondrial precursor</t>
  </si>
  <si>
    <t>13386040</t>
  </si>
  <si>
    <t>ATP synthase subunit s, mitochondrial precursor</t>
  </si>
  <si>
    <t>21361250</t>
  </si>
  <si>
    <t xml:space="preserve">renin receptor precursor </t>
  </si>
  <si>
    <t>12025532</t>
  </si>
  <si>
    <t xml:space="preserve">V-type proton ATPase 116 kDa subunit a isoform 1 isoform 1 </t>
  </si>
  <si>
    <t>340007375</t>
  </si>
  <si>
    <t xml:space="preserve">V-type proton ATPase 116 kDa subunit a isoform 1 isoform 2 </t>
  </si>
  <si>
    <t>340007377</t>
  </si>
  <si>
    <t xml:space="preserve">V-type proton ATPase 116 kDa subunit a isoform 1 isoform 3 </t>
  </si>
  <si>
    <t>340007379</t>
  </si>
  <si>
    <t xml:space="preserve">V-type proton ATPase 116 kDa subunit a isoform 1 isoform 4 </t>
  </si>
  <si>
    <t>83627707</t>
  </si>
  <si>
    <t xml:space="preserve">V-type proton ATPase 116 kDa subunit a isoform 2 </t>
  </si>
  <si>
    <t>171543866</t>
  </si>
  <si>
    <t xml:space="preserve">V-type proton ATPase 116 kDa subunit a isoform 4 </t>
  </si>
  <si>
    <t>6753144</t>
  </si>
  <si>
    <t xml:space="preserve">V-type proton ATPase 16 kDa proteolipid subunit </t>
  </si>
  <si>
    <t>31981304</t>
  </si>
  <si>
    <t>V-type proton ATPase subunit d 1</t>
  </si>
  <si>
    <t>31560731</t>
  </si>
  <si>
    <t>V-type proton ATPase catalytic subunit A</t>
  </si>
  <si>
    <t>19527064</t>
  </si>
  <si>
    <t xml:space="preserve">V-type proton ATPase subunit B, kidney isoform </t>
  </si>
  <si>
    <t>19705578</t>
  </si>
  <si>
    <t xml:space="preserve">V-type proton ATPase subunit B, brain isoform </t>
  </si>
  <si>
    <t>189339262</t>
  </si>
  <si>
    <t>V-type proton ATPase subunit C 1</t>
  </si>
  <si>
    <t>19526870</t>
  </si>
  <si>
    <t>V-type proton ATPase subunit C 2 isoform 2</t>
  </si>
  <si>
    <t>227499977</t>
  </si>
  <si>
    <t>V-type proton ATPase subunit C 2 isoform 1</t>
  </si>
  <si>
    <t>12963799</t>
  </si>
  <si>
    <t xml:space="preserve">V-type proton ATPase subunit D </t>
  </si>
  <si>
    <t>45504359</t>
  </si>
  <si>
    <t>V-type proton ATPase subunit E 1</t>
  </si>
  <si>
    <t>254911018</t>
  </si>
  <si>
    <t>V-type proton ATPase subunit E 2</t>
  </si>
  <si>
    <t>21314824</t>
  </si>
  <si>
    <t xml:space="preserve">V-type proton ATPase subunit F </t>
  </si>
  <si>
    <t>15617197</t>
  </si>
  <si>
    <t>V-type proton ATPase subunit G 1</t>
  </si>
  <si>
    <t>31981588</t>
  </si>
  <si>
    <t xml:space="preserve">V-type proton ATPase subunit H </t>
  </si>
  <si>
    <t>157951680</t>
  </si>
  <si>
    <t xml:space="preserve">copper-transporting ATPase 1 isoform 2 </t>
  </si>
  <si>
    <t>157951682</t>
  </si>
  <si>
    <t xml:space="preserve">copper-transporting ATPase 1 isoform 1 </t>
  </si>
  <si>
    <t>167716841</t>
  </si>
  <si>
    <t xml:space="preserve">ATP synthase F0 subunit 8musculus </t>
  </si>
  <si>
    <t>34538602</t>
  </si>
  <si>
    <t xml:space="preserve">ATP synthase F0 subunit 8 </t>
  </si>
  <si>
    <t>7656912</t>
  </si>
  <si>
    <t>probable phospholipid-transporting ATPase IB</t>
  </si>
  <si>
    <t>80861460</t>
  </si>
  <si>
    <t>probable phospholipid-transporting ATPase IC</t>
  </si>
  <si>
    <t>46358405</t>
  </si>
  <si>
    <t>probable phospholipid-transporting ATPase IK</t>
  </si>
  <si>
    <t>157671921</t>
  </si>
  <si>
    <t xml:space="preserve">ATPase, class I, type 8B, member 4 </t>
  </si>
  <si>
    <t>40795674</t>
  </si>
  <si>
    <t>probable phospholipid-transporting ATPase IIA</t>
  </si>
  <si>
    <t>320089590</t>
  </si>
  <si>
    <t>probable phospholipid-transporting ATPase IIB isoform 1</t>
  </si>
  <si>
    <t>40807502</t>
  </si>
  <si>
    <t>probable phospholipid-transporting ATPase IIB isoform 2</t>
  </si>
  <si>
    <t>344925843</t>
  </si>
  <si>
    <t>ATP synthase mitochondrial F1 complex assembly factor 1</t>
  </si>
  <si>
    <t>238776839</t>
  </si>
  <si>
    <t>ATP synthase mitochondrial F1 complex assembly factor 2</t>
  </si>
  <si>
    <t>31982864</t>
  </si>
  <si>
    <t>ATPase inhibitor, mitochondrial precursor</t>
  </si>
  <si>
    <t>189339266</t>
  </si>
  <si>
    <t xml:space="preserve">serine/threonine-protein kinase ATR </t>
  </si>
  <si>
    <t>47087146</t>
  </si>
  <si>
    <t>all-trans retinoic acid-induced differentiation factor isoform 1 precursor</t>
  </si>
  <si>
    <t>83649709</t>
  </si>
  <si>
    <t xml:space="preserve">ataxin-10 </t>
  </si>
  <si>
    <t>124244104</t>
  </si>
  <si>
    <t xml:space="preserve">ataxin-2 </t>
  </si>
  <si>
    <t>33942089</t>
  </si>
  <si>
    <t>ataxin-2-like protein</t>
  </si>
  <si>
    <t>268837077</t>
  </si>
  <si>
    <t xml:space="preserve">ataxin-3 isoform 1 </t>
  </si>
  <si>
    <t>268837154</t>
  </si>
  <si>
    <t xml:space="preserve">ataxin-3 isoform 2 </t>
  </si>
  <si>
    <t>113930747</t>
  </si>
  <si>
    <t>putative ataxin-7-like protein 3B</t>
  </si>
  <si>
    <t>85701612</t>
  </si>
  <si>
    <t xml:space="preserve">uncharacterized protein LOC99169 </t>
  </si>
  <si>
    <t>201025409</t>
  </si>
  <si>
    <t xml:space="preserve">uncharacterized protein LOC270156 </t>
  </si>
  <si>
    <t>116268115</t>
  </si>
  <si>
    <t>methylglutaconyl-CoA hydratase, mitochondrial precursor</t>
  </si>
  <si>
    <t>90403601</t>
  </si>
  <si>
    <t>ancient ubiquitous protein 1</t>
  </si>
  <si>
    <t>46358064</t>
  </si>
  <si>
    <t xml:space="preserve">aurora kinase A </t>
  </si>
  <si>
    <t>260099645</t>
  </si>
  <si>
    <t>cell death regulator Aven isoform 1</t>
  </si>
  <si>
    <t>260099647</t>
  </si>
  <si>
    <t>cell death regulator Aven isoform 2</t>
  </si>
  <si>
    <t>226529032</t>
  </si>
  <si>
    <t>late secretory pathway protein AVL9 homolog</t>
  </si>
  <si>
    <t>19526465</t>
  </si>
  <si>
    <t>arginine vasopressin-induced protein 1</t>
  </si>
  <si>
    <t>157388985</t>
  </si>
  <si>
    <t>UPF0415 protein C7orf25 homolog</t>
  </si>
  <si>
    <t>52630434</t>
  </si>
  <si>
    <t>UPF0600 protein C5orf51 homolog</t>
  </si>
  <si>
    <t>30520173</t>
  </si>
  <si>
    <t xml:space="preserve">BCSC-1 </t>
  </si>
  <si>
    <t>39930561</t>
  </si>
  <si>
    <t xml:space="preserve">uncharacterized protein LOC278676 </t>
  </si>
  <si>
    <t>294345409</t>
  </si>
  <si>
    <t xml:space="preserve">5-azacytidine-induced protein 1 </t>
  </si>
  <si>
    <t>31981890</t>
  </si>
  <si>
    <t>beta-2-microglobulin precursor</t>
  </si>
  <si>
    <t>17978260</t>
  </si>
  <si>
    <t>beta-1,3-galactosyltransferase 6</t>
  </si>
  <si>
    <t>13195672</t>
  </si>
  <si>
    <t xml:space="preserve">galactosylgalactosylxylosylprotein 3-beta-glucuronosyltransferase 3 </t>
  </si>
  <si>
    <t>170784852</t>
  </si>
  <si>
    <t>UDP-GlcNAc:betaGal beta-1,3-N-acetylglucosaminyltransferase 3 precursor</t>
  </si>
  <si>
    <t>347543755</t>
  </si>
  <si>
    <t xml:space="preserve">beta-1,4 N-acetylgalactosaminyltransferase 1 isoform 2 </t>
  </si>
  <si>
    <t>347543757</t>
  </si>
  <si>
    <t xml:space="preserve">beta-1,4 N-acetylgalactosaminyltransferase 1 isoform 3 </t>
  </si>
  <si>
    <t>347543759</t>
  </si>
  <si>
    <t xml:space="preserve">beta-1,4 N-acetylgalactosaminyltransferase 1 isoform 4 </t>
  </si>
  <si>
    <t>6679929</t>
  </si>
  <si>
    <t xml:space="preserve">beta-1,4 N-acetylgalactosaminyltransferase 1 isoform 1 </t>
  </si>
  <si>
    <t>6679931</t>
  </si>
  <si>
    <t xml:space="preserve">beta-1,4 N-acetylgalactosaminyltransferase 2 </t>
  </si>
  <si>
    <t>11602910</t>
  </si>
  <si>
    <t>beta-1,4-galactosyltransferase 1</t>
  </si>
  <si>
    <t>188528672</t>
  </si>
  <si>
    <t xml:space="preserve">beta-1,4-galactosyltransferase 4 precursor </t>
  </si>
  <si>
    <t>116089306</t>
  </si>
  <si>
    <t>beta-1,4-galactosyltransferase 5</t>
  </si>
  <si>
    <t>268838948</t>
  </si>
  <si>
    <t>BRISC and BRCA1-A complex member 1</t>
  </si>
  <si>
    <t>6671610</t>
  </si>
  <si>
    <t xml:space="preserve">bcl2 antagonist of cell death </t>
  </si>
  <si>
    <t>157952206</t>
  </si>
  <si>
    <t>BAG family molecular chaperone regulator 1 isoform 1L</t>
  </si>
  <si>
    <t>284507286</t>
  </si>
  <si>
    <t>BAG family molecular chaperone regulator 1 isoform 1S</t>
  </si>
  <si>
    <t>21703784</t>
  </si>
  <si>
    <t>BAG family molecular chaperone regulator 2</t>
  </si>
  <si>
    <t>17975504</t>
  </si>
  <si>
    <t>BAG family molecular chaperone regulator 4</t>
  </si>
  <si>
    <t>58037205</t>
  </si>
  <si>
    <t>BAG family molecular chaperone regulator 5</t>
  </si>
  <si>
    <t>33147082</t>
  </si>
  <si>
    <t>large proline-rich protein BAG6 isoform 1</t>
  </si>
  <si>
    <t>357197137</t>
  </si>
  <si>
    <t>large proline-rich protein BAG6 isoform 2</t>
  </si>
  <si>
    <t>357197139</t>
  </si>
  <si>
    <t>large proline-rich protein BAG6 isoform 3</t>
  </si>
  <si>
    <t>262231776</t>
  </si>
  <si>
    <t>brain-specific angiogenesis inhibitor 1-associated protein 2 isoform a</t>
  </si>
  <si>
    <t>83642836</t>
  </si>
  <si>
    <t>brain-specific angiogenesis inhibitor 1-associated protein 2 isoform b</t>
  </si>
  <si>
    <t>83649713</t>
  </si>
  <si>
    <t>brain-specific angiogenesis inhibitor 1-associated protein 2 isoform c</t>
  </si>
  <si>
    <t>21313234</t>
  </si>
  <si>
    <t>brain-specific angiogenesis inhibitor 1-associated protein 2-like protein 1</t>
  </si>
  <si>
    <t>111955302</t>
  </si>
  <si>
    <t xml:space="preserve">bcl-2 homologous antagonist/killer </t>
  </si>
  <si>
    <t>6753178;84042521</t>
  </si>
  <si>
    <t>barrier-to-autointegration factor</t>
  </si>
  <si>
    <t>84042521</t>
  </si>
  <si>
    <t>45598372</t>
  </si>
  <si>
    <t xml:space="preserve">brain acid soluble protein 1 </t>
  </si>
  <si>
    <t>6680770</t>
  </si>
  <si>
    <t xml:space="preserve">apoptosis regulator BAX </t>
  </si>
  <si>
    <t>170295818</t>
  </si>
  <si>
    <t xml:space="preserve">tyrosine-protein kinase BAZ1B </t>
  </si>
  <si>
    <t>294774603</t>
  </si>
  <si>
    <t>eukaryotic translation initiation factor 1A-like 3</t>
  </si>
  <si>
    <t>305855096</t>
  </si>
  <si>
    <t xml:space="preserve">BBSome-interacting protein 1 </t>
  </si>
  <si>
    <t>84370025</t>
  </si>
  <si>
    <t xml:space="preserve">Bardet-Biedl syndrome 1 </t>
  </si>
  <si>
    <t>116805315</t>
  </si>
  <si>
    <t xml:space="preserve">protein odr-4 homolog isoform 1 </t>
  </si>
  <si>
    <t>116805317</t>
  </si>
  <si>
    <t xml:space="preserve">protein odr-4 homolog isoform 2 </t>
  </si>
  <si>
    <t>268607692</t>
  </si>
  <si>
    <t xml:space="preserve">protein CCSMST1 precursor </t>
  </si>
  <si>
    <t>262205179</t>
  </si>
  <si>
    <t xml:space="preserve">cDNA sequence BC005561 </t>
  </si>
  <si>
    <t>21450249</t>
  </si>
  <si>
    <t>uncharacterized protein C9orf78 homolog</t>
  </si>
  <si>
    <t>357527359</t>
  </si>
  <si>
    <t>uncharacterized protein C17orf62 homolog isoform 2</t>
  </si>
  <si>
    <t>21450219</t>
  </si>
  <si>
    <t>uncharacterized protein C17orf62 homolog isoform 1</t>
  </si>
  <si>
    <t>361050365</t>
  </si>
  <si>
    <t>uncharacterized protein C17orf62 homolog isoform 3</t>
  </si>
  <si>
    <t>21450105</t>
  </si>
  <si>
    <t xml:space="preserve">glutathione S-transferase P-like </t>
  </si>
  <si>
    <t>119637821</t>
  </si>
  <si>
    <t>mitogen-activated protein kinase kinase kinase MLK4</t>
  </si>
  <si>
    <t>124487245</t>
  </si>
  <si>
    <t>protein FAM206A</t>
  </si>
  <si>
    <t>22122411</t>
  </si>
  <si>
    <t xml:space="preserve">uncharacterized protein LOC212547 </t>
  </si>
  <si>
    <t>47564127</t>
  </si>
  <si>
    <t xml:space="preserve">dynein light chain LC8-type 1-like </t>
  </si>
  <si>
    <t>255522839</t>
  </si>
  <si>
    <t>testis specific basic protein isoform 1</t>
  </si>
  <si>
    <t>283046767</t>
  </si>
  <si>
    <t xml:space="preserve">WD repeat-containing protein C2orf44 homolog isoform 1 </t>
  </si>
  <si>
    <t>283046769</t>
  </si>
  <si>
    <t xml:space="preserve">WD repeat-containing protein C2orf44 homolog isoform 2 </t>
  </si>
  <si>
    <t>76781476</t>
  </si>
  <si>
    <t>selenoprotein V</t>
  </si>
  <si>
    <t>10048460</t>
  </si>
  <si>
    <t xml:space="preserve">basal cell adhesion molecule precursor </t>
  </si>
  <si>
    <t>6671620</t>
  </si>
  <si>
    <t>B-cell receptor-associated protein 29</t>
  </si>
  <si>
    <t>31981310</t>
  </si>
  <si>
    <t>B-cell receptor-associated protein 31</t>
  </si>
  <si>
    <t>311771530</t>
  </si>
  <si>
    <t>breast cancer anti-estrogen resistance protein 1 isoform A</t>
  </si>
  <si>
    <t>40254593</t>
  </si>
  <si>
    <t>breast cancer anti-estrogen resistance protein 1 isoform B</t>
  </si>
  <si>
    <t>70906453</t>
  </si>
  <si>
    <t xml:space="preserve">pre-mRNA-splicing factor SPF27 </t>
  </si>
  <si>
    <t>161016828</t>
  </si>
  <si>
    <t xml:space="preserve">branched-chain-amino-acid aminotransferase, cytosolic isoform 2 </t>
  </si>
  <si>
    <t>66792792</t>
  </si>
  <si>
    <t xml:space="preserve">branched-chain-amino-acid aminotransferase, cytosolic isoform 1 </t>
  </si>
  <si>
    <t>33859514</t>
  </si>
  <si>
    <t>branched-chain-amino-acid aminotransferase, mitochondrial isoform 1 precursor</t>
  </si>
  <si>
    <t>340007384</t>
  </si>
  <si>
    <t xml:space="preserve">branched-chain-amino-acid aminotransferase, mitochondrial isoform 2 </t>
  </si>
  <si>
    <t>134031957</t>
  </si>
  <si>
    <t>BRCA2 and CDKN1A-interacting protein</t>
  </si>
  <si>
    <t>183396774</t>
  </si>
  <si>
    <t xml:space="preserve">2-oxoisovalerate dehydrogenase subunit alpha, mitochondrial </t>
  </si>
  <si>
    <t>40353220</t>
  </si>
  <si>
    <t xml:space="preserve">2-oxoisovalerate dehydrogenase subunit beta, mitochondrial </t>
  </si>
  <si>
    <t>6753166</t>
  </si>
  <si>
    <t xml:space="preserve">B-cell lymphoma/leukemia 10 </t>
  </si>
  <si>
    <t>58037550</t>
  </si>
  <si>
    <t xml:space="preserve">bcl-2-like protein 1 </t>
  </si>
  <si>
    <t>46592786</t>
  </si>
  <si>
    <t xml:space="preserve">bcl-2-like protein 11 isoform 1 </t>
  </si>
  <si>
    <t>23943828</t>
  </si>
  <si>
    <t xml:space="preserve">bcl-2-like protein 13 </t>
  </si>
  <si>
    <t>38194232</t>
  </si>
  <si>
    <t xml:space="preserve">apoptosis facilitator Bcl-2-like protein 14 </t>
  </si>
  <si>
    <t>22296593</t>
  </si>
  <si>
    <t xml:space="preserve">B-cell CLL/lymphoma 7 protein family member A </t>
  </si>
  <si>
    <t>91206400</t>
  </si>
  <si>
    <t>B-cell CLL/lymphoma 9-like protein</t>
  </si>
  <si>
    <t>24496776</t>
  </si>
  <si>
    <t>bcl-2-associated transcription factor 1 isoform 2</t>
  </si>
  <si>
    <t>70906447</t>
  </si>
  <si>
    <t>bcl-2-associated transcription factor 1 isoform 1</t>
  </si>
  <si>
    <t>70906449</t>
  </si>
  <si>
    <t>bcl-2-associated transcription factor 1 isoform 3</t>
  </si>
  <si>
    <t>124487229</t>
  </si>
  <si>
    <t>breakpoint cluster region protein</t>
  </si>
  <si>
    <t>21313544</t>
  </si>
  <si>
    <t xml:space="preserve">mitochondrial chaperone BCS1 </t>
  </si>
  <si>
    <t>170014720</t>
  </si>
  <si>
    <t>D-beta-hydroxybutyrate dehydrogenase, mitochondrial precursor</t>
  </si>
  <si>
    <t>27764875</t>
  </si>
  <si>
    <t xml:space="preserve">beclin-1 </t>
  </si>
  <si>
    <t>6753182</t>
  </si>
  <si>
    <t>BET1 homolog</t>
  </si>
  <si>
    <t>170287745</t>
  </si>
  <si>
    <t>BET1-like protein</t>
  </si>
  <si>
    <t>13994223</t>
  </si>
  <si>
    <t xml:space="preserve">protein bicaudal C homolog 1 </t>
  </si>
  <si>
    <t>163838764</t>
  </si>
  <si>
    <t xml:space="preserve">protein bicaudal D homolog 1 isoform 2 </t>
  </si>
  <si>
    <t>163838766</t>
  </si>
  <si>
    <t xml:space="preserve">protein bicaudal D homolog 1 isoform 1 </t>
  </si>
  <si>
    <t>18139547</t>
  </si>
  <si>
    <t xml:space="preserve">protein bicaudal D homolog 2 isoform 2 </t>
  </si>
  <si>
    <t>85702355</t>
  </si>
  <si>
    <t xml:space="preserve">protein bicaudal D homolog 2 isoform 1 </t>
  </si>
  <si>
    <t>85702359</t>
  </si>
  <si>
    <t xml:space="preserve">protein bicaudal D homolog 2 isoform 3 </t>
  </si>
  <si>
    <t>31542228</t>
  </si>
  <si>
    <t>BH3-interacting domain death agonist</t>
  </si>
  <si>
    <t>134053947</t>
  </si>
  <si>
    <t>myc box-dependent-interacting protein 1 isoform 2</t>
  </si>
  <si>
    <t>6753050</t>
  </si>
  <si>
    <t>myc box-dependent-interacting protein 1 isoform 1</t>
  </si>
  <si>
    <t>10946638</t>
  </si>
  <si>
    <t xml:space="preserve">bridging integrator 3 </t>
  </si>
  <si>
    <t>409971427</t>
  </si>
  <si>
    <t xml:space="preserve">baculoviral IAP repeat-containing protein 6 </t>
  </si>
  <si>
    <t>31982490</t>
  </si>
  <si>
    <t xml:space="preserve">tyrosine-protein kinase Blk </t>
  </si>
  <si>
    <t>30519997</t>
  </si>
  <si>
    <t>bleomycin hydrolase</t>
  </si>
  <si>
    <t>31982209</t>
  </si>
  <si>
    <t xml:space="preserve">B-cell linker protein </t>
  </si>
  <si>
    <t>31980697</t>
  </si>
  <si>
    <t>biogenesis of lysosome-related organelles complex 1 subunit 1</t>
  </si>
  <si>
    <t>19526908</t>
  </si>
  <si>
    <t>protein cappuccino</t>
  </si>
  <si>
    <t>20532342</t>
  </si>
  <si>
    <t>protein Muted</t>
  </si>
  <si>
    <t>124487331</t>
  </si>
  <si>
    <t>biliverdin reductase A precursor</t>
  </si>
  <si>
    <t>21450325</t>
  </si>
  <si>
    <t xml:space="preserve">flavin reductase (NADPH) </t>
  </si>
  <si>
    <t>31982487</t>
  </si>
  <si>
    <t xml:space="preserve">bone morphogenetic protein 7 preproprotein </t>
  </si>
  <si>
    <t>255003752</t>
  </si>
  <si>
    <t>vesicle transport protein SEC20</t>
  </si>
  <si>
    <t>67906187</t>
  </si>
  <si>
    <t>biorientation of chromosomes in cell division protein 1</t>
  </si>
  <si>
    <t>124487265</t>
  </si>
  <si>
    <t xml:space="preserve">biorientation of chromosomes in cell division 1-like </t>
  </si>
  <si>
    <t>7949082</t>
  </si>
  <si>
    <t>bcl-2-related ovarian killer protein</t>
  </si>
  <si>
    <t>58037151</t>
  </si>
  <si>
    <t xml:space="preserve">bolA-like protein 1 </t>
  </si>
  <si>
    <t>29171318</t>
  </si>
  <si>
    <t xml:space="preserve">bolA-like protein 2 </t>
  </si>
  <si>
    <t>7304931</t>
  </si>
  <si>
    <t>ribosome biogenesis protein BOP1</t>
  </si>
  <si>
    <t>6680806</t>
  </si>
  <si>
    <t>bisphosphoglycerate mutase</t>
  </si>
  <si>
    <t>21624609</t>
  </si>
  <si>
    <t xml:space="preserve">valacyclovir hydrolase precursor </t>
  </si>
  <si>
    <t>39652626</t>
  </si>
  <si>
    <t xml:space="preserve">3'(2'),5'-bisphosphate nucleotidase 1 </t>
  </si>
  <si>
    <t>153791904</t>
  </si>
  <si>
    <t xml:space="preserve">serine/threonine-protein kinase B-raf </t>
  </si>
  <si>
    <t>70608139</t>
  </si>
  <si>
    <t>BRCA1-associated protein</t>
  </si>
  <si>
    <t>30841004</t>
  </si>
  <si>
    <t>BRCA1-associated ATM activator 1 isoform 2</t>
  </si>
  <si>
    <t>443609479</t>
  </si>
  <si>
    <t>BRCA1-associated ATM activator 1 isoform 3</t>
  </si>
  <si>
    <t>262050563</t>
  </si>
  <si>
    <t xml:space="preserve">lys-63-specific deubiquitinase BRCC36 </t>
  </si>
  <si>
    <t>71067345</t>
  </si>
  <si>
    <t xml:space="preserve">bromodomain-containing protein 2 </t>
  </si>
  <si>
    <t>165972331</t>
  </si>
  <si>
    <t xml:space="preserve">bromodomain-containing protein 3 isoform 2 </t>
  </si>
  <si>
    <t>165972335</t>
  </si>
  <si>
    <t xml:space="preserve">bromodomain-containing protein 3 isoform 1 </t>
  </si>
  <si>
    <t>226246640</t>
  </si>
  <si>
    <t xml:space="preserve">bromodomain-containing protein 4 isoform 2 </t>
  </si>
  <si>
    <t>226342873</t>
  </si>
  <si>
    <t xml:space="preserve">bromodomain-containing protein 4 isoform 1 </t>
  </si>
  <si>
    <t>21617851</t>
  </si>
  <si>
    <t>BRCA1-A complex subunit BRE isoform V</t>
  </si>
  <si>
    <t>41281924</t>
  </si>
  <si>
    <t>BRCA1-A complex subunit BRE isoform I</t>
  </si>
  <si>
    <t>41281930</t>
  </si>
  <si>
    <t>BRCA1-A complex subunit BRE isoform III</t>
  </si>
  <si>
    <t>41281940</t>
  </si>
  <si>
    <t>BRCA1-A complex subunit BRE isoform IV</t>
  </si>
  <si>
    <t>41281945</t>
  </si>
  <si>
    <t>BRCA1-A complex subunit BRE isoform II</t>
  </si>
  <si>
    <t>255683449</t>
  </si>
  <si>
    <t xml:space="preserve">brain protein I3 isoform 1 </t>
  </si>
  <si>
    <t>255683451</t>
  </si>
  <si>
    <t xml:space="preserve">brain protein I3 isoform 2 </t>
  </si>
  <si>
    <t>58037467</t>
  </si>
  <si>
    <t xml:space="preserve">BRI3-binding protein precursor </t>
  </si>
  <si>
    <t>141802630</t>
  </si>
  <si>
    <t xml:space="preserve">ribosome biogenesis protein BRX1 homolog </t>
  </si>
  <si>
    <t>19527154</t>
  </si>
  <si>
    <t>protein BRICK1</t>
  </si>
  <si>
    <t>58037255</t>
  </si>
  <si>
    <t>BRO1 domain-containing protein BROX</t>
  </si>
  <si>
    <t>31542236</t>
  </si>
  <si>
    <t xml:space="preserve">bombesin receptor subtype-3 </t>
  </si>
  <si>
    <t>31981603</t>
  </si>
  <si>
    <t>BSD domain-containing protein 1</t>
  </si>
  <si>
    <t>116014342</t>
  </si>
  <si>
    <t>basigin isoform 2 precursor</t>
  </si>
  <si>
    <t>34915988</t>
  </si>
  <si>
    <t>basigin isoform 1 precursor</t>
  </si>
  <si>
    <t>91598894</t>
  </si>
  <si>
    <t xml:space="preserve">barttin </t>
  </si>
  <si>
    <t>20149730</t>
  </si>
  <si>
    <t>B box and SPRY domain-containing protein</t>
  </si>
  <si>
    <t>134288869</t>
  </si>
  <si>
    <t>ADP-ribosyl cyclase 2 precursor</t>
  </si>
  <si>
    <t>37674242</t>
  </si>
  <si>
    <t>bone marrow stromal antigen 2 precursor</t>
  </si>
  <si>
    <t>123858774</t>
  </si>
  <si>
    <t>TATA-binding protein-associated factor 172</t>
  </si>
  <si>
    <t>83649719</t>
  </si>
  <si>
    <t>BTB/POZ domain-containing protein 1</t>
  </si>
  <si>
    <t>163965446</t>
  </si>
  <si>
    <t xml:space="preserve">BTB (POZ) domain containing 2 </t>
  </si>
  <si>
    <t>13384648</t>
  </si>
  <si>
    <t>biotinidase precursor</t>
  </si>
  <si>
    <t>281485611</t>
  </si>
  <si>
    <t xml:space="preserve">transcription factor BTF3 isoform 2 </t>
  </si>
  <si>
    <t>56605979</t>
  </si>
  <si>
    <t xml:space="preserve">transcription factor BTF3 isoform 1 </t>
  </si>
  <si>
    <t>29789195</t>
  </si>
  <si>
    <t xml:space="preserve">transcription factor BTF3 homolog 4 </t>
  </si>
  <si>
    <t>161086887</t>
  </si>
  <si>
    <t>F-box/WD repeat-containing protein 1A isoform a</t>
  </si>
  <si>
    <t>6753210</t>
  </si>
  <si>
    <t>F-box/WD repeat-containing protein 1A isoform b</t>
  </si>
  <si>
    <t>163937845</t>
  </si>
  <si>
    <t xml:space="preserve">mitotic checkpoint serine/threonine-protein kinase BUB1 isoform 1 </t>
  </si>
  <si>
    <t>163937847</t>
  </si>
  <si>
    <t xml:space="preserve">mitotic checkpoint serine/threonine-protein kinase BUB1 isoform 2 </t>
  </si>
  <si>
    <t>157951692</t>
  </si>
  <si>
    <t>mitotic checkpoint serine/threonine-protein kinase BUB1 beta</t>
  </si>
  <si>
    <t>31560618</t>
  </si>
  <si>
    <t>mitotic checkpoint protein BUB3</t>
  </si>
  <si>
    <t>57222238</t>
  </si>
  <si>
    <t xml:space="preserve">protein BUD31 homolog </t>
  </si>
  <si>
    <t>164698440</t>
  </si>
  <si>
    <t xml:space="preserve">bystin </t>
  </si>
  <si>
    <t>157909774</t>
  </si>
  <si>
    <t xml:space="preserve">peripheral-type benzodiazepine receptor-associated protein 1 </t>
  </si>
  <si>
    <t>13385296</t>
  </si>
  <si>
    <t>basic leucine zipper and W2 domain-containing protein 1</t>
  </si>
  <si>
    <t>31981160</t>
  </si>
  <si>
    <t>basic leucine zipper and W2 domain-containing protein 2</t>
  </si>
  <si>
    <t>210147428</t>
  </si>
  <si>
    <t>UPF0598 protein C8orf82 homolog isoform 2</t>
  </si>
  <si>
    <t>21735489</t>
  </si>
  <si>
    <t>UPF0598 protein C8orf82 homolog isoform 1</t>
  </si>
  <si>
    <t>112181167</t>
  </si>
  <si>
    <t xml:space="preserve">complement component 1 Q subcomponent-binding protein, mitochondrial </t>
  </si>
  <si>
    <t>157838011</t>
  </si>
  <si>
    <t xml:space="preserve">uncharacterized protein KIAA0528 isoform 1 </t>
  </si>
  <si>
    <t>157838013</t>
  </si>
  <si>
    <t xml:space="preserve">uncharacterized protein KIAA0528 isoform 2 </t>
  </si>
  <si>
    <t>157838015</t>
  </si>
  <si>
    <t xml:space="preserve">uncharacterized protein KIAA0528 isoform 3 </t>
  </si>
  <si>
    <t>166063959</t>
  </si>
  <si>
    <t>UPF0428 protein CXorf56 homolog</t>
  </si>
  <si>
    <t>75677516</t>
  </si>
  <si>
    <t xml:space="preserve">uncharacterized protein KIAA1522 </t>
  </si>
  <si>
    <t>401871063</t>
  </si>
  <si>
    <t>H-2 class I histocompatibility antigen-like precursor</t>
  </si>
  <si>
    <t>161086893</t>
  </si>
  <si>
    <t xml:space="preserve">calcium-binding protein 39 </t>
  </si>
  <si>
    <t>31541826</t>
  </si>
  <si>
    <t xml:space="preserve">calcium-binding protein 39-like </t>
  </si>
  <si>
    <t>58037485</t>
  </si>
  <si>
    <t>calcium channel flower homolog isoform 1</t>
  </si>
  <si>
    <t>121583673</t>
  </si>
  <si>
    <t xml:space="preserve">cactin </t>
  </si>
  <si>
    <t>285402212</t>
  </si>
  <si>
    <t>CDK2-associated and cullin domain-containing protein 1 isoform 2</t>
  </si>
  <si>
    <t>285402250</t>
  </si>
  <si>
    <t>CDK2-associated and cullin domain-containing protein 1 isoform 3</t>
  </si>
  <si>
    <t>58037533</t>
  </si>
  <si>
    <t>CDK2-associated and cullin domain-containing protein 1 isoform 1</t>
  </si>
  <si>
    <t>33468885</t>
  </si>
  <si>
    <t>calcyclin-binding protein</t>
  </si>
  <si>
    <t>51093867</t>
  </si>
  <si>
    <t xml:space="preserve">carbamoyl-phosphate synthetase 2, aspartate transcarbamylase, and dihydroorotase </t>
  </si>
  <si>
    <t>46575940</t>
  </si>
  <si>
    <t xml:space="preserve">cell adhesion molecule 1 isoform b precursor </t>
  </si>
  <si>
    <t>71040102</t>
  </si>
  <si>
    <t xml:space="preserve">cell adhesion molecule 1 isoform a precursor </t>
  </si>
  <si>
    <t>71040104</t>
  </si>
  <si>
    <t xml:space="preserve">cell adhesion molecule 1 isoform c precursor </t>
  </si>
  <si>
    <t>71040107</t>
  </si>
  <si>
    <t xml:space="preserve">cell adhesion molecule 1 isoform d precursor </t>
  </si>
  <si>
    <t>23346547</t>
  </si>
  <si>
    <t xml:space="preserve">cell adhesion molecule 4 precursor </t>
  </si>
  <si>
    <t>21312944</t>
  </si>
  <si>
    <t>calcium-binding and coiled-coil domain-containing protein 1</t>
  </si>
  <si>
    <t>21704156</t>
  </si>
  <si>
    <t>caldesmon 1</t>
  </si>
  <si>
    <t>6680832;6680834</t>
  </si>
  <si>
    <t xml:space="preserve">calmodulin </t>
  </si>
  <si>
    <t>6680834</t>
  </si>
  <si>
    <t>13386230</t>
  </si>
  <si>
    <t xml:space="preserve">calmodulin-like protein 3 </t>
  </si>
  <si>
    <t>6680836</t>
  </si>
  <si>
    <t>calreticulin precursor</t>
  </si>
  <si>
    <t>549806750</t>
  </si>
  <si>
    <t xml:space="preserve">calumenin isoform 3 </t>
  </si>
  <si>
    <t>41282022</t>
  </si>
  <si>
    <t>calumenin isoform 2 precursor</t>
  </si>
  <si>
    <t>6680840</t>
  </si>
  <si>
    <t>calumenin isoform 1 precursor</t>
  </si>
  <si>
    <t>19527140</t>
  </si>
  <si>
    <t xml:space="preserve">calcium/calmodulin-dependent protein kinase type 1 </t>
  </si>
  <si>
    <t>28916677</t>
  </si>
  <si>
    <t xml:space="preserve">calcium/calmodulin-dependent protein kinase type II subunit alpha isoform 2 </t>
  </si>
  <si>
    <t>226693349</t>
  </si>
  <si>
    <t xml:space="preserve">calcium/calmodulin-dependent protein kinase type II subunit beta isoform 2 </t>
  </si>
  <si>
    <t>291291008</t>
  </si>
  <si>
    <t xml:space="preserve">calcium/calmodulin-dependent protein kinase type II subunit beta isoform 1 </t>
  </si>
  <si>
    <t>291291010</t>
  </si>
  <si>
    <t xml:space="preserve">calcium/calmodulin-dependent protein kinase type II subunit beta isoform 3 </t>
  </si>
  <si>
    <t>18158420</t>
  </si>
  <si>
    <t xml:space="preserve">calcium/calmodulin-dependent protein kinase type II subunit delta isoform 3 </t>
  </si>
  <si>
    <t>70906477</t>
  </si>
  <si>
    <t xml:space="preserve">calcium/calmodulin-dependent protein kinase type II subunit delta isoform 2 </t>
  </si>
  <si>
    <t>70906479</t>
  </si>
  <si>
    <t xml:space="preserve">calcium/calmodulin-dependent protein kinase type II subunit delta isoform 1 </t>
  </si>
  <si>
    <t>75991700</t>
  </si>
  <si>
    <t xml:space="preserve">calcium/calmodulin-dependent protein kinase type II subunit gamma isoform 1 </t>
  </si>
  <si>
    <t>85362729</t>
  </si>
  <si>
    <t xml:space="preserve">calcium/calmodulin-dependent protein kinase type II subunit gamma isoform 3 </t>
  </si>
  <si>
    <t>85362742</t>
  </si>
  <si>
    <t xml:space="preserve">calcium/calmodulin-dependent protein kinase type II subunit gamma isoform 2 </t>
  </si>
  <si>
    <t>21703722</t>
  </si>
  <si>
    <t xml:space="preserve">calcium/calmodulin-dependent protein kinase kinase 2 isoform 2 </t>
  </si>
  <si>
    <t>314122344</t>
  </si>
  <si>
    <t xml:space="preserve">calcium/calmodulin-dependent protein kinase kinase 2 isoform 1 </t>
  </si>
  <si>
    <t>124249226</t>
  </si>
  <si>
    <t>calmodulin-lysine N-methyltransferase</t>
  </si>
  <si>
    <t>226423895</t>
  </si>
  <si>
    <t>cathelin-related antimicrobial peptide precursor</t>
  </si>
  <si>
    <t>255069774</t>
  </si>
  <si>
    <t>calmodulin-regulated spectrin-associated protein 3 isoform 1</t>
  </si>
  <si>
    <t>255069776</t>
  </si>
  <si>
    <t>calmodulin-regulated spectrin-associated protein 3 isoform 2</t>
  </si>
  <si>
    <t>189409138</t>
  </si>
  <si>
    <t>cullin-associated NEDD8-dissociated protein 1</t>
  </si>
  <si>
    <t>254692880</t>
  </si>
  <si>
    <t>cullin-associated NEDD8-dissociated protein 2</t>
  </si>
  <si>
    <t>160333216;6671664</t>
  </si>
  <si>
    <t>calnexin precursor</t>
  </si>
  <si>
    <t>6671664</t>
  </si>
  <si>
    <t>157951604</t>
  </si>
  <si>
    <t>adenylyl cyclase-associated protein 1</t>
  </si>
  <si>
    <t>110227379</t>
  </si>
  <si>
    <t>macrophage-capping protein</t>
  </si>
  <si>
    <t>6671668</t>
  </si>
  <si>
    <t xml:space="preserve">calpain-1 catalytic subunit </t>
  </si>
  <si>
    <t>7657601</t>
  </si>
  <si>
    <t xml:space="preserve">calpain-15 </t>
  </si>
  <si>
    <t>157951598</t>
  </si>
  <si>
    <t xml:space="preserve">calpain-2 catalytic subunit </t>
  </si>
  <si>
    <t>6680846</t>
  </si>
  <si>
    <t xml:space="preserve">calpain-5 </t>
  </si>
  <si>
    <t>224809586</t>
  </si>
  <si>
    <t xml:space="preserve">calpain-8 isoform 1 </t>
  </si>
  <si>
    <t>110227381</t>
  </si>
  <si>
    <t>calpain small subunit 1</t>
  </si>
  <si>
    <t>254675215</t>
  </si>
  <si>
    <t>calpain small subunit 2</t>
  </si>
  <si>
    <t>162329564;42558248</t>
  </si>
  <si>
    <t xml:space="preserve">caprin-1 isoform a </t>
  </si>
  <si>
    <t>42558248</t>
  </si>
  <si>
    <t>162329566</t>
  </si>
  <si>
    <t xml:space="preserve">caprin-1 isoform b </t>
  </si>
  <si>
    <t>162329568</t>
  </si>
  <si>
    <t xml:space="preserve">caprin-1 isoform c </t>
  </si>
  <si>
    <t>161086971</t>
  </si>
  <si>
    <t>F-actin-capping protein subunit alpha-1</t>
  </si>
  <si>
    <t>6671672</t>
  </si>
  <si>
    <t>F-actin-capping protein subunit alpha-2</t>
  </si>
  <si>
    <t>157951670</t>
  </si>
  <si>
    <t>F-actin-capping protein subunit alpha-3</t>
  </si>
  <si>
    <t>407027854</t>
  </si>
  <si>
    <t>F-actin-capping protein subunit beta isoform d</t>
  </si>
  <si>
    <t>407027856</t>
  </si>
  <si>
    <t>F-actin-capping protein subunit beta isoform c</t>
  </si>
  <si>
    <t>6753262</t>
  </si>
  <si>
    <t>F-actin-capping protein subunit beta isoform b</t>
  </si>
  <si>
    <t>83649737</t>
  </si>
  <si>
    <t>F-actin-capping protein subunit beta isoform a</t>
  </si>
  <si>
    <t>157951596</t>
  </si>
  <si>
    <t xml:space="preserve">carbonic anhydrase 2 </t>
  </si>
  <si>
    <t>211057396</t>
  </si>
  <si>
    <t xml:space="preserve">carbonic anhydrase 5B, mitochondrial precursor </t>
  </si>
  <si>
    <t>13385290</t>
  </si>
  <si>
    <t xml:space="preserve">calcium-regulated heat stable protein 1 </t>
  </si>
  <si>
    <t>298676450</t>
  </si>
  <si>
    <t xml:space="preserve">ATP-dependent (S)-NAD(P)H-hydrate dehydratase isoform 1 </t>
  </si>
  <si>
    <t>298676452</t>
  </si>
  <si>
    <t xml:space="preserve">ATP-dependent (S)-NAD(P)H-hydrate dehydratase isoform 2 </t>
  </si>
  <si>
    <t>189409145</t>
  </si>
  <si>
    <t xml:space="preserve">histone-arginine methyltransferase CARM1 isoform 2 </t>
  </si>
  <si>
    <t>50511310</t>
  </si>
  <si>
    <t xml:space="preserve">histone-arginine methyltransferase CARM1 isoform 1 </t>
  </si>
  <si>
    <t>148747198</t>
  </si>
  <si>
    <t xml:space="preserve">cysteine--tRNA ligase, cytoplasmic isoform 1 </t>
  </si>
  <si>
    <t>357588502</t>
  </si>
  <si>
    <t xml:space="preserve">cysteine--tRNA ligase, cytoplasmic isoform 2 </t>
  </si>
  <si>
    <t>282721112</t>
  </si>
  <si>
    <t xml:space="preserve">cancer susceptibility candidate protein 1 </t>
  </si>
  <si>
    <t>133504495</t>
  </si>
  <si>
    <t xml:space="preserve">peripheral plasma membrane protein CASK </t>
  </si>
  <si>
    <t>31981530</t>
  </si>
  <si>
    <t xml:space="preserve">caskin-2 </t>
  </si>
  <si>
    <t>6753280</t>
  </si>
  <si>
    <t xml:space="preserve">caspase-14 </t>
  </si>
  <si>
    <t>6680848</t>
  </si>
  <si>
    <t xml:space="preserve">caspase-2 </t>
  </si>
  <si>
    <t>6753284</t>
  </si>
  <si>
    <t xml:space="preserve">caspase-3 </t>
  </si>
  <si>
    <t>157951736</t>
  </si>
  <si>
    <t xml:space="preserve">caspase-6 </t>
  </si>
  <si>
    <t>6680850</t>
  </si>
  <si>
    <t>caspase-7 precursor</t>
  </si>
  <si>
    <t>33859520</t>
  </si>
  <si>
    <t xml:space="preserve">caspase-8 </t>
  </si>
  <si>
    <t>31560479</t>
  </si>
  <si>
    <t xml:space="preserve">caspase-9 </t>
  </si>
  <si>
    <t>33563246</t>
  </si>
  <si>
    <t xml:space="preserve">calpastatin </t>
  </si>
  <si>
    <t>157951741</t>
  </si>
  <si>
    <t xml:space="preserve">catalase </t>
  </si>
  <si>
    <t>340139110</t>
  </si>
  <si>
    <t xml:space="preserve">caveolin-1 isoform 2 </t>
  </si>
  <si>
    <t>6680854</t>
  </si>
  <si>
    <t xml:space="preserve">caveolin-1 isoform 1 </t>
  </si>
  <si>
    <t>18702317</t>
  </si>
  <si>
    <t xml:space="preserve">caveolin-2 </t>
  </si>
  <si>
    <t>238814335</t>
  </si>
  <si>
    <t>core-binding factor subunit beta isoform 3</t>
  </si>
  <si>
    <t>238814331</t>
  </si>
  <si>
    <t>core-binding factor subunit beta isoform 1</t>
  </si>
  <si>
    <t>238814333</t>
  </si>
  <si>
    <t>core-binding factor subunit beta isoform 2</t>
  </si>
  <si>
    <t>238814337</t>
  </si>
  <si>
    <t>core-binding factor subunit beta isoform 4</t>
  </si>
  <si>
    <t>80978932</t>
  </si>
  <si>
    <t>E3 ubiquitin-protein ligase CBL</t>
  </si>
  <si>
    <t>113680352</t>
  </si>
  <si>
    <t>carbonyl reductase [NADPH] 1</t>
  </si>
  <si>
    <t>6671688</t>
  </si>
  <si>
    <t>carbonyl reductase [NADPH] 2</t>
  </si>
  <si>
    <t>27413160</t>
  </si>
  <si>
    <t>carbonyl reductase [NADPH] 3</t>
  </si>
  <si>
    <t>269784762</t>
  </si>
  <si>
    <t xml:space="preserve">carbonyl reductase family member 4 </t>
  </si>
  <si>
    <t>22122605</t>
  </si>
  <si>
    <t>COBW domain-containing protein 1</t>
  </si>
  <si>
    <t>6671696</t>
  </si>
  <si>
    <t>chromobox protein homolog 1</t>
  </si>
  <si>
    <t>108860695</t>
  </si>
  <si>
    <t>chromobox protein homolog 3</t>
  </si>
  <si>
    <t>116008461</t>
  </si>
  <si>
    <t>chromobox protein homolog 5</t>
  </si>
  <si>
    <t>61657984</t>
  </si>
  <si>
    <t>chromobox protein homolog 6</t>
  </si>
  <si>
    <t>110835702</t>
  </si>
  <si>
    <t>coiled-coil and C2 domain-containing protein 1A</t>
  </si>
  <si>
    <t>28892935</t>
  </si>
  <si>
    <t>coiled-coil and C2 domain-containing protein 1B</t>
  </si>
  <si>
    <t>407262408</t>
  </si>
  <si>
    <t xml:space="preserve">PREDICTED: coiled-coil and C2 domain-containing protein 2A </t>
  </si>
  <si>
    <t>407264268</t>
  </si>
  <si>
    <t>33563288</t>
  </si>
  <si>
    <t>cell division cycle and apoptosis regulator protein 1</t>
  </si>
  <si>
    <t>226958577</t>
  </si>
  <si>
    <t xml:space="preserve">DBIRD complex subunit KIAA1967 homolog </t>
  </si>
  <si>
    <t>31982063</t>
  </si>
  <si>
    <t xml:space="preserve">kynurenine--oxoglutarate transaminase 1 </t>
  </si>
  <si>
    <t>30352008</t>
  </si>
  <si>
    <t>coiled-coil domain-containing protein 104</t>
  </si>
  <si>
    <t>58037169</t>
  </si>
  <si>
    <t>coiled-coil domain-containing protein 115</t>
  </si>
  <si>
    <t>164698436</t>
  </si>
  <si>
    <t>coiled-coil domain-containing protein 117</t>
  </si>
  <si>
    <t>227496903</t>
  </si>
  <si>
    <t>coiled-coil domain-containing protein 12</t>
  </si>
  <si>
    <t>47059143</t>
  </si>
  <si>
    <t>coiled-coil domain-containing protein 124</t>
  </si>
  <si>
    <t>13195630</t>
  </si>
  <si>
    <t>coiled-coil domain-containing protein 127 isoform 1</t>
  </si>
  <si>
    <t>281183266</t>
  </si>
  <si>
    <t>coiled-coil domain-containing protein 127 isoform 2</t>
  </si>
  <si>
    <t>268370057</t>
  </si>
  <si>
    <t>coiled-coil domain-containing protein 132 isoform 1</t>
  </si>
  <si>
    <t>268370059</t>
  </si>
  <si>
    <t>coiled-coil domain-containing protein 132 isoform 2</t>
  </si>
  <si>
    <t>268370061</t>
  </si>
  <si>
    <t>coiled-coil domain-containing protein 132 isoform 3</t>
  </si>
  <si>
    <t>116268089</t>
  </si>
  <si>
    <t xml:space="preserve">coiled-coil domain-containing protein 134 precursor </t>
  </si>
  <si>
    <t>319655563</t>
  </si>
  <si>
    <t>coiled-coil domain-containing protein 136 isoform 2</t>
  </si>
  <si>
    <t>319655703</t>
  </si>
  <si>
    <t>coiled-coil domain-containing protein 136 isoform 1</t>
  </si>
  <si>
    <t>22779893</t>
  </si>
  <si>
    <t>coiled-coil domain-containing protein 137</t>
  </si>
  <si>
    <t>169646270</t>
  </si>
  <si>
    <t>coiled-coil domain-containing protein 14</t>
  </si>
  <si>
    <t>299829227</t>
  </si>
  <si>
    <t>coiled-coil domain containing 141</t>
  </si>
  <si>
    <t>254939555</t>
  </si>
  <si>
    <t>coiled-coil domain-containing protein 167 isoform 1</t>
  </si>
  <si>
    <t>254939557</t>
  </si>
  <si>
    <t>coiled-coil domain-containing protein 167 isoform 2</t>
  </si>
  <si>
    <t>133922578</t>
  </si>
  <si>
    <t>coiled-coil domain-containing protein 22</t>
  </si>
  <si>
    <t>22164768</t>
  </si>
  <si>
    <t>coiled-coil domain-containing protein 25</t>
  </si>
  <si>
    <t>13385406</t>
  </si>
  <si>
    <t>coiled-coil domain-containing protein 43</t>
  </si>
  <si>
    <t>125628650</t>
  </si>
  <si>
    <t xml:space="preserve">coiled-coil domain-containing protein 47 precursor </t>
  </si>
  <si>
    <t>258679490</t>
  </si>
  <si>
    <t>coiled-coil domain-containing protein 51</t>
  </si>
  <si>
    <t>171906601</t>
  </si>
  <si>
    <t>WASH complex subunit CCDC53 isoform 3</t>
  </si>
  <si>
    <t>171906604</t>
  </si>
  <si>
    <t>WASH complex subunit CCDC53 isoform 2</t>
  </si>
  <si>
    <t>21313034</t>
  </si>
  <si>
    <t>WASH complex subunit CCDC53 isoform 1</t>
  </si>
  <si>
    <t>21312272</t>
  </si>
  <si>
    <t>coiled-coil domain-containing protein 54</t>
  </si>
  <si>
    <t>59858549</t>
  </si>
  <si>
    <t>nuclear speckle splicing regulatory protein 1</t>
  </si>
  <si>
    <t>226874938</t>
  </si>
  <si>
    <t>coiled-coil domain-containing protein 58 isoform 2</t>
  </si>
  <si>
    <t>226874940</t>
  </si>
  <si>
    <t>coiled-coil domain-containing protein 58 isoform 3</t>
  </si>
  <si>
    <t>38348528</t>
  </si>
  <si>
    <t>coiled-coil domain-containing protein 58 isoform 1</t>
  </si>
  <si>
    <t>13385058</t>
  </si>
  <si>
    <t>thyroid transcription factor 1-associated protein 26</t>
  </si>
  <si>
    <t>162135971</t>
  </si>
  <si>
    <t>coiled-coil domain-containing protein 6</t>
  </si>
  <si>
    <t>115270981</t>
  </si>
  <si>
    <t>coiled-coil domain-containing protein 69</t>
  </si>
  <si>
    <t>47059089</t>
  </si>
  <si>
    <t>protein Daple</t>
  </si>
  <si>
    <t>160333440</t>
  </si>
  <si>
    <t>coiled-coil domain-containing protein 93 isoform c</t>
  </si>
  <si>
    <t>68448542</t>
  </si>
  <si>
    <t>coiled-coil domain-containing protein 93 isoform a</t>
  </si>
  <si>
    <t>157738617</t>
  </si>
  <si>
    <t xml:space="preserve">coiled-coil alpha-helical rod protein 1 </t>
  </si>
  <si>
    <t>12963599</t>
  </si>
  <si>
    <t xml:space="preserve">cyclin-H </t>
  </si>
  <si>
    <t>157841168</t>
  </si>
  <si>
    <t xml:space="preserve">cyclin-K </t>
  </si>
  <si>
    <t>70906460</t>
  </si>
  <si>
    <t xml:space="preserve">cyclin-L1 </t>
  </si>
  <si>
    <t>6753316</t>
  </si>
  <si>
    <t xml:space="preserve">cyclin-T1 </t>
  </si>
  <si>
    <t>31542003</t>
  </si>
  <si>
    <t xml:space="preserve">cyclin-Y </t>
  </si>
  <si>
    <t>148237243</t>
  </si>
  <si>
    <t xml:space="preserve">cyclin Y-like 1 </t>
  </si>
  <si>
    <t>8393066</t>
  </si>
  <si>
    <t xml:space="preserve">copper chaperone for superoxide dismutase </t>
  </si>
  <si>
    <t>126521835</t>
  </si>
  <si>
    <t xml:space="preserve">T-complex protein 1 subunit beta </t>
  </si>
  <si>
    <t>6753320</t>
  </si>
  <si>
    <t xml:space="preserve">T-complex protein 1 subunit gamma </t>
  </si>
  <si>
    <t>6753322</t>
  </si>
  <si>
    <t xml:space="preserve">T-complex protein 1 subunit delta </t>
  </si>
  <si>
    <t>6671702</t>
  </si>
  <si>
    <t xml:space="preserve">T-complex protein 1 subunit epsilon </t>
  </si>
  <si>
    <t>6753324</t>
  </si>
  <si>
    <t xml:space="preserve">T-complex protein 1 subunit zeta </t>
  </si>
  <si>
    <t>226693361</t>
  </si>
  <si>
    <t xml:space="preserve">T-complex protein 1 subunit zeta-2 </t>
  </si>
  <si>
    <t>238814391</t>
  </si>
  <si>
    <t xml:space="preserve">T-complex protein 1 subunit eta </t>
  </si>
  <si>
    <t>126723461</t>
  </si>
  <si>
    <t xml:space="preserve">T-complex protein 1 subunit theta </t>
  </si>
  <si>
    <t>29244114</t>
  </si>
  <si>
    <t xml:space="preserve">vacuolar fusion protein CCZ1 homolog </t>
  </si>
  <si>
    <t>6753332</t>
  </si>
  <si>
    <t xml:space="preserve">monocyte differentiation antigen CD14 precursor </t>
  </si>
  <si>
    <t>161353452</t>
  </si>
  <si>
    <t>CD151 antigen</t>
  </si>
  <si>
    <t>125987599</t>
  </si>
  <si>
    <t>CD2-associated protein</t>
  </si>
  <si>
    <t>17505208</t>
  </si>
  <si>
    <t>CD2 antigen cytoplasmic tail-binding protein 2</t>
  </si>
  <si>
    <t>295293144</t>
  </si>
  <si>
    <t xml:space="preserve">CD44 antigen isoform d precursor </t>
  </si>
  <si>
    <t>295293146</t>
  </si>
  <si>
    <t xml:space="preserve">CD44 antigen isoform e precursor </t>
  </si>
  <si>
    <t>295293148</t>
  </si>
  <si>
    <t xml:space="preserve">CD44 antigen isoform f precursor </t>
  </si>
  <si>
    <t>85540466</t>
  </si>
  <si>
    <t xml:space="preserve">CD44 antigen isoform b precursor </t>
  </si>
  <si>
    <t>85540468</t>
  </si>
  <si>
    <t xml:space="preserve">CD44 antigen isoform c precursor </t>
  </si>
  <si>
    <t>85540471</t>
  </si>
  <si>
    <t xml:space="preserve">CD44 antigen isoform a precursor </t>
  </si>
  <si>
    <t>6754382</t>
  </si>
  <si>
    <t xml:space="preserve">leukocyte surface antigen CD47 precursor </t>
  </si>
  <si>
    <t>6671714</t>
  </si>
  <si>
    <t xml:space="preserve">CD59A glycoprotein precursor </t>
  </si>
  <si>
    <t>6680888</t>
  </si>
  <si>
    <t>CD63 antigen</t>
  </si>
  <si>
    <t>19526794</t>
  </si>
  <si>
    <t>CD81 antigen</t>
  </si>
  <si>
    <t>6671718</t>
  </si>
  <si>
    <t>CD82 antigen</t>
  </si>
  <si>
    <t>6680894</t>
  </si>
  <si>
    <t>CD9 antigen</t>
  </si>
  <si>
    <t>58037289</t>
  </si>
  <si>
    <t>cytidine deaminase</t>
  </si>
  <si>
    <t>19527052</t>
  </si>
  <si>
    <t>cell division cycle protein 123 homolog</t>
  </si>
  <si>
    <t>68448515</t>
  </si>
  <si>
    <t>cell division cycle protein 16 homolog</t>
  </si>
  <si>
    <t>30387632</t>
  </si>
  <si>
    <t>cell division cycle protein 23 homolog</t>
  </si>
  <si>
    <t>12963487</t>
  </si>
  <si>
    <t>M-phase inducer phosphatase 2 isoform a</t>
  </si>
  <si>
    <t>161621261</t>
  </si>
  <si>
    <t>M-phase inducer phosphatase 2 isoform b</t>
  </si>
  <si>
    <t>21314828</t>
  </si>
  <si>
    <t>anaphase-promoting complex subunit CDC26</t>
  </si>
  <si>
    <t>29243988</t>
  </si>
  <si>
    <t>ubiquitin-conjugating enzyme E2 R1</t>
  </si>
  <si>
    <t>7949018</t>
  </si>
  <si>
    <t xml:space="preserve">hsp90 co-chaperone Cdc37 </t>
  </si>
  <si>
    <t>198278501</t>
  </si>
  <si>
    <t xml:space="preserve">pre-mRNA-processing factor 17 </t>
  </si>
  <si>
    <t>344313177</t>
  </si>
  <si>
    <t>cell division control protein 42 homolog isoform 2</t>
  </si>
  <si>
    <t>6753364</t>
  </si>
  <si>
    <t xml:space="preserve">cell division control protein 42 homolog isoform 1 precursor </t>
  </si>
  <si>
    <t>254692972</t>
  </si>
  <si>
    <t>serine/threonine-protein kinase MRCK alpha</t>
  </si>
  <si>
    <t>283135190</t>
  </si>
  <si>
    <t>serine/threonine-protein kinase MRCK beta</t>
  </si>
  <si>
    <t>254675191</t>
  </si>
  <si>
    <t>serine/threonine-protein kinase MRCK gamma</t>
  </si>
  <si>
    <t>9910142</t>
  </si>
  <si>
    <t>cdc42 effector protein 4</t>
  </si>
  <si>
    <t>10946838</t>
  </si>
  <si>
    <t>cdc42 effector protein 5</t>
  </si>
  <si>
    <t>84781706</t>
  </si>
  <si>
    <t xml:space="preserve">CDC42 small effector protein 1 isoform 2 </t>
  </si>
  <si>
    <t>22779899</t>
  </si>
  <si>
    <t xml:space="preserve">cell division cycle 5-like protein </t>
  </si>
  <si>
    <t>22122445</t>
  </si>
  <si>
    <t xml:space="preserve">parafibromin </t>
  </si>
  <si>
    <t>61098143</t>
  </si>
  <si>
    <t xml:space="preserve">CUB domain-containing protein 1 precursor </t>
  </si>
  <si>
    <t>6753374</t>
  </si>
  <si>
    <t>cadherin-1 precursor</t>
  </si>
  <si>
    <t>357933652</t>
  </si>
  <si>
    <t>cadherin-16 isoform 2 precursor</t>
  </si>
  <si>
    <t>357933654</t>
  </si>
  <si>
    <t>cadherin-16 isoform 3 precursor</t>
  </si>
  <si>
    <t>6680900</t>
  </si>
  <si>
    <t>cadherin-16 isoform 1 precursor</t>
  </si>
  <si>
    <t>124517680</t>
  </si>
  <si>
    <t>cadherin-23 isoform 1 precursor</t>
  </si>
  <si>
    <t>358001060</t>
  </si>
  <si>
    <t>cadherin-23 isoform 2 precursor</t>
  </si>
  <si>
    <t>45496816</t>
  </si>
  <si>
    <t>cadherin-3 isoform b precursor</t>
  </si>
  <si>
    <t>83715978</t>
  </si>
  <si>
    <t>cadherin-3 isoform a precursor</t>
  </si>
  <si>
    <t>28076897</t>
  </si>
  <si>
    <t>CDP-diacylglycerol--inositol 3-phosphatidyltransferase</t>
  </si>
  <si>
    <t>31542366</t>
  </si>
  <si>
    <t xml:space="preserve">cyclin-dependent kinase 1 </t>
  </si>
  <si>
    <t>33695123</t>
  </si>
  <si>
    <t xml:space="preserve">cyclin-dependent kinase 11B </t>
  </si>
  <si>
    <t>157816935</t>
  </si>
  <si>
    <t xml:space="preserve">cyclin-dependent kinase 12 isoform 1 </t>
  </si>
  <si>
    <t>157816961</t>
  </si>
  <si>
    <t xml:space="preserve">cyclin-dependent kinase 12 isoform 2 </t>
  </si>
  <si>
    <t>157824204</t>
  </si>
  <si>
    <t xml:space="preserve">cyclin-dependent kinase 12 isoform 3 </t>
  </si>
  <si>
    <t>124486698</t>
  </si>
  <si>
    <t xml:space="preserve">cyclin-dependent kinase 13 isoform 1 </t>
  </si>
  <si>
    <t>189409171</t>
  </si>
  <si>
    <t xml:space="preserve">cyclin-dependent kinase 13 isoform 2 </t>
  </si>
  <si>
    <t>161086911</t>
  </si>
  <si>
    <t xml:space="preserve">cyclin-dependent kinase 14 </t>
  </si>
  <si>
    <t>241666398</t>
  </si>
  <si>
    <t xml:space="preserve">cyclin-dependent kinase 15 </t>
  </si>
  <si>
    <t>7242173</t>
  </si>
  <si>
    <t xml:space="preserve">cyclin-dependent kinase 16 </t>
  </si>
  <si>
    <t>160333476</t>
  </si>
  <si>
    <t xml:space="preserve">cyclin-dependent kinase 17 </t>
  </si>
  <si>
    <t>6679233</t>
  </si>
  <si>
    <t xml:space="preserve">cyclin-dependent kinase 18 </t>
  </si>
  <si>
    <t>34556205</t>
  </si>
  <si>
    <t xml:space="preserve">cyclin-dependent kinase 2 isoform 1 </t>
  </si>
  <si>
    <t>7949020</t>
  </si>
  <si>
    <t xml:space="preserve">cyclin-dependent kinase 2 isoform 2 </t>
  </si>
  <si>
    <t>16716469</t>
  </si>
  <si>
    <t xml:space="preserve">cyclin-dependent kinase 20 </t>
  </si>
  <si>
    <t>6753380</t>
  </si>
  <si>
    <t xml:space="preserve">cyclin-dependent kinase 4 </t>
  </si>
  <si>
    <t>6680908</t>
  </si>
  <si>
    <t xml:space="preserve">cyclin-dependent kinase 5 </t>
  </si>
  <si>
    <t>50657347</t>
  </si>
  <si>
    <t xml:space="preserve">CDK5 regulatory subunit-associated protein 2 </t>
  </si>
  <si>
    <t>13384788</t>
  </si>
  <si>
    <t xml:space="preserve">CDK5 regulatory subunit-associated protein 3 </t>
  </si>
  <si>
    <t>14149637</t>
  </si>
  <si>
    <t xml:space="preserve">cyclin-dependent kinase 6 </t>
  </si>
  <si>
    <t>160333726</t>
  </si>
  <si>
    <t xml:space="preserve">cyclin-dependent kinase 7 </t>
  </si>
  <si>
    <t>18699998</t>
  </si>
  <si>
    <t xml:space="preserve">cyclin-dependent kinase 9 </t>
  </si>
  <si>
    <t>21617853</t>
  </si>
  <si>
    <t xml:space="preserve">threonylcarbamoyladenosine tRNA methylthiotransferase </t>
  </si>
  <si>
    <t>34304105</t>
  </si>
  <si>
    <t xml:space="preserve">cyclin-dependent kinase-like 1 </t>
  </si>
  <si>
    <t>31542372</t>
  </si>
  <si>
    <t>cyclin-dependent kinase inhibitor 1B</t>
  </si>
  <si>
    <t>6753390</t>
  </si>
  <si>
    <t>cyclin-dependent kinase inhibitor 2A, isoform 3 isoform 1</t>
  </si>
  <si>
    <t>27369527</t>
  </si>
  <si>
    <t>CDKN2A-interacting protein</t>
  </si>
  <si>
    <t>21313402</t>
  </si>
  <si>
    <t xml:space="preserve">CDKN2AIP N-terminal-like protein </t>
  </si>
  <si>
    <t>6671728</t>
  </si>
  <si>
    <t xml:space="preserve">cyclin-dependent kinase 4 inhibitor B </t>
  </si>
  <si>
    <t>6680910</t>
  </si>
  <si>
    <t xml:space="preserve">cyclin-dependent kinase 4 inhibitor C </t>
  </si>
  <si>
    <t>14719434</t>
  </si>
  <si>
    <t>cysteine dioxygenase type 1</t>
  </si>
  <si>
    <t>257467494</t>
  </si>
  <si>
    <t>cysteine-rich DPF motif domain-containing protein 1</t>
  </si>
  <si>
    <t>20149726</t>
  </si>
  <si>
    <t xml:space="preserve">phosphatidate cytidylyltransferase 2 </t>
  </si>
  <si>
    <t>31982546</t>
  </si>
  <si>
    <t>DNA replication factor Cdt1</t>
  </si>
  <si>
    <t>197313683</t>
  </si>
  <si>
    <t>protein CDV3 isoform c</t>
  </si>
  <si>
    <t>197313685</t>
  </si>
  <si>
    <t>protein CDV3 isoform d</t>
  </si>
  <si>
    <t>28202071</t>
  </si>
  <si>
    <t>protein CDV3 isoform a</t>
  </si>
  <si>
    <t>28461294</t>
  </si>
  <si>
    <t>protein CDV3 isoform b</t>
  </si>
  <si>
    <t>21450187</t>
  </si>
  <si>
    <t xml:space="preserve">cat eye syndrome critical region protein 5 homolog precursor </t>
  </si>
  <si>
    <t>349585220</t>
  </si>
  <si>
    <t xml:space="preserve">CUGBP Elav-like family member 1 isoform 2 </t>
  </si>
  <si>
    <t>38570086</t>
  </si>
  <si>
    <t xml:space="preserve">CUGBP Elav-like family member 1 isoform 1 </t>
  </si>
  <si>
    <t>124286791</t>
  </si>
  <si>
    <t xml:space="preserve">CUGBP Elav-like family member 2 isoform 6 </t>
  </si>
  <si>
    <t>159032033</t>
  </si>
  <si>
    <t xml:space="preserve">CUGBP Elav-like family member 2 isoform 2 </t>
  </si>
  <si>
    <t>159032035</t>
  </si>
  <si>
    <t xml:space="preserve">CUGBP Elav-like family member 2 isoform 3 </t>
  </si>
  <si>
    <t>159032037</t>
  </si>
  <si>
    <t xml:space="preserve">CUGBP Elav-like family member 2 isoform 4 </t>
  </si>
  <si>
    <t>159032039</t>
  </si>
  <si>
    <t xml:space="preserve">CUGBP Elav-like family member 2 isoform 5 </t>
  </si>
  <si>
    <t>237757269</t>
  </si>
  <si>
    <t xml:space="preserve">CUGBP Elav-like family member 2 isoform 7 </t>
  </si>
  <si>
    <t>237757271;159032031</t>
  </si>
  <si>
    <t xml:space="preserve">CUGBP Elav-like family member 2 isoform 1 </t>
  </si>
  <si>
    <t>114050895</t>
  </si>
  <si>
    <t>cadherin EGF LAG seven-pass G-type receptor 2 isoform 1 precursor</t>
  </si>
  <si>
    <t>114050897</t>
  </si>
  <si>
    <t>cadherin EGF LAG seven-pass G-type receptor 2 isoform 2 precursor</t>
  </si>
  <si>
    <t>115648101</t>
  </si>
  <si>
    <t xml:space="preserve">centromere-associated protein E </t>
  </si>
  <si>
    <t>11230784</t>
  </si>
  <si>
    <t xml:space="preserve">centromere protein H </t>
  </si>
  <si>
    <t>122939139</t>
  </si>
  <si>
    <t xml:space="preserve">centromere protein M isoform 3 </t>
  </si>
  <si>
    <t>13385104</t>
  </si>
  <si>
    <t xml:space="preserve">centromere protein M isoform 1 </t>
  </si>
  <si>
    <t>189458800</t>
  </si>
  <si>
    <t xml:space="preserve">centrosome-associated protein CEP250 isoform 1 </t>
  </si>
  <si>
    <t>194018503</t>
  </si>
  <si>
    <t xml:space="preserve">centrosome-associated protein CEP250 isoform 3 </t>
  </si>
  <si>
    <t>194097345</t>
  </si>
  <si>
    <t xml:space="preserve">centrosome-associated protein CEP250 isoform 2 </t>
  </si>
  <si>
    <t>163965444</t>
  </si>
  <si>
    <t xml:space="preserve">centrosomal protein of 290 kDa </t>
  </si>
  <si>
    <t>255982600</t>
  </si>
  <si>
    <t xml:space="preserve">centrosome-associated protein 350 </t>
  </si>
  <si>
    <t>14030773</t>
  </si>
  <si>
    <t xml:space="preserve">centrosomal protein of 41 kDa </t>
  </si>
  <si>
    <t>256355030</t>
  </si>
  <si>
    <t xml:space="preserve">centrosomal protein of 55 kDa isoform 2 </t>
  </si>
  <si>
    <t>256355032</t>
  </si>
  <si>
    <t xml:space="preserve">centrosomal protein of 55 kDa isoform 1 </t>
  </si>
  <si>
    <t>262331530</t>
  </si>
  <si>
    <t xml:space="preserve">centrosomal protein of 95 kDa isoform 1 </t>
  </si>
  <si>
    <t>262331533</t>
  </si>
  <si>
    <t xml:space="preserve">centrosomal protein of 95 kDa isoform 2 </t>
  </si>
  <si>
    <t>21312662</t>
  </si>
  <si>
    <t xml:space="preserve">centrosomal protein of 97 kDa isoform 1 </t>
  </si>
  <si>
    <t>31559983</t>
  </si>
  <si>
    <t>choline/ethanolaminephosphotransferase 1</t>
  </si>
  <si>
    <t>22095015</t>
  </si>
  <si>
    <t xml:space="preserve">ceramide synthase 2 </t>
  </si>
  <si>
    <t>117553604</t>
  </si>
  <si>
    <t xml:space="preserve">carboxylesterase 1D precursor </t>
  </si>
  <si>
    <t>76253942</t>
  </si>
  <si>
    <t xml:space="preserve">centrin-1 </t>
  </si>
  <si>
    <t>10257421</t>
  </si>
  <si>
    <t xml:space="preserve">centrin-2 </t>
  </si>
  <si>
    <t>6680922</t>
  </si>
  <si>
    <t xml:space="preserve">centrin-3 </t>
  </si>
  <si>
    <t>6753412</t>
  </si>
  <si>
    <t>craniofacial development protein 1</t>
  </si>
  <si>
    <t>6680924</t>
  </si>
  <si>
    <t xml:space="preserve">cofilin-1 </t>
  </si>
  <si>
    <t>6671746</t>
  </si>
  <si>
    <t xml:space="preserve">cofilin-2 </t>
  </si>
  <si>
    <t>46559393</t>
  </si>
  <si>
    <t xml:space="preserve">CASP8 and FADD-like apoptosis regulator isoform 1 </t>
  </si>
  <si>
    <t>86198303</t>
  </si>
  <si>
    <t xml:space="preserve">CASP8 and FADD-like apoptosis regulator isoform 2 </t>
  </si>
  <si>
    <t>14141185</t>
  </si>
  <si>
    <t xml:space="preserve">cystic fibrosis transmembrane conductance regulator </t>
  </si>
  <si>
    <t>30520001</t>
  </si>
  <si>
    <t xml:space="preserve">CGG triplet repeat-binding protein 1 </t>
  </si>
  <si>
    <t>189458807</t>
  </si>
  <si>
    <t xml:space="preserve">cingulin </t>
  </si>
  <si>
    <t>13386024</t>
  </si>
  <si>
    <t xml:space="preserve">cation transport regulator-like protein 2 </t>
  </si>
  <si>
    <t>7304957</t>
  </si>
  <si>
    <t>chromatin assembly factor 1 subunit A</t>
  </si>
  <si>
    <t>21312470</t>
  </si>
  <si>
    <t>chromatin assembly factor 1 subunit B</t>
  </si>
  <si>
    <t>32469497</t>
  </si>
  <si>
    <t>chromosome alignment-maintaining phosphoprotein 1</t>
  </si>
  <si>
    <t>13384734</t>
  </si>
  <si>
    <t>coiled-coil-helix-coiled-coil-helix domain-containing protein 1</t>
  </si>
  <si>
    <t>18079334</t>
  </si>
  <si>
    <t>coiled-coil-helix-coiled-coil-helix domain-containing protein 2, mitochondrial precursor</t>
  </si>
  <si>
    <t>21313618</t>
  </si>
  <si>
    <t>coiled-coil-helix-coiled-coil-helix domain-containing protein 3, mitochondrial precursor</t>
  </si>
  <si>
    <t>19527144</t>
  </si>
  <si>
    <t>mitochondrial intermembrane space import and assembly protein 40</t>
  </si>
  <si>
    <t>28076873</t>
  </si>
  <si>
    <t>coiled-coil-helix-coiled-coil-helix domain-containing protein 5</t>
  </si>
  <si>
    <t>267844804</t>
  </si>
  <si>
    <t xml:space="preserve">coiled-coil-helix-coiled-coil-helix domain-containing protein 6, mitochondrial isoform 1 </t>
  </si>
  <si>
    <t>267844806</t>
  </si>
  <si>
    <t xml:space="preserve">coiled-coil-helix-coiled-coil-helix domain-containing protein 6, mitochondrial isoform 2 </t>
  </si>
  <si>
    <t>298358505;298358513</t>
  </si>
  <si>
    <t>coiled-coil-helix-coiled-coil-helix domain-containing protein 7</t>
  </si>
  <si>
    <t>357527416</t>
  </si>
  <si>
    <t>chromodomain helicase DNA binding protein 3</t>
  </si>
  <si>
    <t>39204553</t>
  </si>
  <si>
    <t xml:space="preserve">chromodomain-helicase-DNA-binding protein 4 </t>
  </si>
  <si>
    <t>124487025</t>
  </si>
  <si>
    <t>chromodomain helicase DNA binding protein 5 isoform 1</t>
  </si>
  <si>
    <t>189458814</t>
  </si>
  <si>
    <t>chromodomain helicase DNA binding protein 5 isoform 2</t>
  </si>
  <si>
    <t>30425036</t>
  </si>
  <si>
    <t xml:space="preserve">choline dehydrogenase, mitochondrial </t>
  </si>
  <si>
    <t>31542385</t>
  </si>
  <si>
    <t xml:space="preserve">serine/threonine-protein kinase Chk1 </t>
  </si>
  <si>
    <t>119672912</t>
  </si>
  <si>
    <t xml:space="preserve">calcium homeostasis endoplasmic reticulum protein </t>
  </si>
  <si>
    <t>218083710</t>
  </si>
  <si>
    <t xml:space="preserve">chitinase domain-containing protein 1 isoform 1 precursor </t>
  </si>
  <si>
    <t>31541939</t>
  </si>
  <si>
    <t xml:space="preserve">chitinase domain-containing protein 1 isoform 2 precursor </t>
  </si>
  <si>
    <t>407970974</t>
  </si>
  <si>
    <t xml:space="preserve">choline kinase alpha isoform 3 </t>
  </si>
  <si>
    <t>70908364</t>
  </si>
  <si>
    <t xml:space="preserve">choline kinase alpha isoform 1 </t>
  </si>
  <si>
    <t>6671748</t>
  </si>
  <si>
    <t>choline/ethanolamine kinase</t>
  </si>
  <si>
    <t>110681714</t>
  </si>
  <si>
    <t>rab proteins geranylgeranyltransferase component A 1</t>
  </si>
  <si>
    <t>377834613</t>
  </si>
  <si>
    <t xml:space="preserve">PREDICTED: rab proteins geranylgeranyltransferase component A 1 </t>
  </si>
  <si>
    <t>21704220</t>
  </si>
  <si>
    <t xml:space="preserve">charged multivesicular body protein 1a </t>
  </si>
  <si>
    <t>21312151</t>
  </si>
  <si>
    <t xml:space="preserve">charged multivesicular body protein 2a </t>
  </si>
  <si>
    <t>30794432</t>
  </si>
  <si>
    <t xml:space="preserve">charged multivesicular body protein 2b </t>
  </si>
  <si>
    <t>31541959</t>
  </si>
  <si>
    <t xml:space="preserve">charged multivesicular body protein 3 </t>
  </si>
  <si>
    <t>28077049</t>
  </si>
  <si>
    <t xml:space="preserve">charged multivesicular body protein 4b </t>
  </si>
  <si>
    <t>13386442</t>
  </si>
  <si>
    <t xml:space="preserve">charged multivesicular body protein 5 </t>
  </si>
  <si>
    <t>147904547</t>
  </si>
  <si>
    <t xml:space="preserve">charged multivesicular body protein 6 </t>
  </si>
  <si>
    <t>13385324</t>
  </si>
  <si>
    <t>cysteine and histidine-rich domain-containing protein 1</t>
  </si>
  <si>
    <t>9790225</t>
  </si>
  <si>
    <t xml:space="preserve">calcineurin B homologous protein 1 </t>
  </si>
  <si>
    <t>226442811</t>
  </si>
  <si>
    <t>cholinephosphotransferase 1 isoform 2</t>
  </si>
  <si>
    <t>226442815</t>
  </si>
  <si>
    <t>cholinephosphotransferase 1 isoform 1</t>
  </si>
  <si>
    <t>6752950</t>
  </si>
  <si>
    <t xml:space="preserve">acetylcholine receptor subunit epsilon precursor </t>
  </si>
  <si>
    <t>157951666</t>
  </si>
  <si>
    <t>chromosome transmission fidelity protein 18 homolog</t>
  </si>
  <si>
    <t>84000434</t>
  </si>
  <si>
    <t>chromosome transmission fidelity protein 8 homolog</t>
  </si>
  <si>
    <t>31981251</t>
  </si>
  <si>
    <t xml:space="preserve">chromatin target of PRMT1 protein </t>
  </si>
  <si>
    <t>124249115</t>
  </si>
  <si>
    <t>protein Churchill</t>
  </si>
  <si>
    <t>31542399</t>
  </si>
  <si>
    <t xml:space="preserve">probable cytosolic iron-sulfur protein assembly protein CIAO1 </t>
  </si>
  <si>
    <t>19527376</t>
  </si>
  <si>
    <t xml:space="preserve">anamorsin </t>
  </si>
  <si>
    <t>6680946</t>
  </si>
  <si>
    <t xml:space="preserve">cold-inducible RNA-binding protein </t>
  </si>
  <si>
    <t>19527228</t>
  </si>
  <si>
    <t xml:space="preserve">CDGSH iron-sulfur domain-containing protein 1 </t>
  </si>
  <si>
    <t>21728370</t>
  </si>
  <si>
    <t xml:space="preserve">CDGSH iron-sulfur domain-containing protein 2 </t>
  </si>
  <si>
    <t>168229148</t>
  </si>
  <si>
    <t xml:space="preserve">CDGSH iron-sulfur domain-containing protein 3, mitochondrial precursor </t>
  </si>
  <si>
    <t>62526118</t>
  </si>
  <si>
    <t xml:space="preserve">cytoskeleton-associated protein 4 </t>
  </si>
  <si>
    <t>260166719</t>
  </si>
  <si>
    <t xml:space="preserve">cytoskeleton-associated protein 5 isoform 2 </t>
  </si>
  <si>
    <t>260166721</t>
  </si>
  <si>
    <t xml:space="preserve">cytoskeleton-associated protein 5 isoform 1 </t>
  </si>
  <si>
    <t>6753428</t>
  </si>
  <si>
    <t xml:space="preserve">creatine kinase U-type, mitochondrial precursor </t>
  </si>
  <si>
    <t>38259206</t>
  </si>
  <si>
    <t xml:space="preserve">creatine kinase S-type, mitochondrial precursor </t>
  </si>
  <si>
    <t>8393135</t>
  </si>
  <si>
    <t xml:space="preserve">cyclin-dependent kinases regulatory subunit 1 </t>
  </si>
  <si>
    <t>13384804</t>
  </si>
  <si>
    <t xml:space="preserve">cyclin-dependent kinases regulatory subunit 2 </t>
  </si>
  <si>
    <t>124486879</t>
  </si>
  <si>
    <t xml:space="preserve">CLIP-associating protein 1 isoform 1 </t>
  </si>
  <si>
    <t>163644247</t>
  </si>
  <si>
    <t xml:space="preserve">CLIP-associating protein 1 isoform 3 </t>
  </si>
  <si>
    <t>163644249</t>
  </si>
  <si>
    <t xml:space="preserve">CLIP-associating protein 1 isoform 2 </t>
  </si>
  <si>
    <t>295293088</t>
  </si>
  <si>
    <t>chloride channel CLIC-like protein 1 isoform 1 precursor</t>
  </si>
  <si>
    <t>295293090;21704070</t>
  </si>
  <si>
    <t>chloride channel CLIC-like protein 1 isoform 2 precursor</t>
  </si>
  <si>
    <t>189458826</t>
  </si>
  <si>
    <t>H(+)/Cl(-) exchange transporter 3 isoform e</t>
  </si>
  <si>
    <t>189458829</t>
  </si>
  <si>
    <t>H(+)/Cl(-) exchange transporter 3 isoform b</t>
  </si>
  <si>
    <t>41281837</t>
  </si>
  <si>
    <t>H(+)/Cl(-) exchange transporter 3 isoform c</t>
  </si>
  <si>
    <t>6680948</t>
  </si>
  <si>
    <t>H(+)/Cl(-) exchange transporter 3 isoform a</t>
  </si>
  <si>
    <t>110625940</t>
  </si>
  <si>
    <t>H(+)/Cl(-) exchange transporter 4</t>
  </si>
  <si>
    <t>261823931</t>
  </si>
  <si>
    <t>H(+)/Cl(-) exchange transporter 5 isoform 1</t>
  </si>
  <si>
    <t>344313157</t>
  </si>
  <si>
    <t>H(+)/Cl(-) exchange transporter 5 isoform 2</t>
  </si>
  <si>
    <t>6753436</t>
  </si>
  <si>
    <t>H(+)/Cl(-) exchange transporter 7</t>
  </si>
  <si>
    <t>7710002</t>
  </si>
  <si>
    <t xml:space="preserve">claudin-1 </t>
  </si>
  <si>
    <t>25188197</t>
  </si>
  <si>
    <t>claudin domain-containing protein 1 isoform 1</t>
  </si>
  <si>
    <t>356991139</t>
  </si>
  <si>
    <t>claudin domain-containing protein 1 isoform 3</t>
  </si>
  <si>
    <t>356995848</t>
  </si>
  <si>
    <t>claudin domain-containing protein 1 isoform 2</t>
  </si>
  <si>
    <t>6753438</t>
  </si>
  <si>
    <t xml:space="preserve">claudin-3 </t>
  </si>
  <si>
    <t>6753440</t>
  </si>
  <si>
    <t xml:space="preserve">claudin-4 </t>
  </si>
  <si>
    <t>9055190</t>
  </si>
  <si>
    <t>claudin-6 precursor</t>
  </si>
  <si>
    <t>302318906;8393144</t>
  </si>
  <si>
    <t xml:space="preserve">claudin-7 </t>
  </si>
  <si>
    <t>8393144</t>
  </si>
  <si>
    <t>claudin-7 precursor</t>
  </si>
  <si>
    <t>9055192</t>
  </si>
  <si>
    <t xml:space="preserve">claudin-8 </t>
  </si>
  <si>
    <t>61098102</t>
  </si>
  <si>
    <t xml:space="preserve">claudin-9 </t>
  </si>
  <si>
    <t>323668269</t>
  </si>
  <si>
    <t>protein CLEC16A isoform 2</t>
  </si>
  <si>
    <t>61656175</t>
  </si>
  <si>
    <t>protein CLEC16A isoform 1</t>
  </si>
  <si>
    <t>15617203</t>
  </si>
  <si>
    <t xml:space="preserve">chloride intracellular channel protein 1 </t>
  </si>
  <si>
    <t>27229085</t>
  </si>
  <si>
    <t xml:space="preserve">chloride intracellular channel protein 3 </t>
  </si>
  <si>
    <t>7304963</t>
  </si>
  <si>
    <t xml:space="preserve">chloride intracellular channel protein 4 </t>
  </si>
  <si>
    <t>27369886</t>
  </si>
  <si>
    <t xml:space="preserve">chloride intracellular channel protein 5 </t>
  </si>
  <si>
    <t>154240730</t>
  </si>
  <si>
    <t xml:space="preserve">clathrin interactor 1 </t>
  </si>
  <si>
    <t>23821025</t>
  </si>
  <si>
    <t xml:space="preserve">CAP-Gly domain-containing linker protein 1 </t>
  </si>
  <si>
    <t>85662406</t>
  </si>
  <si>
    <t xml:space="preserve">CAP-Gly domain-containing linker protein 2 isoform b </t>
  </si>
  <si>
    <t>85662410</t>
  </si>
  <si>
    <t xml:space="preserve">CAP-Gly domain-containing linker protein 2 isoform a </t>
  </si>
  <si>
    <t>100816764</t>
  </si>
  <si>
    <t xml:space="preserve">calmin isoform a </t>
  </si>
  <si>
    <t>100816903</t>
  </si>
  <si>
    <t xml:space="preserve">calmin isoform b </t>
  </si>
  <si>
    <t>226423881</t>
  </si>
  <si>
    <t xml:space="preserve">battenin </t>
  </si>
  <si>
    <t>112734833</t>
  </si>
  <si>
    <t>ceroid-lipofuscinosis neuronal protein 5 homolog precursor</t>
  </si>
  <si>
    <t>75677520</t>
  </si>
  <si>
    <t xml:space="preserve">ceroid-lipofuscinosis, neuronal 6 </t>
  </si>
  <si>
    <t>19263324</t>
  </si>
  <si>
    <t xml:space="preserve">methylosome subunit pICln </t>
  </si>
  <si>
    <t>19527056</t>
  </si>
  <si>
    <t xml:space="preserve">polyribonucleotide 5'-hydroxyl-kinase Clp1 </t>
  </si>
  <si>
    <t>6677983</t>
  </si>
  <si>
    <t xml:space="preserve">caseinolytic peptidase B protein homolog </t>
  </si>
  <si>
    <t>8393156</t>
  </si>
  <si>
    <t>putative ATP-dependent Clp protease proteolytic subunit, mitochondrial precursor</t>
  </si>
  <si>
    <t>103472025</t>
  </si>
  <si>
    <t>cleft lip and palate transmembrane protein 1 homolog</t>
  </si>
  <si>
    <t>326937503</t>
  </si>
  <si>
    <t>cleft lip and palate transmembrane protein 1-like protein</t>
  </si>
  <si>
    <t>113205069</t>
  </si>
  <si>
    <t xml:space="preserve">ATP-dependent Clp protease ATP-binding subunit clpX-like, mitochondrial isoform 2 </t>
  </si>
  <si>
    <t>113205071</t>
  </si>
  <si>
    <t xml:space="preserve">ATP-dependent Clp protease ATP-binding subunit clpX-like, mitochondrial isoform 1 </t>
  </si>
  <si>
    <t>122939192</t>
  </si>
  <si>
    <t>clathrin light chain A isoform a</t>
  </si>
  <si>
    <t>122939194</t>
  </si>
  <si>
    <t>clathrin light chain A isoform b</t>
  </si>
  <si>
    <t>122939196</t>
  </si>
  <si>
    <t>clathrin light chain A isoform d</t>
  </si>
  <si>
    <t>122939198</t>
  </si>
  <si>
    <t>clathrin light chain A isoform c</t>
  </si>
  <si>
    <t>30794164</t>
  </si>
  <si>
    <t>clathrin light chain B</t>
  </si>
  <si>
    <t>51491845</t>
  </si>
  <si>
    <t>clathrin heavy chain 1</t>
  </si>
  <si>
    <t>214010170</t>
  </si>
  <si>
    <t>clusterin precursor</t>
  </si>
  <si>
    <t>39930457</t>
  </si>
  <si>
    <t xml:space="preserve">clusterin-associated protein 1 </t>
  </si>
  <si>
    <t>124487201</t>
  </si>
  <si>
    <t>clustered mitochondria protein homolog</t>
  </si>
  <si>
    <t>256220113</t>
  </si>
  <si>
    <t xml:space="preserve">citrate lyase subunit beta-like protein, mitochondrial precursor </t>
  </si>
  <si>
    <t>247269309</t>
  </si>
  <si>
    <t>N-acylneuraminate cytidylyltransferase</t>
  </si>
  <si>
    <t>21735441</t>
  </si>
  <si>
    <t xml:space="preserve">COX assembly mitochondrial protein homolog </t>
  </si>
  <si>
    <t>33457314</t>
  </si>
  <si>
    <t>COX assembly mitochondrial protein 2 homolog</t>
  </si>
  <si>
    <t>165377065</t>
  </si>
  <si>
    <t>UMP-CMP kinase</t>
  </si>
  <si>
    <t>165932364</t>
  </si>
  <si>
    <t>protein CMSS1</t>
  </si>
  <si>
    <t>27312023</t>
  </si>
  <si>
    <t>CKLF-like MARVEL transmembrane domain-containing protein 4</t>
  </si>
  <si>
    <t>19527198</t>
  </si>
  <si>
    <t>CKLF-like MARVEL transmembrane domain-containing protein 7 isoform 1</t>
  </si>
  <si>
    <t>357197168</t>
  </si>
  <si>
    <t>CKLF-like MARVEL transmembrane domain-containing protein 7 isoform 2</t>
  </si>
  <si>
    <t>21311939</t>
  </si>
  <si>
    <t>cap-specific mRNA (nucleoside-2'-O-)-methyltransferase 1</t>
  </si>
  <si>
    <t>157909782</t>
  </si>
  <si>
    <t>cellular nucleic acid-binding protein isoform 2</t>
  </si>
  <si>
    <t>157909784</t>
  </si>
  <si>
    <t>cellular nucleic acid-binding protein isoform 3</t>
  </si>
  <si>
    <t>7304969</t>
  </si>
  <si>
    <t>cellular nucleic acid-binding protein isoform 1</t>
  </si>
  <si>
    <t>31981273</t>
  </si>
  <si>
    <t xml:space="preserve">cytosolic non-specific dipeptidase </t>
  </si>
  <si>
    <t>68131553</t>
  </si>
  <si>
    <t>protein cornichon homolog 4</t>
  </si>
  <si>
    <t>27369772</t>
  </si>
  <si>
    <t>connector enhancer of kinase suppressor of ras 3</t>
  </si>
  <si>
    <t>6680952</t>
  </si>
  <si>
    <t xml:space="preserve">calponin-2 </t>
  </si>
  <si>
    <t>21312564</t>
  </si>
  <si>
    <t xml:space="preserve">calponin-3 </t>
  </si>
  <si>
    <t>156447046</t>
  </si>
  <si>
    <t xml:space="preserve">metal transporter CNNM2 isoform a </t>
  </si>
  <si>
    <t>156447048</t>
  </si>
  <si>
    <t xml:space="preserve">metal transporter CNNM2 isoform b </t>
  </si>
  <si>
    <t>88196782</t>
  </si>
  <si>
    <t>metal transporter CNNM3 isoform 1 precursor</t>
  </si>
  <si>
    <t>88196784</t>
  </si>
  <si>
    <t>metal transporter CNNM3 isoform 2 precursor</t>
  </si>
  <si>
    <t>189458844</t>
  </si>
  <si>
    <t xml:space="preserve">CCR4-NOT transcription complex subunit 1 isoform 2 </t>
  </si>
  <si>
    <t>327315389</t>
  </si>
  <si>
    <t xml:space="preserve">CCR4-NOT transcription complex subunit 1 isoform 1 </t>
  </si>
  <si>
    <t>327315392</t>
  </si>
  <si>
    <t xml:space="preserve">CCR4-NOT transcription complex subunit 1 isoform 3 </t>
  </si>
  <si>
    <t>31324571</t>
  </si>
  <si>
    <t xml:space="preserve">CCR4-NOT transcription complex subunit 10 </t>
  </si>
  <si>
    <t>26553441</t>
  </si>
  <si>
    <t xml:space="preserve">CCR4-NOT transcription complex subunit 11 </t>
  </si>
  <si>
    <t>210147539</t>
  </si>
  <si>
    <t xml:space="preserve">CCR4-NOT transcription complex subunit 2 isoform d </t>
  </si>
  <si>
    <t>210147541</t>
  </si>
  <si>
    <t xml:space="preserve">CCR4-NOT transcription complex subunit 2 isoform b </t>
  </si>
  <si>
    <t>211065515</t>
  </si>
  <si>
    <t xml:space="preserve">CCR4-NOT transcription complex subunit 2 isoform a </t>
  </si>
  <si>
    <t>22122717</t>
  </si>
  <si>
    <t xml:space="preserve">CCR4-NOT transcription complex subunit 3 </t>
  </si>
  <si>
    <t>47059015</t>
  </si>
  <si>
    <t xml:space="preserve">CCR4-NOT transcription complex subunit 6 </t>
  </si>
  <si>
    <t>121674807</t>
  </si>
  <si>
    <t xml:space="preserve">CCR4-NOT transcription complex subunit 6-like isoform 2 </t>
  </si>
  <si>
    <t>21450299</t>
  </si>
  <si>
    <t xml:space="preserve">CCR4-NOT transcription complex subunit 6-like isoform 1 </t>
  </si>
  <si>
    <t>408968125</t>
  </si>
  <si>
    <t xml:space="preserve">CCR4-NOT transcription complex subunit 7 isoform 2 </t>
  </si>
  <si>
    <t>6755126</t>
  </si>
  <si>
    <t xml:space="preserve">CCR4-NOT transcription complex subunit 7 isoform 1 </t>
  </si>
  <si>
    <t>13386186</t>
  </si>
  <si>
    <t xml:space="preserve">CCR4-NOT transcription complex subunit 8 </t>
  </si>
  <si>
    <t>226423907</t>
  </si>
  <si>
    <t>2',3'-cyclic-nucleotide 3'-phosphodiesterase isoform 2</t>
  </si>
  <si>
    <t>226423909</t>
  </si>
  <si>
    <t>2',3'-cyclic-nucleotide 3'-phosphodiesterase isoform 1</t>
  </si>
  <si>
    <t>9903607</t>
  </si>
  <si>
    <t xml:space="preserve">protein canopy homolog 2 precursor </t>
  </si>
  <si>
    <t>21312510</t>
  </si>
  <si>
    <t xml:space="preserve">protein canopy homolog 3 precursor </t>
  </si>
  <si>
    <t>30519939</t>
  </si>
  <si>
    <t xml:space="preserve">protein canopy homolog 4 precursor </t>
  </si>
  <si>
    <t>21311867</t>
  </si>
  <si>
    <t>cytochrome C oxidase assembly factor 3 homolog, mitochondrial</t>
  </si>
  <si>
    <t>30424683</t>
  </si>
  <si>
    <t xml:space="preserve">cytochrome c oxidase assembly factor 6 homolog </t>
  </si>
  <si>
    <t>27229125</t>
  </si>
  <si>
    <t xml:space="preserve">bifunctional coenzyme A synthase precursor </t>
  </si>
  <si>
    <t>162135966</t>
  </si>
  <si>
    <t>protein cordon-bleu</t>
  </si>
  <si>
    <t>189458847</t>
  </si>
  <si>
    <t xml:space="preserve">cordon-bleu protein-like 1 isoform 2 </t>
  </si>
  <si>
    <t>32441279</t>
  </si>
  <si>
    <t xml:space="preserve">cordon-bleu protein-like 1 isoform 1 </t>
  </si>
  <si>
    <t>159110754</t>
  </si>
  <si>
    <t>conserved oligomeric Golgi complex subunit 1</t>
  </si>
  <si>
    <t>256985208</t>
  </si>
  <si>
    <t>conserved oligomeric Golgi complex subunit 2</t>
  </si>
  <si>
    <t>119392070</t>
  </si>
  <si>
    <t>conserved oligomeric Golgi complex subunit 3</t>
  </si>
  <si>
    <t>19527194</t>
  </si>
  <si>
    <t>conserved oligomeric Golgi complex subunit 4</t>
  </si>
  <si>
    <t>253314464</t>
  </si>
  <si>
    <t>conserved oligomeric Golgi complex subunit 5</t>
  </si>
  <si>
    <t>160333744</t>
  </si>
  <si>
    <t>conserved oligomeric Golgi complex subunit 6</t>
  </si>
  <si>
    <t>110625631</t>
  </si>
  <si>
    <t>conserved oligomeric Golgi complex subunit 7</t>
  </si>
  <si>
    <t>66392581</t>
  </si>
  <si>
    <t>conserved oligomeric Golgi complex subunit 8</t>
  </si>
  <si>
    <t>134053929</t>
  </si>
  <si>
    <t xml:space="preserve">coilin </t>
  </si>
  <si>
    <t>158508560</t>
  </si>
  <si>
    <t>collagen alpha-1(XVIII) chain isoform 1 precursor</t>
  </si>
  <si>
    <t>40789282</t>
  </si>
  <si>
    <t>collagen alpha-1(XVIII) chain isoform 2 precursor</t>
  </si>
  <si>
    <t>12963671</t>
  </si>
  <si>
    <t xml:space="preserve">collagen type IV alpha-3-binding protein isoform 1 </t>
  </si>
  <si>
    <t>255982524</t>
  </si>
  <si>
    <t xml:space="preserve">collagen type IV alpha-3-binding protein isoform 2 </t>
  </si>
  <si>
    <t>84452161</t>
  </si>
  <si>
    <t>COMM domain-containing protein 1</t>
  </si>
  <si>
    <t>30410016</t>
  </si>
  <si>
    <t>COMM domain-containing protein 10</t>
  </si>
  <si>
    <t>110626003</t>
  </si>
  <si>
    <t>COMM domain-containing protein 2</t>
  </si>
  <si>
    <t>22296603</t>
  </si>
  <si>
    <t>COMM domain-containing protein 3</t>
  </si>
  <si>
    <t>13384806</t>
  </si>
  <si>
    <t>COMM domain-containing protein 4</t>
  </si>
  <si>
    <t>21313478</t>
  </si>
  <si>
    <t>COMM domain-containing protein 5</t>
  </si>
  <si>
    <t>274319665</t>
  </si>
  <si>
    <t>COMM domain-containing protein 6 isoform 2</t>
  </si>
  <si>
    <t>84370278</t>
  </si>
  <si>
    <t>COMM domain-containing protein 6 isoform 1</t>
  </si>
  <si>
    <t>306035198</t>
  </si>
  <si>
    <t>COMM domain-containing protein 7 isoform 1</t>
  </si>
  <si>
    <t>306035200</t>
  </si>
  <si>
    <t>COMM domain-containing protein 7 isoform 2</t>
  </si>
  <si>
    <t>21313224</t>
  </si>
  <si>
    <t>COMM domain-containing protein 9</t>
  </si>
  <si>
    <t>161484634</t>
  </si>
  <si>
    <t>catechol O-methyltransferase</t>
  </si>
  <si>
    <t>33468999</t>
  </si>
  <si>
    <t xml:space="preserve">catechol O-methyltransferase domain-containing protein 1 </t>
  </si>
  <si>
    <t>226823359</t>
  </si>
  <si>
    <t xml:space="preserve">coatomer subunit alpha </t>
  </si>
  <si>
    <t>15426055</t>
  </si>
  <si>
    <t xml:space="preserve">coatomer subunit beta </t>
  </si>
  <si>
    <t>29789080</t>
  </si>
  <si>
    <t xml:space="preserve">coatomer subunit beta' </t>
  </si>
  <si>
    <t>10946972</t>
  </si>
  <si>
    <t xml:space="preserve">coatomer subunit epsilon </t>
  </si>
  <si>
    <t>47059163</t>
  </si>
  <si>
    <t xml:space="preserve">coatomer subunit gamma-1 isoform 2 </t>
  </si>
  <si>
    <t>8567338</t>
  </si>
  <si>
    <t xml:space="preserve">coatomer subunit gamma-1 isoform 1 </t>
  </si>
  <si>
    <t>8567340</t>
  </si>
  <si>
    <t xml:space="preserve">coatomer subunit gamma-2 </t>
  </si>
  <si>
    <t>70909327</t>
  </si>
  <si>
    <t xml:space="preserve">COP9 signalosome complex subunit 2 </t>
  </si>
  <si>
    <t>6753488</t>
  </si>
  <si>
    <t xml:space="preserve">COP9 signalosome complex subunit 3 </t>
  </si>
  <si>
    <t>6753490</t>
  </si>
  <si>
    <t xml:space="preserve">COP9 signalosome complex subunit 4 </t>
  </si>
  <si>
    <t>459447369</t>
  </si>
  <si>
    <t xml:space="preserve">COP9 signalosome complex subunit 5 isoform 2 </t>
  </si>
  <si>
    <t>7304971</t>
  </si>
  <si>
    <t xml:space="preserve">COP9 signalosome complex subunit 5 isoform 1 </t>
  </si>
  <si>
    <t>33563284</t>
  </si>
  <si>
    <t xml:space="preserve">COP9 signalosome complex subunit 6 </t>
  </si>
  <si>
    <t>255760052</t>
  </si>
  <si>
    <t xml:space="preserve">COP9 signalosome complex subunit 7a isoform 2 </t>
  </si>
  <si>
    <t>7242142</t>
  </si>
  <si>
    <t xml:space="preserve">COP9 signalosome complex subunit 7a isoform 1 </t>
  </si>
  <si>
    <t>27764886</t>
  </si>
  <si>
    <t xml:space="preserve">COP9 signalosome complex subunit 7b </t>
  </si>
  <si>
    <t>114158691</t>
  </si>
  <si>
    <t xml:space="preserve">COP9 signalosome complex subunit 8 </t>
  </si>
  <si>
    <t>9789913</t>
  </si>
  <si>
    <t xml:space="preserve">coatomer subunit zeta-1 </t>
  </si>
  <si>
    <t>9845242</t>
  </si>
  <si>
    <t xml:space="preserve">coatomer subunit zeta-2 </t>
  </si>
  <si>
    <t>27369992</t>
  </si>
  <si>
    <t xml:space="preserve">hexaprenyldihydroxybenzoate methyltransferase, mitochondrial </t>
  </si>
  <si>
    <t>30520093</t>
  </si>
  <si>
    <t xml:space="preserve">ubiquinone biosynthesis protein COQ4 homolog, mitochondrial precursor </t>
  </si>
  <si>
    <t>13385992</t>
  </si>
  <si>
    <t>2-methoxy-6-polyprenyl-1,4-benzoquinol methylase, mitochondrial precursor</t>
  </si>
  <si>
    <t>283135186</t>
  </si>
  <si>
    <t xml:space="preserve">ubiquinone biosynthesis monooxygenase COQ6 precursor </t>
  </si>
  <si>
    <t>20587962</t>
  </si>
  <si>
    <t xml:space="preserve">ubiquinone biosynthesis protein COQ7 homolog </t>
  </si>
  <si>
    <t>33859690</t>
  </si>
  <si>
    <t>ubiquinone biosynthesis protein COQ9, mitochondrial precursor</t>
  </si>
  <si>
    <t>6753494</t>
  </si>
  <si>
    <t xml:space="preserve">coronin-1B </t>
  </si>
  <si>
    <t>31542413</t>
  </si>
  <si>
    <t xml:space="preserve">coronin-1C </t>
  </si>
  <si>
    <t>258645152</t>
  </si>
  <si>
    <t xml:space="preserve">coronin-2A isoform 2 </t>
  </si>
  <si>
    <t>404501474</t>
  </si>
  <si>
    <t xml:space="preserve">coronin-2A isoform 1 </t>
  </si>
  <si>
    <t>148747331</t>
  </si>
  <si>
    <t xml:space="preserve">coronin-7 </t>
  </si>
  <si>
    <t>19482160</t>
  </si>
  <si>
    <t>coactosin-like protein</t>
  </si>
  <si>
    <t>167716839</t>
  </si>
  <si>
    <t xml:space="preserve">cytochrome c oxidase subunit Imusculus </t>
  </si>
  <si>
    <t>34538600</t>
  </si>
  <si>
    <t xml:space="preserve">cytochrome c oxidase subunit I </t>
  </si>
  <si>
    <t>39841021</t>
  </si>
  <si>
    <t xml:space="preserve">cytochrome c oxidase assembly protein COX11, mitochondrial </t>
  </si>
  <si>
    <t>31541932</t>
  </si>
  <si>
    <t xml:space="preserve">cytochrome c oxidase assembly protein COX15 homolog </t>
  </si>
  <si>
    <t>13384872</t>
  </si>
  <si>
    <t>cytochrome c oxidase assembly protein COX16 homolog, mitochondrial</t>
  </si>
  <si>
    <t>62945234</t>
  </si>
  <si>
    <t xml:space="preserve">cytochrome c oxidase copper chaperone </t>
  </si>
  <si>
    <t>167716840</t>
  </si>
  <si>
    <t xml:space="preserve">cytochrome c oxidase subunit IImusculus </t>
  </si>
  <si>
    <t>34538601</t>
  </si>
  <si>
    <t xml:space="preserve">cytochrome c oxidase subunit II </t>
  </si>
  <si>
    <t>21313516</t>
  </si>
  <si>
    <t>cytochrome c oxidase protein 20 homolog</t>
  </si>
  <si>
    <t>226453481</t>
  </si>
  <si>
    <t>cytochrome c oxidase subunit IIImusculus castaneus]</t>
  </si>
  <si>
    <t>34538604</t>
  </si>
  <si>
    <t xml:space="preserve">cytochrome c oxidase subunit III </t>
  </si>
  <si>
    <t>6753498</t>
  </si>
  <si>
    <t xml:space="preserve">cytochrome c oxidase subunit 4 isoform 1, mitochondrial precursor </t>
  </si>
  <si>
    <t>112181182</t>
  </si>
  <si>
    <t xml:space="preserve">cytochrome c oxidase subunit 5A, mitochondrial precursor </t>
  </si>
  <si>
    <t>13385090</t>
  </si>
  <si>
    <t xml:space="preserve">cytochrome c oxidase subunit 6B1 </t>
  </si>
  <si>
    <t>16716343</t>
  </si>
  <si>
    <t xml:space="preserve">cytochrome c oxidase subunit 6C </t>
  </si>
  <si>
    <t>31981830</t>
  </si>
  <si>
    <t xml:space="preserve">cytochrome c oxidase subunit 7A2, mitochondrial precursor </t>
  </si>
  <si>
    <t>226958512</t>
  </si>
  <si>
    <t xml:space="preserve">cytochrome c oxidase subunit 7A-related protein, mitochondrial isoform 1 </t>
  </si>
  <si>
    <t>6677977</t>
  </si>
  <si>
    <t xml:space="preserve">cytochrome c oxidase subunit 7A-related protein, mitochondrial isoform 2 </t>
  </si>
  <si>
    <t>13384754</t>
  </si>
  <si>
    <t xml:space="preserve">cytochrome c oxidase subunit 7B, mitochondrial precursor </t>
  </si>
  <si>
    <t>150378501</t>
  </si>
  <si>
    <t xml:space="preserve">carboxypeptidase D precursor </t>
  </si>
  <si>
    <t>22203763</t>
  </si>
  <si>
    <t xml:space="preserve">carboxypeptidase E precursor </t>
  </si>
  <si>
    <t>293651586</t>
  </si>
  <si>
    <t xml:space="preserve">cytoplasmic polyadenylation element-binding protein 2 isoform 1 </t>
  </si>
  <si>
    <t>293651589</t>
  </si>
  <si>
    <t xml:space="preserve">cytoplasmic polyadenylation element-binding protein 2 isoform 2 </t>
  </si>
  <si>
    <t>84370380</t>
  </si>
  <si>
    <t xml:space="preserve">cytoplasmic polyadenylation element-binding protein 3 </t>
  </si>
  <si>
    <t>52138749</t>
  </si>
  <si>
    <t xml:space="preserve">cytoplasmic polyadenylation element-binding protein 4 </t>
  </si>
  <si>
    <t>189458849</t>
  </si>
  <si>
    <t xml:space="preserve">carboxypeptidase M precursor </t>
  </si>
  <si>
    <t>25141330</t>
  </si>
  <si>
    <t xml:space="preserve">copine-1 </t>
  </si>
  <si>
    <t>23943807</t>
  </si>
  <si>
    <t xml:space="preserve">copine-2 </t>
  </si>
  <si>
    <t>25141335</t>
  </si>
  <si>
    <t xml:space="preserve">copine-3 </t>
  </si>
  <si>
    <t>58037333</t>
  </si>
  <si>
    <t xml:space="preserve">copine-4 </t>
  </si>
  <si>
    <t>23346611</t>
  </si>
  <si>
    <t xml:space="preserve">copine-5 </t>
  </si>
  <si>
    <t>226052679</t>
  </si>
  <si>
    <t xml:space="preserve">copine-6 isoform b </t>
  </si>
  <si>
    <t>6753510</t>
  </si>
  <si>
    <t xml:space="preserve">copine-6 isoform a </t>
  </si>
  <si>
    <t>25470894</t>
  </si>
  <si>
    <t xml:space="preserve">copine-7 </t>
  </si>
  <si>
    <t>76563928</t>
  </si>
  <si>
    <t xml:space="preserve">copine-8 isoform 2 </t>
  </si>
  <si>
    <t>21630253</t>
  </si>
  <si>
    <t xml:space="preserve">copine-8 isoform 1 </t>
  </si>
  <si>
    <t>28416905</t>
  </si>
  <si>
    <t xml:space="preserve">copine-9 </t>
  </si>
  <si>
    <t>161484660</t>
  </si>
  <si>
    <t>coproporphyrinogen-III oxidase, mitochondrial precursor</t>
  </si>
  <si>
    <t>31981882</t>
  </si>
  <si>
    <t xml:space="preserve">calcineurin-like phosphoesterase domain-containing protein 1 </t>
  </si>
  <si>
    <t>124248512</t>
  </si>
  <si>
    <t xml:space="preserve">carbamoyl-phosphate synthase [ammonia], mitochondrial precursor </t>
  </si>
  <si>
    <t>16751835</t>
  </si>
  <si>
    <t xml:space="preserve">cleavage and polyadenylation specificity factor subunit 1 isoform 2 </t>
  </si>
  <si>
    <t>255918233</t>
  </si>
  <si>
    <t xml:space="preserve">cleavage and polyadenylation specificity factor subunit 1 isoform 1 </t>
  </si>
  <si>
    <t>8393762</t>
  </si>
  <si>
    <t xml:space="preserve">cleavage and polyadenylation specificity factor subunit 2 </t>
  </si>
  <si>
    <t>31980904</t>
  </si>
  <si>
    <t xml:space="preserve">cleavage and polyadenylation specificity factor subunit 3 </t>
  </si>
  <si>
    <t>21312614</t>
  </si>
  <si>
    <t>integrator complex subunit 11</t>
  </si>
  <si>
    <t>62909983</t>
  </si>
  <si>
    <t xml:space="preserve">cleavage and polyadenylation specificity factor subunit 6 </t>
  </si>
  <si>
    <t>256665243</t>
  </si>
  <si>
    <t xml:space="preserve">cleavage and polyadenylation specificity factor subunit 7 isoform 1 </t>
  </si>
  <si>
    <t>256665245</t>
  </si>
  <si>
    <t xml:space="preserve">cleavage and polyadenylation specificity factor subunit 7 isoform 2 </t>
  </si>
  <si>
    <t>162287142</t>
  </si>
  <si>
    <t xml:space="preserve">carnitine O-palmitoyltransferase 1, liver isoform </t>
  </si>
  <si>
    <t>162287165</t>
  </si>
  <si>
    <t xml:space="preserve">carnitine O-palmitoyltransferase 1, muscle isoform </t>
  </si>
  <si>
    <t>162138915</t>
  </si>
  <si>
    <t xml:space="preserve">carnitine O-palmitoyltransferase 2, mitochondrial precursor </t>
  </si>
  <si>
    <t>52426750</t>
  </si>
  <si>
    <t xml:space="preserve">complement component receptor 1-like protein </t>
  </si>
  <si>
    <t>7304975</t>
  </si>
  <si>
    <t xml:space="preserve">cellular retinoic acid-binding protein 1 </t>
  </si>
  <si>
    <t>33469075</t>
  </si>
  <si>
    <t xml:space="preserve">cellular retinoic acid-binding protein 2 </t>
  </si>
  <si>
    <t>85662408</t>
  </si>
  <si>
    <t>carnitine O-acetyltransferase</t>
  </si>
  <si>
    <t>29244038</t>
  </si>
  <si>
    <t xml:space="preserve">crumbs protein homolog 3 precursor </t>
  </si>
  <si>
    <t>28202023</t>
  </si>
  <si>
    <t>protein cereblon isoform 2</t>
  </si>
  <si>
    <t>90403612</t>
  </si>
  <si>
    <t>protein cereblon isoform 1</t>
  </si>
  <si>
    <t>70995311</t>
  </si>
  <si>
    <t>CREB-binding protein</t>
  </si>
  <si>
    <t>19527148</t>
  </si>
  <si>
    <t xml:space="preserve">cysteine-rich with EGF-like domain protein 1 precursor </t>
  </si>
  <si>
    <t>21313278</t>
  </si>
  <si>
    <t xml:space="preserve">cysteine-rich with EGF-like domain protein 2 precursor </t>
  </si>
  <si>
    <t>6681015</t>
  </si>
  <si>
    <t xml:space="preserve">cysteine-rich protein 1 </t>
  </si>
  <si>
    <t>13195646</t>
  </si>
  <si>
    <t xml:space="preserve">cysteine-rich protein 2 </t>
  </si>
  <si>
    <t>31559995</t>
  </si>
  <si>
    <t xml:space="preserve">adapter molecule crk </t>
  </si>
  <si>
    <t>31542421</t>
  </si>
  <si>
    <t>crk-like protein isoform 1</t>
  </si>
  <si>
    <t>9055200</t>
  </si>
  <si>
    <t>cytokine receptor-like factor 3</t>
  </si>
  <si>
    <t>66932980</t>
  </si>
  <si>
    <t>cardiolipin synthase isoform 1</t>
  </si>
  <si>
    <t>209862923</t>
  </si>
  <si>
    <t xml:space="preserve">dihydropyrimidinase-related protein 1 isoform 1 </t>
  </si>
  <si>
    <t>40068507</t>
  </si>
  <si>
    <t xml:space="preserve">dihydropyrimidinase-related protein 1 isoform 2 </t>
  </si>
  <si>
    <t>13385288</t>
  </si>
  <si>
    <t>crooked neck-like protein 1</t>
  </si>
  <si>
    <t>225543191</t>
  </si>
  <si>
    <t xml:space="preserve">rootletin isoform 1 </t>
  </si>
  <si>
    <t>225543193</t>
  </si>
  <si>
    <t xml:space="preserve">rootletin isoform 2 </t>
  </si>
  <si>
    <t>17157983</t>
  </si>
  <si>
    <t xml:space="preserve">peroxisomal carnitine O-octanoyltransferase </t>
  </si>
  <si>
    <t>225543173</t>
  </si>
  <si>
    <t xml:space="preserve">cartilage-associated protein precursor </t>
  </si>
  <si>
    <t>6681031</t>
  </si>
  <si>
    <t xml:space="preserve">cryptochrome-1 </t>
  </si>
  <si>
    <t>27312016</t>
  </si>
  <si>
    <t xml:space="preserve">cryptochrome-2 </t>
  </si>
  <si>
    <t>6753530</t>
  </si>
  <si>
    <t xml:space="preserve">alpha-crystallin B chain </t>
  </si>
  <si>
    <t>19525729</t>
  </si>
  <si>
    <t>lambda-crystallin homolog</t>
  </si>
  <si>
    <t>33859530</t>
  </si>
  <si>
    <t>quinone oxidoreductase</t>
  </si>
  <si>
    <t>21617847</t>
  </si>
  <si>
    <t>quinone oxidoreductase-like protein 1 isoform 1</t>
  </si>
  <si>
    <t>323462200</t>
  </si>
  <si>
    <t>quinone oxidoreductase-like protein 1 isoform 2</t>
  </si>
  <si>
    <t>13385942</t>
  </si>
  <si>
    <t>citrate synthase, mitochondrial precursor</t>
  </si>
  <si>
    <t>21450351</t>
  </si>
  <si>
    <t>cysteine sulfinic acid decarboxylase</t>
  </si>
  <si>
    <t>21450287</t>
  </si>
  <si>
    <t xml:space="preserve">cold shock domain-containing protein E1 isoform 1 </t>
  </si>
  <si>
    <t>240255574</t>
  </si>
  <si>
    <t xml:space="preserve">cold shock domain-containing protein E1 isoform 2 </t>
  </si>
  <si>
    <t>12963737</t>
  </si>
  <si>
    <t xml:space="preserve">exportin-2 </t>
  </si>
  <si>
    <t>6753536</t>
  </si>
  <si>
    <t>granulocyte colony-stimulating factor precursor</t>
  </si>
  <si>
    <t>31560712</t>
  </si>
  <si>
    <t xml:space="preserve">tyrosine-protein kinase CSK </t>
  </si>
  <si>
    <t>269973935</t>
  </si>
  <si>
    <t xml:space="preserve">citrate synthase-like protein </t>
  </si>
  <si>
    <t>75677412</t>
  </si>
  <si>
    <t>kappa-casein precursor</t>
  </si>
  <si>
    <t>22165382</t>
  </si>
  <si>
    <t xml:space="preserve">casein kinase I isoform alpha </t>
  </si>
  <si>
    <t>20544147</t>
  </si>
  <si>
    <t xml:space="preserve">casein kinase I isoform delta isoform 2 </t>
  </si>
  <si>
    <t>20544149</t>
  </si>
  <si>
    <t xml:space="preserve">casein kinase I isoform delta isoform 1 </t>
  </si>
  <si>
    <t>31542425</t>
  </si>
  <si>
    <t xml:space="preserve">casein kinase I isoform epsilon </t>
  </si>
  <si>
    <t>31542427</t>
  </si>
  <si>
    <t xml:space="preserve">casein kinase II subunit alpha </t>
  </si>
  <si>
    <t>6753540</t>
  </si>
  <si>
    <t xml:space="preserve">casein kinase II subunit alpha' </t>
  </si>
  <si>
    <t>7106277</t>
  </si>
  <si>
    <t xml:space="preserve">casein kinase II subunit beta </t>
  </si>
  <si>
    <t>6681069</t>
  </si>
  <si>
    <t xml:space="preserve">cysteine and glycine-rich protein 1 </t>
  </si>
  <si>
    <t>160707987</t>
  </si>
  <si>
    <t xml:space="preserve">cysteine and glycine-rich protein 2 </t>
  </si>
  <si>
    <t>31981822</t>
  </si>
  <si>
    <t>cystatin-C precursor</t>
  </si>
  <si>
    <t>33469017</t>
  </si>
  <si>
    <t xml:space="preserve">CSA-conditional, T cell activation-dependent protein </t>
  </si>
  <si>
    <t>6681071</t>
  </si>
  <si>
    <t xml:space="preserve">cystatin-B </t>
  </si>
  <si>
    <t>13195628</t>
  </si>
  <si>
    <t xml:space="preserve">cleavage stimulation factor subunit 1 </t>
  </si>
  <si>
    <t>18875338</t>
  </si>
  <si>
    <t xml:space="preserve">cleavage stimulation factor subunit 2 </t>
  </si>
  <si>
    <t>21704042</t>
  </si>
  <si>
    <t xml:space="preserve">cleavage stimulation factor subunit 3 isoform 1 </t>
  </si>
  <si>
    <t>259155334</t>
  </si>
  <si>
    <t>cutaneous T-cell lymphoma-associated antigen 5 homolog isoform 1</t>
  </si>
  <si>
    <t>259155336</t>
  </si>
  <si>
    <t>cutaneous T-cell lymphoma-associated antigen 5 homolog isoform 2</t>
  </si>
  <si>
    <t>259155338</t>
  </si>
  <si>
    <t>cutaneous T-cell lymphoma-associated antigen 5 homolog isoform 3</t>
  </si>
  <si>
    <t>311893324</t>
  </si>
  <si>
    <t xml:space="preserve">C-terminal-binding protein 1 isoform 1 </t>
  </si>
  <si>
    <t>311893326</t>
  </si>
  <si>
    <t xml:space="preserve">C-terminal-binding protein 1 isoform 2 </t>
  </si>
  <si>
    <t>311893328</t>
  </si>
  <si>
    <t xml:space="preserve">C-terminal-binding protein 1 isoform 4 </t>
  </si>
  <si>
    <t>7304989</t>
  </si>
  <si>
    <t xml:space="preserve">C-terminal-binding protein 1 isoform 3 </t>
  </si>
  <si>
    <t>282721029</t>
  </si>
  <si>
    <t xml:space="preserve">C-terminal-binding protein 2 isoform 1 </t>
  </si>
  <si>
    <t>6753548</t>
  </si>
  <si>
    <t xml:space="preserve">C-terminal-binding protein 2 isoform 2 </t>
  </si>
  <si>
    <t>27229204</t>
  </si>
  <si>
    <t>di-N-acetylchitobiase precursor</t>
  </si>
  <si>
    <t>219689064</t>
  </si>
  <si>
    <t>CST complex subunit CTC1 isoform a</t>
  </si>
  <si>
    <t>219689066</t>
  </si>
  <si>
    <t>CST complex subunit CTC1 isoform c</t>
  </si>
  <si>
    <t>31044459</t>
  </si>
  <si>
    <t xml:space="preserve">transcriptional repressor CTCF </t>
  </si>
  <si>
    <t>34328280</t>
  </si>
  <si>
    <t>RNA polymerase II subunit A C-terminal domain phosphatase</t>
  </si>
  <si>
    <t>23346509</t>
  </si>
  <si>
    <t>carboxy-terminal domain RNA polymerase II polypeptide A small phosphatase 1</t>
  </si>
  <si>
    <t>164698411</t>
  </si>
  <si>
    <t>carboxy-terminal domain RNA polymerase II polypeptide A small phosphatase 2 isoform a</t>
  </si>
  <si>
    <t>22122479</t>
  </si>
  <si>
    <t>carboxy-terminal domain RNA polymerase II polypeptide A small phosphatase 2 isoform b</t>
  </si>
  <si>
    <t>171460950</t>
  </si>
  <si>
    <t>CTD small phosphatase-like protein</t>
  </si>
  <si>
    <t>6681075</t>
  </si>
  <si>
    <t xml:space="preserve">cardiotrophin-1 </t>
  </si>
  <si>
    <t>38524598</t>
  </si>
  <si>
    <t>cardiotrophin-2 precursor</t>
  </si>
  <si>
    <t>22122387</t>
  </si>
  <si>
    <t>cystathionine gamma-lyase</t>
  </si>
  <si>
    <t>6753294</t>
  </si>
  <si>
    <t>catenin alpha-1</t>
  </si>
  <si>
    <t>157951725</t>
  </si>
  <si>
    <t>catenin alpha-2 isoform 2</t>
  </si>
  <si>
    <t>157951727</t>
  </si>
  <si>
    <t>catenin alpha-2 isoform 1</t>
  </si>
  <si>
    <t>256985121</t>
  </si>
  <si>
    <t>catenin alpha-3 isoform 1</t>
  </si>
  <si>
    <t>256985121;256985119</t>
  </si>
  <si>
    <t>256985119;256985121</t>
  </si>
  <si>
    <t>256985152</t>
  </si>
  <si>
    <t>catenin alpha-3 isoform 2</t>
  </si>
  <si>
    <t>227330565</t>
  </si>
  <si>
    <t xml:space="preserve">alpha-catulin </t>
  </si>
  <si>
    <t>260166642</t>
  </si>
  <si>
    <t>catenin beta-1</t>
  </si>
  <si>
    <t>254540032</t>
  </si>
  <si>
    <t xml:space="preserve">beta-catenin-like protein 1 </t>
  </si>
  <si>
    <t>146219835</t>
  </si>
  <si>
    <t>catenin delta-1 isoform 2</t>
  </si>
  <si>
    <t>146219849</t>
  </si>
  <si>
    <t>catenin delta-1 isoform 3</t>
  </si>
  <si>
    <t>146231979</t>
  </si>
  <si>
    <t>catenin delta-1 isoform 4</t>
  </si>
  <si>
    <t>83745122</t>
  </si>
  <si>
    <t>catenin delta-1 isoform 1</t>
  </si>
  <si>
    <t>172072613</t>
  </si>
  <si>
    <t xml:space="preserve">CTP synthase 1 </t>
  </si>
  <si>
    <t>270483773;270483771</t>
  </si>
  <si>
    <t xml:space="preserve">CTP synthase 2 isoform a </t>
  </si>
  <si>
    <t>270483776</t>
  </si>
  <si>
    <t xml:space="preserve">CTP synthase 2 isoform b </t>
  </si>
  <si>
    <t>84042523</t>
  </si>
  <si>
    <t>lysosomal protective protein isoform b preproprotein</t>
  </si>
  <si>
    <t>84042525</t>
  </si>
  <si>
    <t>lysosomal protective protein isoform a preproprotein</t>
  </si>
  <si>
    <t>6681079</t>
  </si>
  <si>
    <t xml:space="preserve">cathepsin B preproprotein </t>
  </si>
  <si>
    <t>160707990</t>
  </si>
  <si>
    <t>dipeptidyl peptidase 1 preproprotein</t>
  </si>
  <si>
    <t>6753556</t>
  </si>
  <si>
    <t xml:space="preserve">cathepsin D precursor </t>
  </si>
  <si>
    <t>166235890</t>
  </si>
  <si>
    <t xml:space="preserve">pro-cathepsin H preproprotein </t>
  </si>
  <si>
    <t>6753558</t>
  </si>
  <si>
    <t xml:space="preserve">cathepsin L1 preproprotein </t>
  </si>
  <si>
    <t>11968166</t>
  </si>
  <si>
    <t xml:space="preserve">cathepsin Z preproprotein </t>
  </si>
  <si>
    <t>357588432</t>
  </si>
  <si>
    <t xml:space="preserve">src substrate cortactin isoform 2 </t>
  </si>
  <si>
    <t>75677414</t>
  </si>
  <si>
    <t xml:space="preserve">src substrate cortactin isoform 1 </t>
  </si>
  <si>
    <t>254039644</t>
  </si>
  <si>
    <t xml:space="preserve">CTTNBP2 N-terminal-like protein </t>
  </si>
  <si>
    <t>21704170</t>
  </si>
  <si>
    <t xml:space="preserve">cytoplasmic tRNA 2-thiolation protein 1 </t>
  </si>
  <si>
    <t>225735586</t>
  </si>
  <si>
    <t xml:space="preserve">cytoplasmic tRNA 2-thiolation protein 2 </t>
  </si>
  <si>
    <t>124487348</t>
  </si>
  <si>
    <t>cubilin precursor</t>
  </si>
  <si>
    <t>256773254</t>
  </si>
  <si>
    <t>CUE domain-containing protein 2 isoform a</t>
  </si>
  <si>
    <t>256773258</t>
  </si>
  <si>
    <t>CUE domain-containing protein 2 isoform b</t>
  </si>
  <si>
    <t>256773262</t>
  </si>
  <si>
    <t>CUE domain-containing protein 2 isoform c</t>
  </si>
  <si>
    <t>7549752</t>
  </si>
  <si>
    <t xml:space="preserve">cullin-1 </t>
  </si>
  <si>
    <t>170014698</t>
  </si>
  <si>
    <t xml:space="preserve">cullin-2 </t>
  </si>
  <si>
    <t>7710014</t>
  </si>
  <si>
    <t xml:space="preserve">cullin-3 </t>
  </si>
  <si>
    <t>167466258</t>
  </si>
  <si>
    <t xml:space="preserve">cullin-4A </t>
  </si>
  <si>
    <t>158711665</t>
  </si>
  <si>
    <t xml:space="preserve">cullin-4B </t>
  </si>
  <si>
    <t>239051067</t>
  </si>
  <si>
    <t xml:space="preserve">cullin-5 isoform 1 </t>
  </si>
  <si>
    <t>239051082</t>
  </si>
  <si>
    <t xml:space="preserve">cullin-5 isoform 2 </t>
  </si>
  <si>
    <t>57013279</t>
  </si>
  <si>
    <t xml:space="preserve">cullin-7 </t>
  </si>
  <si>
    <t>62198210</t>
  </si>
  <si>
    <t xml:space="preserve">protein CutA isoform 1 precursor </t>
  </si>
  <si>
    <t>62198239</t>
  </si>
  <si>
    <t>protein CutA isoform 2</t>
  </si>
  <si>
    <t>165932339</t>
  </si>
  <si>
    <t xml:space="preserve">copper homeostasis protein cutC homolog isoform 2 </t>
  </si>
  <si>
    <t>165932350</t>
  </si>
  <si>
    <t xml:space="preserve">copper homeostasis protein cutC homolog isoform 1 </t>
  </si>
  <si>
    <t>110835729</t>
  </si>
  <si>
    <t>protein CASP isoform a</t>
  </si>
  <si>
    <t>110815859</t>
  </si>
  <si>
    <t>protein CASP isoform b</t>
  </si>
  <si>
    <t>12963537</t>
  </si>
  <si>
    <t>spliceosome-associated protein CWC15 homolog</t>
  </si>
  <si>
    <t>27881425</t>
  </si>
  <si>
    <t>pre-mRNA-splicing factor CWC22 homolog isoform 1</t>
  </si>
  <si>
    <t>323462203</t>
  </si>
  <si>
    <t>pre-mRNA-splicing factor CWC22 homolog isoform 2</t>
  </si>
  <si>
    <t>262072988</t>
  </si>
  <si>
    <t>pre-mRNA-splicing factor CWC25 homolog</t>
  </si>
  <si>
    <t>110625681</t>
  </si>
  <si>
    <t xml:space="preserve">peptidyl-prolyl cis-trans isomerase CWC27 homolog </t>
  </si>
  <si>
    <t>124487291</t>
  </si>
  <si>
    <t xml:space="preserve">CWF19-like protein 1 </t>
  </si>
  <si>
    <t>30842792</t>
  </si>
  <si>
    <t xml:space="preserve">CWF19-like protein 2 </t>
  </si>
  <si>
    <t>442796434</t>
  </si>
  <si>
    <t>coxsackievirus and adenovirus receptor homolog isoform c precursor</t>
  </si>
  <si>
    <t>68510034</t>
  </si>
  <si>
    <t>coxsackievirus and adenovirus receptor homolog isoform a precursor</t>
  </si>
  <si>
    <t>6857775</t>
  </si>
  <si>
    <t>coxsackievirus and adenovirus receptor homolog isoform b precursor</t>
  </si>
  <si>
    <t>18390325</t>
  </si>
  <si>
    <t>cpG-binding protein</t>
  </si>
  <si>
    <t>13385268</t>
  </si>
  <si>
    <t>cytochrome b5</t>
  </si>
  <si>
    <t>31542436</t>
  </si>
  <si>
    <t>cytochrome b561</t>
  </si>
  <si>
    <t>9790029</t>
  </si>
  <si>
    <t xml:space="preserve">cytochrome b561 domain-containing protein 2 </t>
  </si>
  <si>
    <t>31542438</t>
  </si>
  <si>
    <t xml:space="preserve">cytochrome b5 type B precursor </t>
  </si>
  <si>
    <t>21312524</t>
  </si>
  <si>
    <t>NADH-cytochrome b5 reductase 1</t>
  </si>
  <si>
    <t>19745150</t>
  </si>
  <si>
    <t>NADH-cytochrome b5 reductase 3</t>
  </si>
  <si>
    <t>13385006</t>
  </si>
  <si>
    <t xml:space="preserve">cytochrome c1, heme protein, mitochondrial </t>
  </si>
  <si>
    <t>6681095</t>
  </si>
  <si>
    <t xml:space="preserve">cytochrome c, somatic </t>
  </si>
  <si>
    <t>164698474</t>
  </si>
  <si>
    <t>cytoplasmic FMR1-interacting protein 1 isoform a</t>
  </si>
  <si>
    <t>258547119</t>
  </si>
  <si>
    <t>cytoplasmic FMR1-interacting protein 1 isoform b</t>
  </si>
  <si>
    <t>84370256</t>
  </si>
  <si>
    <t>cytoplasmic FMR1-interacting protein 2</t>
  </si>
  <si>
    <t>30725867</t>
  </si>
  <si>
    <t xml:space="preserve">cysteine and histidine-rich protein 1 isoform 2 </t>
  </si>
  <si>
    <t>444741673</t>
  </si>
  <si>
    <t xml:space="preserve">cysteine and histidine-rich protein 1 isoform 3 </t>
  </si>
  <si>
    <t>9506491</t>
  </si>
  <si>
    <t>cysteine and histidine-rich protein 1 isoform 1 precursor</t>
  </si>
  <si>
    <t>74271886</t>
  </si>
  <si>
    <t xml:space="preserve">cytochrome P450 20A1 </t>
  </si>
  <si>
    <t>21311915</t>
  </si>
  <si>
    <t>cytochrome P450 2S1 precursor</t>
  </si>
  <si>
    <t>9256529</t>
  </si>
  <si>
    <t>24-hydroxycholesterol 7-alpha-hydroxylase</t>
  </si>
  <si>
    <t>13277362</t>
  </si>
  <si>
    <t>cytochrome P450, family 4, subfamily f, polypeptide 16</t>
  </si>
  <si>
    <t>71061451</t>
  </si>
  <si>
    <t xml:space="preserve">lanosterol 14-alpha demethylase </t>
  </si>
  <si>
    <t>240120154</t>
  </si>
  <si>
    <t xml:space="preserve">cystin-1 </t>
  </si>
  <si>
    <t>167716849</t>
  </si>
  <si>
    <t>cytochrome bmusculus</t>
  </si>
  <si>
    <t>226453487</t>
  </si>
  <si>
    <t xml:space="preserve">cytochrome bmusculus castaneus] </t>
  </si>
  <si>
    <t>34538610</t>
  </si>
  <si>
    <t>cytochrome b</t>
  </si>
  <si>
    <t>162951835</t>
  </si>
  <si>
    <t xml:space="preserve">cytohesin-1 isoform 2 </t>
  </si>
  <si>
    <t>162951837</t>
  </si>
  <si>
    <t xml:space="preserve">cytohesin-1 isoform 3 </t>
  </si>
  <si>
    <t>31543516</t>
  </si>
  <si>
    <t xml:space="preserve">cytohesin-1 isoform 1 </t>
  </si>
  <si>
    <t>162951840</t>
  </si>
  <si>
    <t xml:space="preserve">cytohesin-2 isoform 2 </t>
  </si>
  <si>
    <t>6755186</t>
  </si>
  <si>
    <t xml:space="preserve">cytohesin-2 isoform 1 </t>
  </si>
  <si>
    <t>29244042</t>
  </si>
  <si>
    <t>uncharacterized protein C9orf40 homolog</t>
  </si>
  <si>
    <t>85701756</t>
  </si>
  <si>
    <t>brefeldin A-inhibited guanine nucleotide-exchange protein 3</t>
  </si>
  <si>
    <t>163838637</t>
  </si>
  <si>
    <t>protein FAM208A isoform 2</t>
  </si>
  <si>
    <t>168823452</t>
  </si>
  <si>
    <t>protein FAM208A isoform 1</t>
  </si>
  <si>
    <t>112817622</t>
  </si>
  <si>
    <t>protein FAM91A1</t>
  </si>
  <si>
    <t>51591905</t>
  </si>
  <si>
    <t>uncharacterized protein C6orf47 homolog</t>
  </si>
  <si>
    <t>18250288</t>
  </si>
  <si>
    <t xml:space="preserve">UPF0556 protein C19orf10 homolog precursor </t>
  </si>
  <si>
    <t>19527042</t>
  </si>
  <si>
    <t>UNC119-binding protein C5orf30 homolog</t>
  </si>
  <si>
    <t>14861844</t>
  </si>
  <si>
    <t xml:space="preserve">putative ATP-dependent RNA helicase Pl10 </t>
  </si>
  <si>
    <t>170014723</t>
  </si>
  <si>
    <t>D-2-hydroxyglutarate dehydrogenase, mitochondrial precursor</t>
  </si>
  <si>
    <t>305682577</t>
  </si>
  <si>
    <t>uncharacterized protein C9orf114 homolog</t>
  </si>
  <si>
    <t>30425010</t>
  </si>
  <si>
    <t>uncharacterized protein CXorf57 homolog</t>
  </si>
  <si>
    <t>153281116</t>
  </si>
  <si>
    <t>UPF0462 protein C4orf33 homolog isoform a</t>
  </si>
  <si>
    <t>153281135</t>
  </si>
  <si>
    <t>UPF0462 protein C4orf33 homolog isoform b</t>
  </si>
  <si>
    <t>20070406</t>
  </si>
  <si>
    <t>uncharacterized protein C12orf4 homolog</t>
  </si>
  <si>
    <t>56090602</t>
  </si>
  <si>
    <t xml:space="preserve">leydig cell tumor 10 kDa protein homolog </t>
  </si>
  <si>
    <t>161333828</t>
  </si>
  <si>
    <t xml:space="preserve">tyrosine-protein kinase SgK223 </t>
  </si>
  <si>
    <t>78191777</t>
  </si>
  <si>
    <t xml:space="preserve">disheveled-associated activator of morphogenesis 1 </t>
  </si>
  <si>
    <t>6753598</t>
  </si>
  <si>
    <t>dolichyl-diphosphooligosaccharide--protein glycosyltransferase subunit DAD1</t>
  </si>
  <si>
    <t>451898099;33859532</t>
  </si>
  <si>
    <t>dystroglycan precursor</t>
  </si>
  <si>
    <t>33859532</t>
  </si>
  <si>
    <t>21703976</t>
  </si>
  <si>
    <t>bifunctional ATP-dependent dihydroxyacetone kinase/FAD-AMP lyase (cyclizing)</t>
  </si>
  <si>
    <t>110815857</t>
  </si>
  <si>
    <t>D-amino-acid oxidase</t>
  </si>
  <si>
    <t>256985203</t>
  </si>
  <si>
    <t xml:space="preserve">28S ribosomal protein S29, mitochondrial isoform 2 </t>
  </si>
  <si>
    <t>256985205</t>
  </si>
  <si>
    <t xml:space="preserve">28S ribosomal protein S29, mitochondrial isoform 1 </t>
  </si>
  <si>
    <t>410812207</t>
  </si>
  <si>
    <t>death-associated protein kinase 3 isoform a</t>
  </si>
  <si>
    <t>6681133</t>
  </si>
  <si>
    <t>death-associated protein kinase 3 isoform b</t>
  </si>
  <si>
    <t>210147402</t>
  </si>
  <si>
    <t xml:space="preserve">aspartate--tRNA ligase, cytoplasmic isoform 2 </t>
  </si>
  <si>
    <t>211065507</t>
  </si>
  <si>
    <t xml:space="preserve">aspartate--tRNA ligase, cytoplasmic isoform 1 </t>
  </si>
  <si>
    <t>27369928</t>
  </si>
  <si>
    <t>aspartate--tRNA ligase, mitochondrial precursor</t>
  </si>
  <si>
    <t>169790818</t>
  </si>
  <si>
    <t xml:space="preserve">DAZ-associated protein 1 isoform a </t>
  </si>
  <si>
    <t>169790820</t>
  </si>
  <si>
    <t xml:space="preserve">DAZ-associated protein 1 isoform b </t>
  </si>
  <si>
    <t>169790823</t>
  </si>
  <si>
    <t xml:space="preserve">DAZ-associated protein 1 isoform c </t>
  </si>
  <si>
    <t>110815861</t>
  </si>
  <si>
    <t>dopamine beta-hydroxylase</t>
  </si>
  <si>
    <t>6681137</t>
  </si>
  <si>
    <t>acyl-CoA-binding protein isoform 2</t>
  </si>
  <si>
    <t>83921595</t>
  </si>
  <si>
    <t>acyl-CoA-binding protein isoform 1</t>
  </si>
  <si>
    <t>30794440</t>
  </si>
  <si>
    <t>dysbindin domain-containing protein 2</t>
  </si>
  <si>
    <t>226423871</t>
  </si>
  <si>
    <t>drebrin-like protein isoform 1</t>
  </si>
  <si>
    <t>226423873</t>
  </si>
  <si>
    <t>drebrin-like protein isoform 3</t>
  </si>
  <si>
    <t>7304993</t>
  </si>
  <si>
    <t>drebrin-like protein isoform 2</t>
  </si>
  <si>
    <t>50399860</t>
  </si>
  <si>
    <t xml:space="preserve">lariat debranching enzyme </t>
  </si>
  <si>
    <t>170172520</t>
  </si>
  <si>
    <t>lipoamide acyltransferase component of branched-chain alpha-keto acid dehydrogenase complex, mitochondrial</t>
  </si>
  <si>
    <t>19526930</t>
  </si>
  <si>
    <t xml:space="preserve">DDB1- and CUL4-associated factor 11 </t>
  </si>
  <si>
    <t>21313612</t>
  </si>
  <si>
    <t>DDB1 and CUL4 associated factor 4 isoform 2</t>
  </si>
  <si>
    <t>259155342</t>
  </si>
  <si>
    <t>DDB1 and CUL4 associated factor 4 isoform 1</t>
  </si>
  <si>
    <t>56090231</t>
  </si>
  <si>
    <t xml:space="preserve">DDB1- and CUL4-associated factor 5 </t>
  </si>
  <si>
    <t>58037257</t>
  </si>
  <si>
    <t xml:space="preserve">DDB1- and CUL4-associated factor 7 </t>
  </si>
  <si>
    <t>23956326</t>
  </si>
  <si>
    <t xml:space="preserve">DDB1- and CUL4-associated factor 8 </t>
  </si>
  <si>
    <t>27754054</t>
  </si>
  <si>
    <t>dephospho-CoA kinase domain-containing protein</t>
  </si>
  <si>
    <t>94369682</t>
  </si>
  <si>
    <t xml:space="preserve">PREDICTED: similar to cadherin protein </t>
  </si>
  <si>
    <t>6681141</t>
  </si>
  <si>
    <t>deoxycytidine kinase</t>
  </si>
  <si>
    <t>133778958</t>
  </si>
  <si>
    <t xml:space="preserve">mRNA-decapping enzyme 1A </t>
  </si>
  <si>
    <t>21312256</t>
  </si>
  <si>
    <t>m7GpppX diphosphatase</t>
  </si>
  <si>
    <t>238859570;238859573</t>
  </si>
  <si>
    <t>deoxycytidylate deaminase</t>
  </si>
  <si>
    <t>118601017</t>
  </si>
  <si>
    <t xml:space="preserve">dynactin subunit 1 isoform 1 </t>
  </si>
  <si>
    <t>311893358</t>
  </si>
  <si>
    <t xml:space="preserve">dynactin subunit 1 isoform 2 </t>
  </si>
  <si>
    <t>311893360</t>
  </si>
  <si>
    <t xml:space="preserve">dynactin subunit 1 isoform 3 </t>
  </si>
  <si>
    <t>28076935</t>
  </si>
  <si>
    <t xml:space="preserve">dynactin subunit 2 isoform 3 </t>
  </si>
  <si>
    <t>299522838</t>
  </si>
  <si>
    <t xml:space="preserve">dynactin subunit 2 isoform 2 </t>
  </si>
  <si>
    <t>299522842</t>
  </si>
  <si>
    <t xml:space="preserve">dynactin subunit 2 isoform 1 </t>
  </si>
  <si>
    <t>227116273</t>
  </si>
  <si>
    <t xml:space="preserve">dynactin subunit 3 isoform A </t>
  </si>
  <si>
    <t>227116275</t>
  </si>
  <si>
    <t xml:space="preserve">dynactin subunit 3 isoform B </t>
  </si>
  <si>
    <t>13385798</t>
  </si>
  <si>
    <t xml:space="preserve">dynactin subunit 4 </t>
  </si>
  <si>
    <t>188219518</t>
  </si>
  <si>
    <t xml:space="preserve">dynactin subunit 5 </t>
  </si>
  <si>
    <t>6756009</t>
  </si>
  <si>
    <t xml:space="preserve">dynactin subunit 6 </t>
  </si>
  <si>
    <t>12963573</t>
  </si>
  <si>
    <t xml:space="preserve">dCTP pyrophosphatase 1 </t>
  </si>
  <si>
    <t>329299048</t>
  </si>
  <si>
    <t xml:space="preserve">DCN1-like protein 1 isoform 1 </t>
  </si>
  <si>
    <t>329299050</t>
  </si>
  <si>
    <t xml:space="preserve">DCN1-like protein 1 isoform 2 </t>
  </si>
  <si>
    <t>111162655</t>
  </si>
  <si>
    <t xml:space="preserve">DCN1-like protein 2 isoform c </t>
  </si>
  <si>
    <t>111162657</t>
  </si>
  <si>
    <t xml:space="preserve">DCN1-like protein 2 isoform d </t>
  </si>
  <si>
    <t>111162659</t>
  </si>
  <si>
    <t xml:space="preserve">DCN1-like protein 2 isoform a </t>
  </si>
  <si>
    <t>111162661</t>
  </si>
  <si>
    <t xml:space="preserve">DCN1-like protein 2 isoform b </t>
  </si>
  <si>
    <t>23956220</t>
  </si>
  <si>
    <t xml:space="preserve">DCN1-like protein 5 </t>
  </si>
  <si>
    <t>146134409</t>
  </si>
  <si>
    <t>L-xylulose reductase</t>
  </si>
  <si>
    <t>189491666</t>
  </si>
  <si>
    <t xml:space="preserve">DET1- and DDB1-associated protein 1 </t>
  </si>
  <si>
    <t>38371755</t>
  </si>
  <si>
    <t xml:space="preserve">N(G),N(G)-dimethylarginine dimethylaminohydrolase 1 </t>
  </si>
  <si>
    <t>299522791</t>
  </si>
  <si>
    <t xml:space="preserve">N(G),N(G)-dimethylarginine dimethylaminohydrolase 2 isoform 1 </t>
  </si>
  <si>
    <t>7949035</t>
  </si>
  <si>
    <t xml:space="preserve">N(G),N(G)-dimethylarginine dimethylaminohydrolase 2 isoform 2 </t>
  </si>
  <si>
    <t>7657011</t>
  </si>
  <si>
    <t>DNA damage-binding protein 1</t>
  </si>
  <si>
    <t>63003917</t>
  </si>
  <si>
    <t>protein DDI1 homolog 2</t>
  </si>
  <si>
    <t>46195798</t>
  </si>
  <si>
    <t>dolichyl-diphosphooligosaccharide--protein glycosyltransferase 48 kDa subunit precursor</t>
  </si>
  <si>
    <t>110350660</t>
  </si>
  <si>
    <t xml:space="preserve">DDRGK domain-containing protein 1 precursor </t>
  </si>
  <si>
    <t>6753618</t>
  </si>
  <si>
    <t>D-dopachrome decarboxylase</t>
  </si>
  <si>
    <t>19527256</t>
  </si>
  <si>
    <t>ATP-dependent RNA helicase DDX1</t>
  </si>
  <si>
    <t>40068489</t>
  </si>
  <si>
    <t xml:space="preserve">probable ATP-dependent RNA helicase DDX17 isoform 3 </t>
  </si>
  <si>
    <t>40068491</t>
  </si>
  <si>
    <t xml:space="preserve">probable ATP-dependent RNA helicase DDX17 isoform 2 </t>
  </si>
  <si>
    <t>40068493</t>
  </si>
  <si>
    <t xml:space="preserve">probable ATP-dependent RNA helicase DDX17 isoform 1 </t>
  </si>
  <si>
    <t>93587673</t>
  </si>
  <si>
    <t xml:space="preserve">probable ATP-dependent RNA helicase DDX17 isoform 4 </t>
  </si>
  <si>
    <t>31981163</t>
  </si>
  <si>
    <t>ATP-dependent RNA helicase DDX18</t>
  </si>
  <si>
    <t>170932536</t>
  </si>
  <si>
    <t>ATP-dependent RNA helicase DDX19A</t>
  </si>
  <si>
    <t>26986593</t>
  </si>
  <si>
    <t>ATP-dependent RNA helicase DDX19B isoform 2</t>
  </si>
  <si>
    <t>299890779</t>
  </si>
  <si>
    <t>ATP-dependent RNA helicase DDX19B isoform 3</t>
  </si>
  <si>
    <t>299890868</t>
  </si>
  <si>
    <t>ATP-dependent RNA helicase DDX19B isoform 1</t>
  </si>
  <si>
    <t>72384374</t>
  </si>
  <si>
    <t>nucleolar RNA helicase 2</t>
  </si>
  <si>
    <t>124430514</t>
  </si>
  <si>
    <t xml:space="preserve">probable ATP-dependent RNA helicase DDX23 </t>
  </si>
  <si>
    <t>226958385</t>
  </si>
  <si>
    <t>ATP-dependent RNA helicase DDX24 isoform 1</t>
  </si>
  <si>
    <t>34328253</t>
  </si>
  <si>
    <t>ATP-dependent RNA helicase DDX24 isoform 2</t>
  </si>
  <si>
    <t>163914388</t>
  </si>
  <si>
    <t>ATP-dependent RNA helicase DDX25</t>
  </si>
  <si>
    <t>124249330</t>
  </si>
  <si>
    <t xml:space="preserve">probable ATP-dependent RNA helicase DDX27 </t>
  </si>
  <si>
    <t>255069809</t>
  </si>
  <si>
    <t xml:space="preserve">probable ATP-dependent RNA helicase DDX28 </t>
  </si>
  <si>
    <t>254675193</t>
  </si>
  <si>
    <t xml:space="preserve">DEAD/H (Asp-Glu-Ala-Asp/His) box polypeptide 31 </t>
  </si>
  <si>
    <t>38372907</t>
  </si>
  <si>
    <t>ATP-dependent RNA helicase DDX39A</t>
  </si>
  <si>
    <t>356995868</t>
  </si>
  <si>
    <t>spliceosome RNA helicase Ddx39b</t>
  </si>
  <si>
    <t>6753620</t>
  </si>
  <si>
    <t>ATP-dependent RNA helicase DDX3X</t>
  </si>
  <si>
    <t>25141235</t>
  </si>
  <si>
    <t>ATP-dependent RNA helicase DDX3Y</t>
  </si>
  <si>
    <t>225007636</t>
  </si>
  <si>
    <t xml:space="preserve">probable ATP-dependent RNA helicase DDX4 isoform 1 </t>
  </si>
  <si>
    <t>33859536</t>
  </si>
  <si>
    <t xml:space="preserve">probable ATP-dependent RNA helicase DDX4 isoform 2 </t>
  </si>
  <si>
    <t>270047502</t>
  </si>
  <si>
    <t xml:space="preserve">probable ATP-dependent RNA helicase DDX41 </t>
  </si>
  <si>
    <t>157838001</t>
  </si>
  <si>
    <t>ATP-dependent RNA helicase DDX42</t>
  </si>
  <si>
    <t>160420299</t>
  </si>
  <si>
    <t xml:space="preserve">probable ATP-dependent RNA helicase DDX46 </t>
  </si>
  <si>
    <t>27229058</t>
  </si>
  <si>
    <t xml:space="preserve">probable ATP-dependent RNA helicase DDX47 </t>
  </si>
  <si>
    <t>67972435</t>
  </si>
  <si>
    <t xml:space="preserve">probable ATP-dependent RNA helicase DDX49 </t>
  </si>
  <si>
    <t>83816893</t>
  </si>
  <si>
    <t xml:space="preserve">probable ATP-dependent RNA helicase DDX5 </t>
  </si>
  <si>
    <t>16716475</t>
  </si>
  <si>
    <t>ATP-dependent RNA helicase DDX50</t>
  </si>
  <si>
    <t>40538825</t>
  </si>
  <si>
    <t>ATP-dependent RNA helicase DDX51</t>
  </si>
  <si>
    <t>117647283</t>
  </si>
  <si>
    <t>ATP-dependent RNA helicase DDX55 isoform 1</t>
  </si>
  <si>
    <t>299890889</t>
  </si>
  <si>
    <t>ATP-dependent RNA helicase DDX55 isoform 2</t>
  </si>
  <si>
    <t>21312650</t>
  </si>
  <si>
    <t xml:space="preserve">probable ATP-dependent RNA helicase DDX56 </t>
  </si>
  <si>
    <t>153945886</t>
  </si>
  <si>
    <t xml:space="preserve">probable ATP-dependent RNA helicase DDX58 </t>
  </si>
  <si>
    <t>6681159</t>
  </si>
  <si>
    <t xml:space="preserve">probable ATP-dependent RNA helicase DDX6 </t>
  </si>
  <si>
    <t>124487049</t>
  </si>
  <si>
    <t xml:space="preserve">probable ATP-dependent RNA helicase DDX60 </t>
  </si>
  <si>
    <t>21312078</t>
  </si>
  <si>
    <t xml:space="preserve">SS18-like protein 2 </t>
  </si>
  <si>
    <t>6753622</t>
  </si>
  <si>
    <t xml:space="preserve">peroxisomal 2,4-dienoyl-CoA reductase </t>
  </si>
  <si>
    <t>6681175</t>
  </si>
  <si>
    <t xml:space="preserve">sphingolipid delta(4)-desaturase DES1 </t>
  </si>
  <si>
    <t>253795498</t>
  </si>
  <si>
    <t>protein DEK</t>
  </si>
  <si>
    <t>24025656</t>
  </si>
  <si>
    <t>DENN domain-containing protein 1C</t>
  </si>
  <si>
    <t>27369652</t>
  </si>
  <si>
    <t>DENN domain-containing protein 2A</t>
  </si>
  <si>
    <t>238814338</t>
  </si>
  <si>
    <t>DENN domain-containing protein 2C</t>
  </si>
  <si>
    <t>389616154</t>
  </si>
  <si>
    <t>DENN domain-containing protein 2D isoform 1</t>
  </si>
  <si>
    <t>147904706</t>
  </si>
  <si>
    <t>DENN domain-containing protein 2D isoform 2</t>
  </si>
  <si>
    <t>124486710</t>
  </si>
  <si>
    <t xml:space="preserve">DENN domain-containing protein 3 precursor </t>
  </si>
  <si>
    <t>124486610</t>
  </si>
  <si>
    <t>DENN domain-containing protein 4C isoform 2</t>
  </si>
  <si>
    <t>300863147</t>
  </si>
  <si>
    <t>DENN domain-containing protein 4C isoform 1</t>
  </si>
  <si>
    <t>39930409</t>
  </si>
  <si>
    <t>DENN domain-containing protein 5A</t>
  </si>
  <si>
    <t>197333847</t>
  </si>
  <si>
    <t>protein FAM116A isoform a</t>
  </si>
  <si>
    <t>22122407</t>
  </si>
  <si>
    <t>protein FAM116A isoform b</t>
  </si>
  <si>
    <t>13386092</t>
  </si>
  <si>
    <t>density-regulated protein</t>
  </si>
  <si>
    <t>21450165</t>
  </si>
  <si>
    <t>DEP domain-containing protein 7</t>
  </si>
  <si>
    <t>27777677</t>
  </si>
  <si>
    <t xml:space="preserve">putative deoxyribose-phosphate aldolase </t>
  </si>
  <si>
    <t>13195638</t>
  </si>
  <si>
    <t xml:space="preserve">derlin-1 </t>
  </si>
  <si>
    <t>15808990</t>
  </si>
  <si>
    <t xml:space="preserve">derlin-2 </t>
  </si>
  <si>
    <t>33563250</t>
  </si>
  <si>
    <t xml:space="preserve">desmin </t>
  </si>
  <si>
    <t>70608119</t>
  </si>
  <si>
    <t xml:space="preserve">DNA fragmentation factor subunit alpha isoform a </t>
  </si>
  <si>
    <t>70608144</t>
  </si>
  <si>
    <t xml:space="preserve">DNA fragmentation factor subunit alpha isoform b </t>
  </si>
  <si>
    <t>9055204</t>
  </si>
  <si>
    <t>non-syndromic hearing impairment protein 5 homolog</t>
  </si>
  <si>
    <t>41152099</t>
  </si>
  <si>
    <t>microprocessor complex subunit DGCR8</t>
  </si>
  <si>
    <t>31560474</t>
  </si>
  <si>
    <t xml:space="preserve">diacylglycerol kinase alpha </t>
  </si>
  <si>
    <t>9506541</t>
  </si>
  <si>
    <t xml:space="preserve">diacylglycerol kinase epsilon </t>
  </si>
  <si>
    <t>124486741</t>
  </si>
  <si>
    <t xml:space="preserve">diacylglycerol kinase eta </t>
  </si>
  <si>
    <t>247269607</t>
  </si>
  <si>
    <t xml:space="preserve">deoxyguanosine kinase, mitochondrial isoform 1 </t>
  </si>
  <si>
    <t>247269645</t>
  </si>
  <si>
    <t xml:space="preserve">deoxyguanosine kinase, mitochondrial isoform 2 </t>
  </si>
  <si>
    <t>114155129</t>
  </si>
  <si>
    <t xml:space="preserve">delta(24)-sterol reductase precursor </t>
  </si>
  <si>
    <t>6681179</t>
  </si>
  <si>
    <t>7-dehydrocholesterol reductase</t>
  </si>
  <si>
    <t>7106289</t>
  </si>
  <si>
    <t>dihydrofolate reductase</t>
  </si>
  <si>
    <t>9910194</t>
  </si>
  <si>
    <t xml:space="preserve">dihydroorotate dehydrogenase (quinone), mitochondrial precursor </t>
  </si>
  <si>
    <t>87252720</t>
  </si>
  <si>
    <t>deoxyhypusine synthase</t>
  </si>
  <si>
    <t>31980844</t>
  </si>
  <si>
    <t xml:space="preserve">dehydrogenase/reductase SDR family member 1 </t>
  </si>
  <si>
    <t>109715818</t>
  </si>
  <si>
    <t>dehydrogenase/reductase SDR family member 11 precursor</t>
  </si>
  <si>
    <t>117647267</t>
  </si>
  <si>
    <t>dehydrogenase/reductase SDR family member 13 precursor</t>
  </si>
  <si>
    <t>289063391</t>
  </si>
  <si>
    <t xml:space="preserve">short-chain dehydrogenase/reductase 3 isoform 2 </t>
  </si>
  <si>
    <t>6755380</t>
  </si>
  <si>
    <t xml:space="preserve">short-chain dehydrogenase/reductase 3 isoform 1 </t>
  </si>
  <si>
    <t>13507612</t>
  </si>
  <si>
    <t xml:space="preserve">dehydrogenase/reductase SDR family member 4 isoform 2 </t>
  </si>
  <si>
    <t>256220343</t>
  </si>
  <si>
    <t xml:space="preserve">dehydrogenase/reductase SDR family member 4 isoform 1 </t>
  </si>
  <si>
    <t>226958616</t>
  </si>
  <si>
    <t>dehydrogenase/reductase SDR family member 7 precursor</t>
  </si>
  <si>
    <t>21703854</t>
  </si>
  <si>
    <t xml:space="preserve">dehydrogenase/reductase SDR family member 7B isoform 2 </t>
  </si>
  <si>
    <t>285403538</t>
  </si>
  <si>
    <t xml:space="preserve">dehydrogenase/reductase SDR family member 7B isoform 1 </t>
  </si>
  <si>
    <t>110835723</t>
  </si>
  <si>
    <t xml:space="preserve">putative pre-mRNA-splicing factor ATP-dependent RNA helicase DHX15 isoform 2 </t>
  </si>
  <si>
    <t>110835726</t>
  </si>
  <si>
    <t xml:space="preserve">putative pre-mRNA-splicing factor ATP-dependent RNA helicase DHX15 isoform 1 </t>
  </si>
  <si>
    <t>226246667</t>
  </si>
  <si>
    <t xml:space="preserve">DEAH (Asp-Glu-Ala-His) box polypeptide 16 </t>
  </si>
  <si>
    <t>46852276</t>
  </si>
  <si>
    <t>ATP-dependent RNA helicase Dhx29</t>
  </si>
  <si>
    <t>19111156</t>
  </si>
  <si>
    <t xml:space="preserve">putative ATP-dependent RNA helicase DHX30 isoform 2 </t>
  </si>
  <si>
    <t>358248315</t>
  </si>
  <si>
    <t xml:space="preserve">putative ATP-dependent RNA helicase DHX30 isoform 1 </t>
  </si>
  <si>
    <t>358248329</t>
  </si>
  <si>
    <t xml:space="preserve">putative ATP-dependent RNA helicase DHX30 isoform 3 </t>
  </si>
  <si>
    <t>21919420</t>
  </si>
  <si>
    <t xml:space="preserve">probable ATP-dependent RNA helicase DHX35 </t>
  </si>
  <si>
    <t>240848573</t>
  </si>
  <si>
    <t xml:space="preserve">probable ATP-dependent RNA helicase DHX36 </t>
  </si>
  <si>
    <t>42600571</t>
  </si>
  <si>
    <t xml:space="preserve">probable ATP-dependent RNA helicase DHX37 </t>
  </si>
  <si>
    <t>30410010</t>
  </si>
  <si>
    <t>pre-mRNA-splicing factor ATP-dependent RNA helicase PRP16</t>
  </si>
  <si>
    <t>144926009</t>
  </si>
  <si>
    <t xml:space="preserve">probable ATP-dependent RNA helicase DHX40 </t>
  </si>
  <si>
    <t>254939651</t>
  </si>
  <si>
    <t xml:space="preserve">putative ATP-dependent RNA helicase DHX57 isoform 2 </t>
  </si>
  <si>
    <t>254939654</t>
  </si>
  <si>
    <t xml:space="preserve">putative ATP-dependent RNA helicase DHX57 isoform 1 </t>
  </si>
  <si>
    <t>56699440</t>
  </si>
  <si>
    <t>ATP-dependent RNA helicase DHX8</t>
  </si>
  <si>
    <t>150456419</t>
  </si>
  <si>
    <t>ATP-dependent RNA helicase A</t>
  </si>
  <si>
    <t>85677504</t>
  </si>
  <si>
    <t>diablo homolog, mitochondrial precursor</t>
  </si>
  <si>
    <t>6681183</t>
  </si>
  <si>
    <t>protein diaphanous homolog 1</t>
  </si>
  <si>
    <t>189491671</t>
  </si>
  <si>
    <t>protein diaphanous homolog 2</t>
  </si>
  <si>
    <t>9789931</t>
  </si>
  <si>
    <t>protein diaphanous homolog 3</t>
  </si>
  <si>
    <t>117168271</t>
  </si>
  <si>
    <t>endoribonuclease Dicer</t>
  </si>
  <si>
    <t>51571541</t>
  </si>
  <si>
    <t xml:space="preserve">death-inducer obliterator 1 isoform 2 </t>
  </si>
  <si>
    <t>76096375</t>
  </si>
  <si>
    <t xml:space="preserve">death-inducer obliterator 1 isoform 3 </t>
  </si>
  <si>
    <t>21313560</t>
  </si>
  <si>
    <t xml:space="preserve">probable dimethyladenosine transferase </t>
  </si>
  <si>
    <t>359807008</t>
  </si>
  <si>
    <t xml:space="preserve">disco-interacting protein 2 homolog A </t>
  </si>
  <si>
    <t>226823258</t>
  </si>
  <si>
    <t xml:space="preserve">disco-interacting protein 2 homolog B isoform 1 </t>
  </si>
  <si>
    <t>226823266</t>
  </si>
  <si>
    <t xml:space="preserve">disco-interacting protein 2 homolog B isoform 2 </t>
  </si>
  <si>
    <t>21644583</t>
  </si>
  <si>
    <t xml:space="preserve">GTP-binding protein Di-Ras1 </t>
  </si>
  <si>
    <t>71725385</t>
  </si>
  <si>
    <t xml:space="preserve">GTP-binding protein Di-Ras2 </t>
  </si>
  <si>
    <t>145207992</t>
  </si>
  <si>
    <t>exosome complex exonuclease RRP44</t>
  </si>
  <si>
    <t>27369724</t>
  </si>
  <si>
    <t xml:space="preserve">DIS3-like exonuclease 1 isoform 2 </t>
  </si>
  <si>
    <t>295293138</t>
  </si>
  <si>
    <t xml:space="preserve">DIS3-like exonuclease 1 isoform 1 </t>
  </si>
  <si>
    <t>24233556</t>
  </si>
  <si>
    <t xml:space="preserve">DIS3-like exonuclease 2 isoform 2 </t>
  </si>
  <si>
    <t>288541376</t>
  </si>
  <si>
    <t xml:space="preserve">DIS3-like exonuclease 2 isoform 1 </t>
  </si>
  <si>
    <t>91064867</t>
  </si>
  <si>
    <t xml:space="preserve">H/ACA ribonucleoprotein complex subunit 4 </t>
  </si>
  <si>
    <t>257796245</t>
  </si>
  <si>
    <t>dihydrolipoyllysine-residue acetyltransferase component of pyruvate dehydrogenase complex, mitochondrial</t>
  </si>
  <si>
    <t>113195692</t>
  </si>
  <si>
    <t>rho GTPase-activating protein 7 isoform 2</t>
  </si>
  <si>
    <t>302699221</t>
  </si>
  <si>
    <t>rho GTPase-activating protein 7 isoform 1</t>
  </si>
  <si>
    <t>302699225</t>
  </si>
  <si>
    <t>rho GTPase-activating protein 7 isoform 3</t>
  </si>
  <si>
    <t>31982856</t>
  </si>
  <si>
    <t>dihydrolipoyl dehydrogenase, mitochondrial precursor</t>
  </si>
  <si>
    <t>356995919</t>
  </si>
  <si>
    <t>disks large homolog 1 isoform 3</t>
  </si>
  <si>
    <t>356995921</t>
  </si>
  <si>
    <t>disks large homolog 1 isoform 4</t>
  </si>
  <si>
    <t>356995923</t>
  </si>
  <si>
    <t>disks large homolog 1 isoform 5</t>
  </si>
  <si>
    <t>356995917</t>
  </si>
  <si>
    <t>disks large homolog 1 isoform 2</t>
  </si>
  <si>
    <t>40254642</t>
  </si>
  <si>
    <t>disks large homolog 1 isoform 1</t>
  </si>
  <si>
    <t>118136297</t>
  </si>
  <si>
    <t>disks large homolog 2 isoform 1</t>
  </si>
  <si>
    <t>340007425</t>
  </si>
  <si>
    <t>disks large homolog 2 isoform 2</t>
  </si>
  <si>
    <t>340007427</t>
  </si>
  <si>
    <t>disks large homolog 2 isoform 3</t>
  </si>
  <si>
    <t>295293129</t>
  </si>
  <si>
    <t>disks large homolog 3 isoform 4</t>
  </si>
  <si>
    <t>295293124</t>
  </si>
  <si>
    <t>disks large homolog 3 isoform 2</t>
  </si>
  <si>
    <t>295293127</t>
  </si>
  <si>
    <t>disks large homolog 3 isoform 3</t>
  </si>
  <si>
    <t>7949129</t>
  </si>
  <si>
    <t>disks large homolog 3 isoform 1</t>
  </si>
  <si>
    <t>254588083</t>
  </si>
  <si>
    <t>discs large homolog 5 isoform 1</t>
  </si>
  <si>
    <t>254588085</t>
  </si>
  <si>
    <t>discs large homolog 5 isoform 2</t>
  </si>
  <si>
    <t>464397471</t>
  </si>
  <si>
    <t>disks large-associated protein 4 isoform d</t>
  </si>
  <si>
    <t>464398772</t>
  </si>
  <si>
    <t>disks large-associated protein 4 isoform e</t>
  </si>
  <si>
    <t>109891940</t>
  </si>
  <si>
    <t>disks large-associated protein 4 isoform b</t>
  </si>
  <si>
    <t>109891942</t>
  </si>
  <si>
    <t>disks large-associated protein 4 isoform c</t>
  </si>
  <si>
    <t>62530192</t>
  </si>
  <si>
    <t>disks large-associated protein 4 isoform a</t>
  </si>
  <si>
    <t>225543150</t>
  </si>
  <si>
    <t>disks large-associated protein 5</t>
  </si>
  <si>
    <t>21313536</t>
  </si>
  <si>
    <t>dihydrolipoyllysine-residue succinyltransferase component of 2-oxoglutarate dehydrogenase complex, mitochondrial</t>
  </si>
  <si>
    <t>6681203</t>
  </si>
  <si>
    <t xml:space="preserve">dystrophin </t>
  </si>
  <si>
    <t>283837769</t>
  </si>
  <si>
    <t xml:space="preserve">DNA replication ATP-dependent helicase/nuclease DNA2 </t>
  </si>
  <si>
    <t>13386136</t>
  </si>
  <si>
    <t xml:space="preserve">dynein assembly factor 1, axonemal </t>
  </si>
  <si>
    <t>66793421</t>
  </si>
  <si>
    <t>protein kintoun</t>
  </si>
  <si>
    <t>256773234</t>
  </si>
  <si>
    <t xml:space="preserve">dynein, axonemal, heavy chain 1 </t>
  </si>
  <si>
    <t>254692843</t>
  </si>
  <si>
    <t xml:space="preserve">dynein heavy chain 10, axonemal </t>
  </si>
  <si>
    <t>393794754</t>
  </si>
  <si>
    <t xml:space="preserve">dynein, axonemal, heavy chain 11 </t>
  </si>
  <si>
    <t>283837762</t>
  </si>
  <si>
    <t xml:space="preserve">dynein heavy chain 17, axonemal </t>
  </si>
  <si>
    <t>342672105</t>
  </si>
  <si>
    <t xml:space="preserve">dynein heavy chain 5, axonemal </t>
  </si>
  <si>
    <t>153792273</t>
  </si>
  <si>
    <t xml:space="preserve">dynein heavy chain 8, axonemal </t>
  </si>
  <si>
    <t>153791933</t>
  </si>
  <si>
    <t xml:space="preserve">dynein heavy chain 9, axonemal </t>
  </si>
  <si>
    <t>407262105</t>
  </si>
  <si>
    <t>PREDICTED: dynein heavy chain 12, axonemal</t>
  </si>
  <si>
    <t>407264021</t>
  </si>
  <si>
    <t>377833725</t>
  </si>
  <si>
    <t>PREDICTED: dynein heavy chain 14, axonemal</t>
  </si>
  <si>
    <t>377834821</t>
  </si>
  <si>
    <t>6680297;258547146</t>
  </si>
  <si>
    <t>dnaJ homolog subfamily A member 1</t>
  </si>
  <si>
    <t>258547146</t>
  </si>
  <si>
    <t>9789937</t>
  </si>
  <si>
    <t>dnaJ homolog subfamily A member 2</t>
  </si>
  <si>
    <t>205361112</t>
  </si>
  <si>
    <t xml:space="preserve">dnaJ homolog subfamily A member 3, mitochondrial isoform 1 </t>
  </si>
  <si>
    <t>205361114</t>
  </si>
  <si>
    <t xml:space="preserve">dnaJ homolog subfamily A member 3, mitochondrial isoform 2 </t>
  </si>
  <si>
    <t>9055242</t>
  </si>
  <si>
    <t>dnaJ homolog subfamily B member 1</t>
  </si>
  <si>
    <t>110625998</t>
  </si>
  <si>
    <t xml:space="preserve">dnaJ homolog subfamily B member 11 precursor </t>
  </si>
  <si>
    <t>31982701</t>
  </si>
  <si>
    <t>dnaJ homolog subfamily B member 12</t>
  </si>
  <si>
    <t>229577334;30017349</t>
  </si>
  <si>
    <t>dnaJ homolog subfamily B member 2 isoform 2</t>
  </si>
  <si>
    <t>30017349</t>
  </si>
  <si>
    <t>229577329</t>
  </si>
  <si>
    <t>dnaJ homolog subfamily B member 2 isoform 1</t>
  </si>
  <si>
    <t>229577332</t>
  </si>
  <si>
    <t>dnaJ homolog subfamily B member 2 isoform 3</t>
  </si>
  <si>
    <t>21313156;165377271</t>
  </si>
  <si>
    <t>dnaJ homolog subfamily B member 4</t>
  </si>
  <si>
    <t>165377271</t>
  </si>
  <si>
    <t>188219642</t>
  </si>
  <si>
    <t>dnaJ homolog subfamily B member 6 isoform b</t>
  </si>
  <si>
    <t>188219644</t>
  </si>
  <si>
    <t>dnaJ homolog subfamily B member 6 isoform d</t>
  </si>
  <si>
    <t>83816903</t>
  </si>
  <si>
    <t>dnaJ homolog subfamily B member 6 isoform c</t>
  </si>
  <si>
    <t>83816907</t>
  </si>
  <si>
    <t>dnaJ homolog subfamily B member 6 isoform a</t>
  </si>
  <si>
    <t>119392096</t>
  </si>
  <si>
    <t>dnaJ homolog subfamily B member 7</t>
  </si>
  <si>
    <t>7106295</t>
  </si>
  <si>
    <t xml:space="preserve">dnaJ homolog subfamily C member 1 precursor </t>
  </si>
  <si>
    <t>119508443</t>
  </si>
  <si>
    <t xml:space="preserve">dnaJ homolog subfamily C member 10 precursor </t>
  </si>
  <si>
    <t>164565394</t>
  </si>
  <si>
    <t>dnaJ homolog subfamily C member 11</t>
  </si>
  <si>
    <t>247494234</t>
  </si>
  <si>
    <t xml:space="preserve">DnaJ (Hsp40) homolog, subfamily C, member 13 </t>
  </si>
  <si>
    <t>71061474</t>
  </si>
  <si>
    <t xml:space="preserve">mitochondrial import inner membrane translocase subunit TIM14 isoform 2 </t>
  </si>
  <si>
    <t>309268906</t>
  </si>
  <si>
    <t>PREDICTED: mitochondrial import inner membrane translocase subunit TIM14-like</t>
  </si>
  <si>
    <t>6677659</t>
  </si>
  <si>
    <t>dnaJ homolog subfamily C member 2</t>
  </si>
  <si>
    <t>190194391</t>
  </si>
  <si>
    <t xml:space="preserve">DnaJ (Hsp40) homolog, subfamily C, member 21 </t>
  </si>
  <si>
    <t>21729759</t>
  </si>
  <si>
    <t>dnaJ homolog subfamily C member 24</t>
  </si>
  <si>
    <t>239985468</t>
  </si>
  <si>
    <t xml:space="preserve">dnaJ homolog subfamily C member 25 precursor </t>
  </si>
  <si>
    <t>31542563</t>
  </si>
  <si>
    <t xml:space="preserve">dnaJ homolog subfamily C member 3 precursor </t>
  </si>
  <si>
    <t>10181196</t>
  </si>
  <si>
    <t>dnaJ homolog subfamily C member 4</t>
  </si>
  <si>
    <t>7949027</t>
  </si>
  <si>
    <t>dnaJ homolog subfamily C member 5</t>
  </si>
  <si>
    <t>31980994</t>
  </si>
  <si>
    <t>dnaJ homolog subfamily C member 7</t>
  </si>
  <si>
    <t>157951606</t>
  </si>
  <si>
    <t>dnaJ homolog subfamily C member 8</t>
  </si>
  <si>
    <t>23956266</t>
  </si>
  <si>
    <t>dnaJ homolog subfamily C member 9</t>
  </si>
  <si>
    <t>164607162</t>
  </si>
  <si>
    <t xml:space="preserve">dynein light chain 1, axonemal </t>
  </si>
  <si>
    <t>148539953</t>
  </si>
  <si>
    <t xml:space="preserve">deoxyribonuclease-1-like 2 precursor </t>
  </si>
  <si>
    <t>6753654</t>
  </si>
  <si>
    <t>deoxyribonuclease-2-alpha precursor</t>
  </si>
  <si>
    <t>110625712</t>
  </si>
  <si>
    <t>DNL-type zinc finger protein isoform 1</t>
  </si>
  <si>
    <t>218777849</t>
  </si>
  <si>
    <t>DNL-type zinc finger protein isoform 2</t>
  </si>
  <si>
    <t>218777851</t>
  </si>
  <si>
    <t>DNL-type zinc finger protein isoform 3</t>
  </si>
  <si>
    <t>116063570</t>
  </si>
  <si>
    <t xml:space="preserve">dynamin-1 </t>
  </si>
  <si>
    <t>448261635</t>
  </si>
  <si>
    <t>dynamin-1-like protein isoform c</t>
  </si>
  <si>
    <t>448261637</t>
  </si>
  <si>
    <t>dynamin-1-like protein isoform d</t>
  </si>
  <si>
    <t>71061455</t>
  </si>
  <si>
    <t>dynamin-1-like protein isoform b</t>
  </si>
  <si>
    <t>71061458</t>
  </si>
  <si>
    <t>dynamin-1-like protein isoform a</t>
  </si>
  <si>
    <t>359751391</t>
  </si>
  <si>
    <t xml:space="preserve">dynamin-2 isoform 1 </t>
  </si>
  <si>
    <t>359751394</t>
  </si>
  <si>
    <t xml:space="preserve">dynamin-2 isoform 3 </t>
  </si>
  <si>
    <t>359751399</t>
  </si>
  <si>
    <t xml:space="preserve">dynamin-2 isoform 4 </t>
  </si>
  <si>
    <t>87299637</t>
  </si>
  <si>
    <t xml:space="preserve">dynamin-2 isoform 2 </t>
  </si>
  <si>
    <t>27369922</t>
  </si>
  <si>
    <t xml:space="preserve">dynamin-3 isoform 2 </t>
  </si>
  <si>
    <t>84490431</t>
  </si>
  <si>
    <t xml:space="preserve">dynamin-3 isoform 1 </t>
  </si>
  <si>
    <t>313661497</t>
  </si>
  <si>
    <t xml:space="preserve">DNA (cytosine-5)-methyltransferase 1 isoform 3 </t>
  </si>
  <si>
    <t>313661499</t>
  </si>
  <si>
    <t xml:space="preserve">DNA (cytosine-5)-methyltransferase 1 isoform 4 </t>
  </si>
  <si>
    <t>327180732</t>
  </si>
  <si>
    <t xml:space="preserve">DNA (cytosine-5)-methyltransferase 1 isoform 1 </t>
  </si>
  <si>
    <t>327180734</t>
  </si>
  <si>
    <t xml:space="preserve">DNA (cytosine-5)-methyltransferase 1 isoform 2 </t>
  </si>
  <si>
    <t>161016820</t>
  </si>
  <si>
    <t>aspartyl aminopeptidase isoform b</t>
  </si>
  <si>
    <t>161016822</t>
  </si>
  <si>
    <t>aspartyl aminopeptidase isoform a</t>
  </si>
  <si>
    <t>110625744</t>
  </si>
  <si>
    <t>2'-deoxynucleoside 5'-phosphate N-hydrolase 1</t>
  </si>
  <si>
    <t>24418931</t>
  </si>
  <si>
    <t>deoxynucleotidyltransferase terminal-interacting protein 2</t>
  </si>
  <si>
    <t>88853584</t>
  </si>
  <si>
    <t xml:space="preserve">dedicator of cytokinesis protein 1 </t>
  </si>
  <si>
    <t>148277096</t>
  </si>
  <si>
    <t xml:space="preserve">dedicator of cytokinesis protein 3 </t>
  </si>
  <si>
    <t>124358946</t>
  </si>
  <si>
    <t xml:space="preserve">dedicator of cytokinesis protein 5 </t>
  </si>
  <si>
    <t>78191789</t>
  </si>
  <si>
    <t xml:space="preserve">dedicator of cytokinesis protein 7 </t>
  </si>
  <si>
    <t>62241030</t>
  </si>
  <si>
    <t xml:space="preserve">dedicator of cytokinesis protein 8 </t>
  </si>
  <si>
    <t>124486664</t>
  </si>
  <si>
    <t xml:space="preserve">dedicator of cytokinesis protein 9 isoform 1 </t>
  </si>
  <si>
    <t>190194397</t>
  </si>
  <si>
    <t xml:space="preserve">dedicator of cytokinesis protein 9 isoform 2 </t>
  </si>
  <si>
    <t>190194399</t>
  </si>
  <si>
    <t xml:space="preserve">dedicator of cytokinesis protein 9 isoform 3 </t>
  </si>
  <si>
    <t>190194401</t>
  </si>
  <si>
    <t xml:space="preserve">dedicator of cytokinesis protein 9 isoform 4 </t>
  </si>
  <si>
    <t>284005490</t>
  </si>
  <si>
    <t>deoxyhypusine hydroxylase</t>
  </si>
  <si>
    <t>190194414</t>
  </si>
  <si>
    <t>protein dopey-1</t>
  </si>
  <si>
    <t>62243808</t>
  </si>
  <si>
    <t>protein dopey-2 isoform 1</t>
  </si>
  <si>
    <t>31541998</t>
  </si>
  <si>
    <t>protein DPCD</t>
  </si>
  <si>
    <t>21313683</t>
  </si>
  <si>
    <t xml:space="preserve">dipeptidase 3 precursor </t>
  </si>
  <si>
    <t>6755314</t>
  </si>
  <si>
    <t>zinc finger protein ubi-d4</t>
  </si>
  <si>
    <t>118026919</t>
  </si>
  <si>
    <t>diphthamide biosynthesis protein 1</t>
  </si>
  <si>
    <t>33468993</t>
  </si>
  <si>
    <t>diphthamide biosynthesis protein 2</t>
  </si>
  <si>
    <t>40254183</t>
  </si>
  <si>
    <t>diphthine synthase</t>
  </si>
  <si>
    <t>13385136</t>
  </si>
  <si>
    <t>ATP-binding domain-containing protein 4</t>
  </si>
  <si>
    <t>21313066</t>
  </si>
  <si>
    <t>WD repeat-containing protein 85</t>
  </si>
  <si>
    <t>6753670</t>
  </si>
  <si>
    <t>dolichol-phosphate mannosyltransferase</t>
  </si>
  <si>
    <t>58037125</t>
  </si>
  <si>
    <t xml:space="preserve">dolichol-phosphate mannosyltransferase subunit 3 precursor </t>
  </si>
  <si>
    <t>244791124</t>
  </si>
  <si>
    <t xml:space="preserve">dipeptidyl peptidase 3 </t>
  </si>
  <si>
    <t>227116292</t>
  </si>
  <si>
    <t xml:space="preserve">dipeptidyl peptidase 4 isoform 2 </t>
  </si>
  <si>
    <t>6753674</t>
  </si>
  <si>
    <t xml:space="preserve">dipeptidyl peptidase 4 isoform 1 </t>
  </si>
  <si>
    <t>31981425</t>
  </si>
  <si>
    <t>dipeptidyl peptidase 2 precursor</t>
  </si>
  <si>
    <t>255003757</t>
  </si>
  <si>
    <t xml:space="preserve">dipeptidyl peptidase 9 </t>
  </si>
  <si>
    <t>226246654</t>
  </si>
  <si>
    <t xml:space="preserve">protein dpy-30 homolog </t>
  </si>
  <si>
    <t>40254595</t>
  </si>
  <si>
    <t xml:space="preserve">dihydropyrimidinase-related protein 2 </t>
  </si>
  <si>
    <t>209862992</t>
  </si>
  <si>
    <t xml:space="preserve">dihydropyrimidinase-related protein 3 isoform 1 </t>
  </si>
  <si>
    <t>6681219</t>
  </si>
  <si>
    <t xml:space="preserve">dihydropyrimidinase-related protein 3 isoform 2 </t>
  </si>
  <si>
    <t>12746424</t>
  </si>
  <si>
    <t xml:space="preserve">dihydropyrimidinase-related protein 5 </t>
  </si>
  <si>
    <t>27754097</t>
  </si>
  <si>
    <t>protein Dr1</t>
  </si>
  <si>
    <t>21313106</t>
  </si>
  <si>
    <t>DNA damage-regulated autophagy modulator protein 2 isoform 2</t>
  </si>
  <si>
    <t>70980526</t>
  </si>
  <si>
    <t>DNA damage-regulated autophagy modulator protein 2 isoform 1</t>
  </si>
  <si>
    <t>21313424</t>
  </si>
  <si>
    <t>dr1-associated corepressor</t>
  </si>
  <si>
    <t>6681225</t>
  </si>
  <si>
    <t>developmentally-regulated GTP-binding protein 1</t>
  </si>
  <si>
    <t>10946678</t>
  </si>
  <si>
    <t>developmentally-regulated GTP-binding protein 2</t>
  </si>
  <si>
    <t>194328670</t>
  </si>
  <si>
    <t>ribonuclease 3</t>
  </si>
  <si>
    <t>62821774</t>
  </si>
  <si>
    <t xml:space="preserve">sister chromatid cohesion protein DCC1 </t>
  </si>
  <si>
    <t>6681145</t>
  </si>
  <si>
    <t xml:space="preserve">Down syndrome critical region protein 3 homolog </t>
  </si>
  <si>
    <t>169234958</t>
  </si>
  <si>
    <t>desmoglein-1-alpha precursor</t>
  </si>
  <si>
    <t>32129201</t>
  </si>
  <si>
    <t>desmoglein-1-beta precursor</t>
  </si>
  <si>
    <t>161016843</t>
  </si>
  <si>
    <t>desmoglein-2 precursor</t>
  </si>
  <si>
    <t>254540034</t>
  </si>
  <si>
    <t>kinetochore-associated protein DSN1 homolog</t>
  </si>
  <si>
    <t>190194418</t>
  </si>
  <si>
    <t xml:space="preserve">desmoplakin </t>
  </si>
  <si>
    <t>454525117</t>
  </si>
  <si>
    <t xml:space="preserve">dystonin isoform 1 </t>
  </si>
  <si>
    <t>111154076</t>
  </si>
  <si>
    <t xml:space="preserve">dystonin isoform 2 </t>
  </si>
  <si>
    <t>111154082</t>
  </si>
  <si>
    <t xml:space="preserve">dystonin isoform 3 </t>
  </si>
  <si>
    <t>9790219</t>
  </si>
  <si>
    <t xml:space="preserve">destrin </t>
  </si>
  <si>
    <t>13384676</t>
  </si>
  <si>
    <t xml:space="preserve">D-tyrosyl-tRNA(Tyr) deacylase 1 </t>
  </si>
  <si>
    <t>31324532</t>
  </si>
  <si>
    <t>probable D-tyrosyl-tRNA(Tyr) deacylase 2</t>
  </si>
  <si>
    <t>46519164</t>
  </si>
  <si>
    <t>dystrobrevin alpha isoform 1</t>
  </si>
  <si>
    <t>247269547</t>
  </si>
  <si>
    <t>dystrobrevin beta isoform b</t>
  </si>
  <si>
    <t>247269964</t>
  </si>
  <si>
    <t>dystrobrevin beta isoform a</t>
  </si>
  <si>
    <t>133930784</t>
  </si>
  <si>
    <t>E3 ubiquitin-protein ligase DTX3L</t>
  </si>
  <si>
    <t>12963517</t>
  </si>
  <si>
    <t>thymidylate kinase isoform 2</t>
  </si>
  <si>
    <t>157785665</t>
  </si>
  <si>
    <t>thymidylate kinase isoform 1</t>
  </si>
  <si>
    <t>31980834</t>
  </si>
  <si>
    <t xml:space="preserve">tRNA-dihydrouridine(16/17) synthase [NAD(P)(+)]-like </t>
  </si>
  <si>
    <t>255003775</t>
  </si>
  <si>
    <t xml:space="preserve">tRNA-dihydrouridine(47) synthase [NAD(P)(+)]-like </t>
  </si>
  <si>
    <t>19527288</t>
  </si>
  <si>
    <t xml:space="preserve">dual specificity protein phosphatase 22 isoform b </t>
  </si>
  <si>
    <t>83816915</t>
  </si>
  <si>
    <t xml:space="preserve">dual specificity protein phosphatase 22 isoform a </t>
  </si>
  <si>
    <t>29171320</t>
  </si>
  <si>
    <t>dual specificity phosphatase 28</t>
  </si>
  <si>
    <t>21312314</t>
  </si>
  <si>
    <t xml:space="preserve">dual specificity protein phosphatase 3 </t>
  </si>
  <si>
    <t>21281687</t>
  </si>
  <si>
    <t>deoxyuridine triphosphatase isoform 2</t>
  </si>
  <si>
    <t>227497222</t>
  </si>
  <si>
    <t>deoxyuridine triphosphatase isoform 1</t>
  </si>
  <si>
    <t>87299588</t>
  </si>
  <si>
    <t>segment polarity protein dishevelled homolog DVL-2</t>
  </si>
  <si>
    <t>117168287</t>
  </si>
  <si>
    <t>segment polarity protein dishevelled homolog DVL-3</t>
  </si>
  <si>
    <t>254939704</t>
  </si>
  <si>
    <t>protein Dom3Z</t>
  </si>
  <si>
    <t>25282389</t>
  </si>
  <si>
    <t xml:space="preserve">dymeclin </t>
  </si>
  <si>
    <t>134288917</t>
  </si>
  <si>
    <t>cytoplasmic dynein 1 heavy chain 1</t>
  </si>
  <si>
    <t>311893374</t>
  </si>
  <si>
    <t>cytoplasmic dynein 1 intermediate chain 2 isoform 1</t>
  </si>
  <si>
    <t>311893376</t>
  </si>
  <si>
    <t>cytoplasmic dynein 1 intermediate chain 2 isoform 2</t>
  </si>
  <si>
    <t>311893378</t>
  </si>
  <si>
    <t>cytoplasmic dynein 1 intermediate chain 2 isoform 3</t>
  </si>
  <si>
    <t>311893380</t>
  </si>
  <si>
    <t>cytoplasmic dynein 1 intermediate chain 2 isoform 4</t>
  </si>
  <si>
    <t>6753658</t>
  </si>
  <si>
    <t>cytoplasmic dynein 1 intermediate chain 2 isoform 5</t>
  </si>
  <si>
    <t>22122795</t>
  </si>
  <si>
    <t xml:space="preserve">cytoplasmic dynein 1 light intermediate chain 1 </t>
  </si>
  <si>
    <t>225543181</t>
  </si>
  <si>
    <t xml:space="preserve">cytoplasmic dynein 1 light intermediate chain 2 </t>
  </si>
  <si>
    <t>72534792</t>
  </si>
  <si>
    <t>cytoplasmic dynein 2 heavy chain 1</t>
  </si>
  <si>
    <t>26986541</t>
  </si>
  <si>
    <t xml:space="preserve">cytoplasmic dynein 2 light intermediate chain 1 </t>
  </si>
  <si>
    <t>213688406</t>
  </si>
  <si>
    <t xml:space="preserve">dynein light chain 1, cytoplasmic </t>
  </si>
  <si>
    <t>281182473;18087731</t>
  </si>
  <si>
    <t xml:space="preserve">dynein light chain 2, cytoplasmic </t>
  </si>
  <si>
    <t>18087731</t>
  </si>
  <si>
    <t>254540041</t>
  </si>
  <si>
    <t xml:space="preserve">dynein light chain roadblock-type 1 </t>
  </si>
  <si>
    <t>262231815</t>
  </si>
  <si>
    <t xml:space="preserve">dynein light chain Tctex-type 1A </t>
  </si>
  <si>
    <t>6678265;262231815</t>
  </si>
  <si>
    <t xml:space="preserve">dynein light chain Tctex-type 1 </t>
  </si>
  <si>
    <t>315711043</t>
  </si>
  <si>
    <t xml:space="preserve">dynein light chain Tctex-type 1F isoform 2 </t>
  </si>
  <si>
    <t>31543851</t>
  </si>
  <si>
    <t xml:space="preserve">dynein light chain Tctex-type 3 </t>
  </si>
  <si>
    <t>164607150</t>
  </si>
  <si>
    <t xml:space="preserve">dual specificity tyrosine-phosphorylation-regulated kinase 1A </t>
  </si>
  <si>
    <t>406035327</t>
  </si>
  <si>
    <t xml:space="preserve">dual specificity tyrosine-phosphorylation-regulated kinase 1B isoform c </t>
  </si>
  <si>
    <t>6753698</t>
  </si>
  <si>
    <t xml:space="preserve">dual specificity tyrosine-phosphorylation-regulated kinase 1B isoform a </t>
  </si>
  <si>
    <t>83816922</t>
  </si>
  <si>
    <t xml:space="preserve">dual specificity tyrosine-phosphorylation-regulated kinase 1B isoform b </t>
  </si>
  <si>
    <t>116174791</t>
  </si>
  <si>
    <t xml:space="preserve">dysferlin isoform 1 </t>
  </si>
  <si>
    <t>118026931</t>
  </si>
  <si>
    <t xml:space="preserve">dysferlin isoform 2 </t>
  </si>
  <si>
    <t>124249054</t>
  </si>
  <si>
    <t>E3 ubiquitin-protein ligase DZIP3 isoform 2</t>
  </si>
  <si>
    <t>158517947</t>
  </si>
  <si>
    <t>E3 ubiquitin-protein ligase DZIP3 isoform 1</t>
  </si>
  <si>
    <t>149234198</t>
  </si>
  <si>
    <t>PREDICTED: rootletin</t>
  </si>
  <si>
    <t>309264118</t>
  </si>
  <si>
    <t>170650679</t>
  </si>
  <si>
    <t>uncharacterized protein C7orf26 homolog</t>
  </si>
  <si>
    <t>29244450</t>
  </si>
  <si>
    <t>uncharacterized protein C3orf33 homolog</t>
  </si>
  <si>
    <t>319402141</t>
  </si>
  <si>
    <t>ubiquitin-conjugating enzyme E2 Q2-like</t>
  </si>
  <si>
    <t>46048300</t>
  </si>
  <si>
    <t>WASH complex subunit strumpellin</t>
  </si>
  <si>
    <t>21312986</t>
  </si>
  <si>
    <t xml:space="preserve">probable glutamate--tRNA ligase, mitochondrial precursor </t>
  </si>
  <si>
    <t>31982524</t>
  </si>
  <si>
    <t xml:space="preserve">receptor-binding cancer antigen expressed on SiSo cells </t>
  </si>
  <si>
    <t>6681255</t>
  </si>
  <si>
    <t xml:space="preserve">3-beta-hydroxysteroid-Delta(8),Delta(7)-isomerase </t>
  </si>
  <si>
    <t>7949037</t>
  </si>
  <si>
    <t>delta(3,5)-Delta(2,4)-dienoyl-CoA isomerase, mitochondrial precursor</t>
  </si>
  <si>
    <t>158854020</t>
  </si>
  <si>
    <t>ethylmalonyl-CoA decarboxylase isoform a</t>
  </si>
  <si>
    <t>158854022</t>
  </si>
  <si>
    <t>ethylmalonyl-CoA decarboxylase isoform b</t>
  </si>
  <si>
    <t>225543400</t>
  </si>
  <si>
    <t xml:space="preserve">enoyl-CoA hydratase domain-containing protein 2, mitochondrial isoform 1 precursor </t>
  </si>
  <si>
    <t>363543337</t>
  </si>
  <si>
    <t>enoyl-CoA hydratase domain-containing protein 2, mitochondrial isoform 2</t>
  </si>
  <si>
    <t>31980955</t>
  </si>
  <si>
    <t xml:space="preserve">enoyl-CoA hydratase domain-containing protein 3, mitochondrial precursor </t>
  </si>
  <si>
    <t>29789289</t>
  </si>
  <si>
    <t>enoyl-CoA hydratase, mitochondrial precursor</t>
  </si>
  <si>
    <t>31981810</t>
  </si>
  <si>
    <t>enoyl-CoA delta isomerase 1, mitochondrial precursor</t>
  </si>
  <si>
    <t>160333193</t>
  </si>
  <si>
    <t xml:space="preserve">enoyl-CoA delta isomerase 2, mitochondrial isoform a </t>
  </si>
  <si>
    <t>160333195</t>
  </si>
  <si>
    <t xml:space="preserve">enoyl-CoA delta isomerase 2, mitochondrial isoform b </t>
  </si>
  <si>
    <t>21312210</t>
  </si>
  <si>
    <t xml:space="preserve">enoyl-Coenzyme A delta isomerase 3 </t>
  </si>
  <si>
    <t>6755522</t>
  </si>
  <si>
    <t xml:space="preserve">evolutionarily conserved signaling intermediate in Toll pathway, mitochondrial precursor </t>
  </si>
  <si>
    <t>24418913</t>
  </si>
  <si>
    <t xml:space="preserve">enhancer of mRNA-decapping protein 3 </t>
  </si>
  <si>
    <t>31712002</t>
  </si>
  <si>
    <t xml:space="preserve">enhancer of mRNA-decapping protein 4 </t>
  </si>
  <si>
    <t>10946942</t>
  </si>
  <si>
    <t>endothelial differentiation-related factor 1</t>
  </si>
  <si>
    <t>50053824</t>
  </si>
  <si>
    <t>early endosome antigen 1</t>
  </si>
  <si>
    <t>6681273</t>
  </si>
  <si>
    <t>elongation factor 1-alpha 2</t>
  </si>
  <si>
    <t>31980922</t>
  </si>
  <si>
    <t xml:space="preserve">elongation factor 1-beta </t>
  </si>
  <si>
    <t>549806736</t>
  </si>
  <si>
    <t xml:space="preserve">elongation factor 1-delta isoform d </t>
  </si>
  <si>
    <t>549806774</t>
  </si>
  <si>
    <t xml:space="preserve">elongation factor 1-delta isoform c </t>
  </si>
  <si>
    <t>54287684</t>
  </si>
  <si>
    <t xml:space="preserve">elongation factor 1-delta isoform b </t>
  </si>
  <si>
    <t>56699438</t>
  </si>
  <si>
    <t xml:space="preserve">elongation factor 1-delta isoform a </t>
  </si>
  <si>
    <t>13384756</t>
  </si>
  <si>
    <t>eukaryotic translation elongation factor 1 epsilon-1</t>
  </si>
  <si>
    <t>110625979</t>
  </si>
  <si>
    <t xml:space="preserve">elongation factor 1-gamma </t>
  </si>
  <si>
    <t>33859482</t>
  </si>
  <si>
    <t xml:space="preserve">elongation factor 2 </t>
  </si>
  <si>
    <t>6681275</t>
  </si>
  <si>
    <t xml:space="preserve">eukaryotic elongation factor 2 kinase </t>
  </si>
  <si>
    <t>12746442</t>
  </si>
  <si>
    <t xml:space="preserve">selenocysteine-specific elongation factor </t>
  </si>
  <si>
    <t>13386360</t>
  </si>
  <si>
    <t>EF-hand domain-containing protein D1</t>
  </si>
  <si>
    <t>31981086</t>
  </si>
  <si>
    <t>EF-hand domain-containing protein D2</t>
  </si>
  <si>
    <t>31542597</t>
  </si>
  <si>
    <t>ephrin-B2 precursor</t>
  </si>
  <si>
    <t>54020730</t>
  </si>
  <si>
    <t>protein EFR3 homolog A</t>
  </si>
  <si>
    <t>227908782</t>
  </si>
  <si>
    <t xml:space="preserve">elongation factor Tu GTP-binding domain-containing protein 1 </t>
  </si>
  <si>
    <t>158508674</t>
  </si>
  <si>
    <t xml:space="preserve">116 kDa U5 small nuclear ribonucleoprotein component isoform b </t>
  </si>
  <si>
    <t>6755594</t>
  </si>
  <si>
    <t xml:space="preserve">116 kDa U5 small nuclear ribonucleoprotein component isoform a </t>
  </si>
  <si>
    <t>46560582</t>
  </si>
  <si>
    <t xml:space="preserve">epidermal growth factor receptor isoform 1 precursor </t>
  </si>
  <si>
    <t>6681283</t>
  </si>
  <si>
    <t xml:space="preserve">epidermal growth factor receptor isoform 2 precursor </t>
  </si>
  <si>
    <t>158303306</t>
  </si>
  <si>
    <t>egl nine homolog 1</t>
  </si>
  <si>
    <t>167736351</t>
  </si>
  <si>
    <t>EH domain-binding protein 1-like protein 1 isoform a</t>
  </si>
  <si>
    <t>7106303</t>
  </si>
  <si>
    <t>EH domain-containing protein 1</t>
  </si>
  <si>
    <t>55742711</t>
  </si>
  <si>
    <t>EH domain-containing protein 2</t>
  </si>
  <si>
    <t>215983062</t>
  </si>
  <si>
    <t>EH domain-containing protein 3</t>
  </si>
  <si>
    <t>31981592</t>
  </si>
  <si>
    <t>EH domain-containing protein 4</t>
  </si>
  <si>
    <t>31541815</t>
  </si>
  <si>
    <t xml:space="preserve">peroxisomal bifunctional enzyme </t>
  </si>
  <si>
    <t>313747488</t>
  </si>
  <si>
    <t xml:space="preserve">etoposide-induced protein 2.4 </t>
  </si>
  <si>
    <t>22165347</t>
  </si>
  <si>
    <t xml:space="preserve">eukaryotic translation initiation factor 1 </t>
  </si>
  <si>
    <t>158631225</t>
  </si>
  <si>
    <t xml:space="preserve">eukaryotic translation initiation factor 1A </t>
  </si>
  <si>
    <t>58037183</t>
  </si>
  <si>
    <t>probable RNA-binding protein EIF1AD</t>
  </si>
  <si>
    <t>31541824</t>
  </si>
  <si>
    <t>eukaryotic translation initiation factor 1A, X-chromosomal</t>
  </si>
  <si>
    <t>21312159</t>
  </si>
  <si>
    <t xml:space="preserve">eukaryotic translation initiation factor 1b </t>
  </si>
  <si>
    <t>54020676</t>
  </si>
  <si>
    <t xml:space="preserve">eukaryotic translation initiation factor 2A </t>
  </si>
  <si>
    <t>6755160</t>
  </si>
  <si>
    <t xml:space="preserve">interferon-induced, double-stranded RNA-activated protein kinase </t>
  </si>
  <si>
    <t>166851838</t>
  </si>
  <si>
    <t xml:space="preserve">eukaryotic translation initiation factor 2-alpha kinase 4 isoform 1 </t>
  </si>
  <si>
    <t>295317391</t>
  </si>
  <si>
    <t xml:space="preserve">eukaryotic translation initiation factor 2-alpha kinase 4 isoform 2 </t>
  </si>
  <si>
    <t>21703744</t>
  </si>
  <si>
    <t>translation initiation factor eIF-2B subunit alpha</t>
  </si>
  <si>
    <t>21703888</t>
  </si>
  <si>
    <t>translation initiation factor eIF-2B subunit beta</t>
  </si>
  <si>
    <t>110626005</t>
  </si>
  <si>
    <t>eukaryotic translation initiation factor 2B, subunit 3 gamma isoform 2</t>
  </si>
  <si>
    <t>162287102</t>
  </si>
  <si>
    <t>eukaryotic translation initiation factor 2B, subunit 3 gamma isoform 1</t>
  </si>
  <si>
    <t>188219551</t>
  </si>
  <si>
    <t>translation initiation factor eIF-2B subunit delta isoform 2</t>
  </si>
  <si>
    <t>188219553</t>
  </si>
  <si>
    <t>translation initiation factor eIF-2B subunit delta isoform 1</t>
  </si>
  <si>
    <t>26986557</t>
  </si>
  <si>
    <t>translation initiation factor eIF-2B subunit epsilon</t>
  </si>
  <si>
    <t>209862947</t>
  </si>
  <si>
    <t xml:space="preserve">eukaryotic translation initiation factor 2D isoform 1 </t>
  </si>
  <si>
    <t>229577222</t>
  </si>
  <si>
    <t xml:space="preserve">eukaryotic translation initiation factor 2D isoform 2 </t>
  </si>
  <si>
    <t>13385624</t>
  </si>
  <si>
    <t xml:space="preserve">eukaryotic translation initiation factor 2 subunit 1 </t>
  </si>
  <si>
    <t>14149756</t>
  </si>
  <si>
    <t xml:space="preserve">eukaryotic translation initiation factor 2 subunit 2 </t>
  </si>
  <si>
    <t>6753738</t>
  </si>
  <si>
    <t>eukaryotic translation initiation factor 2 subunit 3, X-linked</t>
  </si>
  <si>
    <t>7242148</t>
  </si>
  <si>
    <t>eukaryotic translation initiation factor 2 subunit 3, Y-linked</t>
  </si>
  <si>
    <t>146219837</t>
  </si>
  <si>
    <t xml:space="preserve">eukaryotic translation initiation factor 3 subunit A </t>
  </si>
  <si>
    <t>29789343</t>
  </si>
  <si>
    <t xml:space="preserve">eukaryotic translation initiation factor 3 subunit B </t>
  </si>
  <si>
    <t>22203755</t>
  </si>
  <si>
    <t xml:space="preserve">eukaryotic translation initiation factor 3 subunit C </t>
  </si>
  <si>
    <t>125628629</t>
  </si>
  <si>
    <t xml:space="preserve">eukaryotic translation initiation factor 3 subunit D </t>
  </si>
  <si>
    <t>45476573</t>
  </si>
  <si>
    <t xml:space="preserve">eukaryotic translation initiation factor 3 subunit E </t>
  </si>
  <si>
    <t>225637531</t>
  </si>
  <si>
    <t xml:space="preserve">eukaryotic translation initiation factor 3 subunit F </t>
  </si>
  <si>
    <t>31980808</t>
  </si>
  <si>
    <t xml:space="preserve">eukaryotic translation initiation factor 3 subunit G </t>
  </si>
  <si>
    <t>18079341</t>
  </si>
  <si>
    <t xml:space="preserve">eukaryotic translation initiation factor 3 subunit H </t>
  </si>
  <si>
    <t>9055370</t>
  </si>
  <si>
    <t xml:space="preserve">eukaryotic translation initiation factor 3 subunit I </t>
  </si>
  <si>
    <t>124244040</t>
  </si>
  <si>
    <t xml:space="preserve">eukaryotic translation initiation factor 3 subunit J </t>
  </si>
  <si>
    <t>365906249</t>
  </si>
  <si>
    <t xml:space="preserve">eukaryotic translation initiation factor 3 subunit J-B </t>
  </si>
  <si>
    <t>552953694</t>
  </si>
  <si>
    <t xml:space="preserve">eukaryotic translation initiation factor 3 subunit K isoform 3 </t>
  </si>
  <si>
    <t>553727155</t>
  </si>
  <si>
    <t xml:space="preserve">eukaryotic translation initiation factor 3 subunit K isoform 2 </t>
  </si>
  <si>
    <t>21312044</t>
  </si>
  <si>
    <t xml:space="preserve">eukaryotic translation initiation factor 3 subunit K </t>
  </si>
  <si>
    <t>51093840</t>
  </si>
  <si>
    <t xml:space="preserve">eukaryotic translation initiation factor 3 subunit L </t>
  </si>
  <si>
    <t>21703762</t>
  </si>
  <si>
    <t xml:space="preserve">eukaryotic translation initiation factor 3 subunit M </t>
  </si>
  <si>
    <t>21450625</t>
  </si>
  <si>
    <t>eukaryotic initiation factor 4A-I isoform 1</t>
  </si>
  <si>
    <t>226823309</t>
  </si>
  <si>
    <t>eukaryotic initiation factor 4A-I isoform 2</t>
  </si>
  <si>
    <t>176865892</t>
  </si>
  <si>
    <t>eukaryotic initiation factor 4A-II isoform a</t>
  </si>
  <si>
    <t>176865998</t>
  </si>
  <si>
    <t>eukaryotic initiation factor 4A-II isoform b</t>
  </si>
  <si>
    <t>176866061</t>
  </si>
  <si>
    <t>eukaryotic initiation factor 4A-II isoform c</t>
  </si>
  <si>
    <t>20149756</t>
  </si>
  <si>
    <t>eukaryotic initiation factor 4A-III</t>
  </si>
  <si>
    <t>167234372</t>
  </si>
  <si>
    <t xml:space="preserve">eukaryotic translation initiation factor 4B </t>
  </si>
  <si>
    <t>83627717</t>
  </si>
  <si>
    <t xml:space="preserve">eukaryotic translation initiation factor 4E </t>
  </si>
  <si>
    <t>85677506</t>
  </si>
  <si>
    <t xml:space="preserve">eukaryotic translation initiation factor 4E type 2 isoform 3 </t>
  </si>
  <si>
    <t>85677508</t>
  </si>
  <si>
    <t xml:space="preserve">eukaryotic translation initiation factor 4E type 2 isoform 2 </t>
  </si>
  <si>
    <t>85677510</t>
  </si>
  <si>
    <t xml:space="preserve">eukaryotic translation initiation factor 4E type 2 isoform 1 </t>
  </si>
  <si>
    <t>6753742</t>
  </si>
  <si>
    <t xml:space="preserve">eukaryotic translation initiation factor 4E-binding protein 2 </t>
  </si>
  <si>
    <t>56699432</t>
  </si>
  <si>
    <t xml:space="preserve">eukaryotic translation initiation factor 4 gamma 1 isoform a </t>
  </si>
  <si>
    <t>56699434</t>
  </si>
  <si>
    <t xml:space="preserve">eukaryotic translation initiation factor 4 gamma 1 isoform b </t>
  </si>
  <si>
    <t>110630015</t>
  </si>
  <si>
    <t xml:space="preserve">eukaryotic translation initiation factor 4 gamma 2 isoform 2 </t>
  </si>
  <si>
    <t>34486094</t>
  </si>
  <si>
    <t xml:space="preserve">eukaryotic translation initiation factor 4 gamma 2 isoform 1 </t>
  </si>
  <si>
    <t>371875676</t>
  </si>
  <si>
    <t xml:space="preserve">eukaryotic translation initiation factor 4 gamma 3 isoform 2 </t>
  </si>
  <si>
    <t>371876057</t>
  </si>
  <si>
    <t xml:space="preserve">eukaryotic translation initiation factor 4 gamma 3 isoform 3 </t>
  </si>
  <si>
    <t>50838806</t>
  </si>
  <si>
    <t xml:space="preserve">eukaryotic translation initiation factor 4 gamma 3 isoform 1 </t>
  </si>
  <si>
    <t>15808988</t>
  </si>
  <si>
    <t xml:space="preserve">eukaryotic translation initiation factor 4H </t>
  </si>
  <si>
    <t>262359891</t>
  </si>
  <si>
    <t xml:space="preserve">eukaryotic translation initiation factor 5A-1 </t>
  </si>
  <si>
    <t>262359891;31712036</t>
  </si>
  <si>
    <t>31712036;262359891</t>
  </si>
  <si>
    <t>29243942</t>
  </si>
  <si>
    <t xml:space="preserve">eukaryotic translation initiation factor 5A-2 </t>
  </si>
  <si>
    <t>84043961</t>
  </si>
  <si>
    <t xml:space="preserve">eukaryotic translation initiation factor 5B </t>
  </si>
  <si>
    <t>27501448</t>
  </si>
  <si>
    <t xml:space="preserve">eukaryotic translation initiation factor 6 </t>
  </si>
  <si>
    <t>257153445</t>
  </si>
  <si>
    <t xml:space="preserve">zinc phosphodiesterase ELAC protein 2 </t>
  </si>
  <si>
    <t>31542602</t>
  </si>
  <si>
    <t xml:space="preserve">ELAV-like protein 1 </t>
  </si>
  <si>
    <t>124358953</t>
  </si>
  <si>
    <t>RNA polymerase II elongation factor ELL</t>
  </si>
  <si>
    <t>46877043</t>
  </si>
  <si>
    <t>engulfment and cell motility protein 2 isoform 3</t>
  </si>
  <si>
    <t>46877050</t>
  </si>
  <si>
    <t>engulfment and cell motility protein 2 isoform 1</t>
  </si>
  <si>
    <t>46877052</t>
  </si>
  <si>
    <t>engulfment and cell motility protein 2 isoform 2</t>
  </si>
  <si>
    <t>255683297</t>
  </si>
  <si>
    <t>engulfment and cell motility protein 3</t>
  </si>
  <si>
    <t>283436077</t>
  </si>
  <si>
    <t>ELMO domain-containing protein 2</t>
  </si>
  <si>
    <t>25140989</t>
  </si>
  <si>
    <t xml:space="preserve">transcription elongation factor 1 homolog </t>
  </si>
  <si>
    <t>85702351</t>
  </si>
  <si>
    <t xml:space="preserve">elongation of very long chain fatty acids protein 1 isoform 2 </t>
  </si>
  <si>
    <t>9507145</t>
  </si>
  <si>
    <t xml:space="preserve">elongation of very long chain fatty acids protein 1 isoform 1 </t>
  </si>
  <si>
    <t>148540000</t>
  </si>
  <si>
    <t xml:space="preserve">elongation of very long chain fatty acids protein 7 </t>
  </si>
  <si>
    <t>134032030</t>
  </si>
  <si>
    <t>elongator complex protein 2</t>
  </si>
  <si>
    <t>33469023</t>
  </si>
  <si>
    <t>elongator complex protein 3 isoform 2</t>
  </si>
  <si>
    <t>359465533</t>
  </si>
  <si>
    <t>elongator complex protein 3 isoform 1</t>
  </si>
  <si>
    <t>31542608</t>
  </si>
  <si>
    <t>elongator complex protein 4</t>
  </si>
  <si>
    <t>244790025</t>
  </si>
  <si>
    <t>elongator complex protein 5 isoform 1</t>
  </si>
  <si>
    <t>358498583</t>
  </si>
  <si>
    <t>elongator complex protein 5 isoform 2</t>
  </si>
  <si>
    <t>145587074</t>
  </si>
  <si>
    <t>elongator complex protein 6</t>
  </si>
  <si>
    <t>31542273</t>
  </si>
  <si>
    <t xml:space="preserve">ER membrane protein complex subunit 1 isoform 1 precursor </t>
  </si>
  <si>
    <t>85861260</t>
  </si>
  <si>
    <t xml:space="preserve">ER membrane protein complex subunit 1 isoform 2 precursor </t>
  </si>
  <si>
    <t>13385196</t>
  </si>
  <si>
    <t>ER membrane protein complex subunit 2</t>
  </si>
  <si>
    <t>28827824</t>
  </si>
  <si>
    <t>ER membrane protein complex subunit 3</t>
  </si>
  <si>
    <t>13386014</t>
  </si>
  <si>
    <t>ER membrane protein complex subunit 4</t>
  </si>
  <si>
    <t>13384684</t>
  </si>
  <si>
    <t>ER membrane protein complex subunit 6</t>
  </si>
  <si>
    <t>19526956</t>
  </si>
  <si>
    <t xml:space="preserve">ER membrane protein complex subunit 7 precursor </t>
  </si>
  <si>
    <t>6754870</t>
  </si>
  <si>
    <t>ER membrane protein complex subunit 8</t>
  </si>
  <si>
    <t>6679641</t>
  </si>
  <si>
    <t xml:space="preserve">emerin </t>
  </si>
  <si>
    <t>7305109</t>
  </si>
  <si>
    <t>ribosomal RNA small subunit methyltransferase NEP1</t>
  </si>
  <si>
    <t>244790233</t>
  </si>
  <si>
    <t>echinoderm microtubule-associated protein-like 2 isoform 1</t>
  </si>
  <si>
    <t>244790299</t>
  </si>
  <si>
    <t>echinoderm microtubule-associated protein-like 2 isoform 2</t>
  </si>
  <si>
    <t>21450111</t>
  </si>
  <si>
    <t>echinoderm microtubule-associated protein-like 3</t>
  </si>
  <si>
    <t>167234433</t>
  </si>
  <si>
    <t>echinoderm microtubule-associated protein-like 4 isoform 3</t>
  </si>
  <si>
    <t>167234435</t>
  </si>
  <si>
    <t>echinoderm microtubule-associated protein-like 4 isoform 1</t>
  </si>
  <si>
    <t>167234437</t>
  </si>
  <si>
    <t>echinoderm microtubule-associated protein-like 4 isoform 2</t>
  </si>
  <si>
    <t>133778926</t>
  </si>
  <si>
    <t xml:space="preserve">protein enabled homolog isoform 1 </t>
  </si>
  <si>
    <t>133778939</t>
  </si>
  <si>
    <t xml:space="preserve">protein enabled homolog isoform 2 </t>
  </si>
  <si>
    <t>133778997</t>
  </si>
  <si>
    <t xml:space="preserve">protein enabled homolog isoform 4 </t>
  </si>
  <si>
    <t>133779002</t>
  </si>
  <si>
    <t xml:space="preserve">protein enabled homolog isoform 3 </t>
  </si>
  <si>
    <t>160333729</t>
  </si>
  <si>
    <t xml:space="preserve">endonuclease domain-containing 1 protein precursor </t>
  </si>
  <si>
    <t>27369816</t>
  </si>
  <si>
    <t>cytosolic endo-beta-N-acetylglucosaminidase</t>
  </si>
  <si>
    <t>158853992;70794816</t>
  </si>
  <si>
    <t xml:space="preserve">alpha-enolase </t>
  </si>
  <si>
    <t>7305027</t>
  </si>
  <si>
    <t xml:space="preserve">gamma-enolase </t>
  </si>
  <si>
    <t>6679651</t>
  </si>
  <si>
    <t xml:space="preserve">beta-enolase </t>
  </si>
  <si>
    <t>6679651;209862931</t>
  </si>
  <si>
    <t>209862931;6679651</t>
  </si>
  <si>
    <t xml:space="preserve">beta-enolase isoform 2 </t>
  </si>
  <si>
    <t>251823872</t>
  </si>
  <si>
    <t>enolase-phosphatase E1</t>
  </si>
  <si>
    <t>84872231</t>
  </si>
  <si>
    <t>ectonucleotide pyrophosphatase/phosphodiesterase family member 4 precursor</t>
  </si>
  <si>
    <t>14030779</t>
  </si>
  <si>
    <t>ectonucleotide pyrophosphatase/phosphodiesterase family member 5 precursor</t>
  </si>
  <si>
    <t>71892414</t>
  </si>
  <si>
    <t>ectonucleotide pyrophosphatase/phosphodiesterase family member 7 precursor</t>
  </si>
  <si>
    <t>71061466</t>
  </si>
  <si>
    <t xml:space="preserve">alpha-endosulfine isoform b </t>
  </si>
  <si>
    <t>9624979</t>
  </si>
  <si>
    <t xml:space="preserve">alpha-endosulfine isoform a </t>
  </si>
  <si>
    <t>161484610</t>
  </si>
  <si>
    <t xml:space="preserve">ectonucleoside triphosphate diphosphohydrolase 2 precursor </t>
  </si>
  <si>
    <t>71061460</t>
  </si>
  <si>
    <t>ectonucleoside triphosphate diphosphohydrolase 5 isoform a</t>
  </si>
  <si>
    <t>71061462</t>
  </si>
  <si>
    <t xml:space="preserve">ectonucleoside triphosphate diphosphohydrolase 5 isoform b precursor </t>
  </si>
  <si>
    <t>30023855</t>
  </si>
  <si>
    <t xml:space="preserve">enhancer of yellow 2 transcription factor homolog </t>
  </si>
  <si>
    <t>94421034</t>
  </si>
  <si>
    <t xml:space="preserve">histone acetyltransferase p300 </t>
  </si>
  <si>
    <t>190684669</t>
  </si>
  <si>
    <t>protein 4.1 isoform 1</t>
  </si>
  <si>
    <t>190684673</t>
  </si>
  <si>
    <t>protein 4.1 isoform 3</t>
  </si>
  <si>
    <t>190881478</t>
  </si>
  <si>
    <t>protein 4.1 isoform 2</t>
  </si>
  <si>
    <t>54873604</t>
  </si>
  <si>
    <t>band 4.1-like protein 1 isoform b</t>
  </si>
  <si>
    <t>7305029</t>
  </si>
  <si>
    <t>band 4.1-like protein 1 isoform a</t>
  </si>
  <si>
    <t>312922373</t>
  </si>
  <si>
    <t>band 4.1-like protein 2</t>
  </si>
  <si>
    <t>7305031</t>
  </si>
  <si>
    <t>band 4.1-like protein 3</t>
  </si>
  <si>
    <t>87042272</t>
  </si>
  <si>
    <t>band 4.1-like protein 4A</t>
  </si>
  <si>
    <t>169234799</t>
  </si>
  <si>
    <t>band 4.1-like protein 4B</t>
  </si>
  <si>
    <t>164663872</t>
  </si>
  <si>
    <t>band 4.1-like protein 5 isoform 2</t>
  </si>
  <si>
    <t>30841014</t>
  </si>
  <si>
    <t>band 4.1-like protein 5 isoform 1</t>
  </si>
  <si>
    <t>112293275</t>
  </si>
  <si>
    <t xml:space="preserve">epithelial cell adhesion molecule precursor </t>
  </si>
  <si>
    <t>282165729</t>
  </si>
  <si>
    <t xml:space="preserve">mammalian ependymin-related protein 1 precursor </t>
  </si>
  <si>
    <t>32484983</t>
  </si>
  <si>
    <t xml:space="preserve">ephrin type-A receptor 2 precursor </t>
  </si>
  <si>
    <t>34328113</t>
  </si>
  <si>
    <t xml:space="preserve">ephrin type-A receptor 4 precursor </t>
  </si>
  <si>
    <t>145312274</t>
  </si>
  <si>
    <t>ephrin type-A receptor 6</t>
  </si>
  <si>
    <t>171541811</t>
  </si>
  <si>
    <t xml:space="preserve">ephrin type-A receptor 7 isoform 1 precursor </t>
  </si>
  <si>
    <t>269973846</t>
  </si>
  <si>
    <t xml:space="preserve">ephrin type-B receptor 1 isoform 1 precursor </t>
  </si>
  <si>
    <t>269973848</t>
  </si>
  <si>
    <t xml:space="preserve">ephrin type-B receptor 1 isoform 2 precursor </t>
  </si>
  <si>
    <t>47777351</t>
  </si>
  <si>
    <t xml:space="preserve">ephrin type-B receptor 2 precursor </t>
  </si>
  <si>
    <t>33859548</t>
  </si>
  <si>
    <t xml:space="preserve">ephrin type-B receptor 3 precursor </t>
  </si>
  <si>
    <t>227330573</t>
  </si>
  <si>
    <t xml:space="preserve">ephrin type-B receptor 4 isoform b precursor </t>
  </si>
  <si>
    <t>227330575</t>
  </si>
  <si>
    <t xml:space="preserve">ephrin type-B receptor 4 isoform a precursor </t>
  </si>
  <si>
    <t>226437667</t>
  </si>
  <si>
    <t xml:space="preserve">ephrin type-B receptor 6 precursor </t>
  </si>
  <si>
    <t>6753762</t>
  </si>
  <si>
    <t>epoxide hydrolase 1 precursor</t>
  </si>
  <si>
    <t>30424918</t>
  </si>
  <si>
    <t xml:space="preserve">EPM2A-interacting protein 1 </t>
  </si>
  <si>
    <t>356995862;46195711</t>
  </si>
  <si>
    <t xml:space="preserve">epsin-1 </t>
  </si>
  <si>
    <t>46195711</t>
  </si>
  <si>
    <t>33468893</t>
  </si>
  <si>
    <t xml:space="preserve">epsin-2 isoform 2 </t>
  </si>
  <si>
    <t>356582234</t>
  </si>
  <si>
    <t xml:space="preserve">epsin-2 isoform 1 </t>
  </si>
  <si>
    <t>356582238</t>
  </si>
  <si>
    <t xml:space="preserve">epsin-2 isoform 3 </t>
  </si>
  <si>
    <t>30794400</t>
  </si>
  <si>
    <t xml:space="preserve">epsin-3 </t>
  </si>
  <si>
    <t>37537522</t>
  </si>
  <si>
    <t xml:space="preserve">epiplakin </t>
  </si>
  <si>
    <t>82617575</t>
  </si>
  <si>
    <t xml:space="preserve">bifunctional glutamate/proline--tRNA ligase </t>
  </si>
  <si>
    <t>229577163</t>
  </si>
  <si>
    <t>epidermal growth factor receptor substrate 15 isoform B</t>
  </si>
  <si>
    <t>6679671</t>
  </si>
  <si>
    <t>epidermal growth factor receptor substrate 15 isoform A</t>
  </si>
  <si>
    <t>170784834</t>
  </si>
  <si>
    <t xml:space="preserve">epidermal growth factor receptor substrate 15-like 1 isoform a </t>
  </si>
  <si>
    <t>170784836</t>
  </si>
  <si>
    <t xml:space="preserve">epidermal growth factor receptor substrate 15-like 1 isoform b </t>
  </si>
  <si>
    <t>18874094</t>
  </si>
  <si>
    <t xml:space="preserve">epidermal growth factor receptor kinase substrate 8-like protein 1 </t>
  </si>
  <si>
    <t>21040233</t>
  </si>
  <si>
    <t xml:space="preserve">epidermal growth factor receptor kinase substrate 8-like protein 2 </t>
  </si>
  <si>
    <t>19527082</t>
  </si>
  <si>
    <t xml:space="preserve">epidermal growth factor receptor kinase substrate 8-like protein 3 </t>
  </si>
  <si>
    <t>165377197</t>
  </si>
  <si>
    <t xml:space="preserve">GTPase Era, mitochondrial </t>
  </si>
  <si>
    <t>13507656</t>
  </si>
  <si>
    <t>endoplasmic reticulum aminopeptidase 1</t>
  </si>
  <si>
    <t>54873610</t>
  </si>
  <si>
    <t xml:space="preserve">receptor tyrosine-protein kinase erbB-2 precursor </t>
  </si>
  <si>
    <t>54607112</t>
  </si>
  <si>
    <t>protein LAP2 isoform 2</t>
  </si>
  <si>
    <t>54607114</t>
  </si>
  <si>
    <t>protein LAP2 isoform 1</t>
  </si>
  <si>
    <t>146134398</t>
  </si>
  <si>
    <t xml:space="preserve">receptor tyrosine-protein kinase erbB-4 precursor </t>
  </si>
  <si>
    <t>120300971</t>
  </si>
  <si>
    <t>ELKS/Rab6-interacting/CAST family member 1 isoform 1</t>
  </si>
  <si>
    <t>30017397</t>
  </si>
  <si>
    <t>ELKS/Rab6-interacting/CAST family member 1 isoform 2</t>
  </si>
  <si>
    <t>37360977</t>
  </si>
  <si>
    <t xml:space="preserve">ERC protein 2 </t>
  </si>
  <si>
    <t>31542614</t>
  </si>
  <si>
    <t>TFIIH basal transcription factor complex helicase XPD subunit</t>
  </si>
  <si>
    <t>241666402</t>
  </si>
  <si>
    <t>DNA repair endonuclease XPF</t>
  </si>
  <si>
    <t>27414501</t>
  </si>
  <si>
    <t xml:space="preserve">DNA excision repair protein ERCC-6-like </t>
  </si>
  <si>
    <t>13385678</t>
  </si>
  <si>
    <t>endoplasmic reticulum-Golgi intermediate compartment protein 1</t>
  </si>
  <si>
    <t>21312962</t>
  </si>
  <si>
    <t>endoplasmic reticulum-Golgi intermediate compartment protein 2 isoform 1</t>
  </si>
  <si>
    <t>66773206</t>
  </si>
  <si>
    <t>endoplasmic reticulum-Golgi intermediate compartment protein 2 isoform 2</t>
  </si>
  <si>
    <t>13384938</t>
  </si>
  <si>
    <t>endoplasmic reticulum-Golgi intermediate compartment protein 3</t>
  </si>
  <si>
    <t>6679685</t>
  </si>
  <si>
    <t>enhancer of rudimentary homolog</t>
  </si>
  <si>
    <t>165905605</t>
  </si>
  <si>
    <t xml:space="preserve">3'-5' exoribonuclease 1 </t>
  </si>
  <si>
    <t>114205437</t>
  </si>
  <si>
    <t xml:space="preserve">endoplasmic reticulum lectin 1 precursor </t>
  </si>
  <si>
    <t>256355015;256355012</t>
  </si>
  <si>
    <t xml:space="preserve">erlin-1 </t>
  </si>
  <si>
    <t>23956396</t>
  </si>
  <si>
    <t xml:space="preserve">erlin-2 </t>
  </si>
  <si>
    <t>124487057</t>
  </si>
  <si>
    <t>endoplasmic reticulum metallopeptidase 1</t>
  </si>
  <si>
    <t>7657067</t>
  </si>
  <si>
    <t>ERO1-like protein alpha precursor</t>
  </si>
  <si>
    <t>38348230</t>
  </si>
  <si>
    <t>ERO1-like protein beta precursor</t>
  </si>
  <si>
    <t>19526463</t>
  </si>
  <si>
    <t>endoplasmic reticulum resident protein 29 precursor</t>
  </si>
  <si>
    <t>19072792</t>
  </si>
  <si>
    <t>endoplasmic reticulum resident protein 44 precursor</t>
  </si>
  <si>
    <t>550544230</t>
  </si>
  <si>
    <t>S-formylglutathione hydrolase isoform 1</t>
  </si>
  <si>
    <t>13937355</t>
  </si>
  <si>
    <t>S-formylglutathione hydrolase</t>
  </si>
  <si>
    <t>165972311</t>
  </si>
  <si>
    <t xml:space="preserve">epithelial splicing regulatory protein 1 </t>
  </si>
  <si>
    <t>28849887</t>
  </si>
  <si>
    <t xml:space="preserve">epithelial splicing regulatory protein 2 </t>
  </si>
  <si>
    <t>112293262</t>
  </si>
  <si>
    <t>steroid hormone receptor ERR1</t>
  </si>
  <si>
    <t>226958365</t>
  </si>
  <si>
    <t>steroid hormone receptor ERR2 isoform 1</t>
  </si>
  <si>
    <t>226958367</t>
  </si>
  <si>
    <t>steroid hormone receptor ERR2 isoform 2</t>
  </si>
  <si>
    <t>344925886</t>
  </si>
  <si>
    <t xml:space="preserve">estrogen-related receptor gamma isoform 2 </t>
  </si>
  <si>
    <t>6753774</t>
  </si>
  <si>
    <t>estrogen-related receptor gamma isoform1</t>
  </si>
  <si>
    <t>33859650</t>
  </si>
  <si>
    <t>extended synaptotagmin-1</t>
  </si>
  <si>
    <t>67782360</t>
  </si>
  <si>
    <t>extended synaptotagmin-2</t>
  </si>
  <si>
    <t>124286826</t>
  </si>
  <si>
    <t xml:space="preserve">eukaryotic peptide chain release factor subunit 1 </t>
  </si>
  <si>
    <t>227500281</t>
  </si>
  <si>
    <t>electron transfer flavoprotein subunit alpha, mitochondrial</t>
  </si>
  <si>
    <t>38142460</t>
  </si>
  <si>
    <t xml:space="preserve">electron transfer flavoprotein subunit beta </t>
  </si>
  <si>
    <t>254588014</t>
  </si>
  <si>
    <t>electron transfer flavoprotein-ubiquinone oxidoreductase, mitochondrial precursor</t>
  </si>
  <si>
    <t>12963539</t>
  </si>
  <si>
    <t xml:space="preserve">persulfide dioxygenase ETHE1, mitochondrial precursor </t>
  </si>
  <si>
    <t>226371696</t>
  </si>
  <si>
    <t xml:space="preserve">ethanolamine kinase 1 </t>
  </si>
  <si>
    <t>84370337</t>
  </si>
  <si>
    <t xml:space="preserve">transcription factor ETV6 </t>
  </si>
  <si>
    <t>254281243</t>
  </si>
  <si>
    <t>ena/VASP-like protein isoform 1</t>
  </si>
  <si>
    <t>254281245</t>
  </si>
  <si>
    <t>ena/VASP-like protein isoform 2</t>
  </si>
  <si>
    <t>254281247</t>
  </si>
  <si>
    <t>ena/VASP-like protein isoform 3</t>
  </si>
  <si>
    <t>254281249</t>
  </si>
  <si>
    <t>ena/VASP-like protein isoform 4</t>
  </si>
  <si>
    <t>111185907</t>
  </si>
  <si>
    <t xml:space="preserve">envoplakin </t>
  </si>
  <si>
    <t>545687694</t>
  </si>
  <si>
    <t xml:space="preserve">RNA-binding protein EWS isoform 1 </t>
  </si>
  <si>
    <t>545688864</t>
  </si>
  <si>
    <t xml:space="preserve">RNA-binding protein EWS isoform 3 </t>
  </si>
  <si>
    <t>88853581</t>
  </si>
  <si>
    <t xml:space="preserve">RNA-binding protein EWS </t>
  </si>
  <si>
    <t>237681098</t>
  </si>
  <si>
    <t xml:space="preserve">exonuclease 3'-5' domain-containing protein 2 </t>
  </si>
  <si>
    <t>89111939</t>
  </si>
  <si>
    <t>exocyst complex component 1</t>
  </si>
  <si>
    <t>21313438</t>
  </si>
  <si>
    <t>exocyst complex component 2</t>
  </si>
  <si>
    <t>84579825</t>
  </si>
  <si>
    <t>exocyst complex component 3</t>
  </si>
  <si>
    <t>309265796</t>
  </si>
  <si>
    <t>PREDICTED: exocyst complex component 3-like 2</t>
  </si>
  <si>
    <t>83921574</t>
  </si>
  <si>
    <t>exocyst complex component 4</t>
  </si>
  <si>
    <t>46402177</t>
  </si>
  <si>
    <t>exocyst complex component 5</t>
  </si>
  <si>
    <t>62526126</t>
  </si>
  <si>
    <t>exocyst complex component 6</t>
  </si>
  <si>
    <t>226371698</t>
  </si>
  <si>
    <t>exocyst complex component 6B</t>
  </si>
  <si>
    <t>247269408</t>
  </si>
  <si>
    <t>exocyst complex component 7 isoform 1</t>
  </si>
  <si>
    <t>247269443</t>
  </si>
  <si>
    <t>exocyst complex component 7 isoform 2</t>
  </si>
  <si>
    <t>37674218</t>
  </si>
  <si>
    <t>exocyst complex component 8</t>
  </si>
  <si>
    <t>27369613</t>
  </si>
  <si>
    <t>nuclease EXOG, mitochondrial isoform 2 precursor</t>
  </si>
  <si>
    <t>287327708</t>
  </si>
  <si>
    <t>nuclease EXOG, mitochondrial isoform 1 precursor</t>
  </si>
  <si>
    <t>22267446</t>
  </si>
  <si>
    <t>exosome complex component CSL4 isoform 1</t>
  </si>
  <si>
    <t>257096005</t>
  </si>
  <si>
    <t>exosome complex component CSL4 isoform 2</t>
  </si>
  <si>
    <t>227116266</t>
  </si>
  <si>
    <t xml:space="preserve">exosome component 10 </t>
  </si>
  <si>
    <t>21450259</t>
  </si>
  <si>
    <t>exosome complex component RRP4</t>
  </si>
  <si>
    <t>39930417</t>
  </si>
  <si>
    <t>exosome complex component RRP40</t>
  </si>
  <si>
    <t>29611663</t>
  </si>
  <si>
    <t>exosome complex component RRP41</t>
  </si>
  <si>
    <t>20070392</t>
  </si>
  <si>
    <t>exosome complex component RRP46</t>
  </si>
  <si>
    <t>30794378</t>
  </si>
  <si>
    <t>exosome complex component MTR3</t>
  </si>
  <si>
    <t>124487127</t>
  </si>
  <si>
    <t>exosome complex exonuclease RRP42</t>
  </si>
  <si>
    <t>254675240</t>
  </si>
  <si>
    <t>exosome complex component RRP43 isoform 1</t>
  </si>
  <si>
    <t>254692991</t>
  </si>
  <si>
    <t>exosome complex component RRP43 isoform 2</t>
  </si>
  <si>
    <t>9506981</t>
  </si>
  <si>
    <t>exosome complex component RRP45</t>
  </si>
  <si>
    <t>254553481</t>
  </si>
  <si>
    <t>exostosin-like 2 isoform a</t>
  </si>
  <si>
    <t>254553485</t>
  </si>
  <si>
    <t xml:space="preserve">exostosin-like 2 isoform b precursor </t>
  </si>
  <si>
    <t>46877074</t>
  </si>
  <si>
    <t>eyes absent homolog 3 isoform 2</t>
  </si>
  <si>
    <t>46877076</t>
  </si>
  <si>
    <t>eyes absent homolog 3 isoform 1</t>
  </si>
  <si>
    <t>46877080</t>
  </si>
  <si>
    <t>eyes absent homolog 3 isoform 3</t>
  </si>
  <si>
    <t>83921618</t>
  </si>
  <si>
    <t xml:space="preserve">ezrin </t>
  </si>
  <si>
    <t>27734847</t>
  </si>
  <si>
    <t xml:space="preserve">junctional adhesion molecule A precursor </t>
  </si>
  <si>
    <t>6753798</t>
  </si>
  <si>
    <t>prothrombin precursor</t>
  </si>
  <si>
    <t>170172540</t>
  </si>
  <si>
    <t xml:space="preserve">tissue factor precursor </t>
  </si>
  <si>
    <t>83921576</t>
  </si>
  <si>
    <t xml:space="preserve">factor VIII intron 22 protein </t>
  </si>
  <si>
    <t>226443015</t>
  </si>
  <si>
    <t>fatty-acid amide hydrolase 1</t>
  </si>
  <si>
    <t>22164784</t>
  </si>
  <si>
    <t>fatty acid desaturase 1</t>
  </si>
  <si>
    <t>9790071</t>
  </si>
  <si>
    <t>fatty acid desaturase 2</t>
  </si>
  <si>
    <t>40789280</t>
  </si>
  <si>
    <t xml:space="preserve">FAS-associated factor 1 </t>
  </si>
  <si>
    <t>158533976</t>
  </si>
  <si>
    <t xml:space="preserve">FAS-associated factor 2 </t>
  </si>
  <si>
    <t>240120112</t>
  </si>
  <si>
    <t xml:space="preserve">fumarylacetoacetase </t>
  </si>
  <si>
    <t>12963697</t>
  </si>
  <si>
    <t xml:space="preserve">acylpyruvase FAHD1, mitochondrial </t>
  </si>
  <si>
    <t>29366814</t>
  </si>
  <si>
    <t xml:space="preserve">fumarylacetoacetate hydrolase domain-containing protein 2A </t>
  </si>
  <si>
    <t>171184428</t>
  </si>
  <si>
    <t>fas apoptotic inhibitory molecule 1 Faim-S</t>
  </si>
  <si>
    <t>171184430</t>
  </si>
  <si>
    <t>fas apoptotic inhibitory molecule 1 Faim-L</t>
  </si>
  <si>
    <t>254675227</t>
  </si>
  <si>
    <t>protein FAM102B</t>
  </si>
  <si>
    <t>149588667</t>
  </si>
  <si>
    <t xml:space="preserve">uncharacterized protein LOC28081 </t>
  </si>
  <si>
    <t>13385088</t>
  </si>
  <si>
    <t>protein FAM107B</t>
  </si>
  <si>
    <t>170650597</t>
  </si>
  <si>
    <t>protein Noxp20</t>
  </si>
  <si>
    <t>21312816</t>
  </si>
  <si>
    <t>protein FAM114A2 isoform 2</t>
  </si>
  <si>
    <t>281183372</t>
  </si>
  <si>
    <t>protein FAM114A2 isoform 1</t>
  </si>
  <si>
    <t>19526958</t>
  </si>
  <si>
    <t>protein FAM118A isoform a</t>
  </si>
  <si>
    <t>30425122</t>
  </si>
  <si>
    <t>protein FAM118B isoform 2</t>
  </si>
  <si>
    <t>34787417</t>
  </si>
  <si>
    <t>protein FAM118B isoform 1</t>
  </si>
  <si>
    <t>126090857</t>
  </si>
  <si>
    <t>constitutive coactivator of PPAR-gamma-like protein 1</t>
  </si>
  <si>
    <t>126723307</t>
  </si>
  <si>
    <t>constitutive coactivator of PPAR-gamma-like protein 2</t>
  </si>
  <si>
    <t>117940063</t>
  </si>
  <si>
    <t xml:space="preserve">hyccin </t>
  </si>
  <si>
    <t>241982745</t>
  </si>
  <si>
    <t>protein Niban</t>
  </si>
  <si>
    <t>22122641</t>
  </si>
  <si>
    <t xml:space="preserve">niban-like protein 1 </t>
  </si>
  <si>
    <t>109948295</t>
  </si>
  <si>
    <t>protein FAM133B</t>
  </si>
  <si>
    <t>28077025</t>
  </si>
  <si>
    <t>protein FAM134C isoform 2</t>
  </si>
  <si>
    <t>21312666</t>
  </si>
  <si>
    <t>protein FAM134C isoform 1</t>
  </si>
  <si>
    <t>13385042</t>
  </si>
  <si>
    <t>protein FAM136A</t>
  </si>
  <si>
    <t>158341634</t>
  </si>
  <si>
    <t>protein FAM160A1</t>
  </si>
  <si>
    <t>166706907</t>
  </si>
  <si>
    <t>protein FAM160B1</t>
  </si>
  <si>
    <t>257196165</t>
  </si>
  <si>
    <t>protein FAM160B2</t>
  </si>
  <si>
    <t>21312546</t>
  </si>
  <si>
    <t>protein FAM162A</t>
  </si>
  <si>
    <t>66955879</t>
  </si>
  <si>
    <t>protein FAM173A</t>
  </si>
  <si>
    <t>21312640</t>
  </si>
  <si>
    <t>protein FAM173B</t>
  </si>
  <si>
    <t>347582639</t>
  </si>
  <si>
    <t>BRISC complex subunit Abro1</t>
  </si>
  <si>
    <t>37537562;153945763</t>
  </si>
  <si>
    <t>protein FAM177A1</t>
  </si>
  <si>
    <t>254939685</t>
  </si>
  <si>
    <t>protein FAM179B</t>
  </si>
  <si>
    <t>15277329</t>
  </si>
  <si>
    <t>protein FAM188A</t>
  </si>
  <si>
    <t>31560083</t>
  </si>
  <si>
    <t>protein FAM192A</t>
  </si>
  <si>
    <t>85701732</t>
  </si>
  <si>
    <t>protein FAM195B</t>
  </si>
  <si>
    <t>225903450</t>
  </si>
  <si>
    <t>protein FAM203A</t>
  </si>
  <si>
    <t>19527218</t>
  </si>
  <si>
    <t>protein FAM207A</t>
  </si>
  <si>
    <t>21703824</t>
  </si>
  <si>
    <t>glycosaminoglycan xylosylkinase</t>
  </si>
  <si>
    <t>167234439</t>
  </si>
  <si>
    <t>extracellular serine/threonine protein kinase FAM20C precursor</t>
  </si>
  <si>
    <t>267844902</t>
  </si>
  <si>
    <t>WASH complex subunit FAM21</t>
  </si>
  <si>
    <t>24418876</t>
  </si>
  <si>
    <t>protein FAM210A</t>
  </si>
  <si>
    <t>224967102</t>
  </si>
  <si>
    <t>protein FAM210B</t>
  </si>
  <si>
    <t>27229101</t>
  </si>
  <si>
    <t xml:space="preserve">redox-regulatory protein FAM213A </t>
  </si>
  <si>
    <t>13385950</t>
  </si>
  <si>
    <t>protein FAM32A</t>
  </si>
  <si>
    <t>21313538</t>
  </si>
  <si>
    <t xml:space="preserve">protein FAM3A precursor </t>
  </si>
  <si>
    <t>42734496</t>
  </si>
  <si>
    <t xml:space="preserve">protein FAM3C precursor </t>
  </si>
  <si>
    <t>268370235</t>
  </si>
  <si>
    <t>protein FAM45A isoform 1</t>
  </si>
  <si>
    <t>268370237</t>
  </si>
  <si>
    <t>protein FAM45A isoform 2</t>
  </si>
  <si>
    <t>31981350</t>
  </si>
  <si>
    <t>protein FAM49A</t>
  </si>
  <si>
    <t>21450053</t>
  </si>
  <si>
    <t>protein FAM49B</t>
  </si>
  <si>
    <t>262073031</t>
  </si>
  <si>
    <t>protein FAM50A</t>
  </si>
  <si>
    <t>227908825</t>
  </si>
  <si>
    <t>protein FAM50B</t>
  </si>
  <si>
    <t>300934856</t>
  </si>
  <si>
    <t>protein FAM63A isoform 1</t>
  </si>
  <si>
    <t>41680647</t>
  </si>
  <si>
    <t>protein FAM63A isoform 2</t>
  </si>
  <si>
    <t>118403316</t>
  </si>
  <si>
    <t>protein FAM63B</t>
  </si>
  <si>
    <t>145301546</t>
  </si>
  <si>
    <t>protein FAM65A</t>
  </si>
  <si>
    <t>28849885</t>
  </si>
  <si>
    <t>protein FAM76B</t>
  </si>
  <si>
    <t>269914116</t>
  </si>
  <si>
    <t>protein FAM83H</t>
  </si>
  <si>
    <t>242397444</t>
  </si>
  <si>
    <t xml:space="preserve">uncharacterized protein LOC399603 </t>
  </si>
  <si>
    <t>74315977</t>
  </si>
  <si>
    <t>protein FAM86A</t>
  </si>
  <si>
    <t>13386128</t>
  </si>
  <si>
    <t xml:space="preserve">MIP18 family protein FAM96A precursor </t>
  </si>
  <si>
    <t>21312046</t>
  </si>
  <si>
    <t>mitotic spindle-associated MMXD complex subunit MIP18</t>
  </si>
  <si>
    <t>139948818</t>
  </si>
  <si>
    <t>protein FAM98A</t>
  </si>
  <si>
    <t>61098124</t>
  </si>
  <si>
    <t>protein FAM98B</t>
  </si>
  <si>
    <t>225637492</t>
  </si>
  <si>
    <t xml:space="preserve">uncharacterized protein LOC73833 </t>
  </si>
  <si>
    <t>257467664</t>
  </si>
  <si>
    <t xml:space="preserve">fanconi-associated nuclease 1 </t>
  </si>
  <si>
    <t>126722700</t>
  </si>
  <si>
    <t>Fanconi anemia group I protein homolog</t>
  </si>
  <si>
    <t>74096448</t>
  </si>
  <si>
    <t>fatty acyl-CoA reductase 1</t>
  </si>
  <si>
    <t>110349752</t>
  </si>
  <si>
    <t xml:space="preserve">FERMRhoGEF (Arhgef) and pleckstrin domain protein 1 </t>
  </si>
  <si>
    <t>229892332</t>
  </si>
  <si>
    <t xml:space="preserve">FERM, RhoGEF and pleckstrin domain-containing protein 2 </t>
  </si>
  <si>
    <t>162138894</t>
  </si>
  <si>
    <t>phenylalanine--tRNA ligase alpha subunit</t>
  </si>
  <si>
    <t>31981400</t>
  </si>
  <si>
    <t>phenylalanine--tRNA ligase beta subunit</t>
  </si>
  <si>
    <t>93102409</t>
  </si>
  <si>
    <t xml:space="preserve">fatty acid synthase </t>
  </si>
  <si>
    <t>27369557</t>
  </si>
  <si>
    <t xml:space="preserve">FAST kinase domain-containing protein 2 </t>
  </si>
  <si>
    <t>157951641</t>
  </si>
  <si>
    <t>FAT tumor suppressor homolog 1 precursor</t>
  </si>
  <si>
    <t>237681133</t>
  </si>
  <si>
    <t xml:space="preserve">40S ribosomal protein S30 precursor </t>
  </si>
  <si>
    <t>144922653</t>
  </si>
  <si>
    <t xml:space="preserve">fas-binding factor 1 </t>
  </si>
  <si>
    <t>110625770</t>
  </si>
  <si>
    <t>filamin-binding LIM protein 1</t>
  </si>
  <si>
    <t>51921297</t>
  </si>
  <si>
    <t xml:space="preserve">rRNA/tRNA 2'-O-methyltransferase fibrillarin-like protein 1 </t>
  </si>
  <si>
    <t>122937183</t>
  </si>
  <si>
    <t xml:space="preserve">fructose-1,6-bisphosphatase isozyme 2 </t>
  </si>
  <si>
    <t>125347476</t>
  </si>
  <si>
    <t>fibrosin-like 1 isoform 2</t>
  </si>
  <si>
    <t>217416345</t>
  </si>
  <si>
    <t>fibrosin-like 1 isoform 1</t>
  </si>
  <si>
    <t>140970874</t>
  </si>
  <si>
    <t xml:space="preserve">F-box/LRR-repeat protein 15 </t>
  </si>
  <si>
    <t>153945830</t>
  </si>
  <si>
    <t>F-box and leucine-rich repeat protein 18</t>
  </si>
  <si>
    <t>111494221</t>
  </si>
  <si>
    <t xml:space="preserve">F-box/LRR-repeat protein 20 </t>
  </si>
  <si>
    <t>255683411</t>
  </si>
  <si>
    <t xml:space="preserve">F-box/LRR-repeat protein 8 </t>
  </si>
  <si>
    <t>33859801</t>
  </si>
  <si>
    <t>F-box only protein 2</t>
  </si>
  <si>
    <t>21704134</t>
  </si>
  <si>
    <t>F-box only protein 21</t>
  </si>
  <si>
    <t>139948465</t>
  </si>
  <si>
    <t>F-box only protein 22</t>
  </si>
  <si>
    <t>28201989</t>
  </si>
  <si>
    <t>F-box only protein 28</t>
  </si>
  <si>
    <t>10181216</t>
  </si>
  <si>
    <t>F-box only protein 3 isoform 2</t>
  </si>
  <si>
    <t>46877055</t>
  </si>
  <si>
    <t>F-box only protein 3 isoform 1</t>
  </si>
  <si>
    <t>13385848</t>
  </si>
  <si>
    <t>F-box only protein 32</t>
  </si>
  <si>
    <t>256665259</t>
  </si>
  <si>
    <t>F-box only protein 4</t>
  </si>
  <si>
    <t>47564092</t>
  </si>
  <si>
    <t>F-box only protein 41</t>
  </si>
  <si>
    <t>56961627</t>
  </si>
  <si>
    <t>F-box/SPRY domain-containing protein 1</t>
  </si>
  <si>
    <t>7657083</t>
  </si>
  <si>
    <t>F-box only protein 6</t>
  </si>
  <si>
    <t>23956270</t>
  </si>
  <si>
    <t>F-box/WD repeat-containing protein 11 isoform a</t>
  </si>
  <si>
    <t>405778325</t>
  </si>
  <si>
    <t>F-box/WD repeat-containing protein 11 isoform b</t>
  </si>
  <si>
    <t>405778327</t>
  </si>
  <si>
    <t>F-box/WD repeat-containing protein 11 isoform c</t>
  </si>
  <si>
    <t>405778329</t>
  </si>
  <si>
    <t>F-box/WD repeat-containing protein 11 isoform d</t>
  </si>
  <si>
    <t>29243960</t>
  </si>
  <si>
    <t>F-box and WD-40 domain protein 13</t>
  </si>
  <si>
    <t>47271358</t>
  </si>
  <si>
    <t>F-box and WD-40 domain protein 14</t>
  </si>
  <si>
    <t>148539588</t>
  </si>
  <si>
    <t>F-box and WD-40 domain protein 22</t>
  </si>
  <si>
    <t>294459937</t>
  </si>
  <si>
    <t>F-box and WD-40 domain protein 28 isoform 1</t>
  </si>
  <si>
    <t>294459939</t>
  </si>
  <si>
    <t>F-box and WD-40 domain protein 28 isoform 2</t>
  </si>
  <si>
    <t>14780880</t>
  </si>
  <si>
    <t>F-box/WD repeat-containing protein 4</t>
  </si>
  <si>
    <t>120407054</t>
  </si>
  <si>
    <t>F-box/WD repeat-containing protein 8</t>
  </si>
  <si>
    <t>359279906</t>
  </si>
  <si>
    <t>low affinity immunoglobulin epsilon Fc receptor isoform C</t>
  </si>
  <si>
    <t>359279914</t>
  </si>
  <si>
    <t>low affinity immunoglobulin epsilon Fc receptor isoform A</t>
  </si>
  <si>
    <t>359279919</t>
  </si>
  <si>
    <t>low affinity immunoglobulin epsilon Fc receptor isoform E</t>
  </si>
  <si>
    <t>359279923</t>
  </si>
  <si>
    <t>low affinity immunoglobulin epsilon Fc receptor isoform F</t>
  </si>
  <si>
    <t>359279925</t>
  </si>
  <si>
    <t>low affinity immunoglobulin epsilon Fc receptor isoform G</t>
  </si>
  <si>
    <t>359339166</t>
  </si>
  <si>
    <t>low affinity immunoglobulin epsilon Fc receptor isoform B</t>
  </si>
  <si>
    <t>7305051</t>
  </si>
  <si>
    <t>268607601</t>
  </si>
  <si>
    <t>rRNA-processing protein FCF1 homolog</t>
  </si>
  <si>
    <t>169790797</t>
  </si>
  <si>
    <t xml:space="preserve">Fc fragment of IgG binding protein precursor </t>
  </si>
  <si>
    <t>224994271</t>
  </si>
  <si>
    <t xml:space="preserve">FCH domain only protein 2 </t>
  </si>
  <si>
    <t>34328173</t>
  </si>
  <si>
    <t>squalene synthase</t>
  </si>
  <si>
    <t>19882207</t>
  </si>
  <si>
    <t xml:space="preserve">farnesyl pyrophosphate synthase isoform 2 </t>
  </si>
  <si>
    <t>359279938</t>
  </si>
  <si>
    <t>farnesyl pyrophosphate synthase isoform 1 precursor</t>
  </si>
  <si>
    <t>6679765</t>
  </si>
  <si>
    <t xml:space="preserve">adrenodoxin, mitochondrial precursor </t>
  </si>
  <si>
    <t>90017457</t>
  </si>
  <si>
    <t>adrenodoxin-like protein, mitochondrial precursor</t>
  </si>
  <si>
    <t>6679767</t>
  </si>
  <si>
    <t>NADPH:adrenodoxin oxidoreductase, mitochondrial precursor</t>
  </si>
  <si>
    <t>20452466</t>
  </si>
  <si>
    <t>ferrochelatase, mitochondrial</t>
  </si>
  <si>
    <t>6753840</t>
  </si>
  <si>
    <t>protein fem-1 homolog B</t>
  </si>
  <si>
    <t>27734132</t>
  </si>
  <si>
    <t>protein fem-1 homolog C</t>
  </si>
  <si>
    <t>46048490</t>
  </si>
  <si>
    <t xml:space="preserve">flap endonuclease 1 </t>
  </si>
  <si>
    <t>124487315</t>
  </si>
  <si>
    <t>fermitin family homolog 1</t>
  </si>
  <si>
    <t>67906179</t>
  </si>
  <si>
    <t>fermitin family homolog 2</t>
  </si>
  <si>
    <t>40789098</t>
  </si>
  <si>
    <t xml:space="preserve">fasciculation and elongation protein zeta-2 </t>
  </si>
  <si>
    <t>31982367</t>
  </si>
  <si>
    <t xml:space="preserve">FYVE, RhoGEF and PH domain-containing protein 1 </t>
  </si>
  <si>
    <t>85719309</t>
  </si>
  <si>
    <t xml:space="preserve">FYVE, RhoGEF and PH domain-containing protein 3 </t>
  </si>
  <si>
    <t>22296595</t>
  </si>
  <si>
    <t xml:space="preserve">FYVE, RhoGEF and PH domain-containing protein 4 isoform beta </t>
  </si>
  <si>
    <t>22296599</t>
  </si>
  <si>
    <t xml:space="preserve">FYVE, RhoGEF and PH domain-containing protein 4 isoform gamma </t>
  </si>
  <si>
    <t>29336047</t>
  </si>
  <si>
    <t xml:space="preserve">FYVE, RhoGEF and PH domain-containing protein 4 isoform alpha </t>
  </si>
  <si>
    <t>6753850</t>
  </si>
  <si>
    <t xml:space="preserve">fibroblast growth factor 1 precursor </t>
  </si>
  <si>
    <t>120952633</t>
  </si>
  <si>
    <t xml:space="preserve">fibroblast growth factor receptor 1 isoform 3 </t>
  </si>
  <si>
    <t>120952641</t>
  </si>
  <si>
    <t>fibroblast growth factor receptor 1 isoform 1 precursor</t>
  </si>
  <si>
    <t>120952698</t>
  </si>
  <si>
    <t>fibroblast growth factor receptor 1 isoform 2 precursor</t>
  </si>
  <si>
    <t>116089349</t>
  </si>
  <si>
    <t xml:space="preserve">fibroblast growth factor receptor 2 isoform IIIc </t>
  </si>
  <si>
    <t>116089355</t>
  </si>
  <si>
    <t xml:space="preserve">fibroblast growth factor receptor 2 isoform IIIb </t>
  </si>
  <si>
    <t>254028252</t>
  </si>
  <si>
    <t>fibroblast growth factor receptor 3 isoform 2 precursor</t>
  </si>
  <si>
    <t>254028254</t>
  </si>
  <si>
    <t>fibroblast growth factor receptor 3 isoform 3 precursor</t>
  </si>
  <si>
    <t>328751707</t>
  </si>
  <si>
    <t>fibroblast growth factor receptor 3 isoform 4 precursor</t>
  </si>
  <si>
    <t>46877057</t>
  </si>
  <si>
    <t>fibroblast growth factor receptor 3 isoform 1 precursor</t>
  </si>
  <si>
    <t>112293260</t>
  </si>
  <si>
    <t>fibroblast growth factor receptor 4 precursor</t>
  </si>
  <si>
    <t>171542819</t>
  </si>
  <si>
    <t xml:space="preserve">tyrosine-protein kinase Fgr </t>
  </si>
  <si>
    <t>226823367</t>
  </si>
  <si>
    <t>fumarate hydratase, mitochondrial precursor</t>
  </si>
  <si>
    <t>209413705</t>
  </si>
  <si>
    <t>forkhead-associated domain-containing protein 1</t>
  </si>
  <si>
    <t>116517334</t>
  </si>
  <si>
    <t>four and a half LIM domains protein 1 isoform 3</t>
  </si>
  <si>
    <t>116517336</t>
  </si>
  <si>
    <t>four and a half LIM domains protein 1 isoform 2</t>
  </si>
  <si>
    <t>116517340</t>
  </si>
  <si>
    <t>four and a half LIM domains protein 1 isoform 1</t>
  </si>
  <si>
    <t>6753866</t>
  </si>
  <si>
    <t>four and a half LIM domains protein 2</t>
  </si>
  <si>
    <t>130488506</t>
  </si>
  <si>
    <t>four and a half LIM domains protein 3</t>
  </si>
  <si>
    <t>269973931</t>
  </si>
  <si>
    <t>FH1/FH2 domain-containing protein 1</t>
  </si>
  <si>
    <t>37674240</t>
  </si>
  <si>
    <t>FH1/FH2 domain-containing protein 3</t>
  </si>
  <si>
    <t>19527220</t>
  </si>
  <si>
    <t>polyphosphoinositide phosphatase</t>
  </si>
  <si>
    <t>31560300</t>
  </si>
  <si>
    <t xml:space="preserve">fidgetin-like protein 1 </t>
  </si>
  <si>
    <t>227330595</t>
  </si>
  <si>
    <t>pre-mRNA 3'-end-processing factor FIP1 isoform 1</t>
  </si>
  <si>
    <t>227330598</t>
  </si>
  <si>
    <t>pre-mRNA 3'-end-processing factor FIP1 isoform 3</t>
  </si>
  <si>
    <t>31560210</t>
  </si>
  <si>
    <t>pre-mRNA 3'-end-processing factor FIP1 isoform 2</t>
  </si>
  <si>
    <t>13384998</t>
  </si>
  <si>
    <t>mitochondrial fission 1 protein isoform 1</t>
  </si>
  <si>
    <t>253735731</t>
  </si>
  <si>
    <t>mitochondrial fission 1 protein isoform 2</t>
  </si>
  <si>
    <t>27734174</t>
  </si>
  <si>
    <t xml:space="preserve">fat storage-inducing transmembrane protein 2 </t>
  </si>
  <si>
    <t>160333154</t>
  </si>
  <si>
    <t xml:space="preserve">flt3-interacting zinc finger protein 1 </t>
  </si>
  <si>
    <t>227116320</t>
  </si>
  <si>
    <t xml:space="preserve">FK506-binding protein 15 </t>
  </si>
  <si>
    <t>6679803</t>
  </si>
  <si>
    <t>peptidyl-prolyl cis-trans isomerase FKBP1A</t>
  </si>
  <si>
    <t>123173728</t>
  </si>
  <si>
    <t>peptidyl-prolyl cis-trans isomerase FKBP1B</t>
  </si>
  <si>
    <t>261824055;6679805</t>
  </si>
  <si>
    <t xml:space="preserve">peptidyl-prolyl cis-trans isomerase FKBP2 precursor </t>
  </si>
  <si>
    <t>6679805</t>
  </si>
  <si>
    <t>7305061</t>
  </si>
  <si>
    <t>peptidyl-prolyl cis-trans isomerase FKBP3</t>
  </si>
  <si>
    <t>6753882</t>
  </si>
  <si>
    <t>peptidyl-prolyl cis-trans isomerase FKBP4</t>
  </si>
  <si>
    <t>6753884</t>
  </si>
  <si>
    <t>peptidyl-prolyl cis-trans isomerase FKBP5</t>
  </si>
  <si>
    <t>161484656</t>
  </si>
  <si>
    <t>peptidyl-prolyl cis-trans isomerase FKBP8 isoform b</t>
  </si>
  <si>
    <t>161484658</t>
  </si>
  <si>
    <t>peptidyl-prolyl cis-trans isomerase FKBP8 isoform a</t>
  </si>
  <si>
    <t>172072617</t>
  </si>
  <si>
    <t xml:space="preserve">peptidyl-prolyl cis-trans isomerase FKBP9 precursor </t>
  </si>
  <si>
    <t>89337262</t>
  </si>
  <si>
    <t>FAD synthase</t>
  </si>
  <si>
    <t>405778335</t>
  </si>
  <si>
    <t xml:space="preserve">folliculin </t>
  </si>
  <si>
    <t>84370015</t>
  </si>
  <si>
    <t xml:space="preserve">filaggrin-2 </t>
  </si>
  <si>
    <t>11528490</t>
  </si>
  <si>
    <t xml:space="preserve">protein flightless-1 homolog </t>
  </si>
  <si>
    <t>125347376</t>
  </si>
  <si>
    <t xml:space="preserve">filamin-A </t>
  </si>
  <si>
    <t>145966915</t>
  </si>
  <si>
    <t xml:space="preserve">filamin-B </t>
  </si>
  <si>
    <t>124487139</t>
  </si>
  <si>
    <t xml:space="preserve">filamin-C </t>
  </si>
  <si>
    <t>6679809</t>
  </si>
  <si>
    <t xml:space="preserve">flotillin-1 </t>
  </si>
  <si>
    <t>6679811</t>
  </si>
  <si>
    <t xml:space="preserve">flotillin-2 isoform 2 </t>
  </si>
  <si>
    <t>94536791</t>
  </si>
  <si>
    <t xml:space="preserve">flotillin-2 isoform 1 </t>
  </si>
  <si>
    <t>34328180</t>
  </si>
  <si>
    <t xml:space="preserve">vascular endothelial growth factor receptor 1 precursor </t>
  </si>
  <si>
    <t>122937353</t>
  </si>
  <si>
    <t>receptor-type tyrosine-protein kinase FLT3</t>
  </si>
  <si>
    <t>6679813</t>
  </si>
  <si>
    <t xml:space="preserve">vascular endothelial growth factor receptor 3 precursor </t>
  </si>
  <si>
    <t>21553307</t>
  </si>
  <si>
    <t>FLYWCH family member 2</t>
  </si>
  <si>
    <t>112807205</t>
  </si>
  <si>
    <t xml:space="preserve">formin-1 isoform 1 </t>
  </si>
  <si>
    <t>112807211</t>
  </si>
  <si>
    <t xml:space="preserve">formin-1 isoform 2 </t>
  </si>
  <si>
    <t>118136288</t>
  </si>
  <si>
    <t xml:space="preserve">formin-like protein 1 isoform 2 </t>
  </si>
  <si>
    <t>118136290</t>
  </si>
  <si>
    <t xml:space="preserve">formin-like protein 1 isoform 1 </t>
  </si>
  <si>
    <t>124378048</t>
  </si>
  <si>
    <t xml:space="preserve">formin-like protein 2 </t>
  </si>
  <si>
    <t>38708163</t>
  </si>
  <si>
    <t xml:space="preserve">formin-like protein 3 </t>
  </si>
  <si>
    <t>31542819</t>
  </si>
  <si>
    <t>dimethylaniline monooxygenase [N-oxide-forming] 2</t>
  </si>
  <si>
    <t>51036613</t>
  </si>
  <si>
    <t xml:space="preserve">fragile X mental retardation protein 1 homolog </t>
  </si>
  <si>
    <t>449083336</t>
  </si>
  <si>
    <t>fibronectin isoform b precursor</t>
  </si>
  <si>
    <t>449083339</t>
  </si>
  <si>
    <t>fibronectin isoform c precursor</t>
  </si>
  <si>
    <t>449083341</t>
  </si>
  <si>
    <t>fibronectin isoform d precursor</t>
  </si>
  <si>
    <t>449083343</t>
  </si>
  <si>
    <t>fibronectin isoform e precursor</t>
  </si>
  <si>
    <t>449083345</t>
  </si>
  <si>
    <t>fibronectin isoform f precursor</t>
  </si>
  <si>
    <t>449083347</t>
  </si>
  <si>
    <t>fibronectin isoform g precursor</t>
  </si>
  <si>
    <t>46849812</t>
  </si>
  <si>
    <t>fibronectin precursor</t>
  </si>
  <si>
    <t>11528496</t>
  </si>
  <si>
    <t xml:space="preserve">fructosamine-3-kinase isoform a </t>
  </si>
  <si>
    <t>84662727</t>
  </si>
  <si>
    <t xml:space="preserve">fructosamine-3-kinase isoform b </t>
  </si>
  <si>
    <t>253970463</t>
  </si>
  <si>
    <t xml:space="preserve">ketosamine-3-kinase </t>
  </si>
  <si>
    <t>294997322</t>
  </si>
  <si>
    <t xml:space="preserve">formin-binding protein 1 isoform c </t>
  </si>
  <si>
    <t>294997326</t>
  </si>
  <si>
    <t xml:space="preserve">formin-binding protein 1 isoform d </t>
  </si>
  <si>
    <t>294997328</t>
  </si>
  <si>
    <t xml:space="preserve">formin-binding protein 1 isoform e </t>
  </si>
  <si>
    <t>84662770</t>
  </si>
  <si>
    <t xml:space="preserve">formin-binding protein 1 isoform a </t>
  </si>
  <si>
    <t>167900464</t>
  </si>
  <si>
    <t xml:space="preserve">formin-binding protein 1-like isoform 2 </t>
  </si>
  <si>
    <t>167900466</t>
  </si>
  <si>
    <t xml:space="preserve">formin-binding protein 1-like isoform 1 </t>
  </si>
  <si>
    <t>9055220</t>
  </si>
  <si>
    <t xml:space="preserve">formin-binding protein 4 </t>
  </si>
  <si>
    <t>170932548</t>
  </si>
  <si>
    <t>fibronectin type III domain-containing protein 3B</t>
  </si>
  <si>
    <t>6679821</t>
  </si>
  <si>
    <t xml:space="preserve">protein farnesyltransferase/geranylgeranyltransferase type-1 subunit alpha </t>
  </si>
  <si>
    <t>22122343</t>
  </si>
  <si>
    <t>protein farnesyltransferase subunit beta</t>
  </si>
  <si>
    <t>124487123</t>
  </si>
  <si>
    <t xml:space="preserve">focadhesin </t>
  </si>
  <si>
    <t>21313614</t>
  </si>
  <si>
    <t>lisH domain-containing protein FOPNL</t>
  </si>
  <si>
    <t>34304111</t>
  </si>
  <si>
    <t>forkhead box protein E1</t>
  </si>
  <si>
    <t>172088163</t>
  </si>
  <si>
    <t>folylpolyglutamate synthase, mitochondrial precursor</t>
  </si>
  <si>
    <t>126157515</t>
  </si>
  <si>
    <t xml:space="preserve">extracellular matrix protein FRAS1 precursor </t>
  </si>
  <si>
    <t>71051607</t>
  </si>
  <si>
    <t>FRAS1-related extracellular matrix protein 2 precursor</t>
  </si>
  <si>
    <t>225543552</t>
  </si>
  <si>
    <t>protein FRG1</t>
  </si>
  <si>
    <t>31542823</t>
  </si>
  <si>
    <t xml:space="preserve">tyrosine-protein kinase FRK </t>
  </si>
  <si>
    <t>13385676</t>
  </si>
  <si>
    <t>FERM domain-containing protein 8</t>
  </si>
  <si>
    <t>124487185</t>
  </si>
  <si>
    <t>FERM and PDZ domain-containing protein 1</t>
  </si>
  <si>
    <t>85362701</t>
  </si>
  <si>
    <t>FERM and PDZ domain-containing protein 4</t>
  </si>
  <si>
    <t>164698442</t>
  </si>
  <si>
    <t>ferric-chelate reductase 1 precursor</t>
  </si>
  <si>
    <t>29244340</t>
  </si>
  <si>
    <t>fibroblast growth factor receptor substrate 2</t>
  </si>
  <si>
    <t>119964716</t>
  </si>
  <si>
    <t xml:space="preserve">protein furry homolog-like </t>
  </si>
  <si>
    <t>309264486</t>
  </si>
  <si>
    <t xml:space="preserve">PREDICTED: fibrous sheath-interacting protein 2 </t>
  </si>
  <si>
    <t>31560699</t>
  </si>
  <si>
    <t>follistatin-related protein 1 precursor</t>
  </si>
  <si>
    <t>18252784</t>
  </si>
  <si>
    <t xml:space="preserve">formimidoyltransferase-cyclodeaminase </t>
  </si>
  <si>
    <t>6753912</t>
  </si>
  <si>
    <t xml:space="preserve">ferritin heavy chain </t>
  </si>
  <si>
    <t>166851822</t>
  </si>
  <si>
    <t xml:space="preserve">alpha-ketoglutarate-dependent dioxygenase FTO </t>
  </si>
  <si>
    <t>46877062</t>
  </si>
  <si>
    <t>Ftsj homolog</t>
  </si>
  <si>
    <t>84662730</t>
  </si>
  <si>
    <t xml:space="preserve">far upstream element-binding protein 1 </t>
  </si>
  <si>
    <t>224922832</t>
  </si>
  <si>
    <t xml:space="preserve">far upstream element (FUSE) binding protein 3 </t>
  </si>
  <si>
    <t>169808427</t>
  </si>
  <si>
    <t xml:space="preserve">tissue alpha-L-fucosidase precursor </t>
  </si>
  <si>
    <t>31541791</t>
  </si>
  <si>
    <t xml:space="preserve">plasma alpha-L-fucosidase precursor </t>
  </si>
  <si>
    <t>31981686</t>
  </si>
  <si>
    <t>L-fucose kinase</t>
  </si>
  <si>
    <t>262050556</t>
  </si>
  <si>
    <t>FUN14 domain-containing protein 2</t>
  </si>
  <si>
    <t>124377998</t>
  </si>
  <si>
    <t>fucose mutarotase</t>
  </si>
  <si>
    <t>20982845</t>
  </si>
  <si>
    <t xml:space="preserve">RNA-binding protein FUS </t>
  </si>
  <si>
    <t>31560444</t>
  </si>
  <si>
    <t xml:space="preserve">alpha-(1,6)-fucosyltransferase isoform 1 </t>
  </si>
  <si>
    <t>6679863</t>
  </si>
  <si>
    <t xml:space="preserve">frataxin, mitochondrial precursor </t>
  </si>
  <si>
    <t>17998694</t>
  </si>
  <si>
    <t xml:space="preserve">fragile X mental retardation syndrome-related protein 1 isoform 3 </t>
  </si>
  <si>
    <t>163954941</t>
  </si>
  <si>
    <t xml:space="preserve">fragile X mental retardation syndrome-related protein 1 isoform 1 </t>
  </si>
  <si>
    <t>163954943</t>
  </si>
  <si>
    <t xml:space="preserve">fragile X mental retardation syndrome-related protein 1 isoform 2 </t>
  </si>
  <si>
    <t>83921589</t>
  </si>
  <si>
    <t xml:space="preserve">fragile X mental retardation syndrome-related protein 2 </t>
  </si>
  <si>
    <t>16554570</t>
  </si>
  <si>
    <t>sodium/potassium-transporting ATPase subunit gamma isoform a</t>
  </si>
  <si>
    <t>16554572</t>
  </si>
  <si>
    <t>sodium/potassium-transporting ATPase subunit gamma isoform b</t>
  </si>
  <si>
    <t>16258807</t>
  </si>
  <si>
    <t xml:space="preserve">FXYD domain-containing ion transport regulator 4 precursor </t>
  </si>
  <si>
    <t>159131876</t>
  </si>
  <si>
    <t>FYVE and coiled-coil domain-containing protein 1</t>
  </si>
  <si>
    <t>171543837</t>
  </si>
  <si>
    <t xml:space="preserve">tyrosine-protein kinase Fyn isoform b </t>
  </si>
  <si>
    <t>171543841</t>
  </si>
  <si>
    <t xml:space="preserve">tyrosine-protein kinase Fyn isoform a </t>
  </si>
  <si>
    <t>226823218</t>
  </si>
  <si>
    <t>UAP56-interacting factor isoform 2</t>
  </si>
  <si>
    <t>31541947</t>
  </si>
  <si>
    <t>UAP56-interacting factor isoform 1</t>
  </si>
  <si>
    <t>7305075</t>
  </si>
  <si>
    <t xml:space="preserve">ras GTPase-activating protein-binding protein 1 </t>
  </si>
  <si>
    <t>124248570</t>
  </si>
  <si>
    <t xml:space="preserve">ras GTPase-activating protein-binding protein 2 isoform b </t>
  </si>
  <si>
    <t>31982757</t>
  </si>
  <si>
    <t xml:space="preserve">ras GTPase-activating protein-binding protein 2 isoform a </t>
  </si>
  <si>
    <t>227330582</t>
  </si>
  <si>
    <t xml:space="preserve">glucose-6-phosphate 1-dehydrogenase 2 </t>
  </si>
  <si>
    <t>6996917</t>
  </si>
  <si>
    <t xml:space="preserve">glucose-6-phosphate 1-dehydrogenase X </t>
  </si>
  <si>
    <t>226693367</t>
  </si>
  <si>
    <t xml:space="preserve">lysosomal alpha-glucosidase precursor </t>
  </si>
  <si>
    <t>31542871</t>
  </si>
  <si>
    <t xml:space="preserve">GRB2-associated-binding protein 1 </t>
  </si>
  <si>
    <t>9789961</t>
  </si>
  <si>
    <t>gamma-aminobutyric acid receptor-associated protein</t>
  </si>
  <si>
    <t>10181206</t>
  </si>
  <si>
    <t xml:space="preserve">gamma-aminobutyric acid receptor-associated protein-like 1 </t>
  </si>
  <si>
    <t>31542873</t>
  </si>
  <si>
    <t xml:space="preserve">gamma-aminobutyric acid receptor-associated protein-like 2 </t>
  </si>
  <si>
    <t>34328119</t>
  </si>
  <si>
    <t>GA-binding protein alpha chain</t>
  </si>
  <si>
    <t>407728605</t>
  </si>
  <si>
    <t>GA-binding protein subunit beta-1 isoform d</t>
  </si>
  <si>
    <t>46575942</t>
  </si>
  <si>
    <t>GA-binding protein subunit beta-1 isoform a</t>
  </si>
  <si>
    <t>6678980</t>
  </si>
  <si>
    <t>growth arrest and DNA damage-inducible protein GADD45 beta</t>
  </si>
  <si>
    <t>269315840</t>
  </si>
  <si>
    <t>growth arrest and DNA damage-inducible proteins-interacting protein 1</t>
  </si>
  <si>
    <t>51317387</t>
  </si>
  <si>
    <t>cyclin-G-associated kinase</t>
  </si>
  <si>
    <t>93102411</t>
  </si>
  <si>
    <t>galactocerebrosidase precursor</t>
  </si>
  <si>
    <t>30409988</t>
  </si>
  <si>
    <t>UDP-glucose 4-epimerase</t>
  </si>
  <si>
    <t>93102413</t>
  </si>
  <si>
    <t xml:space="preserve">galactokinase </t>
  </si>
  <si>
    <t>30424748</t>
  </si>
  <si>
    <t>N-acetylgalactosamine kinase</t>
  </si>
  <si>
    <t>28892785</t>
  </si>
  <si>
    <t>aldose 1-epimerase</t>
  </si>
  <si>
    <t>302370951</t>
  </si>
  <si>
    <t>N-acetylgalactosamine-6-sulfatase isoform 2 precursor</t>
  </si>
  <si>
    <t>171184398</t>
  </si>
  <si>
    <t>N-acetylgalactosamine-6-sulfatase isoform 1 precursor</t>
  </si>
  <si>
    <t>237874259</t>
  </si>
  <si>
    <t xml:space="preserve">polypeptide N-acetylgalactosaminyltransferase 1 </t>
  </si>
  <si>
    <t>76677928</t>
  </si>
  <si>
    <t xml:space="preserve">polypeptide N-acetylgalactosaminyltransferase 13 </t>
  </si>
  <si>
    <t>46877109</t>
  </si>
  <si>
    <t>polypeptide N-acetylgalactosaminyltransferase 2 precursor</t>
  </si>
  <si>
    <t>162951828</t>
  </si>
  <si>
    <t xml:space="preserve">polypeptide N-acetylgalactosaminyltransferase 3 </t>
  </si>
  <si>
    <t>7657112</t>
  </si>
  <si>
    <t xml:space="preserve">polypeptide N-acetylgalactosaminyltransferase 4 </t>
  </si>
  <si>
    <t>269784707</t>
  </si>
  <si>
    <t>N-acetylgalactosaminyltransferase 7 isoform 1</t>
  </si>
  <si>
    <t>269784709</t>
  </si>
  <si>
    <t>N-acetylgalactosaminyltransferase 7 isoform 2</t>
  </si>
  <si>
    <t>6753944</t>
  </si>
  <si>
    <t>guanidinoacetate N-methyltransferase</t>
  </si>
  <si>
    <t>6679891</t>
  </si>
  <si>
    <t xml:space="preserve">neutral alpha-glucosidase AB </t>
  </si>
  <si>
    <t>6679939</t>
  </si>
  <si>
    <t xml:space="preserve">glyceraldehyde-3-phosphate dehydrogenase, testis-specific </t>
  </si>
  <si>
    <t>40254514</t>
  </si>
  <si>
    <t xml:space="preserve">GTPase-activating protein and VPS9 domain-containing protein 1 </t>
  </si>
  <si>
    <t>13384710</t>
  </si>
  <si>
    <t xml:space="preserve">H/ACA ribonucleoprotein complex subunit 1 </t>
  </si>
  <si>
    <t>93102417</t>
  </si>
  <si>
    <t>glycine--tRNA ligase</t>
  </si>
  <si>
    <t>93102415</t>
  </si>
  <si>
    <t xml:space="preserve">trifunctional purine biosynthetic protein adenosine-3 </t>
  </si>
  <si>
    <t>6679943</t>
  </si>
  <si>
    <t>growth arrest-specific protein 2</t>
  </si>
  <si>
    <t>120407058</t>
  </si>
  <si>
    <t xml:space="preserve">GAS2-like protein 3 </t>
  </si>
  <si>
    <t>21314854</t>
  </si>
  <si>
    <t xml:space="preserve">transcriptional repressor p66-beta </t>
  </si>
  <si>
    <t>116734815</t>
  </si>
  <si>
    <t>glucosylceramidase isoform 2 precursor</t>
  </si>
  <si>
    <t>116734815;6679955</t>
  </si>
  <si>
    <t>6679955;116734815</t>
  </si>
  <si>
    <t>glucosylceramidase isoform 1 precursor</t>
  </si>
  <si>
    <t>160298168</t>
  </si>
  <si>
    <t>protein NipSnap homolog 2</t>
  </si>
  <si>
    <t>17975508</t>
  </si>
  <si>
    <t>1,4-alpha-glucan-branching enzyme</t>
  </si>
  <si>
    <t>52138536</t>
  </si>
  <si>
    <t>Golgi-specific brefeldin A-resistance guanine nucleotide exchange factor 1</t>
  </si>
  <si>
    <t>116812914</t>
  </si>
  <si>
    <t xml:space="preserve">guanylate-binding protein 10 </t>
  </si>
  <si>
    <t>225007564</t>
  </si>
  <si>
    <t>guanylate binding protein 11</t>
  </si>
  <si>
    <t>134053871</t>
  </si>
  <si>
    <t xml:space="preserve">guanylate-binding protein 4 </t>
  </si>
  <si>
    <t>126157521</t>
  </si>
  <si>
    <t xml:space="preserve">macrophage activation 2 isoform 2 </t>
  </si>
  <si>
    <t>365192570</t>
  </si>
  <si>
    <t xml:space="preserve">macrophage activation 2 isoform 1 </t>
  </si>
  <si>
    <t>170650637</t>
  </si>
  <si>
    <t>guanylate binding protein 6</t>
  </si>
  <si>
    <t>134031974</t>
  </si>
  <si>
    <t>guanylate binding protein 7</t>
  </si>
  <si>
    <t>83776551</t>
  </si>
  <si>
    <t>guanylate binding protein 8</t>
  </si>
  <si>
    <t>27370144</t>
  </si>
  <si>
    <t>guanylate binding protein family, member 9</t>
  </si>
  <si>
    <t>21704030</t>
  </si>
  <si>
    <t xml:space="preserve">grancalcin </t>
  </si>
  <si>
    <t>240120117</t>
  </si>
  <si>
    <t xml:space="preserve">2-amino-3-ketobutyrate coenzyme A ligase, mitochondrial isoform a </t>
  </si>
  <si>
    <t>240120119</t>
  </si>
  <si>
    <t xml:space="preserve">2-amino-3-ketobutyrate coenzyme A ligase, mitochondrial isoform b </t>
  </si>
  <si>
    <t>268370067</t>
  </si>
  <si>
    <t>GRIP and coiled-coil domain-containing protein 1</t>
  </si>
  <si>
    <t>61742806</t>
  </si>
  <si>
    <t>GRIP and coiled-coil domain-containing protein 2</t>
  </si>
  <si>
    <t>390190196</t>
  </si>
  <si>
    <t xml:space="preserve">glutaryl-CoA dehydrogenase, mitochondrial </t>
  </si>
  <si>
    <t>33468897</t>
  </si>
  <si>
    <t>glutamate--cysteine ligase catalytic subunit</t>
  </si>
  <si>
    <t>6680019</t>
  </si>
  <si>
    <t>glutamate--cysteine ligase regulatory subunit</t>
  </si>
  <si>
    <t>112807186</t>
  </si>
  <si>
    <t>GCN1 general control of amino-acid synthesis 1-like 1</t>
  </si>
  <si>
    <t>210147589</t>
  </si>
  <si>
    <t>beta-1,3-galactosyl-O-glycosyl-glycoprotein beta-1,6-N-acetylglucosaminyltransferase</t>
  </si>
  <si>
    <t>459352743</t>
  </si>
  <si>
    <t>13386066</t>
  </si>
  <si>
    <t xml:space="preserve">glycine cleavage system H protein, mitochondrial precursor </t>
  </si>
  <si>
    <t>22094097</t>
  </si>
  <si>
    <t>ganglioside-induced differentiation-associated protein 2</t>
  </si>
  <si>
    <t>9625018</t>
  </si>
  <si>
    <t xml:space="preserve">glycerophosphodiester phosphodiesterase 1 </t>
  </si>
  <si>
    <t>75677587</t>
  </si>
  <si>
    <t>growth/differentiation factor 3 precursor</t>
  </si>
  <si>
    <t>33859560</t>
  </si>
  <si>
    <t xml:space="preserve">rab GDP dissociation inhibitor alpha </t>
  </si>
  <si>
    <t>116089273</t>
  </si>
  <si>
    <t xml:space="preserve">rab GDP dissociation inhibitor beta </t>
  </si>
  <si>
    <t>23956140</t>
  </si>
  <si>
    <t xml:space="preserve">glycerophosphodiester phosphodiesterase domain-containing protein 1 </t>
  </si>
  <si>
    <t>110431346</t>
  </si>
  <si>
    <t xml:space="preserve">glycerophosphodiester phosphodiesterase domain-containing protein 3 </t>
  </si>
  <si>
    <t>153792166</t>
  </si>
  <si>
    <t xml:space="preserve">gem-associated protein 2 </t>
  </si>
  <si>
    <t>262331526</t>
  </si>
  <si>
    <t>gemin 4</t>
  </si>
  <si>
    <t>262263297</t>
  </si>
  <si>
    <t xml:space="preserve">gem-associated protein 5 isoform 2 </t>
  </si>
  <si>
    <t>262263299</t>
  </si>
  <si>
    <t xml:space="preserve">gem-associated protein 5 isoform 1 </t>
  </si>
  <si>
    <t>262263301</t>
  </si>
  <si>
    <t xml:space="preserve">gem-associated protein 5 isoform 3 </t>
  </si>
  <si>
    <t>262263303</t>
  </si>
  <si>
    <t xml:space="preserve">gem-associated protein 5 isoform 4 </t>
  </si>
  <si>
    <t>21313050</t>
  </si>
  <si>
    <t xml:space="preserve">gem-associated protein 6 </t>
  </si>
  <si>
    <t>21312380</t>
  </si>
  <si>
    <t xml:space="preserve">gem-associated protein 7 </t>
  </si>
  <si>
    <t>254281178</t>
  </si>
  <si>
    <t xml:space="preserve">Golgi to ER traffic protein 4 homolog isoform 2 </t>
  </si>
  <si>
    <t>27229052</t>
  </si>
  <si>
    <t xml:space="preserve">Golgi to ER traffic protein 4 homolog isoform 1 </t>
  </si>
  <si>
    <t>196115327</t>
  </si>
  <si>
    <t>glial fibrillary acidic protein isoform 1</t>
  </si>
  <si>
    <t>84000448</t>
  </si>
  <si>
    <t>glial fibrillary acidic protein isoform 2</t>
  </si>
  <si>
    <t>46909575</t>
  </si>
  <si>
    <t>FAD-linked sulfhydryl oxidase ALR</t>
  </si>
  <si>
    <t>170650599</t>
  </si>
  <si>
    <t>elongation factor G, mitochondrial</t>
  </si>
  <si>
    <t>225690549</t>
  </si>
  <si>
    <t>ribosome-releasing factor 2, mitochondrial isoform 1</t>
  </si>
  <si>
    <t>225690556</t>
  </si>
  <si>
    <t>ribosome-releasing factor 2, mitochondrial isoform 2</t>
  </si>
  <si>
    <t>407228375</t>
  </si>
  <si>
    <t>ribosome-releasing factor 2, mitochondrial isoform 3</t>
  </si>
  <si>
    <t>407228398</t>
  </si>
  <si>
    <t>ribosome-releasing factor 2, mitochondrial isoform 4</t>
  </si>
  <si>
    <t>21312610</t>
  </si>
  <si>
    <t>glucose-fructose oxidoreductase domain-containing protein 2 precursor</t>
  </si>
  <si>
    <t>7305085</t>
  </si>
  <si>
    <t>glutamine--fructose-6-phosphate aminotransferase [isomerizing] 1</t>
  </si>
  <si>
    <t>7305087</t>
  </si>
  <si>
    <t>glucosamine--fructose-6-phosphate aminotransferase [isomerizing] 2</t>
  </si>
  <si>
    <t>22122347</t>
  </si>
  <si>
    <t>ADP-ribosylation factor-binding protein GGA1</t>
  </si>
  <si>
    <t>21703924</t>
  </si>
  <si>
    <t xml:space="preserve">gamma-glutamylaminecyclotransferase </t>
  </si>
  <si>
    <t>21311849</t>
  </si>
  <si>
    <t xml:space="preserve">gamma-glutamylcyclotransferase </t>
  </si>
  <si>
    <t>9790009</t>
  </si>
  <si>
    <t xml:space="preserve">vitamin K-dependent gamma-carboxylase </t>
  </si>
  <si>
    <t>6806915</t>
  </si>
  <si>
    <t xml:space="preserve">geranylgeranyl pyrophosphate synthase </t>
  </si>
  <si>
    <t>6679995</t>
  </si>
  <si>
    <t xml:space="preserve">gamma-glutamyltranspeptidase 1 precursor </t>
  </si>
  <si>
    <t>6679997</t>
  </si>
  <si>
    <t>somatotropin precursor</t>
  </si>
  <si>
    <t>17505218</t>
  </si>
  <si>
    <t>growth hormone-inducible transmembrane protein</t>
  </si>
  <si>
    <t>254939696</t>
  </si>
  <si>
    <t xml:space="preserve">glucose-induced degradation protein 4 homolog </t>
  </si>
  <si>
    <t>58037443</t>
  </si>
  <si>
    <t xml:space="preserve">glucose-induced degradation protein 8 homolog </t>
  </si>
  <si>
    <t>159032014</t>
  </si>
  <si>
    <t>PERQ amino acid-rich with GYF domain-containing protein 2 isoform a</t>
  </si>
  <si>
    <t>159032016</t>
  </si>
  <si>
    <t>PERQ amino acid-rich with GYF domain-containing protein 2 isoform b</t>
  </si>
  <si>
    <t>254553278</t>
  </si>
  <si>
    <t>DNA replication complex GINS protein PSF1 isoform 1</t>
  </si>
  <si>
    <t>254553280</t>
  </si>
  <si>
    <t>DNA replication complex GINS protein PSF1 isoform 2</t>
  </si>
  <si>
    <t>124249060</t>
  </si>
  <si>
    <t>DNA replication complex GINS protein PSF2</t>
  </si>
  <si>
    <t>21313504</t>
  </si>
  <si>
    <t>DNA replication complex GINS protein PSF3</t>
  </si>
  <si>
    <t>13195660</t>
  </si>
  <si>
    <t>DNA replication complex GINS protein SLD5</t>
  </si>
  <si>
    <t>9055336</t>
  </si>
  <si>
    <t>PDZ domain-containing protein GIPC1</t>
  </si>
  <si>
    <t>8394258</t>
  </si>
  <si>
    <t>PDZ domain-containing protein GIPC2</t>
  </si>
  <si>
    <t>22507363</t>
  </si>
  <si>
    <t>PDZ domain-containing protein GIPC3</t>
  </si>
  <si>
    <t>51921285</t>
  </si>
  <si>
    <t>ARF GTPase-activating protein GIT1</t>
  </si>
  <si>
    <t>116517290</t>
  </si>
  <si>
    <t>ARF GTPase-activating protein GIT2 isoform 2</t>
  </si>
  <si>
    <t>116517295</t>
  </si>
  <si>
    <t>ARF GTPase-activating protein GIT2 isoform 3</t>
  </si>
  <si>
    <t>116517297</t>
  </si>
  <si>
    <t>ARF GTPase-activating protein GIT2 isoform 1</t>
  </si>
  <si>
    <t>6754000</t>
  </si>
  <si>
    <t xml:space="preserve">glycerol kinase 2 </t>
  </si>
  <si>
    <t>9789999</t>
  </si>
  <si>
    <t>G kinase-anchoring protein 1</t>
  </si>
  <si>
    <t>133778924</t>
  </si>
  <si>
    <t>alpha-galactosidase A</t>
  </si>
  <si>
    <t>6753190</t>
  </si>
  <si>
    <t>beta-galactosidase precursor</t>
  </si>
  <si>
    <t>65301488</t>
  </si>
  <si>
    <t>D-glucuronyl C5-epimerase</t>
  </si>
  <si>
    <t>58037369</t>
  </si>
  <si>
    <t>nucleoporin GLE1</t>
  </si>
  <si>
    <t>6677905</t>
  </si>
  <si>
    <t xml:space="preserve">Golgi apparatus protein 1 precursor </t>
  </si>
  <si>
    <t>47059151</t>
  </si>
  <si>
    <t xml:space="preserve">Golgi-associated plant pathogenesis-related protein 1 </t>
  </si>
  <si>
    <t>239985596</t>
  </si>
  <si>
    <t xml:space="preserve">glomulin isoform a </t>
  </si>
  <si>
    <t>239985605</t>
  </si>
  <si>
    <t xml:space="preserve">glomulin isoform b </t>
  </si>
  <si>
    <t>165932331</t>
  </si>
  <si>
    <t>lactoylglutathione lyase</t>
  </si>
  <si>
    <t>255003777</t>
  </si>
  <si>
    <t>glyoxalase domain-containing protein 4</t>
  </si>
  <si>
    <t>31981458</t>
  </si>
  <si>
    <t xml:space="preserve">glutaredoxin-1 </t>
  </si>
  <si>
    <t>31981269</t>
  </si>
  <si>
    <t xml:space="preserve">glutaredoxin-3 </t>
  </si>
  <si>
    <t>21312153</t>
  </si>
  <si>
    <t>glutaredoxin-related protein 5, mitochondrial</t>
  </si>
  <si>
    <t>124487313</t>
  </si>
  <si>
    <t>glutaminase kidney isoform, mitochondrial isoform 1</t>
  </si>
  <si>
    <t>164607135</t>
  </si>
  <si>
    <t>glutaminase kidney isoform, mitochondrial isoform 2</t>
  </si>
  <si>
    <t>170784829</t>
  </si>
  <si>
    <t>procollagen galactosyltransferase 1 precursor</t>
  </si>
  <si>
    <t>31560404</t>
  </si>
  <si>
    <t xml:space="preserve">glycolipid transfer protein </t>
  </si>
  <si>
    <t>228480230</t>
  </si>
  <si>
    <t xml:space="preserve">glioma tumor suppressor candidate region gene 2 </t>
  </si>
  <si>
    <t>6680027</t>
  </si>
  <si>
    <t xml:space="preserve">glutamate dehydrogenase 1, mitochondrial precursor </t>
  </si>
  <si>
    <t>119392066</t>
  </si>
  <si>
    <t xml:space="preserve">putative oxidoreductase GLYR1 isoform 2 </t>
  </si>
  <si>
    <t>119392074</t>
  </si>
  <si>
    <t xml:space="preserve">putative oxidoreductase GLYR1 isoform 1 </t>
  </si>
  <si>
    <t>309269122</t>
  </si>
  <si>
    <t xml:space="preserve">PREDICTED: ubiquitin-conjugating enzyme E2 L3-like </t>
  </si>
  <si>
    <t>407261621</t>
  </si>
  <si>
    <t>309262801</t>
  </si>
  <si>
    <t xml:space="preserve">PREDICTED: 60S ribosomal protein L35a-like </t>
  </si>
  <si>
    <t>309266791</t>
  </si>
  <si>
    <t xml:space="preserve">PREDICTED: 60S ribosomal protein L21-like </t>
  </si>
  <si>
    <t>309270949</t>
  </si>
  <si>
    <t>309265470</t>
  </si>
  <si>
    <t xml:space="preserve">PREDICTED: 60S ribosomal protein L28-like </t>
  </si>
  <si>
    <t>149258678</t>
  </si>
  <si>
    <t xml:space="preserve">PREDICTED: 40S ribosomal protein S12-like </t>
  </si>
  <si>
    <t>149251177</t>
  </si>
  <si>
    <t xml:space="preserve">PREDICTED: 60S ribosomal protein L13-like </t>
  </si>
  <si>
    <t>215490077</t>
  </si>
  <si>
    <t xml:space="preserve">Sin3-associated polypeptide 18-like </t>
  </si>
  <si>
    <t>309262120</t>
  </si>
  <si>
    <t>309265879</t>
  </si>
  <si>
    <t xml:space="preserve">PREDICTED: 60S ribosomal protein L17-like </t>
  </si>
  <si>
    <t>407263363</t>
  </si>
  <si>
    <t xml:space="preserve">PREDICTED: 60S ribosomal protein L17-like isoform 2 </t>
  </si>
  <si>
    <t>309265700</t>
  </si>
  <si>
    <t xml:space="preserve">PREDICTED: 60S ribosomal protein L15-like </t>
  </si>
  <si>
    <t>407262232</t>
  </si>
  <si>
    <t>407262068</t>
  </si>
  <si>
    <t xml:space="preserve">PREDICTED: histone H3.3-like </t>
  </si>
  <si>
    <t>309267049</t>
  </si>
  <si>
    <t>407263409</t>
  </si>
  <si>
    <t>82995559</t>
  </si>
  <si>
    <t xml:space="preserve">PREDICTED: nuclear transport factor 2-like </t>
  </si>
  <si>
    <t>309263288</t>
  </si>
  <si>
    <t>309270584</t>
  </si>
  <si>
    <t>82902507</t>
  </si>
  <si>
    <t xml:space="preserve">PREDICTED: 40S ribosomal protein S2-like isoform 1 </t>
  </si>
  <si>
    <t>169808401</t>
  </si>
  <si>
    <t xml:space="preserve">uncharacterized protein LOC100042314 </t>
  </si>
  <si>
    <t>149251263</t>
  </si>
  <si>
    <t xml:space="preserve">PREDICTED: ubiquitin-conjugating enzyme E2 L3-like isoform 2 </t>
  </si>
  <si>
    <t>377833873</t>
  </si>
  <si>
    <t>309263481</t>
  </si>
  <si>
    <t xml:space="preserve">PREDICTED: 60S ribosomal protein L29-like </t>
  </si>
  <si>
    <t>407263845</t>
  </si>
  <si>
    <t xml:space="preserve">PREDICTED: serpin B9 </t>
  </si>
  <si>
    <t>149250406</t>
  </si>
  <si>
    <t>309267799</t>
  </si>
  <si>
    <t>309264602</t>
  </si>
  <si>
    <t>309262452</t>
  </si>
  <si>
    <t>309268070</t>
  </si>
  <si>
    <t>PREDICTED: tyrosine-protein kinase Lyn-like</t>
  </si>
  <si>
    <t>149252067</t>
  </si>
  <si>
    <t>309264937</t>
  </si>
  <si>
    <t>309262489</t>
  </si>
  <si>
    <t xml:space="preserve">PREDICTED: endothelial differentiation-related factor 1-like </t>
  </si>
  <si>
    <t>82934691</t>
  </si>
  <si>
    <t>407261175</t>
  </si>
  <si>
    <t>407263120</t>
  </si>
  <si>
    <t>149252501</t>
  </si>
  <si>
    <t>PREDICTED: ORM1-like protein 3-like</t>
  </si>
  <si>
    <t>124486606</t>
  </si>
  <si>
    <t xml:space="preserve">predicted gene 12657 </t>
  </si>
  <si>
    <t>407261198</t>
  </si>
  <si>
    <t>PREDICTED: la-related protein 7</t>
  </si>
  <si>
    <t>149252780</t>
  </si>
  <si>
    <t xml:space="preserve">PREDICTED: RWD domain-containing protein 1-like </t>
  </si>
  <si>
    <t>124486863</t>
  </si>
  <si>
    <t>uncharacterized protein C1orf87 homolog</t>
  </si>
  <si>
    <t>309265873</t>
  </si>
  <si>
    <t>PREDICTED: uncharacterized protein LOC627004</t>
  </si>
  <si>
    <t>309266996</t>
  </si>
  <si>
    <t>PREDICTED: 60S ribosomal protein L3-like, partial</t>
  </si>
  <si>
    <t>309268181</t>
  </si>
  <si>
    <t xml:space="preserve">PREDICTED: 60S ribosomal protein L3-like </t>
  </si>
  <si>
    <t>309265057</t>
  </si>
  <si>
    <t xml:space="preserve">PREDICTED: protein S100-A11-like isoform 1 </t>
  </si>
  <si>
    <t>150010657</t>
  </si>
  <si>
    <t>uncharacterized protein ZMYM6NB precursor</t>
  </si>
  <si>
    <t>377837161</t>
  </si>
  <si>
    <t>PREDICTED: 60S acidic ribosomal protein P1-like</t>
  </si>
  <si>
    <t>309267134</t>
  </si>
  <si>
    <t>82896218</t>
  </si>
  <si>
    <t>PREDICTED: coiled-coil-helix-coiled-coil-helix domain-containing protein 2, mitochondrial-like</t>
  </si>
  <si>
    <t>377837182</t>
  </si>
  <si>
    <t>63517178</t>
  </si>
  <si>
    <t>309265127</t>
  </si>
  <si>
    <t>94372927</t>
  </si>
  <si>
    <t>309272470</t>
  </si>
  <si>
    <t>407262645</t>
  </si>
  <si>
    <t>407261047</t>
  </si>
  <si>
    <t>PREDICTED: 28S ribosomal protein S18b, mitochondrial-like</t>
  </si>
  <si>
    <t>309264473</t>
  </si>
  <si>
    <t>82885184</t>
  </si>
  <si>
    <t>PREDICTED: 60S acidic ribosomal protein P1-like isoform 3</t>
  </si>
  <si>
    <t>82885753</t>
  </si>
  <si>
    <t xml:space="preserve">PREDICTED: 60S ribosomal protein L27a-like </t>
  </si>
  <si>
    <t>309264633</t>
  </si>
  <si>
    <t xml:space="preserve">PREDICTED: 60S ribosomal protein L5-like </t>
  </si>
  <si>
    <t>309267832</t>
  </si>
  <si>
    <t>309264642</t>
  </si>
  <si>
    <t>PREDICTED: small nuclear ribonucleoprotein Sm D1-like</t>
  </si>
  <si>
    <t>149250385</t>
  </si>
  <si>
    <t>309264679</t>
  </si>
  <si>
    <t>82887979</t>
  </si>
  <si>
    <t>160333495</t>
  </si>
  <si>
    <t xml:space="preserve">uncharacterized protein LOC667373 isoform 2 </t>
  </si>
  <si>
    <t>160333500</t>
  </si>
  <si>
    <t xml:space="preserve">uncharacterized protein LOC667373 isoform 1 </t>
  </si>
  <si>
    <t>407262426</t>
  </si>
  <si>
    <t xml:space="preserve">PREDICTED: transcription elongation factor B polypeptide 1-like </t>
  </si>
  <si>
    <t>309266821</t>
  </si>
  <si>
    <t>PREDICTED: protein LLP homolog</t>
  </si>
  <si>
    <t>149271597</t>
  </si>
  <si>
    <t xml:space="preserve">PREDICTED: spermine synthase-like </t>
  </si>
  <si>
    <t>309266900</t>
  </si>
  <si>
    <t>PREDICTED: HIG1 domain family member 1A-like</t>
  </si>
  <si>
    <t>149272225</t>
  </si>
  <si>
    <t xml:space="preserve">PREDICTED: 40S ribosomal protein S12-like isoform 2 </t>
  </si>
  <si>
    <t>309266944</t>
  </si>
  <si>
    <t xml:space="preserve">PREDICTED: 60S ribosomal protein L23-like </t>
  </si>
  <si>
    <t>377835587</t>
  </si>
  <si>
    <t>PREDICTED: inosine-5'-monophosphate dehydrogenase 2-like</t>
  </si>
  <si>
    <t>407262829</t>
  </si>
  <si>
    <t xml:space="preserve">PREDICTED: putative RNA-binding protein 3-like </t>
  </si>
  <si>
    <t>309264693</t>
  </si>
  <si>
    <t xml:space="preserve">PREDICTED: prothymosin alpha-like </t>
  </si>
  <si>
    <t>309266131</t>
  </si>
  <si>
    <t xml:space="preserve">PREDICTED: 40S ribosomal protein S13-like </t>
  </si>
  <si>
    <t>149257598</t>
  </si>
  <si>
    <t xml:space="preserve">PREDICTED: 40S ribosomal protein S8 isoform 1 </t>
  </si>
  <si>
    <t>309265983</t>
  </si>
  <si>
    <t>PREDICTED: 40S ribosomal protein S8, partial</t>
  </si>
  <si>
    <t>149234328</t>
  </si>
  <si>
    <t xml:space="preserve">PREDICTED: zinc finger BED domain-containing protein 4-like </t>
  </si>
  <si>
    <t>309265319</t>
  </si>
  <si>
    <t>359718915</t>
  </si>
  <si>
    <t>probable E3 ubiquitin-protein ligase C12orf51 homolog</t>
  </si>
  <si>
    <t>309264895</t>
  </si>
  <si>
    <t>PREDICTED: short coiled-coil protein-like</t>
  </si>
  <si>
    <t>13384646</t>
  </si>
  <si>
    <t>protein GTLF3B</t>
  </si>
  <si>
    <t>309271517</t>
  </si>
  <si>
    <t>PREDICTED: uncharacterized protein LOC100502716</t>
  </si>
  <si>
    <t>309270883</t>
  </si>
  <si>
    <t xml:space="preserve">PREDICTED: peptidyl-prolyl cis-trans isomerase H-like </t>
  </si>
  <si>
    <t>407262256</t>
  </si>
  <si>
    <t>467087326</t>
  </si>
  <si>
    <t xml:space="preserve">predicted gene 1966 </t>
  </si>
  <si>
    <t>377834355</t>
  </si>
  <si>
    <t xml:space="preserve">PREDICTED: LOW QUALITY PROTEIN: interferon-induced very large GTPase 1 </t>
  </si>
  <si>
    <t>467087326;309268933</t>
  </si>
  <si>
    <t>309268933</t>
  </si>
  <si>
    <t>PREDICTED: interferon-induced very large GTPase 1</t>
  </si>
  <si>
    <t>407262653</t>
  </si>
  <si>
    <t xml:space="preserve">PREDICTED: 60S ribosomal protein L7a-like </t>
  </si>
  <si>
    <t>407263827</t>
  </si>
  <si>
    <t>407263802</t>
  </si>
  <si>
    <t>PREDICTED: ubiquitin-like protein 5-like</t>
  </si>
  <si>
    <t>309263466</t>
  </si>
  <si>
    <t xml:space="preserve">PREDICTED: calcium-binding protein p22-like, partial </t>
  </si>
  <si>
    <t>309270749</t>
  </si>
  <si>
    <t>169808420</t>
  </si>
  <si>
    <t xml:space="preserve">uncharacterized protein LOC100039042 </t>
  </si>
  <si>
    <t>407262742</t>
  </si>
  <si>
    <t>PREDICTED: eukaryotic translation initiation factor 1A</t>
  </si>
  <si>
    <t>294832030</t>
  </si>
  <si>
    <t xml:space="preserve">Eif1a-like </t>
  </si>
  <si>
    <t>407262565</t>
  </si>
  <si>
    <t>309264649</t>
  </si>
  <si>
    <t xml:space="preserve">PREDICTED: CDGSH iron-sulfur domain-containing protein 3, mitochondrial-like </t>
  </si>
  <si>
    <t>149263427</t>
  </si>
  <si>
    <t>PREDICTED: eukaryotic translation initiation factor 1A-like</t>
  </si>
  <si>
    <t>219283246</t>
  </si>
  <si>
    <t>AK010878-Moap1 protein</t>
  </si>
  <si>
    <t>407263654</t>
  </si>
  <si>
    <t xml:space="preserve">PREDICTED: ferritin light chain 1-like </t>
  </si>
  <si>
    <t>149273202</t>
  </si>
  <si>
    <t xml:space="preserve">PREDICTED: glyceraldehyde-3-phosphate dehydrogenase-like isoform 2 </t>
  </si>
  <si>
    <t>398303830</t>
  </si>
  <si>
    <t xml:space="preserve">eukaryotic translation initiation factor 1A-like </t>
  </si>
  <si>
    <t>407263560</t>
  </si>
  <si>
    <t>PREDICTED: transmembrane emp24 domain-containing protein 2-like</t>
  </si>
  <si>
    <t>407262920</t>
  </si>
  <si>
    <t>PREDICTED: high mobility group protein B1-like</t>
  </si>
  <si>
    <t>309272927</t>
  </si>
  <si>
    <t xml:space="preserve">PREDICTED: annexin A11-like </t>
  </si>
  <si>
    <t>309269866</t>
  </si>
  <si>
    <t>PREDICTED: 14-3-3 protein theta-like</t>
  </si>
  <si>
    <t>149264832</t>
  </si>
  <si>
    <t xml:space="preserve">PREDICTED: S-formylglutathione hydrolase-like </t>
  </si>
  <si>
    <t>6806917</t>
  </si>
  <si>
    <t>ganglioside GM2 activator precursor</t>
  </si>
  <si>
    <t>309267022</t>
  </si>
  <si>
    <t xml:space="preserve">PREDICTED: protein CDV3-like </t>
  </si>
  <si>
    <t>309270370</t>
  </si>
  <si>
    <t>PREDICTED: uncharacterized protein LOC100041106</t>
  </si>
  <si>
    <t>309262094</t>
  </si>
  <si>
    <t xml:space="preserve">PREDICTED: ubiquitin-conjugating enzyme E2 N-like </t>
  </si>
  <si>
    <t>149266669</t>
  </si>
  <si>
    <t xml:space="preserve">PREDICTED: NADH dehydrogenase [ubiquinone] 1 beta subcomplex subunit 4-like </t>
  </si>
  <si>
    <t>7949148</t>
  </si>
  <si>
    <t xml:space="preserve">transcription elongation factor SPT4 2 </t>
  </si>
  <si>
    <t>309263233</t>
  </si>
  <si>
    <t xml:space="preserve">PREDICTED: 60S ribosomal protein L23a-like </t>
  </si>
  <si>
    <t>309263978</t>
  </si>
  <si>
    <t>PREDICTED: uncharacterized protein C10orf12</t>
  </si>
  <si>
    <t>309271277</t>
  </si>
  <si>
    <t>377833368</t>
  </si>
  <si>
    <t xml:space="preserve">PREDICTED: 60S ribosomal protein L11-like </t>
  </si>
  <si>
    <t>377836168</t>
  </si>
  <si>
    <t>340545553</t>
  </si>
  <si>
    <t xml:space="preserve">predicted gene 3776 </t>
  </si>
  <si>
    <t>309264292</t>
  </si>
  <si>
    <t>PREDICTED: programmed cell death protein 5-like</t>
  </si>
  <si>
    <t>309264301</t>
  </si>
  <si>
    <t xml:space="preserve">PREDICTED: glutathione S-transferase P 2-like </t>
  </si>
  <si>
    <t>309262833</t>
  </si>
  <si>
    <t>PREDICTED: transmembrane emp24 domain-containing protein 10-like</t>
  </si>
  <si>
    <t>294774578;294774603</t>
  </si>
  <si>
    <t>eukaryotic translation initiation factor 1A-like 1</t>
  </si>
  <si>
    <t>339895904</t>
  </si>
  <si>
    <t xml:space="preserve">interferon-induced very large GTPase 1 </t>
  </si>
  <si>
    <t>149267527</t>
  </si>
  <si>
    <t>309265658</t>
  </si>
  <si>
    <t xml:space="preserve">PREDICTED: 60S ribosomal protein L36-like </t>
  </si>
  <si>
    <t>168229231</t>
  </si>
  <si>
    <t xml:space="preserve">uncharacterized protein LOC215895 </t>
  </si>
  <si>
    <t>298493250</t>
  </si>
  <si>
    <t>40S ribosomal protein S24-like</t>
  </si>
  <si>
    <t>256221758</t>
  </si>
  <si>
    <t xml:space="preserve">flavin-containing monooxygenase 13 </t>
  </si>
  <si>
    <t>256221898</t>
  </si>
  <si>
    <t xml:space="preserve">flavin-containing monooxygenase 12 </t>
  </si>
  <si>
    <t>82904428</t>
  </si>
  <si>
    <t xml:space="preserve">PREDICTED: 60S ribosomal protein L18a-like </t>
  </si>
  <si>
    <t>407261549</t>
  </si>
  <si>
    <t xml:space="preserve">PREDICTED: LOW QUALITY PROTEIN: twinfilin-1 </t>
  </si>
  <si>
    <t>149258537</t>
  </si>
  <si>
    <t>309266241</t>
  </si>
  <si>
    <t>309266922</t>
  </si>
  <si>
    <t xml:space="preserve">PREDICTED: LOW QUALITY PROTEIN: uncharacterized protein LOC237030 </t>
  </si>
  <si>
    <t>81230474</t>
  </si>
  <si>
    <t xml:space="preserve">ribosomal protein S12-like </t>
  </si>
  <si>
    <t>149267789</t>
  </si>
  <si>
    <t xml:space="preserve">PREDICTED: NADH dehydrogenase [ubiquinone] 1 alpha subcomplex subunit 11-like </t>
  </si>
  <si>
    <t>20846986</t>
  </si>
  <si>
    <t xml:space="preserve">PREDICTED: 40S ribosomal protein S25-like </t>
  </si>
  <si>
    <t>307574641</t>
  </si>
  <si>
    <t xml:space="preserve">predicted gene 4975 </t>
  </si>
  <si>
    <t>25032837</t>
  </si>
  <si>
    <t>407261991</t>
  </si>
  <si>
    <t xml:space="preserve">PREDICTED: protein S100-A11-like </t>
  </si>
  <si>
    <t>149263303</t>
  </si>
  <si>
    <t>PREDICTED: uncharacterized protein LOC277089</t>
  </si>
  <si>
    <t>82994207</t>
  </si>
  <si>
    <t>407262170</t>
  </si>
  <si>
    <t xml:space="preserve">PREDICTED: 40S ribosomal protein S17-like </t>
  </si>
  <si>
    <t>407264077</t>
  </si>
  <si>
    <t>309263329</t>
  </si>
  <si>
    <t>94380332</t>
  </si>
  <si>
    <t xml:space="preserve">PREDICTED: interferon-induced transmembrane protein 2-like </t>
  </si>
  <si>
    <t>407264363</t>
  </si>
  <si>
    <t>83004259</t>
  </si>
  <si>
    <t>256017236</t>
  </si>
  <si>
    <t>sentrin 14</t>
  </si>
  <si>
    <t>407261829</t>
  </si>
  <si>
    <t xml:space="preserve">PREDICTED: 60S ribosomal protein L6-like </t>
  </si>
  <si>
    <t>82949522</t>
  </si>
  <si>
    <t xml:space="preserve">PREDICTED: 60S ribosomal protein L21-like isoform 3 </t>
  </si>
  <si>
    <t>407262054</t>
  </si>
  <si>
    <t>PREDICTED: 60S ribosomal protein L9-like, partial</t>
  </si>
  <si>
    <t>51767763</t>
  </si>
  <si>
    <t xml:space="preserve">PREDICTED: 60S ribosomal protein L9-like </t>
  </si>
  <si>
    <t>82951993</t>
  </si>
  <si>
    <t>82957080</t>
  </si>
  <si>
    <t>PREDICTED: eukaryotic translation initiation factor 1-like</t>
  </si>
  <si>
    <t>82964986</t>
  </si>
  <si>
    <t xml:space="preserve">PREDICTED: 60S ribosomal protein L30-like </t>
  </si>
  <si>
    <t>70794816</t>
  </si>
  <si>
    <t xml:space="preserve">uncharacterized protein LOC433182 </t>
  </si>
  <si>
    <t>82879797</t>
  </si>
  <si>
    <t>82896822</t>
  </si>
  <si>
    <t>PREDICTED: ORM1-like protein 2-like</t>
  </si>
  <si>
    <t>94375800</t>
  </si>
  <si>
    <t xml:space="preserve">PREDICTED: nucleoside diphosphate kinase B-like </t>
  </si>
  <si>
    <t>82902181</t>
  </si>
  <si>
    <t xml:space="preserve">PREDICTED: eukaryotic initiation factor 4A-III-like </t>
  </si>
  <si>
    <t>85701806</t>
  </si>
  <si>
    <t xml:space="preserve">uncharacterized protein LOC228715 </t>
  </si>
  <si>
    <t>82930689</t>
  </si>
  <si>
    <t>PREDICTED: tubulin alpha-1C chain isoform 4</t>
  </si>
  <si>
    <t>309266590</t>
  </si>
  <si>
    <t xml:space="preserve">PREDICTED: 60S ribosomal protein L10-like </t>
  </si>
  <si>
    <t>82931053</t>
  </si>
  <si>
    <t xml:space="preserve">PREDICTED: 60S ribosomal protein L10-like isoform 2 </t>
  </si>
  <si>
    <t>149262895</t>
  </si>
  <si>
    <t>PREDICTED: mRNA turnover protein 4 homolog isoform 2</t>
  </si>
  <si>
    <t>83001127</t>
  </si>
  <si>
    <t xml:space="preserve">PREDICTED: actin-related protein 41673 complex subunit 1B-like </t>
  </si>
  <si>
    <t>85701506</t>
  </si>
  <si>
    <t>407262667</t>
  </si>
  <si>
    <t>82950935</t>
  </si>
  <si>
    <t xml:space="preserve">PREDICTED: chromobox protein homolog 3-like </t>
  </si>
  <si>
    <t>260304980</t>
  </si>
  <si>
    <t xml:space="preserve">predicted gene 5803 </t>
  </si>
  <si>
    <t>309270629</t>
  </si>
  <si>
    <t>PREDICTED: G/T mismatch-specific thymine DNA glycosylase-like isoform 5</t>
  </si>
  <si>
    <t>309264759</t>
  </si>
  <si>
    <t>PREDICTED: small nuclear ribonucleoprotein Sm D2-like</t>
  </si>
  <si>
    <t>63501063</t>
  </si>
  <si>
    <t>82891539</t>
  </si>
  <si>
    <t xml:space="preserve">PREDICTED: ubiquitin-conjugating enzyme E2 L3-like isoform 3 </t>
  </si>
  <si>
    <t>309266232</t>
  </si>
  <si>
    <t>82965725</t>
  </si>
  <si>
    <t xml:space="preserve">PREDICTED: 40S ribosomal protein S21-like </t>
  </si>
  <si>
    <t>82952096</t>
  </si>
  <si>
    <t>407262070</t>
  </si>
  <si>
    <t>407263905</t>
  </si>
  <si>
    <t>PREDICTED: high mobility group protein B1-like isoform 1</t>
  </si>
  <si>
    <t>407261316</t>
  </si>
  <si>
    <t xml:space="preserve">PREDICTED: 40S ribosomal protein S2-like </t>
  </si>
  <si>
    <t>85701852</t>
  </si>
  <si>
    <t>uncharacterized protein CXorf65 homolog</t>
  </si>
  <si>
    <t>309265975</t>
  </si>
  <si>
    <t>309268860</t>
  </si>
  <si>
    <t>407262102</t>
  </si>
  <si>
    <t>PREDICTED: CCR4-NOT transcription complex subunit 1-like</t>
  </si>
  <si>
    <t>377833664</t>
  </si>
  <si>
    <t xml:space="preserve">PREDICTED: 60S ribosomal protein L23a </t>
  </si>
  <si>
    <t>82883044</t>
  </si>
  <si>
    <t>82795390</t>
  </si>
  <si>
    <t xml:space="preserve">PREDICTED: replication protein A 14 kDa subunit-like </t>
  </si>
  <si>
    <t>82795935</t>
  </si>
  <si>
    <t>283945554</t>
  </si>
  <si>
    <t xml:space="preserve">ribosomal protein L32-like </t>
  </si>
  <si>
    <t>309265684</t>
  </si>
  <si>
    <t>PREDICTED: gem-associated protein 6-like</t>
  </si>
  <si>
    <t>82914650</t>
  </si>
  <si>
    <t xml:space="preserve">PREDICTED: costars family protein ABRACL-like </t>
  </si>
  <si>
    <t>407264048</t>
  </si>
  <si>
    <t>PREDICTED: gem-associated protein 4-like</t>
  </si>
  <si>
    <t>407263925</t>
  </si>
  <si>
    <t xml:space="preserve">PREDICTED: 60S ribosomal protein L34-like </t>
  </si>
  <si>
    <t>309265963</t>
  </si>
  <si>
    <t>PREDICTED: NADH dehydrogenase [ubiquinone] iron-sulfur protein 6, mitochondrial-like</t>
  </si>
  <si>
    <t>82906344</t>
  </si>
  <si>
    <t>348041355</t>
  </si>
  <si>
    <t xml:space="preserve">fas apoptotic inhibitory molecule 1-like </t>
  </si>
  <si>
    <t>82952669</t>
  </si>
  <si>
    <t xml:space="preserve">PREDICTED: 40S ribosomal protein S18-like </t>
  </si>
  <si>
    <t>407262458</t>
  </si>
  <si>
    <t>PREDICTED: actin-related protein 41673 complex subunit 5-like, partial</t>
  </si>
  <si>
    <t>407264342</t>
  </si>
  <si>
    <t>85702318</t>
  </si>
  <si>
    <t xml:space="preserve">predicted gene 6531 </t>
  </si>
  <si>
    <t>149251558</t>
  </si>
  <si>
    <t>82890078</t>
  </si>
  <si>
    <t>309262251</t>
  </si>
  <si>
    <t>309271811</t>
  </si>
  <si>
    <t>407264254</t>
  </si>
  <si>
    <t>PREDICTED: predicted gene 6747</t>
  </si>
  <si>
    <t>82998543</t>
  </si>
  <si>
    <t>PREDICTED: predicted gene 6747 isoform 2</t>
  </si>
  <si>
    <t>149255259</t>
  </si>
  <si>
    <t>309265661</t>
  </si>
  <si>
    <t>309266388</t>
  </si>
  <si>
    <t>82905251</t>
  </si>
  <si>
    <t>PREDICTED: peptidyl-prolyl cis-trans isomerase NIMA-interacting 4-like</t>
  </si>
  <si>
    <t>82950919</t>
  </si>
  <si>
    <t>407263864</t>
  </si>
  <si>
    <t xml:space="preserve">PREDICTED: RING1 and YY1-binding protein-like </t>
  </si>
  <si>
    <t>309267035</t>
  </si>
  <si>
    <t>309269987</t>
  </si>
  <si>
    <t>309266416</t>
  </si>
  <si>
    <t xml:space="preserve">PREDICTED: 40S ribosomal protein S15-like isoform 1 </t>
  </si>
  <si>
    <t>82918545</t>
  </si>
  <si>
    <t xml:space="preserve">PREDICTED: 40S ribosomal protein S15-like isoform 2 </t>
  </si>
  <si>
    <t>149267906</t>
  </si>
  <si>
    <t xml:space="preserve">PREDICTED: envelope glycoprotein </t>
  </si>
  <si>
    <t>83002589</t>
  </si>
  <si>
    <t xml:space="preserve">PREDICTED: 40S ribosomal protein S18-like isoform 2 </t>
  </si>
  <si>
    <t>309262778</t>
  </si>
  <si>
    <t>82943174</t>
  </si>
  <si>
    <t>309266895</t>
  </si>
  <si>
    <t>PREDICTED: splicing factor U2AF 65 kDa subunit-like, partial</t>
  </si>
  <si>
    <t>309271453</t>
  </si>
  <si>
    <t xml:space="preserve">PREDICTED: splicing factor U2AF 65 kDa subunit-like </t>
  </si>
  <si>
    <t>377834609</t>
  </si>
  <si>
    <t xml:space="preserve">PREDICTED: proteasome subunit beta type-1-like </t>
  </si>
  <si>
    <t>407262228</t>
  </si>
  <si>
    <t xml:space="preserve">PREDICTED: mitochondrial import receptor subunit TOM22 homolog </t>
  </si>
  <si>
    <t>94408110</t>
  </si>
  <si>
    <t>309265940</t>
  </si>
  <si>
    <t>PREDICTED: uncharacterized protein LOC665234</t>
  </si>
  <si>
    <t>312176359</t>
  </si>
  <si>
    <t xml:space="preserve">uncharacterized protein LOC665574 </t>
  </si>
  <si>
    <t>407264240</t>
  </si>
  <si>
    <t>PREDICTED: uncharacterized protein LOC665826</t>
  </si>
  <si>
    <t>149260017</t>
  </si>
  <si>
    <t xml:space="preserve">PREDICTED: ubiquitin-60S ribosomal protein L40-like </t>
  </si>
  <si>
    <t>309266537</t>
  </si>
  <si>
    <t>407262833</t>
  </si>
  <si>
    <t>PREDICTED: d-2-hydroxyglutarate dehydrogenase, mitochondrial-like</t>
  </si>
  <si>
    <t>94374770</t>
  </si>
  <si>
    <t xml:space="preserve">PREDICTED: mitochondrial import receptor subunit TOM5 homolog </t>
  </si>
  <si>
    <t>94388464</t>
  </si>
  <si>
    <t>94388474</t>
  </si>
  <si>
    <t>94363330</t>
  </si>
  <si>
    <t>309265674</t>
  </si>
  <si>
    <t>94388507</t>
  </si>
  <si>
    <t>309265697</t>
  </si>
  <si>
    <t xml:space="preserve">PREDICTED: ubiquitin-40S ribosomal protein S27a-like </t>
  </si>
  <si>
    <t>94378076</t>
  </si>
  <si>
    <t>377833325</t>
  </si>
  <si>
    <t>309265232</t>
  </si>
  <si>
    <t xml:space="preserve">PREDICTED: protein archease-like </t>
  </si>
  <si>
    <t>309265997</t>
  </si>
  <si>
    <t>PREDICTED: uncharacterized protein LOC667284</t>
  </si>
  <si>
    <t>407263446</t>
  </si>
  <si>
    <t>149263421</t>
  </si>
  <si>
    <t>PREDICTED: U1 small nuclear ribonucleoprotein A-like</t>
  </si>
  <si>
    <t>149240882</t>
  </si>
  <si>
    <t xml:space="preserve">PREDICTED: 40S ribosomal protein S23-like </t>
  </si>
  <si>
    <t>309266362</t>
  </si>
  <si>
    <t>94383782</t>
  </si>
  <si>
    <t>94384306</t>
  </si>
  <si>
    <t xml:space="preserve">PREDICTED: 40S ribosomal protein S2-like isoform 2 </t>
  </si>
  <si>
    <t>309270419</t>
  </si>
  <si>
    <t>PREDICTED: myosin light polypeptide 6, partial</t>
  </si>
  <si>
    <t>377833377</t>
  </si>
  <si>
    <t xml:space="preserve">PREDICTED: LOW QUALITY PROTEIN: myosin light polypeptide 6, partial </t>
  </si>
  <si>
    <t>326320033</t>
  </si>
  <si>
    <t>uncharacterized protein LOC667977 precursor</t>
  </si>
  <si>
    <t>218505708</t>
  </si>
  <si>
    <t xml:space="preserve">predicted gene, EG668137 </t>
  </si>
  <si>
    <t>94392404</t>
  </si>
  <si>
    <t>PREDICTED: mRNA turnover protein 4 homolog</t>
  </si>
  <si>
    <t>407261558</t>
  </si>
  <si>
    <t xml:space="preserve">PREDICTED: peptidyl-prolyl cis-trans isomerase A-like </t>
  </si>
  <si>
    <t>94370353</t>
  </si>
  <si>
    <t>407263600</t>
  </si>
  <si>
    <t xml:space="preserve">PREDICTED: 60S ribosomal protein L24-like </t>
  </si>
  <si>
    <t>94403170</t>
  </si>
  <si>
    <t>309266196</t>
  </si>
  <si>
    <t xml:space="preserve">PREDICTED: 60S ribosomal protein L22-like </t>
  </si>
  <si>
    <t>377834619</t>
  </si>
  <si>
    <t xml:space="preserve">PREDICTED: 60S ribosomal protein L13-like isoform 2 </t>
  </si>
  <si>
    <t>309268396</t>
  </si>
  <si>
    <t xml:space="preserve">PREDICTED: glia maturation factor gamma-like </t>
  </si>
  <si>
    <t>309265531</t>
  </si>
  <si>
    <t>316659416</t>
  </si>
  <si>
    <t>sentrin 15</t>
  </si>
  <si>
    <t>22122523</t>
  </si>
  <si>
    <t xml:space="preserve">GDP-mannose 4,6 dehydratase </t>
  </si>
  <si>
    <t>188528613</t>
  </si>
  <si>
    <t>glia maturation factor beta</t>
  </si>
  <si>
    <t>11993950</t>
  </si>
  <si>
    <t>glia maturation factor gamma isoform 1</t>
  </si>
  <si>
    <t>37674214</t>
  </si>
  <si>
    <t>GEM-interacting protein</t>
  </si>
  <si>
    <t>19526884</t>
  </si>
  <si>
    <t xml:space="preserve">mannose-1-phosphate guanyltransferase alpha </t>
  </si>
  <si>
    <t>29244556</t>
  </si>
  <si>
    <t xml:space="preserve">mannose-1-phosphate guanyltransferase beta </t>
  </si>
  <si>
    <t>17975500</t>
  </si>
  <si>
    <t xml:space="preserve">GMP reductase 1 </t>
  </si>
  <si>
    <t>29568082</t>
  </si>
  <si>
    <t xml:space="preserve">GMP reductase 2 </t>
  </si>
  <si>
    <t>85861218</t>
  </si>
  <si>
    <t xml:space="preserve">GMP synthase [glutamine-hydrolyzing] </t>
  </si>
  <si>
    <t>6754004</t>
  </si>
  <si>
    <t xml:space="preserve">guanine nucleotide-binding protein subunit alpha-11 </t>
  </si>
  <si>
    <t>6754006</t>
  </si>
  <si>
    <t xml:space="preserve">guanine nucleotide-binding protein subunit alpha-12 </t>
  </si>
  <si>
    <t>89001109</t>
  </si>
  <si>
    <t xml:space="preserve">guanine nucleotide-binding protein subunit alpha-13 </t>
  </si>
  <si>
    <t>160298199</t>
  </si>
  <si>
    <t xml:space="preserve">guanine nucleotide-binding protein subunit alpha-14 </t>
  </si>
  <si>
    <t>74271899</t>
  </si>
  <si>
    <t>guanine nucleotide-binding protein G(i) subunit alpha-1</t>
  </si>
  <si>
    <t>41054806</t>
  </si>
  <si>
    <t>guanine nucleotide-binding protein G(i) subunit alpha-2</t>
  </si>
  <si>
    <t>33563256</t>
  </si>
  <si>
    <t>guanine nucleotide-binding protein G(k) subunit alpha</t>
  </si>
  <si>
    <t>47271350</t>
  </si>
  <si>
    <t>guanine nucleotide-binding protein G(olf) subunit alpha isoform 1</t>
  </si>
  <si>
    <t>84000001</t>
  </si>
  <si>
    <t>guanine nucleotide-binding protein G(olf) subunit alpha isoform 2</t>
  </si>
  <si>
    <t>164607137</t>
  </si>
  <si>
    <t>guanine nucleotide-binding protein G(o) subunit alpha isoform B</t>
  </si>
  <si>
    <t>6754012</t>
  </si>
  <si>
    <t>guanine nucleotide-binding protein G(o) subunit alpha isoform A</t>
  </si>
  <si>
    <t>84662745</t>
  </si>
  <si>
    <t>guanine nucleotide-binding protein G(q) subunit alpha</t>
  </si>
  <si>
    <t>117959921</t>
  </si>
  <si>
    <t>protein GNAS isoform f</t>
  </si>
  <si>
    <t>117959928</t>
  </si>
  <si>
    <t>protein GNAS isoform GNASS</t>
  </si>
  <si>
    <t>117959930</t>
  </si>
  <si>
    <t>protein GNAS isoform GNASL</t>
  </si>
  <si>
    <t>47271396</t>
  </si>
  <si>
    <t>protein GNAS isoform XLas</t>
  </si>
  <si>
    <t>6680041</t>
  </si>
  <si>
    <t>guanine nucleotide-binding protein G(t) subunit alpha-1</t>
  </si>
  <si>
    <t>6680043</t>
  </si>
  <si>
    <t>guanine nucleotide-binding protein G(t) subunit alpha-2</t>
  </si>
  <si>
    <t>124487259</t>
  </si>
  <si>
    <t>guanine nucleotide-binding protein G(t) subunit alpha-3</t>
  </si>
  <si>
    <t>27532946</t>
  </si>
  <si>
    <t>guanine nucleotide-binding protein G(z) subunit alpha</t>
  </si>
  <si>
    <t>6680045</t>
  </si>
  <si>
    <t>guanine nucleotide-binding protein G(I)/G(S)/G(T) subunit beta-1</t>
  </si>
  <si>
    <t>13937391</t>
  </si>
  <si>
    <t>guanine nucleotide-binding protein G(I)/G(S)/G(T) subunit beta-2</t>
  </si>
  <si>
    <t>6680047</t>
  </si>
  <si>
    <t>guanine nucleotide-binding protein subunit beta-2-like 1</t>
  </si>
  <si>
    <t>20502976</t>
  </si>
  <si>
    <t>guanine nucleotide-binding protein G(I)/G(S)/G(T) subunit beta-3</t>
  </si>
  <si>
    <t>31542899</t>
  </si>
  <si>
    <t xml:space="preserve">guanine nucleotide-binding protein subunit beta-4 </t>
  </si>
  <si>
    <t>13384616</t>
  </si>
  <si>
    <t xml:space="preserve">guanine nucleotide-binding protein G(I)/G(S)/G(O) subunit gamma-10 precursor </t>
  </si>
  <si>
    <t>294774560</t>
  </si>
  <si>
    <t>guanine nucleotide-binding protein G(I)/G(S)/G(O) subunit gamma-12</t>
  </si>
  <si>
    <t>84579919</t>
  </si>
  <si>
    <t>guanine nucleotide-binding protein G(I)/G(S)/G(O) subunit gamma-7</t>
  </si>
  <si>
    <t>122937361</t>
  </si>
  <si>
    <t>guanine nucleotide-binding protein-like 1</t>
  </si>
  <si>
    <t>240120093</t>
  </si>
  <si>
    <t>nucleolar GTP-binding protein 2</t>
  </si>
  <si>
    <t>30524920</t>
  </si>
  <si>
    <t>guanine nucleotide-binding protein-like 3 long isoform</t>
  </si>
  <si>
    <t>160298207</t>
  </si>
  <si>
    <t xml:space="preserve">dihydroxyacetone phosphate acyltransferase </t>
  </si>
  <si>
    <t>188219582</t>
  </si>
  <si>
    <t xml:space="preserve">glucosamine-6-phosphate isomerase 1 </t>
  </si>
  <si>
    <t>83999999</t>
  </si>
  <si>
    <t xml:space="preserve">glucosamine-6-phosphate isomerase 2 </t>
  </si>
  <si>
    <t>9506761</t>
  </si>
  <si>
    <t xml:space="preserve">glucosamine 6-phosphate N-acetyltransferase </t>
  </si>
  <si>
    <t>29789239</t>
  </si>
  <si>
    <t>N-acetylglucosamine-6-sulfatase precursor</t>
  </si>
  <si>
    <t>30794192</t>
  </si>
  <si>
    <t xml:space="preserve">Golgin subfamily A member 1 </t>
  </si>
  <si>
    <t>124378030</t>
  </si>
  <si>
    <t xml:space="preserve">Golgin subfamily A member 2 isoform b </t>
  </si>
  <si>
    <t>124378042</t>
  </si>
  <si>
    <t xml:space="preserve">Golgin subfamily A member 2 isoform a </t>
  </si>
  <si>
    <t>31982330</t>
  </si>
  <si>
    <t xml:space="preserve">Golgin subfamily A member 3 </t>
  </si>
  <si>
    <t>20127150</t>
  </si>
  <si>
    <t xml:space="preserve">Golgin subfamily A member 4 </t>
  </si>
  <si>
    <t>7305095</t>
  </si>
  <si>
    <t xml:space="preserve">Golgin subfamily A member 5 </t>
  </si>
  <si>
    <t>312222675;7305095</t>
  </si>
  <si>
    <t>109809743</t>
  </si>
  <si>
    <t xml:space="preserve">Golgin subfamily A member 7 </t>
  </si>
  <si>
    <t>226958601</t>
  </si>
  <si>
    <t xml:space="preserve">golgi autoantigen, golgin subfamily b, macrogolgin 1 </t>
  </si>
  <si>
    <t>30424814</t>
  </si>
  <si>
    <t xml:space="preserve">Golgi integral membrane protein 4 </t>
  </si>
  <si>
    <t>78190502</t>
  </si>
  <si>
    <t>Golgi membrane protein 1</t>
  </si>
  <si>
    <t>14140240</t>
  </si>
  <si>
    <t xml:space="preserve">Golgi phosphoprotein 3 </t>
  </si>
  <si>
    <t>295054274</t>
  </si>
  <si>
    <t xml:space="preserve">Golgi phosphoprotein 3-like isoform 1 </t>
  </si>
  <si>
    <t>295054280</t>
  </si>
  <si>
    <t xml:space="preserve">Golgi phosphoprotein 3-like isoform 2 </t>
  </si>
  <si>
    <t>295054284</t>
  </si>
  <si>
    <t xml:space="preserve">Golgi phosphoprotein 3-like isoform 3 </t>
  </si>
  <si>
    <t>13385354</t>
  </si>
  <si>
    <t>vesicle transport protein GOT1B</t>
  </si>
  <si>
    <t>313151170</t>
  </si>
  <si>
    <t>Golgi-associated PDZ and coiled-coil motif-containing protein isoform a</t>
  </si>
  <si>
    <t>31543485</t>
  </si>
  <si>
    <t>Golgi-associated PDZ and coiled-coil motif-containing protein isoform b</t>
  </si>
  <si>
    <t>30350202</t>
  </si>
  <si>
    <t>Golgi reassembly-stacking protein 1</t>
  </si>
  <si>
    <t>224967109</t>
  </si>
  <si>
    <t>Golgi reassembly-stacking protein 2</t>
  </si>
  <si>
    <t>31542904</t>
  </si>
  <si>
    <t>Golgi SNAP receptor complex member 1</t>
  </si>
  <si>
    <t>24528553</t>
  </si>
  <si>
    <t>Golgi SNAP receptor complex member 2</t>
  </si>
  <si>
    <t>160298209</t>
  </si>
  <si>
    <t xml:space="preserve">aspartate aminotransferase, cytoplasmic </t>
  </si>
  <si>
    <t>6754036</t>
  </si>
  <si>
    <t xml:space="preserve">aspartate aminotransferase, mitochondrial </t>
  </si>
  <si>
    <t>6754046</t>
  </si>
  <si>
    <t xml:space="preserve">glycosylphosphatidylinositol anchor attachment 1 protein </t>
  </si>
  <si>
    <t>27754089</t>
  </si>
  <si>
    <t xml:space="preserve">uncharacterized protein KIAA1704 </t>
  </si>
  <si>
    <t>194473718</t>
  </si>
  <si>
    <t>coiled-coil domain-containing protein 75</t>
  </si>
  <si>
    <t>27370332</t>
  </si>
  <si>
    <t xml:space="preserve">G patch domain-containing protein 3 </t>
  </si>
  <si>
    <t>160948594</t>
  </si>
  <si>
    <t xml:space="preserve">G patch domain-containing protein 4 </t>
  </si>
  <si>
    <t>226958329</t>
  </si>
  <si>
    <t xml:space="preserve">G patch domain-containing protein 8 </t>
  </si>
  <si>
    <t>238624186</t>
  </si>
  <si>
    <t>glypican-4 precursor</t>
  </si>
  <si>
    <t>119943145</t>
  </si>
  <si>
    <t>glypican-6 isoform 1 precursor</t>
  </si>
  <si>
    <t>7106325</t>
  </si>
  <si>
    <t>glypican-6 isoform 2 precursor</t>
  </si>
  <si>
    <t>111185942</t>
  </si>
  <si>
    <t xml:space="preserve">glycerophosphocholine phosphodiesterase GPCPD1 isoform 2 </t>
  </si>
  <si>
    <t>111185947</t>
  </si>
  <si>
    <t xml:space="preserve">glycerophosphocholine phosphodiesterase GPCPD1 isoform 3 </t>
  </si>
  <si>
    <t>6753966</t>
  </si>
  <si>
    <t>glycerol-3-phosphate dehydrogenase [NAD(+)], cytoplasmic</t>
  </si>
  <si>
    <t>257467604</t>
  </si>
  <si>
    <t>glycerol-3-phosphate dehydrogenase 1-like protein</t>
  </si>
  <si>
    <t>224922803</t>
  </si>
  <si>
    <t>glycerol-3-phosphate dehydrogenase, mitochondrial precursor</t>
  </si>
  <si>
    <t>269973915</t>
  </si>
  <si>
    <t xml:space="preserve">gephyrin isoform 2 </t>
  </si>
  <si>
    <t>269973917</t>
  </si>
  <si>
    <t xml:space="preserve">gephyrin isoform 1 </t>
  </si>
  <si>
    <t>254553458</t>
  </si>
  <si>
    <t>glucose-6-phosphate isomerase</t>
  </si>
  <si>
    <t>377834554</t>
  </si>
  <si>
    <t xml:space="preserve">PREDICTED: glucose-6-phosphate isomerase </t>
  </si>
  <si>
    <t>19526970</t>
  </si>
  <si>
    <t xml:space="preserve">GPN-loop GTPase 1 </t>
  </si>
  <si>
    <t>21312642</t>
  </si>
  <si>
    <t xml:space="preserve">GPN-loop GTPase 3 </t>
  </si>
  <si>
    <t>254692915</t>
  </si>
  <si>
    <t xml:space="preserve">protein GPR107 precursor </t>
  </si>
  <si>
    <t>50428577</t>
  </si>
  <si>
    <t xml:space="preserve">G-protein coupled receptor 126 precursor </t>
  </si>
  <si>
    <t>226442795</t>
  </si>
  <si>
    <t>G-protein coupled receptor 39</t>
  </si>
  <si>
    <t>31982718</t>
  </si>
  <si>
    <t xml:space="preserve">G-protein coupled receptor 56 precursor </t>
  </si>
  <si>
    <t>21312914</t>
  </si>
  <si>
    <t xml:space="preserve">Golgi pH regulator </t>
  </si>
  <si>
    <t>153791474</t>
  </si>
  <si>
    <t xml:space="preserve">G-protein coupled receptor 98 precursor </t>
  </si>
  <si>
    <t>225543465</t>
  </si>
  <si>
    <t>retinoic acid-induced protein 3</t>
  </si>
  <si>
    <t>160333231</t>
  </si>
  <si>
    <t>G-protein coupled receptor family C group 5 member C isoform a precursor</t>
  </si>
  <si>
    <t>160333233</t>
  </si>
  <si>
    <t>G-protein coupled receptor family C group 5 member C isoform b precursor</t>
  </si>
  <si>
    <t>295424137</t>
  </si>
  <si>
    <t xml:space="preserve">COP9 signalosome complex subunit 1 isoform 1 </t>
  </si>
  <si>
    <t>295424139</t>
  </si>
  <si>
    <t xml:space="preserve">COP9 signalosome complex subunit 1 isoform 2 </t>
  </si>
  <si>
    <t>33413404</t>
  </si>
  <si>
    <t xml:space="preserve">alanine aminotransferase 1 </t>
  </si>
  <si>
    <t>84871986</t>
  </si>
  <si>
    <t xml:space="preserve">glutathione peroxidase 1 </t>
  </si>
  <si>
    <t>90903233</t>
  </si>
  <si>
    <t xml:space="preserve">phospholipid hydroperoxide glutathione peroxidase, nuclear isoform 1 </t>
  </si>
  <si>
    <t>90903235</t>
  </si>
  <si>
    <t>phospholipid hydroperoxide glutathione peroxidase, nuclear isoform 2 precursor</t>
  </si>
  <si>
    <t>27369870</t>
  </si>
  <si>
    <t>GRAM domain-containing protein 4 isoform 1</t>
  </si>
  <si>
    <t>329663552</t>
  </si>
  <si>
    <t>GRAM domain-containing protein 4 isoform 2</t>
  </si>
  <si>
    <t>6680083</t>
  </si>
  <si>
    <t xml:space="preserve">growth factor receptor-bound protein 2 </t>
  </si>
  <si>
    <t>6754066</t>
  </si>
  <si>
    <t xml:space="preserve">growth factor receptor-bound protein 7 </t>
  </si>
  <si>
    <t>7305107</t>
  </si>
  <si>
    <t>protein C10</t>
  </si>
  <si>
    <t>46810275</t>
  </si>
  <si>
    <t>grainyhead-like protein 2 homolog</t>
  </si>
  <si>
    <t>17933768</t>
  </si>
  <si>
    <t xml:space="preserve">glyoxylate reductase/hydroxypyruvate reductase </t>
  </si>
  <si>
    <t>6680091</t>
  </si>
  <si>
    <t xml:space="preserve">glutamate receptor delta-2 subunit precursor </t>
  </si>
  <si>
    <t>144922606</t>
  </si>
  <si>
    <t>glutamate receptor ionotropic, NMDA 2D precursor</t>
  </si>
  <si>
    <t>46592839</t>
  </si>
  <si>
    <t xml:space="preserve">GRIP1-associated protein 1 </t>
  </si>
  <si>
    <t>75677442</t>
  </si>
  <si>
    <t>rho GTPase-activating protein 35</t>
  </si>
  <si>
    <t>224967126</t>
  </si>
  <si>
    <t>granulins precursor</t>
  </si>
  <si>
    <t>13277394</t>
  </si>
  <si>
    <t>grpE protein homolog 1, mitochondrial precursor</t>
  </si>
  <si>
    <t>29789124</t>
  </si>
  <si>
    <t>grpE protein homolog 2, mitochondrial precursor</t>
  </si>
  <si>
    <t>148596934</t>
  </si>
  <si>
    <t>G-rich sequence factor 1 isoform 1</t>
  </si>
  <si>
    <t>148596982</t>
  </si>
  <si>
    <t>G-rich sequence factor 1 isoform 2</t>
  </si>
  <si>
    <t>163937861</t>
  </si>
  <si>
    <t xml:space="preserve">glutamate-rich WD repeat-containing protein 1 </t>
  </si>
  <si>
    <t>13878199</t>
  </si>
  <si>
    <t xml:space="preserve">gasdermin-C </t>
  </si>
  <si>
    <t>269954726;269954702</t>
  </si>
  <si>
    <t xml:space="preserve">gasdermin-C2 </t>
  </si>
  <si>
    <t>269954702</t>
  </si>
  <si>
    <t>226053537</t>
  </si>
  <si>
    <t xml:space="preserve">gasdermin-C3 </t>
  </si>
  <si>
    <t>254675345</t>
  </si>
  <si>
    <t xml:space="preserve">gasdermin-C4 </t>
  </si>
  <si>
    <t>72384361</t>
  </si>
  <si>
    <t>glycogen synthase kinase-3 alpha</t>
  </si>
  <si>
    <t>9790077</t>
  </si>
  <si>
    <t>glycogen synthase kinase-3 beta</t>
  </si>
  <si>
    <t>115292450</t>
  </si>
  <si>
    <t xml:space="preserve">GSK3-beta interaction protein </t>
  </si>
  <si>
    <t>329755243;329755239</t>
  </si>
  <si>
    <t xml:space="preserve">gelsolin isoform 2 </t>
  </si>
  <si>
    <t>329755239</t>
  </si>
  <si>
    <t>28916693</t>
  </si>
  <si>
    <t>gelsolin isoform 1 precursor</t>
  </si>
  <si>
    <t>194018529</t>
  </si>
  <si>
    <t>eukaryotic peptide chain release factor GTP-binding subunit ERF3A isoform 1</t>
  </si>
  <si>
    <t>194018533</t>
  </si>
  <si>
    <t>eukaryotic peptide chain release factor GTP-binding subunit ERF3A isoform 2</t>
  </si>
  <si>
    <t>58331156</t>
  </si>
  <si>
    <t>eukaryotic peptide chain release factor GTP-binding subunit ERF3B</t>
  </si>
  <si>
    <t>160298213</t>
  </si>
  <si>
    <t>glutathione reductase, mitochondrial precursor</t>
  </si>
  <si>
    <t>6680117</t>
  </si>
  <si>
    <t>glutathione synthetase</t>
  </si>
  <si>
    <t>154350202</t>
  </si>
  <si>
    <t xml:space="preserve">glutathione S-transferase A1 </t>
  </si>
  <si>
    <t>50263046</t>
  </si>
  <si>
    <t xml:space="preserve">glutathione S-transferase A2 </t>
  </si>
  <si>
    <t>31981724</t>
  </si>
  <si>
    <t xml:space="preserve">glutathione S-transferase A3 </t>
  </si>
  <si>
    <t>160298217</t>
  </si>
  <si>
    <t xml:space="preserve">glutathione S-transferase A4 </t>
  </si>
  <si>
    <t>21313138</t>
  </si>
  <si>
    <t>glutathione S-transferase kappa 1</t>
  </si>
  <si>
    <t>6754084</t>
  </si>
  <si>
    <t>glutathione S-transferase Mu 1</t>
  </si>
  <si>
    <t>6680121</t>
  </si>
  <si>
    <t>glutathione S-transferase Mu 2</t>
  </si>
  <si>
    <t>33468899</t>
  </si>
  <si>
    <t>glutathione S-transferase Mu 3</t>
  </si>
  <si>
    <t>238018082</t>
  </si>
  <si>
    <t>glutathione S-transferase mu 4 isoform 2</t>
  </si>
  <si>
    <t>28076911</t>
  </si>
  <si>
    <t>glutathione S-transferase mu 4 isoform 1</t>
  </si>
  <si>
    <t>6754086</t>
  </si>
  <si>
    <t>glutathione S-transferase Mu 5</t>
  </si>
  <si>
    <t>113680506</t>
  </si>
  <si>
    <t>glutathione S-transferase Mu 6</t>
  </si>
  <si>
    <t>113679874</t>
  </si>
  <si>
    <t>glutathione S-transferase Mu 7</t>
  </si>
  <si>
    <t>6754090</t>
  </si>
  <si>
    <t xml:space="preserve">glutathione S-transferase omega-1 </t>
  </si>
  <si>
    <t>313151238;225007547</t>
  </si>
  <si>
    <t xml:space="preserve">glutathione S-transferase omega-2 </t>
  </si>
  <si>
    <t>10092608</t>
  </si>
  <si>
    <t>glutathione S-transferase P 1</t>
  </si>
  <si>
    <t>32401425</t>
  </si>
  <si>
    <t>glutathione S-transferase P 2</t>
  </si>
  <si>
    <t>160298219</t>
  </si>
  <si>
    <t xml:space="preserve">glutathione S-transferase theta-1 </t>
  </si>
  <si>
    <t>158081796</t>
  </si>
  <si>
    <t xml:space="preserve">glutathione S-transferase theta-2 </t>
  </si>
  <si>
    <t>21536248</t>
  </si>
  <si>
    <t>glutathione S-transferase, theta 3</t>
  </si>
  <si>
    <t>357527382</t>
  </si>
  <si>
    <t>maleylacetoacetate isomerase isoform 2</t>
  </si>
  <si>
    <t>6754092</t>
  </si>
  <si>
    <t>maleylacetoacetate isomerase isoform 1</t>
  </si>
  <si>
    <t>226958572</t>
  </si>
  <si>
    <t>transcription initiation factor IIA subunit 1 isoform 1</t>
  </si>
  <si>
    <t>30141908</t>
  </si>
  <si>
    <t>transcription initiation factor IIA subunit 1 isoform 2</t>
  </si>
  <si>
    <t>530719548</t>
  </si>
  <si>
    <t>transcription initiation factor IIA subunit 2 isoform 2</t>
  </si>
  <si>
    <t>87299617</t>
  </si>
  <si>
    <t>transcription initiation factor IIA subunit 2 isoform 1</t>
  </si>
  <si>
    <t>21704076</t>
  </si>
  <si>
    <t>transcription initiation factor IIB</t>
  </si>
  <si>
    <t>21312660</t>
  </si>
  <si>
    <t>general transcription factor IIE subunit 1</t>
  </si>
  <si>
    <t>268838606</t>
  </si>
  <si>
    <t>general transcription factor IIE subunit 2</t>
  </si>
  <si>
    <t>20270031</t>
  </si>
  <si>
    <t>general transcription factor IIF subunit 1</t>
  </si>
  <si>
    <t>39930425</t>
  </si>
  <si>
    <t>general transcription factor IIF subunit 2</t>
  </si>
  <si>
    <t>6754094</t>
  </si>
  <si>
    <t>general transcription factor IIH subunit 4</t>
  </si>
  <si>
    <t>124001570</t>
  </si>
  <si>
    <t>general transcription factor II-I isoform 4</t>
  </si>
  <si>
    <t>124001572</t>
  </si>
  <si>
    <t>general transcription factor II-I isoform 2</t>
  </si>
  <si>
    <t>124001574</t>
  </si>
  <si>
    <t>general transcription factor II-I isoform 1</t>
  </si>
  <si>
    <t>124001576</t>
  </si>
  <si>
    <t>general transcription factor II-I isoform 3</t>
  </si>
  <si>
    <t>124001578</t>
  </si>
  <si>
    <t>general transcription factor II-I isoform 5</t>
  </si>
  <si>
    <t>75677510</t>
  </si>
  <si>
    <t>general transcription factor 3C polypeptide 3</t>
  </si>
  <si>
    <t>260436918</t>
  </si>
  <si>
    <t>general transcription factor 3C polypeptide 4 isoform 1</t>
  </si>
  <si>
    <t>260447060</t>
  </si>
  <si>
    <t>general transcription factor 3C polypeptide 4 isoform 2</t>
  </si>
  <si>
    <t>225543576</t>
  </si>
  <si>
    <t>UPF0468 protein C16orf80 homolog</t>
  </si>
  <si>
    <t>70778897</t>
  </si>
  <si>
    <t xml:space="preserve">GTP-binding protein 1 </t>
  </si>
  <si>
    <t>225543388</t>
  </si>
  <si>
    <t xml:space="preserve">GTP-binding protein 2 isoform 1 </t>
  </si>
  <si>
    <t>225543394</t>
  </si>
  <si>
    <t xml:space="preserve">GTP-binding protein 2 isoform 2 </t>
  </si>
  <si>
    <t>33414589</t>
  </si>
  <si>
    <t>tRNA modification GTPase GTPBP3, mitochondrial precursor</t>
  </si>
  <si>
    <t>31560110</t>
  </si>
  <si>
    <t>nucleolar GTP-binding protein 1</t>
  </si>
  <si>
    <t>165972313</t>
  </si>
  <si>
    <t>putative GTP-binding protein 6</t>
  </si>
  <si>
    <t>21313623</t>
  </si>
  <si>
    <t xml:space="preserve">GTP-binding protein 8 isoform 1 </t>
  </si>
  <si>
    <t>7305119</t>
  </si>
  <si>
    <t>G2 and S phase-expressed protein 1</t>
  </si>
  <si>
    <t>194688157</t>
  </si>
  <si>
    <t>olfactory guanylyl cyclase GC-D</t>
  </si>
  <si>
    <t>56119098</t>
  </si>
  <si>
    <t xml:space="preserve">retinal guanylyl cyclase 2 precursor </t>
  </si>
  <si>
    <t>226874887</t>
  </si>
  <si>
    <t>guanylate kinase isoform 1</t>
  </si>
  <si>
    <t>226874891</t>
  </si>
  <si>
    <t>guanylate kinase isoform 2</t>
  </si>
  <si>
    <t>6754098</t>
  </si>
  <si>
    <t>beta-glucuronidase precursor</t>
  </si>
  <si>
    <t>115270958</t>
  </si>
  <si>
    <t>85701786</t>
  </si>
  <si>
    <t xml:space="preserve">glucoside xylosyltransferase 1 </t>
  </si>
  <si>
    <t>46909579</t>
  </si>
  <si>
    <t>glycerol kinase isoform 2</t>
  </si>
  <si>
    <t>6680139</t>
  </si>
  <si>
    <t>glycerol kinase isoform 1</t>
  </si>
  <si>
    <t>49355801</t>
  </si>
  <si>
    <t xml:space="preserve">glycerol kinase-like 1 </t>
  </si>
  <si>
    <t>262231828</t>
  </si>
  <si>
    <t>glycosyltransferase-like protein LARGE2 isoform 1 precursor</t>
  </si>
  <si>
    <t>262231830</t>
  </si>
  <si>
    <t>glycosyltransferase-like protein LARGE2 isoform 2 precursor</t>
  </si>
  <si>
    <t>31560022</t>
  </si>
  <si>
    <t>glycogen [starch] synthase, muscle</t>
  </si>
  <si>
    <t>37674207</t>
  </si>
  <si>
    <t xml:space="preserve">GDNF-inducible zinc finger protein 1 </t>
  </si>
  <si>
    <t>227116335</t>
  </si>
  <si>
    <t>minor histocompatibility antigen H13 isoform 1</t>
  </si>
  <si>
    <t>227116337</t>
  </si>
  <si>
    <t>minor histocompatibility antigen H13 isoform 3</t>
  </si>
  <si>
    <t>227116339</t>
  </si>
  <si>
    <t>minor histocompatibility antigen H13 isoform 4</t>
  </si>
  <si>
    <t>18034682</t>
  </si>
  <si>
    <t>minor histocompatibility antigen H13 isoform 2</t>
  </si>
  <si>
    <t>31560697</t>
  </si>
  <si>
    <t>histone H1.0</t>
  </si>
  <si>
    <t>257196238</t>
  </si>
  <si>
    <t xml:space="preserve">testis-specific H1 histone </t>
  </si>
  <si>
    <t>29244126</t>
  </si>
  <si>
    <t>histone H2A.J</t>
  </si>
  <si>
    <t>256773209</t>
  </si>
  <si>
    <t>histone H2A.V</t>
  </si>
  <si>
    <t>7106331</t>
  </si>
  <si>
    <t>histone H2A.x</t>
  </si>
  <si>
    <t>283945572</t>
  </si>
  <si>
    <t xml:space="preserve">core histone macro-H2A.1 isoform 2 </t>
  </si>
  <si>
    <t>283945575</t>
  </si>
  <si>
    <t xml:space="preserve">core histone macro-H2A.1 isoform 3 </t>
  </si>
  <si>
    <t>283945579</t>
  </si>
  <si>
    <t xml:space="preserve">core histone macro-H2A.1 isoform 4 </t>
  </si>
  <si>
    <t>41152517</t>
  </si>
  <si>
    <t xml:space="preserve">core histone macro-H2A.1 isoform 1 </t>
  </si>
  <si>
    <t>46250738</t>
  </si>
  <si>
    <t xml:space="preserve">core histone macro-H2A.2 </t>
  </si>
  <si>
    <t>7949045</t>
  </si>
  <si>
    <t>histone H2A.Z</t>
  </si>
  <si>
    <t>133778955</t>
  </si>
  <si>
    <t xml:space="preserve">H-2 class I histocompatibility antigen, D-B alpha chain precursor </t>
  </si>
  <si>
    <t>133922588</t>
  </si>
  <si>
    <t xml:space="preserve">H-2 class I histocompatibility antigen, K-W28 alpha chain isoform 1 precursor </t>
  </si>
  <si>
    <t>6754128;297747288</t>
  </si>
  <si>
    <t xml:space="preserve">prefoldin subunit 6 </t>
  </si>
  <si>
    <t>297747288</t>
  </si>
  <si>
    <t>157951743</t>
  </si>
  <si>
    <t xml:space="preserve">estradiol 17-beta-dehydrogenase 8 </t>
  </si>
  <si>
    <t>392357527</t>
  </si>
  <si>
    <t>histocompatibility 2, D region locus L</t>
  </si>
  <si>
    <t>160333390</t>
  </si>
  <si>
    <t xml:space="preserve">histocompatibility 2, Q region locus 1 precursor </t>
  </si>
  <si>
    <t>6754132</t>
  </si>
  <si>
    <t xml:space="preserve">H-2 class I histocompatibility antigen, Q10 alpha chain precursor </t>
  </si>
  <si>
    <t>72535146</t>
  </si>
  <si>
    <t xml:space="preserve">histocompatibility 2, Q region locus 2 precursor </t>
  </si>
  <si>
    <t>219521935</t>
  </si>
  <si>
    <t xml:space="preserve">histocompatibility 2, Q region locus 4 precursor </t>
  </si>
  <si>
    <t>46559400</t>
  </si>
  <si>
    <t xml:space="preserve">histocompatibility 2, Q region locus 6 precursor </t>
  </si>
  <si>
    <t>310616733</t>
  </si>
  <si>
    <t xml:space="preserve">H-2 class I histocompatibility antigen, Q7 alpha chain isoform 1 precursor </t>
  </si>
  <si>
    <t>310616735</t>
  </si>
  <si>
    <t xml:space="preserve">H-2 class I histocompatibility antigen, Q7 alpha chain isoform 2 precursor </t>
  </si>
  <si>
    <t>310616737</t>
  </si>
  <si>
    <t xml:space="preserve">H-2 class I histocompatibility antigen, Q7 alpha chain isoform 3 precursor </t>
  </si>
  <si>
    <t>389595436</t>
  </si>
  <si>
    <t xml:space="preserve">H-2 class I histocompatibility antigen, Q8 alpha chain precursor </t>
  </si>
  <si>
    <t>319803125</t>
  </si>
  <si>
    <t xml:space="preserve">H-2 class I histocompatibility antigen, Q9 alpha chain precursor </t>
  </si>
  <si>
    <t>407260856</t>
  </si>
  <si>
    <t xml:space="preserve">PREDICTED: h-2 class I histocompatibility antigen, D-37 alpha chain </t>
  </si>
  <si>
    <t>6754148</t>
  </si>
  <si>
    <t xml:space="preserve">H-2 class I histocompatibility antigen, D-37 alpha chain precursor </t>
  </si>
  <si>
    <t>6680159</t>
  </si>
  <si>
    <t>histone H3.3</t>
  </si>
  <si>
    <t>6680161</t>
  </si>
  <si>
    <t>82886797</t>
  </si>
  <si>
    <t xml:space="preserve">PREDICTED: histone H3.3C-like </t>
  </si>
  <si>
    <t>31982147</t>
  </si>
  <si>
    <t xml:space="preserve">GDH/6PGL endoplasmic bifunctional protein precursor </t>
  </si>
  <si>
    <t>283436216</t>
  </si>
  <si>
    <t>E3 ubiquitin-protein ligase HACE1</t>
  </si>
  <si>
    <t>31560355</t>
  </si>
  <si>
    <t xml:space="preserve">2-hydroxyacyl-CoA lyase 1 </t>
  </si>
  <si>
    <t>111038118</t>
  </si>
  <si>
    <t xml:space="preserve">hydroxyacyl-coenzyme A dehydrogenase, mitochondrial precursor </t>
  </si>
  <si>
    <t>33859811</t>
  </si>
  <si>
    <t>trifunctional enzyme subunit alpha, mitochondrial precursor</t>
  </si>
  <si>
    <t>21704100</t>
  </si>
  <si>
    <t>trifunctional enzyme subunit beta, mitochondrial precursor</t>
  </si>
  <si>
    <t>227499238</t>
  </si>
  <si>
    <t>hydroxyacylglutathione hydrolase, mitochondrial isoform 1 precursor</t>
  </si>
  <si>
    <t>227499240</t>
  </si>
  <si>
    <t xml:space="preserve">hydroxyacylglutathione hydrolase, mitochondrial isoform 2 </t>
  </si>
  <si>
    <t>406855413</t>
  </si>
  <si>
    <t xml:space="preserve">hydroxyacylglutathione hydrolase-like protein isoform b </t>
  </si>
  <si>
    <t>251823891</t>
  </si>
  <si>
    <t xml:space="preserve">histidine--tRNA ligase, cytoplasmic </t>
  </si>
  <si>
    <t>18079343</t>
  </si>
  <si>
    <t xml:space="preserve">probable histidine--tRNA ligase, mitochondrial precursor </t>
  </si>
  <si>
    <t>6680169</t>
  </si>
  <si>
    <t xml:space="preserve">hyaluronan synthase 1 </t>
  </si>
  <si>
    <t>28076885</t>
  </si>
  <si>
    <t>histone acetyltransferase type B catalytic subunit</t>
  </si>
  <si>
    <t>22122693</t>
  </si>
  <si>
    <t xml:space="preserve">HAUS augmin-like complex subunit 3 </t>
  </si>
  <si>
    <t>226442837</t>
  </si>
  <si>
    <t xml:space="preserve">HAUS augmin-like complex subunit 5 </t>
  </si>
  <si>
    <t>498752597</t>
  </si>
  <si>
    <t xml:space="preserve">hemoglobin subunit beta-1 </t>
  </si>
  <si>
    <t>31982300;319402143</t>
  </si>
  <si>
    <t xml:space="preserve">hemoglobin, beta adult t chain </t>
  </si>
  <si>
    <t>6754178</t>
  </si>
  <si>
    <t xml:space="preserve">proheparin-binding EGF-like growth factor precursor </t>
  </si>
  <si>
    <t>223634002</t>
  </si>
  <si>
    <t>HBS1-like protein isoform 3</t>
  </si>
  <si>
    <t>110611222</t>
  </si>
  <si>
    <t>HBS1-like protein isoform 1</t>
  </si>
  <si>
    <t>110611224</t>
  </si>
  <si>
    <t>HBS1-like protein isoform 2</t>
  </si>
  <si>
    <t>225543251</t>
  </si>
  <si>
    <t>cytochrome c-type heme lyase</t>
  </si>
  <si>
    <t>34328130</t>
  </si>
  <si>
    <t>host cell factor 1</t>
  </si>
  <si>
    <t>287323109</t>
  </si>
  <si>
    <t xml:space="preserve">tyrosine-protein kinase HCK isoform p56Hck </t>
  </si>
  <si>
    <t>34734056</t>
  </si>
  <si>
    <t xml:space="preserve">tyrosine-protein kinase HCK isoform p59Hck </t>
  </si>
  <si>
    <t>6680191</t>
  </si>
  <si>
    <t>potassium/sodium hyperpolarization-activated cyclic nucleotide-gated channel 3</t>
  </si>
  <si>
    <t>6680193</t>
  </si>
  <si>
    <t xml:space="preserve">histone deacetylase 1 </t>
  </si>
  <si>
    <t>259089444</t>
  </si>
  <si>
    <t xml:space="preserve">histone deacetylase 10 </t>
  </si>
  <si>
    <t>87162464</t>
  </si>
  <si>
    <t xml:space="preserve">histone deacetylase 2 </t>
  </si>
  <si>
    <t>89257352</t>
  </si>
  <si>
    <t xml:space="preserve">histone deacetylase 3 </t>
  </si>
  <si>
    <t>46402201</t>
  </si>
  <si>
    <t xml:space="preserve">histone deacetylase 4 </t>
  </si>
  <si>
    <t>194353997</t>
  </si>
  <si>
    <t xml:space="preserve">histone deacetylase 6 </t>
  </si>
  <si>
    <t>58037203</t>
  </si>
  <si>
    <t xml:space="preserve">histone deacetylase 8 </t>
  </si>
  <si>
    <t>75832031</t>
  </si>
  <si>
    <t>HD domain-containing protein 2</t>
  </si>
  <si>
    <t>21312092</t>
  </si>
  <si>
    <t xml:space="preserve">guanosine-3',5'-bis(diphosphate) 3'-pyrophosphohydrolase MESH1 </t>
  </si>
  <si>
    <t>188497724</t>
  </si>
  <si>
    <t xml:space="preserve">hepatoma-derived growth factor </t>
  </si>
  <si>
    <t>6680201</t>
  </si>
  <si>
    <t xml:space="preserve">hepatoma-derived growth factor-related protein 2 </t>
  </si>
  <si>
    <t>21313310</t>
  </si>
  <si>
    <t>haloacid dehalogenase-like hydrolase domain-containing protein 2 isoform 1</t>
  </si>
  <si>
    <t>21312204</t>
  </si>
  <si>
    <t>haloacid dehalogenase-like hydrolase domain-containing protein 3</t>
  </si>
  <si>
    <t>19527028</t>
  </si>
  <si>
    <t xml:space="preserve">vigilin </t>
  </si>
  <si>
    <t>46519149</t>
  </si>
  <si>
    <t>BAP28 protein</t>
  </si>
  <si>
    <t>124486915</t>
  </si>
  <si>
    <t>HEAT repeat-containing protein 2</t>
  </si>
  <si>
    <t>40789301</t>
  </si>
  <si>
    <t>HEAT repeat-containing protein 3</t>
  </si>
  <si>
    <t>38505263</t>
  </si>
  <si>
    <t>HEAT repeat-containing protein 5A</t>
  </si>
  <si>
    <t>124487157</t>
  </si>
  <si>
    <t>HEAT repeat-containing protein 5B</t>
  </si>
  <si>
    <t>124249080</t>
  </si>
  <si>
    <t>HEAT repeat-containing protein 6</t>
  </si>
  <si>
    <t>124001580</t>
  </si>
  <si>
    <t xml:space="preserve">heme-binding protein 1 </t>
  </si>
  <si>
    <t>9507129</t>
  </si>
  <si>
    <t xml:space="preserve">heme-binding protein 2 </t>
  </si>
  <si>
    <t>205277432</t>
  </si>
  <si>
    <t>E3 ubiquitin-protein ligase HECTD1</t>
  </si>
  <si>
    <t>30424882</t>
  </si>
  <si>
    <t>E3 ubiquitin-protein ligase HECTD3</t>
  </si>
  <si>
    <t>163644255</t>
  </si>
  <si>
    <t>E3 ubiquitin-protein ligase HECW1</t>
  </si>
  <si>
    <t>165932362</t>
  </si>
  <si>
    <t xml:space="preserve">DNA helicase B </t>
  </si>
  <si>
    <t>12232371</t>
  </si>
  <si>
    <t>lymphocyte-specific helicase</t>
  </si>
  <si>
    <t>50355943</t>
  </si>
  <si>
    <t>probable helicase with zinc finger domain</t>
  </si>
  <si>
    <t>125347767</t>
  </si>
  <si>
    <t xml:space="preserve">PPAR gamma-DNA-binding domain interacting protein1 </t>
  </si>
  <si>
    <t>257196144</t>
  </si>
  <si>
    <t>hect domain and RCC1-like domain 1</t>
  </si>
  <si>
    <t>134288898</t>
  </si>
  <si>
    <t>E3 ubiquitin-protein ligase HERC2</t>
  </si>
  <si>
    <t>312433980</t>
  </si>
  <si>
    <t xml:space="preserve">probable E3 ubiquitin-protein ligase HERC4 isoform 1 </t>
  </si>
  <si>
    <t>32451488</t>
  </si>
  <si>
    <t xml:space="preserve">probable E3 ubiquitin-protein ligase HERC4 isoform 2 </t>
  </si>
  <si>
    <t>11612515</t>
  </si>
  <si>
    <t>homocysteine-responsive endoplasmic reticulum-resident ubiquitin-like domain member 1 protein</t>
  </si>
  <si>
    <t>67514549</t>
  </si>
  <si>
    <t>beta-hexosaminidase subunit alpha precursor</t>
  </si>
  <si>
    <t>6754186</t>
  </si>
  <si>
    <t>beta-hexosaminidase subunit beta precursor</t>
  </si>
  <si>
    <t>20270289</t>
  </si>
  <si>
    <t>protein HEXIM1</t>
  </si>
  <si>
    <t>226693388</t>
  </si>
  <si>
    <t>hepatocyte growth factor-regulated tyrosine kinase substrate isoform 1</t>
  </si>
  <si>
    <t>226874952</t>
  </si>
  <si>
    <t>hepatocyte growth factor-regulated tyrosine kinase substrate isoform 2</t>
  </si>
  <si>
    <t>115292433</t>
  </si>
  <si>
    <t>heparan-alpha-glucosaminide N-acetyltransferase</t>
  </si>
  <si>
    <t>160358774</t>
  </si>
  <si>
    <t xml:space="preserve">hedgehog-interacting protein precursor </t>
  </si>
  <si>
    <t>21704140</t>
  </si>
  <si>
    <t>3-hydroxyisobutyrate dehydrogenase, mitochondrial precursor</t>
  </si>
  <si>
    <t>22122625</t>
  </si>
  <si>
    <t>3-hydroxyisobutyryl-CoA hydrolase, mitochondrial precursor</t>
  </si>
  <si>
    <t>70887767</t>
  </si>
  <si>
    <t xml:space="preserve">hypermethylated in cancer 2 protein </t>
  </si>
  <si>
    <t>29825825</t>
  </si>
  <si>
    <t>protein HID1</t>
  </si>
  <si>
    <t>70909332</t>
  </si>
  <si>
    <t>hypoxia-inducible factor 1-alpha inhibitor</t>
  </si>
  <si>
    <t>9789977</t>
  </si>
  <si>
    <t>HIG1 domain family member 1A, mitochondrial</t>
  </si>
  <si>
    <t>12963711</t>
  </si>
  <si>
    <t>hypoxia-inducible lipid droplet-associated protein isoform 2</t>
  </si>
  <si>
    <t>299758486</t>
  </si>
  <si>
    <t>hypoxia-inducible lipid droplet-associated protein isoform 1</t>
  </si>
  <si>
    <t>33468857</t>
  </si>
  <si>
    <t xml:space="preserve">histidine triad nucleotide-binding protein 1 </t>
  </si>
  <si>
    <t>110625719</t>
  </si>
  <si>
    <t xml:space="preserve">histidine triad nucleotide-binding protein 2, mitochondrial precursor </t>
  </si>
  <si>
    <t>13385270</t>
  </si>
  <si>
    <t xml:space="preserve">histidine triad nucleotide-binding protein 3 </t>
  </si>
  <si>
    <t>225007582</t>
  </si>
  <si>
    <t xml:space="preserve">huntingtin-interacting protein 1 </t>
  </si>
  <si>
    <t>255308928</t>
  </si>
  <si>
    <t>huntingtin-interacting protein 1-related protein</t>
  </si>
  <si>
    <t>27370102</t>
  </si>
  <si>
    <t xml:space="preserve">HIRA-interacting protein 3 </t>
  </si>
  <si>
    <t>21426823</t>
  </si>
  <si>
    <t>histone H1.1</t>
  </si>
  <si>
    <t>21426893</t>
  </si>
  <si>
    <t>histone H1.5</t>
  </si>
  <si>
    <t>9845257</t>
  </si>
  <si>
    <t>histone H1.2</t>
  </si>
  <si>
    <t>254588110</t>
  </si>
  <si>
    <t>histone H1.3</t>
  </si>
  <si>
    <t>13430890</t>
  </si>
  <si>
    <t>histone H1.4</t>
  </si>
  <si>
    <t>112807207</t>
  </si>
  <si>
    <t>histone H1t</t>
  </si>
  <si>
    <t>28316756</t>
  </si>
  <si>
    <t>histone cluster 1, H2aa</t>
  </si>
  <si>
    <t>30061379</t>
  </si>
  <si>
    <t>histone H2A type 1-F</t>
  </si>
  <si>
    <t>30061327</t>
  </si>
  <si>
    <t>histone H2A type 1-H</t>
  </si>
  <si>
    <t>30061371</t>
  </si>
  <si>
    <t>histone H2A type 1-K</t>
  </si>
  <si>
    <t>407262045</t>
  </si>
  <si>
    <t xml:space="preserve">PREDICTED: histone H2A type 2-A </t>
  </si>
  <si>
    <t>294712564;30061365</t>
  </si>
  <si>
    <t>histone H2A type 1</t>
  </si>
  <si>
    <t>30061375;30061365</t>
  </si>
  <si>
    <t>30061375;294712564;30061365</t>
  </si>
  <si>
    <t>28316750</t>
  </si>
  <si>
    <t>histone H2B type 1-A</t>
  </si>
  <si>
    <t>28316760</t>
  </si>
  <si>
    <t>histone H2B type 1-B</t>
  </si>
  <si>
    <t>30089706;68131547</t>
  </si>
  <si>
    <t>histone H2B type 1-C/E/G</t>
  </si>
  <si>
    <t>30061383</t>
  </si>
  <si>
    <t>histone H2B type 1-F/J/L</t>
  </si>
  <si>
    <t>30061387</t>
  </si>
  <si>
    <t>histone H2B type 1-H</t>
  </si>
  <si>
    <t>30089704</t>
  </si>
  <si>
    <t>histone H2B type 1-K</t>
  </si>
  <si>
    <t>30061385</t>
  </si>
  <si>
    <t>histone H2B type 1-M</t>
  </si>
  <si>
    <t>160420308</t>
  </si>
  <si>
    <t>histone H2B type 1-P</t>
  </si>
  <si>
    <t>160420310;160420312</t>
  </si>
  <si>
    <t xml:space="preserve">H2b histone family, member A </t>
  </si>
  <si>
    <t>160420312</t>
  </si>
  <si>
    <t>histone cluster 1 H2br</t>
  </si>
  <si>
    <t>30089712</t>
  </si>
  <si>
    <t>histone H3.2</t>
  </si>
  <si>
    <t>30089712;21489953</t>
  </si>
  <si>
    <t>21489955</t>
  </si>
  <si>
    <t>histone H3.1</t>
  </si>
  <si>
    <t>30061345;21489955</t>
  </si>
  <si>
    <t>306482623</t>
  </si>
  <si>
    <t>histone H4</t>
  </si>
  <si>
    <t>306482623;30089708</t>
  </si>
  <si>
    <t>30089708;306482623</t>
  </si>
  <si>
    <t>20799907</t>
  </si>
  <si>
    <t>histone H2A type 2-A</t>
  </si>
  <si>
    <t>30061399;20799907</t>
  </si>
  <si>
    <t>119433657</t>
  </si>
  <si>
    <t>histone H2A type 2-B</t>
  </si>
  <si>
    <t>30089710</t>
  </si>
  <si>
    <t>histone H2A type 2-C</t>
  </si>
  <si>
    <t>68226433</t>
  </si>
  <si>
    <t>histone H2B type 2-B</t>
  </si>
  <si>
    <t>68226431</t>
  </si>
  <si>
    <t>histone H2B type 2-E</t>
  </si>
  <si>
    <t>21489953</t>
  </si>
  <si>
    <t>30061353</t>
  </si>
  <si>
    <t>histone H2A type 3</t>
  </si>
  <si>
    <t>13386452</t>
  </si>
  <si>
    <t>histone H2B type 3-A</t>
  </si>
  <si>
    <t>46049029</t>
  </si>
  <si>
    <t>histone H2B type 3-B</t>
  </si>
  <si>
    <t>225735582</t>
  </si>
  <si>
    <t xml:space="preserve">hexokinase-1 isoform HK1-sb </t>
  </si>
  <si>
    <t>225735584</t>
  </si>
  <si>
    <t xml:space="preserve">hexokinase-1 isoform HK1 </t>
  </si>
  <si>
    <t>7305143</t>
  </si>
  <si>
    <t xml:space="preserve">hexokinase-2 </t>
  </si>
  <si>
    <t>329755310</t>
  </si>
  <si>
    <t xml:space="preserve">hexokinase-3 isoform 2 </t>
  </si>
  <si>
    <t>329755312</t>
  </si>
  <si>
    <t xml:space="preserve">hexokinase-3 isoform 3 </t>
  </si>
  <si>
    <t>84370288</t>
  </si>
  <si>
    <t xml:space="preserve">hexokinase-3 isoform 1 </t>
  </si>
  <si>
    <t>21703836</t>
  </si>
  <si>
    <t xml:space="preserve">putative hexokinase HKDC1 </t>
  </si>
  <si>
    <t>20982837</t>
  </si>
  <si>
    <t>biotin--protein ligase</t>
  </si>
  <si>
    <t>67763824</t>
  </si>
  <si>
    <t xml:space="preserve">helicase-like transcription factor isoform 1 </t>
  </si>
  <si>
    <t>159110431</t>
  </si>
  <si>
    <t>porphobilinogen deaminase isoform 1</t>
  </si>
  <si>
    <t>159110463</t>
  </si>
  <si>
    <t>porphobilinogen deaminase isoform 2</t>
  </si>
  <si>
    <t>154689979</t>
  </si>
  <si>
    <t xml:space="preserve">hemicentin 1 precursor </t>
  </si>
  <si>
    <t>262331501</t>
  </si>
  <si>
    <t xml:space="preserve">high mobility group protein HMG-I/HMG-Y isoform b </t>
  </si>
  <si>
    <t>262331513</t>
  </si>
  <si>
    <t xml:space="preserve">high mobility group protein HMG-I/HMG-Y isoform d </t>
  </si>
  <si>
    <t>262331509</t>
  </si>
  <si>
    <t xml:space="preserve">high mobility group protein HMG-I/HMG-Y isoform c </t>
  </si>
  <si>
    <t>262331515</t>
  </si>
  <si>
    <t xml:space="preserve">high mobility group protein HMG-I/HMG-Y isoform e </t>
  </si>
  <si>
    <t>262072972;262331501</t>
  </si>
  <si>
    <t xml:space="preserve">high mobility group protein HMG-I/HMG-Y isoform 2 </t>
  </si>
  <si>
    <t>262072970;86198323</t>
  </si>
  <si>
    <t xml:space="preserve">high mobility group protein HMG-I/HMG-Y isoform 1 </t>
  </si>
  <si>
    <t>262072970</t>
  </si>
  <si>
    <t>6754210</t>
  </si>
  <si>
    <t xml:space="preserve">high mobility group protein HMGI-C </t>
  </si>
  <si>
    <t>6680229</t>
  </si>
  <si>
    <t xml:space="preserve">high mobility group protein B2 </t>
  </si>
  <si>
    <t>6680231</t>
  </si>
  <si>
    <t xml:space="preserve">high mobility group protein B3 </t>
  </si>
  <si>
    <t>171543858</t>
  </si>
  <si>
    <t>hydroxymethylglutaryl-CoA lyase, mitochondrial precursor</t>
  </si>
  <si>
    <t>31981842</t>
  </si>
  <si>
    <t xml:space="preserve">hydroxymethylglutaryl-CoA synthase, cytoplasmic </t>
  </si>
  <si>
    <t>31560689</t>
  </si>
  <si>
    <t>hydroxymethylglutaryl-CoA synthase, mitochondrial precursor</t>
  </si>
  <si>
    <t>21313298</t>
  </si>
  <si>
    <t xml:space="preserve">high mobility group nucleosome-binding domain-containing protein 3 isoform Hmgn3a </t>
  </si>
  <si>
    <t>133778915</t>
  </si>
  <si>
    <t xml:space="preserve">high mobility group nucleosome-binding domain-containing protein 5 </t>
  </si>
  <si>
    <t>225007593</t>
  </si>
  <si>
    <t xml:space="preserve">heme oxygenase 2 </t>
  </si>
  <si>
    <t>6680237</t>
  </si>
  <si>
    <t>hematological and neurological expressed 1 protein</t>
  </si>
  <si>
    <t>39573709</t>
  </si>
  <si>
    <t>hematological and neurological expressed 1-like protein</t>
  </si>
  <si>
    <t>226443091</t>
  </si>
  <si>
    <t>heterogeneous nuclear ribonucleoprotein A0</t>
  </si>
  <si>
    <t>6754220</t>
  </si>
  <si>
    <t>heterogeneous nuclear ribonucleoprotein A1 isoform a</t>
  </si>
  <si>
    <t>85060507</t>
  </si>
  <si>
    <t>heterogeneous nuclear ribonucleoprotein A1 isoform b</t>
  </si>
  <si>
    <t>109134362;309267107</t>
  </si>
  <si>
    <t>heterogeneous nuclear ribonucleoproteins A2/B1 isoform 1</t>
  </si>
  <si>
    <t>32880197</t>
  </si>
  <si>
    <t>heterogeneous nuclear ribonucleoproteins A2/B1 isoform 2</t>
  </si>
  <si>
    <t>157277969</t>
  </si>
  <si>
    <t>heterogeneous nuclear ribonucleoprotein A3 isoform c</t>
  </si>
  <si>
    <t>37674277</t>
  </si>
  <si>
    <t>heterogeneous nuclear ribonucleoprotein A3 isoform a</t>
  </si>
  <si>
    <t>146260280</t>
  </si>
  <si>
    <t>heterogeneous nuclear ribonucleoprotein A/B isoform 1</t>
  </si>
  <si>
    <t>6754222</t>
  </si>
  <si>
    <t>heterogeneous nuclear ribonucleoprotein A/B isoform 2</t>
  </si>
  <si>
    <t>283436176</t>
  </si>
  <si>
    <t>heterogeneous nuclear ribonucleoproteins C1/C2 isoform 2</t>
  </si>
  <si>
    <t>283436180</t>
  </si>
  <si>
    <t>heterogeneous nuclear ribonucleoproteins C1/C2 isoform 3</t>
  </si>
  <si>
    <t>283436182</t>
  </si>
  <si>
    <t>heterogeneous nuclear ribonucleoproteins C1/C2 isoform 4</t>
  </si>
  <si>
    <t>8393544</t>
  </si>
  <si>
    <t>heterogeneous nuclear ribonucleoproteins C1/C2 isoform 1</t>
  </si>
  <si>
    <t>116256512</t>
  </si>
  <si>
    <t>heterogeneous nuclear ribonucleoprotein D0 isoform a</t>
  </si>
  <si>
    <t>116256514</t>
  </si>
  <si>
    <t>heterogeneous nuclear ribonucleoprotein D0 isoform c</t>
  </si>
  <si>
    <t>116256516</t>
  </si>
  <si>
    <t>heterogeneous nuclear ribonucleoprotein D0 isoform d</t>
  </si>
  <si>
    <t>116256518</t>
  </si>
  <si>
    <t>heterogeneous nuclear ribonucleoprotein D0 isoform b</t>
  </si>
  <si>
    <t>148664250</t>
  </si>
  <si>
    <t>heterogeneous nuclear ribonucleoprotein D-like</t>
  </si>
  <si>
    <t>261878599;19527048</t>
  </si>
  <si>
    <t>heterogeneous nuclear ribonucleoprotein F</t>
  </si>
  <si>
    <t>19527048</t>
  </si>
  <si>
    <t>10946928</t>
  </si>
  <si>
    <t>heterogeneous nuclear ribonucleoprotein H</t>
  </si>
  <si>
    <t>9845253</t>
  </si>
  <si>
    <t>heterogeneous nuclear ribonucleoprotein H2</t>
  </si>
  <si>
    <t>119637823</t>
  </si>
  <si>
    <t>heterogeneous nuclear ribonucleoprotein H3</t>
  </si>
  <si>
    <t>13384620</t>
  </si>
  <si>
    <t>heterogeneous nuclear ribonucleoprotein K</t>
  </si>
  <si>
    <t>183980004</t>
  </si>
  <si>
    <t>heterogeneous nuclear ribonucleoprotein L</t>
  </si>
  <si>
    <t>110347535</t>
  </si>
  <si>
    <t>heterogeneous nuclear ribonucleoprotein L-like</t>
  </si>
  <si>
    <t>158186704</t>
  </si>
  <si>
    <t>heterogeneous nuclear ribonucleoprotein M isoform b</t>
  </si>
  <si>
    <t>21313308</t>
  </si>
  <si>
    <t>heterogeneous nuclear ribonucleoprotein M isoform a</t>
  </si>
  <si>
    <t>459683866</t>
  </si>
  <si>
    <t>heterogeneous nuclear ribonucleoprotein R isoform b</t>
  </si>
  <si>
    <t>459683868</t>
  </si>
  <si>
    <t>33859724</t>
  </si>
  <si>
    <t>heterogeneous nuclear ribonucleoprotein R isoform a</t>
  </si>
  <si>
    <t>160333923</t>
  </si>
  <si>
    <t>heterogeneous nuclear ribonucleoprotein U</t>
  </si>
  <si>
    <t>30017405</t>
  </si>
  <si>
    <t>heterogeneous nuclear ribonucleoprotein U-like protein 1 isoform 2</t>
  </si>
  <si>
    <t>21450323</t>
  </si>
  <si>
    <t>heterogeneous nuclear ribonucleoprotein U-like protein 1 isoform 1</t>
  </si>
  <si>
    <t>124487099</t>
  </si>
  <si>
    <t>heterogeneous nuclear ribonucleoprotein U-like protein 2</t>
  </si>
  <si>
    <t>13385656</t>
  </si>
  <si>
    <t xml:space="preserve">probable 4-hydroxy-2-oxoglutarate aldolase, mitochondrial precursor </t>
  </si>
  <si>
    <t>225903402</t>
  </si>
  <si>
    <t>homer protein homolog 3 isoform 2</t>
  </si>
  <si>
    <t>225903404</t>
  </si>
  <si>
    <t>homer protein homolog 3 isoform 1</t>
  </si>
  <si>
    <t>22003856</t>
  </si>
  <si>
    <t>protein Hook homolog 1</t>
  </si>
  <si>
    <t>269784731</t>
  </si>
  <si>
    <t>protein Hook homolog 2 isoform 1</t>
  </si>
  <si>
    <t>269784735</t>
  </si>
  <si>
    <t>protein Hook homolog 2 isoform 2</t>
  </si>
  <si>
    <t>46559745</t>
  </si>
  <si>
    <t>protein Hook homolog 3</t>
  </si>
  <si>
    <t>6754232</t>
  </si>
  <si>
    <t xml:space="preserve">homeobox protein Hox-A5 </t>
  </si>
  <si>
    <t>88014652</t>
  </si>
  <si>
    <t xml:space="preserve">homeobox protein Hox-B7 </t>
  </si>
  <si>
    <t>112807184</t>
  </si>
  <si>
    <t xml:space="preserve">homeobox protein Hox-D8 </t>
  </si>
  <si>
    <t>550821966</t>
  </si>
  <si>
    <t xml:space="preserve">heterochromatin protein 1-binding protein 3 isoform 4 </t>
  </si>
  <si>
    <t>550821975</t>
  </si>
  <si>
    <t xml:space="preserve">heterochromatin protein 1-binding protein 3 isoform 5 </t>
  </si>
  <si>
    <t>550822234</t>
  </si>
  <si>
    <t xml:space="preserve">heterochromatin protein 1-binding protein 3 isoform 3 </t>
  </si>
  <si>
    <t>171543869</t>
  </si>
  <si>
    <t xml:space="preserve">heterochromatin protein 1-binding protein 3 isoform 1 </t>
  </si>
  <si>
    <t>171543871</t>
  </si>
  <si>
    <t xml:space="preserve">heterochromatin protein 1-binding protein 3 isoform 2 </t>
  </si>
  <si>
    <t>6754240</t>
  </si>
  <si>
    <t>neuron-specific calcium-binding protein hippocalcin</t>
  </si>
  <si>
    <t>7949055</t>
  </si>
  <si>
    <t xml:space="preserve">hippocalcin-like protein 1 </t>
  </si>
  <si>
    <t>96975138</t>
  </si>
  <si>
    <t>hypoxanthine-guanine phosphoribosyltransferase</t>
  </si>
  <si>
    <t>268607540</t>
  </si>
  <si>
    <t xml:space="preserve">Hermansky-Pudlak syndrome 5 protein homolog isoform 1 </t>
  </si>
  <si>
    <t>268607542</t>
  </si>
  <si>
    <t xml:space="preserve">Hermansky-Pudlak syndrome 5 protein homolog isoform 2 </t>
  </si>
  <si>
    <t>194363764;194440734</t>
  </si>
  <si>
    <t>GTPase HRas isoform 1</t>
  </si>
  <si>
    <t>194440734;4885425</t>
  </si>
  <si>
    <t>194363766</t>
  </si>
  <si>
    <t>GTPase HRas isoform 2</t>
  </si>
  <si>
    <t>40807498</t>
  </si>
  <si>
    <t>ribonuclease UK114</t>
  </si>
  <si>
    <t>160948577</t>
  </si>
  <si>
    <t xml:space="preserve">HCLS1-binding protein 3 </t>
  </si>
  <si>
    <t>170172560</t>
  </si>
  <si>
    <t>heparan sulfate 2-O-sulfotransferase 1</t>
  </si>
  <si>
    <t>6754246</t>
  </si>
  <si>
    <t>heparan sulfate glucosamine 3-O-sulfotransferase 1 precursor</t>
  </si>
  <si>
    <t>358356422</t>
  </si>
  <si>
    <t xml:space="preserve">heparan sulfate glucosamine 3-O-sulfotransferase 5 </t>
  </si>
  <si>
    <t>21311873</t>
  </si>
  <si>
    <t xml:space="preserve">heat shock factor-binding protein 1 </t>
  </si>
  <si>
    <t>225703114</t>
  </si>
  <si>
    <t xml:space="preserve">iron-sulfur cluster co-chaperone protein HscB, mitochondrial precursor </t>
  </si>
  <si>
    <t>133778913</t>
  </si>
  <si>
    <t>corticosteroid 11-beta-dehydrogenase isozyme 2</t>
  </si>
  <si>
    <t>61888838</t>
  </si>
  <si>
    <t xml:space="preserve">3-hydroxyacyl-CoA dehydrogenase type-2 </t>
  </si>
  <si>
    <t>16716597</t>
  </si>
  <si>
    <t>estradiol 17-beta-dehydrogenase 11 precursor</t>
  </si>
  <si>
    <t>9789991</t>
  </si>
  <si>
    <t xml:space="preserve">estradiol 17-beta-dehydrogenase 12 </t>
  </si>
  <si>
    <t>254553340</t>
  </si>
  <si>
    <t>17-beta-hydroxysteroid dehydrogenase 13 isoform 2 precursor</t>
  </si>
  <si>
    <t>254553342</t>
  </si>
  <si>
    <t>17-beta-hydroxysteroid dehydrogenase 13 isoform 1 precursor</t>
  </si>
  <si>
    <t>295054257</t>
  </si>
  <si>
    <t xml:space="preserve">dehydrogenase/reductase (SDR family) member 10 </t>
  </si>
  <si>
    <t>31982273</t>
  </si>
  <si>
    <t xml:space="preserve">peroxisomal multifunctional enzyme type 2 </t>
  </si>
  <si>
    <t>87162470</t>
  </si>
  <si>
    <t>3-keto-steroid reductase</t>
  </si>
  <si>
    <t>30424792</t>
  </si>
  <si>
    <t xml:space="preserve">inactive hydroxysteroid dehydrogenase-like protein 1 </t>
  </si>
  <si>
    <t>125656150</t>
  </si>
  <si>
    <t>hydroxysteroid dehydrogenase-like protein 2</t>
  </si>
  <si>
    <t>6754254</t>
  </si>
  <si>
    <t xml:space="preserve">heat shock protein HSP 90-alpha </t>
  </si>
  <si>
    <t>40556608</t>
  </si>
  <si>
    <t xml:space="preserve">heat shock protein HSP 90-beta </t>
  </si>
  <si>
    <t>6755863</t>
  </si>
  <si>
    <t>endoplasmin precursor</t>
  </si>
  <si>
    <t>30089677</t>
  </si>
  <si>
    <t xml:space="preserve">heat shock 70 kDa protein 13 precursor </t>
  </si>
  <si>
    <t>82880662</t>
  </si>
  <si>
    <t>heat shock 70 kDa protein 14 isoform 1</t>
  </si>
  <si>
    <t>124339829</t>
  </si>
  <si>
    <t>heat shock 70 kDa protein 1A</t>
  </si>
  <si>
    <t>124339826</t>
  </si>
  <si>
    <t>heat shock 70 kDa protein 1B</t>
  </si>
  <si>
    <t>124339838</t>
  </si>
  <si>
    <t>heat shock 70 kDa protein 1-like</t>
  </si>
  <si>
    <t>31560686</t>
  </si>
  <si>
    <t>heat shock-related 70 kDa protein 2</t>
  </si>
  <si>
    <t>112293266</t>
  </si>
  <si>
    <t>heat shock 70 kDa protein 4</t>
  </si>
  <si>
    <t>40254361</t>
  </si>
  <si>
    <t>heat shock 70 kDa protein 4L</t>
  </si>
  <si>
    <t>254540166</t>
  </si>
  <si>
    <t xml:space="preserve">78 kDa glucose-regulated protein precursor </t>
  </si>
  <si>
    <t>31981690</t>
  </si>
  <si>
    <t>heat shock cognate 71 kDa protein</t>
  </si>
  <si>
    <t>162461907</t>
  </si>
  <si>
    <t xml:space="preserve">stress-70 protein, mitochondrial </t>
  </si>
  <si>
    <t>158937312</t>
  </si>
  <si>
    <t>heat shock protein beta-1</t>
  </si>
  <si>
    <t>110625938</t>
  </si>
  <si>
    <t>heat shock protein beta-11</t>
  </si>
  <si>
    <t>120587017</t>
  </si>
  <si>
    <t xml:space="preserve">HSPB1-associated protein 1 </t>
  </si>
  <si>
    <t>13195602</t>
  </si>
  <si>
    <t xml:space="preserve">hsp70-binding protein 1 </t>
  </si>
  <si>
    <t>183396771</t>
  </si>
  <si>
    <t>60 kDa heat shock protein, mitochondrial</t>
  </si>
  <si>
    <t>6680309</t>
  </si>
  <si>
    <t>10 kDa heat shock protein, mitochondrial</t>
  </si>
  <si>
    <t>183979966</t>
  </si>
  <si>
    <t>basement membrane-specific heparan sulfate proteoglycan core protein precursor</t>
  </si>
  <si>
    <t>114145505</t>
  </si>
  <si>
    <t xml:space="preserve">heat shock protein 105 kDa </t>
  </si>
  <si>
    <t>225690589</t>
  </si>
  <si>
    <t xml:space="preserve">oxidoreductase HTATIP2 isoform a precursor </t>
  </si>
  <si>
    <t>225690591</t>
  </si>
  <si>
    <t>oxidoreductase HTATIP2 isoform b</t>
  </si>
  <si>
    <t>23956212;321267528</t>
  </si>
  <si>
    <t xml:space="preserve">HIV Tat-specific factor 1 homolog </t>
  </si>
  <si>
    <t>10946684</t>
  </si>
  <si>
    <t xml:space="preserve">5-hydroxytryptamine receptor 6 </t>
  </si>
  <si>
    <t>229093139</t>
  </si>
  <si>
    <t>serine protease HTRA1 precursor</t>
  </si>
  <si>
    <t>254281222</t>
  </si>
  <si>
    <t>serine protease HTRA2, mitochondrial</t>
  </si>
  <si>
    <t>45439304</t>
  </si>
  <si>
    <t xml:space="preserve">huntingtin </t>
  </si>
  <si>
    <t>6680331</t>
  </si>
  <si>
    <t xml:space="preserve">checkpoint protein HUS1 </t>
  </si>
  <si>
    <t>146231996</t>
  </si>
  <si>
    <t>E3 ubiquitin-protein ligase HUWE1</t>
  </si>
  <si>
    <t>116812879</t>
  </si>
  <si>
    <t xml:space="preserve">hyaluronidase-4 </t>
  </si>
  <si>
    <t>46361984</t>
  </si>
  <si>
    <t>hydrocephalus-inducing protein</t>
  </si>
  <si>
    <t>157951706</t>
  </si>
  <si>
    <t xml:space="preserve">hypoxia up-regulated protein 1 precursor </t>
  </si>
  <si>
    <t>27229055</t>
  </si>
  <si>
    <t xml:space="preserve">huntingtin-interacting protein K </t>
  </si>
  <si>
    <t>146260276</t>
  </si>
  <si>
    <t>interferon-induced protein with tetratricopeptide repeats 3-like</t>
  </si>
  <si>
    <t>27754071</t>
  </si>
  <si>
    <t xml:space="preserve">isoamyl acetate-hydrolyzing esterase 1 homolog </t>
  </si>
  <si>
    <t>254553372</t>
  </si>
  <si>
    <t xml:space="preserve">isoleucine--tRNA ligase, cytoplasmic </t>
  </si>
  <si>
    <t>38490690</t>
  </si>
  <si>
    <t>isoleucine--tRNA ligase, mitochondrial precursor</t>
  </si>
  <si>
    <t>124486857</t>
  </si>
  <si>
    <t xml:space="preserve">inhibitor of Bruton tyrosine kinase </t>
  </si>
  <si>
    <t>255522770</t>
  </si>
  <si>
    <t xml:space="preserve">serine/threonine-protein kinase ICK </t>
  </si>
  <si>
    <t>7657220</t>
  </si>
  <si>
    <t xml:space="preserve">ICOS ligand precursor </t>
  </si>
  <si>
    <t>19387848</t>
  </si>
  <si>
    <t>peptidyl-tRNA hydrolase ICT1, mitochondrial</t>
  </si>
  <si>
    <t>459352741</t>
  </si>
  <si>
    <t>insulin-degrading enzyme</t>
  </si>
  <si>
    <t>121583922</t>
  </si>
  <si>
    <t>162417975</t>
  </si>
  <si>
    <t>isocitrate dehydrogenase [NADP] cytoplasmic</t>
  </si>
  <si>
    <t>225579033</t>
  </si>
  <si>
    <t xml:space="preserve">isocitrate dehydrogenase [NADP], mitochondrial precursor </t>
  </si>
  <si>
    <t>18250284</t>
  </si>
  <si>
    <t xml:space="preserve">isocitrate dehydrogenase [NAD] subunit alpha, mitochondrial precursor </t>
  </si>
  <si>
    <t>18700024</t>
  </si>
  <si>
    <t xml:space="preserve">isocitrate dehydrogenase 3, beta subunit </t>
  </si>
  <si>
    <t>6680345</t>
  </si>
  <si>
    <t>isocitrate dehydrogenase [NAD] subunit gamma 1, mitochondrial precursor</t>
  </si>
  <si>
    <t>281604088</t>
  </si>
  <si>
    <t xml:space="preserve">isopentenyl-diphosphate Delta-isomerase 1 </t>
  </si>
  <si>
    <t>347582671</t>
  </si>
  <si>
    <t xml:space="preserve">indoleamine 2,3-dioxygenase 2 </t>
  </si>
  <si>
    <t>13384796</t>
  </si>
  <si>
    <t xml:space="preserve">immediate early response 3-interacting protein 1 precursor </t>
  </si>
  <si>
    <t>118130979</t>
  </si>
  <si>
    <t xml:space="preserve">interferon-activable protein 204 </t>
  </si>
  <si>
    <t>125628657</t>
  </si>
  <si>
    <t xml:space="preserve">gamma-interferon-inducible lysosomal thiol reductase precursor </t>
  </si>
  <si>
    <t>21312544</t>
  </si>
  <si>
    <t xml:space="preserve">interferon-induced 35 kDa protein homolog </t>
  </si>
  <si>
    <t>410991922</t>
  </si>
  <si>
    <t xml:space="preserve">interferon gamma inducible protein 47 </t>
  </si>
  <si>
    <t>257096036</t>
  </si>
  <si>
    <t>interferon-induced helicase C domain-containing protein 1 isoform 1</t>
  </si>
  <si>
    <t>257096038</t>
  </si>
  <si>
    <t>interferon-induced helicase C domain-containing protein 1 isoform 2</t>
  </si>
  <si>
    <t>110626104</t>
  </si>
  <si>
    <t>interferon-induced protein with tetratricopeptide repeats 1</t>
  </si>
  <si>
    <t>6680363</t>
  </si>
  <si>
    <t>interferon-induced protein with tetratricopeptide repeats 2</t>
  </si>
  <si>
    <t>6754288</t>
  </si>
  <si>
    <t>interferon-induced protein with tetratricopeptide repeats 3</t>
  </si>
  <si>
    <t>13507626</t>
  </si>
  <si>
    <t>interferon-induced transmembrane protein 2</t>
  </si>
  <si>
    <t>21539593</t>
  </si>
  <si>
    <t>interferon-induced transmembrane protein 3</t>
  </si>
  <si>
    <t>226062273</t>
  </si>
  <si>
    <t>interferon-related developmental regulator 1</t>
  </si>
  <si>
    <t>268370099</t>
  </si>
  <si>
    <t xml:space="preserve">intraflagellar transport protein 122 homolog isoform 1 </t>
  </si>
  <si>
    <t>268370101</t>
  </si>
  <si>
    <t xml:space="preserve">intraflagellar transport protein 122 homolog isoform 2 </t>
  </si>
  <si>
    <t>184186088</t>
  </si>
  <si>
    <t xml:space="preserve">intraflagellar transport 140 </t>
  </si>
  <si>
    <t>281182704</t>
  </si>
  <si>
    <t xml:space="preserve">intraflagellar transport protein 172 homolog </t>
  </si>
  <si>
    <t>9506865</t>
  </si>
  <si>
    <t xml:space="preserve">intraflagellar transport protein 20 homolog </t>
  </si>
  <si>
    <t>21313158</t>
  </si>
  <si>
    <t xml:space="preserve">intraflagellar transport protein 27 homolog </t>
  </si>
  <si>
    <t>31981999</t>
  </si>
  <si>
    <t xml:space="preserve">intraflagellar transport protein 52 homolog </t>
  </si>
  <si>
    <t>28076907</t>
  </si>
  <si>
    <t xml:space="preserve">intraflagellar transport protein 80 homolog </t>
  </si>
  <si>
    <t>15638942</t>
  </si>
  <si>
    <t xml:space="preserve">intraflagellar transport protein 81 homolog </t>
  </si>
  <si>
    <t>304555605</t>
  </si>
  <si>
    <t xml:space="preserve">immunoglobulin-binding protein 1 </t>
  </si>
  <si>
    <t>113866007</t>
  </si>
  <si>
    <t xml:space="preserve">immunoglobulin-binding protein 1b </t>
  </si>
  <si>
    <t>112983656</t>
  </si>
  <si>
    <t>insulin-like growth factor 1 receptor precursor</t>
  </si>
  <si>
    <t>6753518</t>
  </si>
  <si>
    <t xml:space="preserve">insulin-like growth factor 2 mRNA-binding protein 1 </t>
  </si>
  <si>
    <t>145207996</t>
  </si>
  <si>
    <t xml:space="preserve">insulin-like growth factor 2 mRNA-binding protein 2 </t>
  </si>
  <si>
    <t>225543383</t>
  </si>
  <si>
    <t xml:space="preserve">insulin-like growth factor 2 mRNA-binding protein 3 </t>
  </si>
  <si>
    <t>133778978</t>
  </si>
  <si>
    <t>cation-independent mannose-6-phosphate receptor precursor</t>
  </si>
  <si>
    <t>226958445</t>
  </si>
  <si>
    <t>insulin-like growth factor-binding protein 7 isoform 2 precursor</t>
  </si>
  <si>
    <t>226958453</t>
  </si>
  <si>
    <t>insulin-like growth factor-binding protein 7 isoform 1 precursor</t>
  </si>
  <si>
    <t>153945808</t>
  </si>
  <si>
    <t xml:space="preserve">DNA-binding protein SMUBP-2 </t>
  </si>
  <si>
    <t>262050642</t>
  </si>
  <si>
    <t xml:space="preserve">immunoglobulin superfamily member 1 isoform 3 precursor </t>
  </si>
  <si>
    <t>29244558</t>
  </si>
  <si>
    <t xml:space="preserve">immunoglobulin superfamily member 1 isoform short precursor </t>
  </si>
  <si>
    <t>34330164</t>
  </si>
  <si>
    <t xml:space="preserve">immunoglobulin superfamily member 1 isoform long precursor </t>
  </si>
  <si>
    <t>205360918</t>
  </si>
  <si>
    <t>interferon gamma induced GTPase</t>
  </si>
  <si>
    <t>158937298</t>
  </si>
  <si>
    <t>elongator complex protein 1</t>
  </si>
  <si>
    <t>229576825</t>
  </si>
  <si>
    <t>inhibitor of nuclear factor kappa-B kinase subunit beta isoform 1</t>
  </si>
  <si>
    <t>33469101</t>
  </si>
  <si>
    <t>inhibitor of nuclear factor kappa-B kinase subunit beta isoform 2</t>
  </si>
  <si>
    <t>209862941</t>
  </si>
  <si>
    <t xml:space="preserve">NF-kappa-B essential modulator isoform 3 </t>
  </si>
  <si>
    <t>238637310</t>
  </si>
  <si>
    <t xml:space="preserve">NF-kappa-B essential modulator isoform 4 </t>
  </si>
  <si>
    <t>238637312</t>
  </si>
  <si>
    <t xml:space="preserve">NF-kappa-B essential modulator isoform 5 </t>
  </si>
  <si>
    <t>238637314</t>
  </si>
  <si>
    <t xml:space="preserve">NF-kappa-B essential modulator isoform 1 </t>
  </si>
  <si>
    <t>238637316</t>
  </si>
  <si>
    <t xml:space="preserve">NF-kappa-B essential modulator isoform 2 </t>
  </si>
  <si>
    <t>111607428</t>
  </si>
  <si>
    <t xml:space="preserve">interleukin-10 receptor subunit beta precursor </t>
  </si>
  <si>
    <t>6754326</t>
  </si>
  <si>
    <t xml:space="preserve">interleukin-18 receptor accessory protein precursor </t>
  </si>
  <si>
    <t>13624317</t>
  </si>
  <si>
    <t>interleukin-1 receptor antagonist protein isoform 1</t>
  </si>
  <si>
    <t>227116259</t>
  </si>
  <si>
    <t>interleukin-1 receptor antagonist protein isoform 3</t>
  </si>
  <si>
    <t>89257344</t>
  </si>
  <si>
    <t xml:space="preserve">interleukin-1 receptor antagonist protein isoform 2 precursor </t>
  </si>
  <si>
    <t>13385872</t>
  </si>
  <si>
    <t>interleukin enhancer-binding factor 2</t>
  </si>
  <si>
    <t>472339066;111607430</t>
  </si>
  <si>
    <t>interleukin enhancer-binding factor 3 isoform 1</t>
  </si>
  <si>
    <t>472339106</t>
  </si>
  <si>
    <t>interleukin enhancer-binding factor 3 isoform 5</t>
  </si>
  <si>
    <t>111607430</t>
  </si>
  <si>
    <t>111607432</t>
  </si>
  <si>
    <t>interleukin enhancer-binding factor 3 isoform 2</t>
  </si>
  <si>
    <t>111607434</t>
  </si>
  <si>
    <t>interleukin enhancer-binding factor 3 isoform 3</t>
  </si>
  <si>
    <t>111607436</t>
  </si>
  <si>
    <t>interleukin enhancer-binding factor 3 isoform 4</t>
  </si>
  <si>
    <t>240255651;240255653</t>
  </si>
  <si>
    <t xml:space="preserve">integrin-linked protein kinase </t>
  </si>
  <si>
    <t>240255653;240255651</t>
  </si>
  <si>
    <t>39930415</t>
  </si>
  <si>
    <t xml:space="preserve">integrin-linked kinase-associated serine/threonine phosphatase 2C </t>
  </si>
  <si>
    <t>30424591</t>
  </si>
  <si>
    <t xml:space="preserve">acetolactate synthase-like protein </t>
  </si>
  <si>
    <t>358439483</t>
  </si>
  <si>
    <t>mitochondrial inner membrane protein isoform 2</t>
  </si>
  <si>
    <t>358439528</t>
  </si>
  <si>
    <t>mitochondrial inner membrane protein isoform 3</t>
  </si>
  <si>
    <t>358439536</t>
  </si>
  <si>
    <t>mitochondrial inner membrane protein isoform 4</t>
  </si>
  <si>
    <t>358439544</t>
  </si>
  <si>
    <t>mitochondrial inner membrane protein isoform 5</t>
  </si>
  <si>
    <t>358439552</t>
  </si>
  <si>
    <t>mitochondrial inner membrane protein isoform 6</t>
  </si>
  <si>
    <t>70608131</t>
  </si>
  <si>
    <t>mitochondrial inner membrane protein isoform 1</t>
  </si>
  <si>
    <t>19527196</t>
  </si>
  <si>
    <t>U3 small nucleolar ribonucleoprotein protein IMP3</t>
  </si>
  <si>
    <t>31980942</t>
  </si>
  <si>
    <t xml:space="preserve">inositol monophosphatase 1 </t>
  </si>
  <si>
    <t>16716595</t>
  </si>
  <si>
    <t xml:space="preserve">inositol monophosphatase 2 </t>
  </si>
  <si>
    <t>29244210</t>
  </si>
  <si>
    <t xml:space="preserve">inositol monophosphatase 3 </t>
  </si>
  <si>
    <t>34328209</t>
  </si>
  <si>
    <t xml:space="preserve">inosine-5'-monophosphate dehydrogenase 1 </t>
  </si>
  <si>
    <t>31981382</t>
  </si>
  <si>
    <t xml:space="preserve">inosine-5'-monophosphate dehydrogenase 2 </t>
  </si>
  <si>
    <t>55769576</t>
  </si>
  <si>
    <t>inaD-like protein isoform 4</t>
  </si>
  <si>
    <t>55769581</t>
  </si>
  <si>
    <t>inaD-like protein isoform 2</t>
  </si>
  <si>
    <t>6671754</t>
  </si>
  <si>
    <t>inaD-like protein isoform 3</t>
  </si>
  <si>
    <t>55769578</t>
  </si>
  <si>
    <t>inaD-like protein isoform 1</t>
  </si>
  <si>
    <t>114052809</t>
  </si>
  <si>
    <t>inverted formin-2</t>
  </si>
  <si>
    <t>6678281</t>
  </si>
  <si>
    <t>indolethylamine N-methyltransferase</t>
  </si>
  <si>
    <t>170650609</t>
  </si>
  <si>
    <t xml:space="preserve">inositol polyphosphate 1-phosphatase </t>
  </si>
  <si>
    <t>158853999</t>
  </si>
  <si>
    <t>phosphatidylinositol 3,4,5-trisphosphate 5-phosphatase 1 isoform 1</t>
  </si>
  <si>
    <t>158854001</t>
  </si>
  <si>
    <t>phosphatidylinositol 3,4,5-trisphosphate 5-phosphatase 1 isoform 2</t>
  </si>
  <si>
    <t>158854003</t>
  </si>
  <si>
    <t>phosphatidylinositol 3,4,5-trisphosphate 5-phosphatase 1 isoform 3</t>
  </si>
  <si>
    <t>170172575</t>
  </si>
  <si>
    <t>phosphatidylinositol 3,4,5-trisphosphate 5-phosphatase 2</t>
  </si>
  <si>
    <t>157057178</t>
  </si>
  <si>
    <t xml:space="preserve">insulin receptor precursor </t>
  </si>
  <si>
    <t>160333073</t>
  </si>
  <si>
    <t>insulin receptor-related protein precursor</t>
  </si>
  <si>
    <t>294832004</t>
  </si>
  <si>
    <t>integrator complex subunit 1</t>
  </si>
  <si>
    <t>21313674</t>
  </si>
  <si>
    <t>integrator complex subunit 12</t>
  </si>
  <si>
    <t>31652266</t>
  </si>
  <si>
    <t>integrator complex subunit 3</t>
  </si>
  <si>
    <t>30794414</t>
  </si>
  <si>
    <t>integrator complex subunit 4</t>
  </si>
  <si>
    <t>28849895</t>
  </si>
  <si>
    <t>integrator complex subunit 5</t>
  </si>
  <si>
    <t>153791768</t>
  </si>
  <si>
    <t>integrator complex subunit 7</t>
  </si>
  <si>
    <t>31981980</t>
  </si>
  <si>
    <t>integrator complex subunit 9 isoform 1</t>
  </si>
  <si>
    <t>359279877</t>
  </si>
  <si>
    <t>integrator complex subunit 9 isoform 2</t>
  </si>
  <si>
    <t>111120342</t>
  </si>
  <si>
    <t xml:space="preserve">inversin </t>
  </si>
  <si>
    <t>31541898</t>
  </si>
  <si>
    <t xml:space="preserve">importin-11 </t>
  </si>
  <si>
    <t>19745156</t>
  </si>
  <si>
    <t xml:space="preserve">importin-4 </t>
  </si>
  <si>
    <t>29789199</t>
  </si>
  <si>
    <t xml:space="preserve">importin-5 </t>
  </si>
  <si>
    <t>74229034</t>
  </si>
  <si>
    <t xml:space="preserve">importin-7 </t>
  </si>
  <si>
    <t>124487445</t>
  </si>
  <si>
    <t xml:space="preserve">importin-8 </t>
  </si>
  <si>
    <t>112734861</t>
  </si>
  <si>
    <t xml:space="preserve">importin-9 </t>
  </si>
  <si>
    <t>242332572</t>
  </si>
  <si>
    <t>ras GTPase-activating-like protein IQGAP1</t>
  </si>
  <si>
    <t>118344444</t>
  </si>
  <si>
    <t>ras GTPase-activating-like protein IQGAP2</t>
  </si>
  <si>
    <t>118344446</t>
  </si>
  <si>
    <t xml:space="preserve">IQ motif containing GTPase activating protein 3 </t>
  </si>
  <si>
    <t>23943898</t>
  </si>
  <si>
    <t>interleukin-1 receptor-associated kinase 4</t>
  </si>
  <si>
    <t>254281215</t>
  </si>
  <si>
    <t>iron-responsive element-binding protein 2</t>
  </si>
  <si>
    <t>31982348</t>
  </si>
  <si>
    <t>interferon regulatory factor 2-binding protein 1</t>
  </si>
  <si>
    <t>257196179</t>
  </si>
  <si>
    <t>interferon regulatory factor 2-binding protein 2</t>
  </si>
  <si>
    <t>22003884</t>
  </si>
  <si>
    <t xml:space="preserve">interferon regulatory factor 2-binding protein-like </t>
  </si>
  <si>
    <t>8393627</t>
  </si>
  <si>
    <t>interferon regulatory factor 3</t>
  </si>
  <si>
    <t>114145467</t>
  </si>
  <si>
    <t>interferon regulatory factor 6</t>
  </si>
  <si>
    <t>134031980</t>
  </si>
  <si>
    <t xml:space="preserve">interferon-inducible GTPase 5 </t>
  </si>
  <si>
    <t>6680351</t>
  </si>
  <si>
    <t>immunity-related GTPase family M protein 1</t>
  </si>
  <si>
    <t>208431800</t>
  </si>
  <si>
    <t xml:space="preserve">immunity-related GTPase family Q protein </t>
  </si>
  <si>
    <t>21312189</t>
  </si>
  <si>
    <t xml:space="preserve">iron-sulfur cluster assembly 1 homolog, mitochondrial precursor </t>
  </si>
  <si>
    <t>254039596</t>
  </si>
  <si>
    <t xml:space="preserve">iron-sulfur cluster assembly 2 homolog, mitochondrial precursor </t>
  </si>
  <si>
    <t>21313484</t>
  </si>
  <si>
    <t xml:space="preserve">iron-sulfur cluster assembly enzyme ISCU, mitochondrial precursor </t>
  </si>
  <si>
    <t>226874851</t>
  </si>
  <si>
    <t>ubiquitin-like protein ISG15 precursor</t>
  </si>
  <si>
    <t>15805028</t>
  </si>
  <si>
    <t xml:space="preserve">interferon-stimulated gene 20 kDa protein </t>
  </si>
  <si>
    <t>29244084</t>
  </si>
  <si>
    <t xml:space="preserve">interferon-stimulated 20 kDa exonuclease-like 2 </t>
  </si>
  <si>
    <t>31541909</t>
  </si>
  <si>
    <t>isochorismatase domain-containing protein 1</t>
  </si>
  <si>
    <t>197333728</t>
  </si>
  <si>
    <t>isochorismatase domain-containing protein 2A, mitochondrial precursor</t>
  </si>
  <si>
    <t>21312626</t>
  </si>
  <si>
    <t>IST1 homolog</t>
  </si>
  <si>
    <t>20149316</t>
  </si>
  <si>
    <t>pre-mRNA-splicing factor ISY1 homolog</t>
  </si>
  <si>
    <t>12963757</t>
  </si>
  <si>
    <t xml:space="preserve">inositol-3-phosphate synthase 1 </t>
  </si>
  <si>
    <t>343962614;124487317</t>
  </si>
  <si>
    <t>E3 ubiquitin-protein ligase Itchy</t>
  </si>
  <si>
    <t>124487317</t>
  </si>
  <si>
    <t>268839462</t>
  </si>
  <si>
    <t>T-cell immunomodulatory protein precursor</t>
  </si>
  <si>
    <t>19527142</t>
  </si>
  <si>
    <t xml:space="preserve">integrin-alpha FG-GAP repeat-containing protein 2 </t>
  </si>
  <si>
    <t>46402185</t>
  </si>
  <si>
    <t>protein ITFG3</t>
  </si>
  <si>
    <t>153791389</t>
  </si>
  <si>
    <t xml:space="preserve">integrin alpha-1 precursor </t>
  </si>
  <si>
    <t>41054731</t>
  </si>
  <si>
    <t xml:space="preserve">integrin alpha-2 precursor </t>
  </si>
  <si>
    <t>7305189</t>
  </si>
  <si>
    <t xml:space="preserve">integrin alpha-3 precursor </t>
  </si>
  <si>
    <t>225903442</t>
  </si>
  <si>
    <t xml:space="preserve">integrin alpha-5 preproprotein </t>
  </si>
  <si>
    <t>485836844</t>
  </si>
  <si>
    <t xml:space="preserve">integrin alpha-6 isoform 2 precursor </t>
  </si>
  <si>
    <t>31982236</t>
  </si>
  <si>
    <t xml:space="preserve">integrin alpha-6 isoform 1 precursor </t>
  </si>
  <si>
    <t>294997269</t>
  </si>
  <si>
    <t>integrin alpha-D</t>
  </si>
  <si>
    <t>154240716</t>
  </si>
  <si>
    <t xml:space="preserve">integrin alpha-V precursor </t>
  </si>
  <si>
    <t>45504394</t>
  </si>
  <si>
    <t xml:space="preserve">integrin beta-1 precursor </t>
  </si>
  <si>
    <t>6680488</t>
  </si>
  <si>
    <t>integrin beta-1-binding protein 1</t>
  </si>
  <si>
    <t>111607447</t>
  </si>
  <si>
    <t xml:space="preserve">integrin beta-2 precursor </t>
  </si>
  <si>
    <t>110735426</t>
  </si>
  <si>
    <t xml:space="preserve">integrin beta-4 isoform 1 precursor </t>
  </si>
  <si>
    <t>110735428</t>
  </si>
  <si>
    <t xml:space="preserve">integrin beta-4 isoform 2 precursor </t>
  </si>
  <si>
    <t>225007617</t>
  </si>
  <si>
    <t xml:space="preserve">integrin beta-5 isoform 2 precursor </t>
  </si>
  <si>
    <t>225007621</t>
  </si>
  <si>
    <t xml:space="preserve">integrin beta-5 isoform 1 precursor </t>
  </si>
  <si>
    <t>10946686</t>
  </si>
  <si>
    <t xml:space="preserve">integrin beta-6 precursor </t>
  </si>
  <si>
    <t>160708008</t>
  </si>
  <si>
    <t xml:space="preserve">integrin beta-7 precursor </t>
  </si>
  <si>
    <t>6680502</t>
  </si>
  <si>
    <t>integral membrane protein 2B</t>
  </si>
  <si>
    <t>160333680</t>
  </si>
  <si>
    <t>integral membrane protein 2C</t>
  </si>
  <si>
    <t>31982664</t>
  </si>
  <si>
    <t xml:space="preserve">inosine triphosphate pyrophosphatase </t>
  </si>
  <si>
    <t>29789389</t>
  </si>
  <si>
    <t>inositol-tetrakisphosphate 1-kinase</t>
  </si>
  <si>
    <t>291327470</t>
  </si>
  <si>
    <t xml:space="preserve">inositol 1,4,5-trisphosphate receptor type 1 </t>
  </si>
  <si>
    <t>60592758</t>
  </si>
  <si>
    <t xml:space="preserve">inositol 1,4,5-trisphosphate receptor type 2 isoform 2 </t>
  </si>
  <si>
    <t>60593032</t>
  </si>
  <si>
    <t xml:space="preserve">inositol 1,4,5-trisphosphate receptor type 2 isoform 1 </t>
  </si>
  <si>
    <t>61102728</t>
  </si>
  <si>
    <t xml:space="preserve">inositol 1,4,5-trisphosphate receptor type 3 </t>
  </si>
  <si>
    <t>160333276</t>
  </si>
  <si>
    <t xml:space="preserve">intersectin-1 isoform 2 </t>
  </si>
  <si>
    <t>160333280</t>
  </si>
  <si>
    <t xml:space="preserve">intersectin-1 isoform 3 </t>
  </si>
  <si>
    <t>134288904</t>
  </si>
  <si>
    <t xml:space="preserve">intersectin-1 isoform 1 </t>
  </si>
  <si>
    <t>312176405</t>
  </si>
  <si>
    <t xml:space="preserve">intersectin-2 isoform 3 </t>
  </si>
  <si>
    <t>312176401</t>
  </si>
  <si>
    <t xml:space="preserve">intersectin-2 isoform 1 </t>
  </si>
  <si>
    <t>46560563</t>
  </si>
  <si>
    <t xml:space="preserve">intersectin-2 isoform 2 </t>
  </si>
  <si>
    <t>9789985</t>
  </si>
  <si>
    <t>isovaleryl-CoA dehydrogenase, mitochondrial precursor</t>
  </si>
  <si>
    <t>83627715</t>
  </si>
  <si>
    <t xml:space="preserve">involucrin </t>
  </si>
  <si>
    <t>87239990</t>
  </si>
  <si>
    <t xml:space="preserve">influenza virus NS1A-binding protein homolog isoform 2 </t>
  </si>
  <si>
    <t>87239992</t>
  </si>
  <si>
    <t xml:space="preserve">influenza virus NS1A-binding protein homolog isoform 1 </t>
  </si>
  <si>
    <t>87239996</t>
  </si>
  <si>
    <t xml:space="preserve">influenza virus NS1A-binding protein homolog isoform 3 </t>
  </si>
  <si>
    <t>30352010</t>
  </si>
  <si>
    <t xml:space="preserve">protein IWS1 homolog </t>
  </si>
  <si>
    <t>344179114</t>
  </si>
  <si>
    <t>protein jagunal homolog 1 isoform 3</t>
  </si>
  <si>
    <t>13385862</t>
  </si>
  <si>
    <t>protein jagunal homolog 1 isoform 1</t>
  </si>
  <si>
    <t>326439090</t>
  </si>
  <si>
    <t>protein jagunal homolog 1 isoform 2</t>
  </si>
  <si>
    <t>111607496</t>
  </si>
  <si>
    <t xml:space="preserve">tyrosine-protein kinase JAK1 </t>
  </si>
  <si>
    <t>114326480</t>
  </si>
  <si>
    <t xml:space="preserve">tyrosine-protein kinase JAK2 </t>
  </si>
  <si>
    <t>253970431</t>
  </si>
  <si>
    <t>janus kinase and microtubule-interacting protein 3</t>
  </si>
  <si>
    <t>11230774</t>
  </si>
  <si>
    <t>protein Jumonji</t>
  </si>
  <si>
    <t>226531205</t>
  </si>
  <si>
    <t xml:space="preserve">probable JmjC domain-containing histone demethylation protein 2C isoform 1 </t>
  </si>
  <si>
    <t>334724461</t>
  </si>
  <si>
    <t xml:space="preserve">probable JmjC domain-containing histone demethylation protein 2C isoform 2 </t>
  </si>
  <si>
    <t>167860141</t>
  </si>
  <si>
    <t>jmjC domain-containing protein 7</t>
  </si>
  <si>
    <t>326633188</t>
  </si>
  <si>
    <t xml:space="preserve">Josephin-2 </t>
  </si>
  <si>
    <t>46049047</t>
  </si>
  <si>
    <t xml:space="preserve">protein JTB precursor </t>
  </si>
  <si>
    <t>6754404</t>
  </si>
  <si>
    <t xml:space="preserve">transcription factor jun-D </t>
  </si>
  <si>
    <t>28395018</t>
  </si>
  <si>
    <t>junction plakoglobin</t>
  </si>
  <si>
    <t>256017137</t>
  </si>
  <si>
    <t xml:space="preserve">kalirin isoform 2 </t>
  </si>
  <si>
    <t>295054244</t>
  </si>
  <si>
    <t xml:space="preserve">kalirin isoform 1 </t>
  </si>
  <si>
    <t>75677563</t>
  </si>
  <si>
    <t>KN motif and ankyrin repeat domain-containing protein 1</t>
  </si>
  <si>
    <t>16716381</t>
  </si>
  <si>
    <t>lysine--tRNA ligase isoform 2</t>
  </si>
  <si>
    <t>195963321</t>
  </si>
  <si>
    <t>lysine--tRNA ligase isoform 1</t>
  </si>
  <si>
    <t>124487239</t>
  </si>
  <si>
    <t xml:space="preserve">histone acetyltransferase KAT6A </t>
  </si>
  <si>
    <t>21313044</t>
  </si>
  <si>
    <t>katanin p60 ATPase-containing subunit A-like 2</t>
  </si>
  <si>
    <t>84095201</t>
  </si>
  <si>
    <t>katanin p80 WD40 repeat-containing subunit B1</t>
  </si>
  <si>
    <t>172072622</t>
  </si>
  <si>
    <t>kelch repeat and BTB (POZ) domain containing 2</t>
  </si>
  <si>
    <t>257153339</t>
  </si>
  <si>
    <t xml:space="preserve">kelch repeat and BTB domain-containing protein 3 </t>
  </si>
  <si>
    <t>126517505</t>
  </si>
  <si>
    <t>E3 ubiquitin-protein ligase KCMF1</t>
  </si>
  <si>
    <t>358030294</t>
  </si>
  <si>
    <t xml:space="preserve">voltage-gated potassium channel subunit beta-2 isoform 2 </t>
  </si>
  <si>
    <t>358030297</t>
  </si>
  <si>
    <t xml:space="preserve">voltage-gated potassium channel subunit beta-2 isoform 1 </t>
  </si>
  <si>
    <t>28076887</t>
  </si>
  <si>
    <t xml:space="preserve">potassium voltage-gated channel subfamily G member 4 </t>
  </si>
  <si>
    <t>40445393</t>
  </si>
  <si>
    <t>potassium channel subfamily K member 12</t>
  </si>
  <si>
    <t>27370096</t>
  </si>
  <si>
    <t xml:space="preserve">BTB/POZ domain-containing adapter for CUL3-mediated RhoA degradation protein 1 </t>
  </si>
  <si>
    <t>27369698</t>
  </si>
  <si>
    <t>BTB/POZ domain-containing protein KCTD7</t>
  </si>
  <si>
    <t>12963767</t>
  </si>
  <si>
    <t xml:space="preserve">KDEL motif-containing protein 1 precursor </t>
  </si>
  <si>
    <t>47078285</t>
  </si>
  <si>
    <t>KDEL (Lys-Asp-Glu-Leu) containing 2 protein precursor</t>
  </si>
  <si>
    <t>19527170</t>
  </si>
  <si>
    <t>ER lumen protein retaining receptor 1</t>
  </si>
  <si>
    <t>13385318</t>
  </si>
  <si>
    <t>ER lumen protein retaining receptor 2</t>
  </si>
  <si>
    <t>224994233</t>
  </si>
  <si>
    <t>lysine-specific histone demethylase 1A</t>
  </si>
  <si>
    <t>26986559</t>
  </si>
  <si>
    <t>lysine-specific histone demethylase 1B</t>
  </si>
  <si>
    <t>124486935</t>
  </si>
  <si>
    <t xml:space="preserve">lysine-specific demethylase 3B </t>
  </si>
  <si>
    <t>165905607</t>
  </si>
  <si>
    <t xml:space="preserve">lysine-specific demethylase 5C </t>
  </si>
  <si>
    <t>27777648</t>
  </si>
  <si>
    <t xml:space="preserve">vascular endothelial growth factor receptor 2 precursor </t>
  </si>
  <si>
    <t>110625780</t>
  </si>
  <si>
    <t xml:space="preserve">3-ketodihydrosphingosine reductase precursor </t>
  </si>
  <si>
    <t>160333659;7710044</t>
  </si>
  <si>
    <t>kelch-like ECH-associated protein 1</t>
  </si>
  <si>
    <t>7710044</t>
  </si>
  <si>
    <t>110626031</t>
  </si>
  <si>
    <t xml:space="preserve">KH domain-containing, RNA-binding, signal transduction-associated protein 1 </t>
  </si>
  <si>
    <t>18875400</t>
  </si>
  <si>
    <t xml:space="preserve">KH domain-containing, RNA-binding, signal transduction-associated protein 2 </t>
  </si>
  <si>
    <t>117647236</t>
  </si>
  <si>
    <t xml:space="preserve">KH domain-containing, RNA-binding, signal transduction-associated protein 3 </t>
  </si>
  <si>
    <t>31982229</t>
  </si>
  <si>
    <t xml:space="preserve">ketohexokinase </t>
  </si>
  <si>
    <t>163954948</t>
  </si>
  <si>
    <t xml:space="preserve">far upstream element-binding protein 2 </t>
  </si>
  <si>
    <t>124487039</t>
  </si>
  <si>
    <t>kinase D-interacting substrate of 220 kDa</t>
  </si>
  <si>
    <t>45476577</t>
  </si>
  <si>
    <t xml:space="preserve">kinesin-like protein KIF11 </t>
  </si>
  <si>
    <t>120300944</t>
  </si>
  <si>
    <t xml:space="preserve">kinesin-like protein KIF13A </t>
  </si>
  <si>
    <t>124487163</t>
  </si>
  <si>
    <t xml:space="preserve">kinesin-like protein KIF13B </t>
  </si>
  <si>
    <t>124486927</t>
  </si>
  <si>
    <t xml:space="preserve">kinesin-like protein KIF14 </t>
  </si>
  <si>
    <t>39930325</t>
  </si>
  <si>
    <t xml:space="preserve">kinesin-like protein KIF15 </t>
  </si>
  <si>
    <t>124487287</t>
  </si>
  <si>
    <t xml:space="preserve">kinesin-like protein KIF16B </t>
  </si>
  <si>
    <t>13487898</t>
  </si>
  <si>
    <t xml:space="preserve">kinesin-like protein KIF17 isoform 1 </t>
  </si>
  <si>
    <t>300795177</t>
  </si>
  <si>
    <t xml:space="preserve">kinesin-like protein KIF17 isoform 2 </t>
  </si>
  <si>
    <t>160333877</t>
  </si>
  <si>
    <t xml:space="preserve">kinesin-like protein KIF1A isoform b </t>
  </si>
  <si>
    <t>160708010</t>
  </si>
  <si>
    <t xml:space="preserve">kinesin-like protein KIF1A isoform a </t>
  </si>
  <si>
    <t>86990458</t>
  </si>
  <si>
    <t xml:space="preserve">kinesin-like protein KIF1B isoform a </t>
  </si>
  <si>
    <t>86990460</t>
  </si>
  <si>
    <t xml:space="preserve">kinesin-like protein KIF1B isoform b </t>
  </si>
  <si>
    <t>145966744</t>
  </si>
  <si>
    <t xml:space="preserve">kinesin-like protein KIF1C </t>
  </si>
  <si>
    <t>157823695</t>
  </si>
  <si>
    <t xml:space="preserve">kinesin-like protein KIF21A isoform 3 </t>
  </si>
  <si>
    <t>157823731</t>
  </si>
  <si>
    <t xml:space="preserve">kinesin-like protein KIF21A isoform 1 </t>
  </si>
  <si>
    <t>157823761</t>
  </si>
  <si>
    <t xml:space="preserve">kinesin-like protein KIF21A isoform 2 </t>
  </si>
  <si>
    <t>157823795</t>
  </si>
  <si>
    <t xml:space="preserve">kinesin-like protein KIF21A isoform 4 </t>
  </si>
  <si>
    <t>21704182</t>
  </si>
  <si>
    <t xml:space="preserve">kinesin-like protein KIF22 </t>
  </si>
  <si>
    <t>32401469</t>
  </si>
  <si>
    <t xml:space="preserve">kinesin-like protein KIF27 </t>
  </si>
  <si>
    <t>224809371</t>
  </si>
  <si>
    <t xml:space="preserve">kinesin-like protein KIF2A isoform 1 </t>
  </si>
  <si>
    <t>224809373</t>
  </si>
  <si>
    <t xml:space="preserve">kinesin-like protein KIF2A isoform 2 </t>
  </si>
  <si>
    <t>110625946</t>
  </si>
  <si>
    <t xml:space="preserve">kinesin-like protein KIF2B </t>
  </si>
  <si>
    <t>34328138</t>
  </si>
  <si>
    <t xml:space="preserve">kinesin-like protein KIF3A </t>
  </si>
  <si>
    <t>227908861</t>
  </si>
  <si>
    <t xml:space="preserve">kinesin-like protein KIF3B </t>
  </si>
  <si>
    <t>84781817</t>
  </si>
  <si>
    <t xml:space="preserve">kinesin-like protein KIF3C </t>
  </si>
  <si>
    <t>84781727;40254635</t>
  </si>
  <si>
    <t xml:space="preserve">kinesin heavy chain isoform 5A </t>
  </si>
  <si>
    <t>40254635;84781727</t>
  </si>
  <si>
    <t>61657921</t>
  </si>
  <si>
    <t xml:space="preserve">kinesin-1 heavy chain </t>
  </si>
  <si>
    <t>45433560</t>
  </si>
  <si>
    <t xml:space="preserve">kinesin heavy chain isoform 5C </t>
  </si>
  <si>
    <t>254675236</t>
  </si>
  <si>
    <t xml:space="preserve">kinesin-like protein KIF9 isoform 2 </t>
  </si>
  <si>
    <t>254675238</t>
  </si>
  <si>
    <t xml:space="preserve">kinesin-like protein KIF9 isoform 1 </t>
  </si>
  <si>
    <t>224967071</t>
  </si>
  <si>
    <t xml:space="preserve">kinesin-like protein KIFC3 isoform a </t>
  </si>
  <si>
    <t>224967073</t>
  </si>
  <si>
    <t xml:space="preserve">kinesin-like protein KIFC3 isoform b </t>
  </si>
  <si>
    <t>224967075</t>
  </si>
  <si>
    <t xml:space="preserve">kinesin-like protein KIFC3 isoform c </t>
  </si>
  <si>
    <t>33859684</t>
  </si>
  <si>
    <t xml:space="preserve">DNA/RNA-binding protein KIN17 </t>
  </si>
  <si>
    <t>70608146</t>
  </si>
  <si>
    <t>kin of IRRE-like protein 1 precursor</t>
  </si>
  <si>
    <t>170650719</t>
  </si>
  <si>
    <t>mast/stem cell growth factor receptor Kit isoform 2</t>
  </si>
  <si>
    <t>170650721</t>
  </si>
  <si>
    <t>mast/stem cell growth factor receptor Kit isoform 1</t>
  </si>
  <si>
    <t>227330584</t>
  </si>
  <si>
    <t>klotho precursor</t>
  </si>
  <si>
    <t>131412178</t>
  </si>
  <si>
    <t>kinesin light chain 1 isoform 1D</t>
  </si>
  <si>
    <t>131412198</t>
  </si>
  <si>
    <t>kinesin light chain 1 isoform 1A</t>
  </si>
  <si>
    <t>131412207</t>
  </si>
  <si>
    <t>kinesin light chain 1 isoform 1H</t>
  </si>
  <si>
    <t>133778983</t>
  </si>
  <si>
    <t>kinesin light chain 2</t>
  </si>
  <si>
    <t>22122725</t>
  </si>
  <si>
    <t>kinesin light chain 3</t>
  </si>
  <si>
    <t>13386370</t>
  </si>
  <si>
    <t>kinesin light chain 4</t>
  </si>
  <si>
    <t>58037463</t>
  </si>
  <si>
    <t>kelch domain-containing protein 10</t>
  </si>
  <si>
    <t>226246638</t>
  </si>
  <si>
    <t>kelch domain-containing protein 2</t>
  </si>
  <si>
    <t>255683384</t>
  </si>
  <si>
    <t>kelch domain-containing protein 4</t>
  </si>
  <si>
    <t>237513007</t>
  </si>
  <si>
    <t>kelch domain containing 7B</t>
  </si>
  <si>
    <t>84794655</t>
  </si>
  <si>
    <t>kelch-like 15 isoform a</t>
  </si>
  <si>
    <t>159032012</t>
  </si>
  <si>
    <t xml:space="preserve">kelch-like protein 22 </t>
  </si>
  <si>
    <t>109288014</t>
  </si>
  <si>
    <t xml:space="preserve">kinetochore-associated protein 1 </t>
  </si>
  <si>
    <t>31543047</t>
  </si>
  <si>
    <t xml:space="preserve">importin subunit alpha-1 </t>
  </si>
  <si>
    <t>6754474</t>
  </si>
  <si>
    <t>6680596</t>
  </si>
  <si>
    <t xml:space="preserve">importin subunit alpha-3 </t>
  </si>
  <si>
    <t>6680598</t>
  </si>
  <si>
    <t>227116300</t>
  </si>
  <si>
    <t xml:space="preserve">importin subunit alpha-7 </t>
  </si>
  <si>
    <t>88014720</t>
  </si>
  <si>
    <t xml:space="preserve">importin subunit beta-1 </t>
  </si>
  <si>
    <t>228480267</t>
  </si>
  <si>
    <t xml:space="preserve">kaptin </t>
  </si>
  <si>
    <t>266458391</t>
  </si>
  <si>
    <t>GTPase KRas</t>
  </si>
  <si>
    <t>282847448</t>
  </si>
  <si>
    <t xml:space="preserve">krev interaction trapped protein 1 isoform 2 </t>
  </si>
  <si>
    <t>282847450</t>
  </si>
  <si>
    <t xml:space="preserve">krev interaction trapped protein 1 isoform 1 </t>
  </si>
  <si>
    <t>226442952</t>
  </si>
  <si>
    <t>KRR1 small subunit processome component homolog</t>
  </si>
  <si>
    <t>20270210</t>
  </si>
  <si>
    <t xml:space="preserve">protein KTI12 homolog </t>
  </si>
  <si>
    <t>144922638</t>
  </si>
  <si>
    <t xml:space="preserve">kinectin </t>
  </si>
  <si>
    <t>112293279</t>
  </si>
  <si>
    <t>neural cell adhesion molecule L1 precursor</t>
  </si>
  <si>
    <t>21703884</t>
  </si>
  <si>
    <t>L-2-hydroxyglutarate dehydrogenase, mitochondrial precursor</t>
  </si>
  <si>
    <t>13399318</t>
  </si>
  <si>
    <t>protein Hikeshi</t>
  </si>
  <si>
    <t>144922663</t>
  </si>
  <si>
    <t>lactation elevated protein 1</t>
  </si>
  <si>
    <t>13507666</t>
  </si>
  <si>
    <t>serine beta-lactamase-like protein LACTB, mitochondrial precursor</t>
  </si>
  <si>
    <t>21703764</t>
  </si>
  <si>
    <t xml:space="preserve">beta-lactamase-like protein 2 </t>
  </si>
  <si>
    <t>31981555</t>
  </si>
  <si>
    <t xml:space="preserve">ladinin-1 </t>
  </si>
  <si>
    <t>13384798</t>
  </si>
  <si>
    <t xml:space="preserve">L antigen family member 3 </t>
  </si>
  <si>
    <t>124487155</t>
  </si>
  <si>
    <t>laminin subunit alpha-5 precursor</t>
  </si>
  <si>
    <t>114326497</t>
  </si>
  <si>
    <t xml:space="preserve">laminin subunit beta-1 </t>
  </si>
  <si>
    <t>31982223</t>
  </si>
  <si>
    <t>laminin subunit beta-2 precursor</t>
  </si>
  <si>
    <t>153791270</t>
  </si>
  <si>
    <t>laminin subunit gamma-1 precursor</t>
  </si>
  <si>
    <t>110624798</t>
  </si>
  <si>
    <t>laminin subunit gamma-2 precursor</t>
  </si>
  <si>
    <t>113195678</t>
  </si>
  <si>
    <t xml:space="preserve">lysosome-associated membrane glycoprotein 1 precursor </t>
  </si>
  <si>
    <t>31543108</t>
  </si>
  <si>
    <t>lysosome-associated membrane glycoprotein 2 isoform 2</t>
  </si>
  <si>
    <t>63054837</t>
  </si>
  <si>
    <t xml:space="preserve">lysosome-associated membrane glycoprotein 2 isoform 1 precursor </t>
  </si>
  <si>
    <t>242332593</t>
  </si>
  <si>
    <t>ragulator complex protein LAMTOR1</t>
  </si>
  <si>
    <t>13752573</t>
  </si>
  <si>
    <t>ragulator complex protein LAMTOR2</t>
  </si>
  <si>
    <t>9910452</t>
  </si>
  <si>
    <t>ragulator complex protein LAMTOR3</t>
  </si>
  <si>
    <t>237820655</t>
  </si>
  <si>
    <t>hepatitis B virus X-interacting protein homolog</t>
  </si>
  <si>
    <t>300795817</t>
  </si>
  <si>
    <t xml:space="preserve">lanC-like protein 1 </t>
  </si>
  <si>
    <t>19526936</t>
  </si>
  <si>
    <t xml:space="preserve">lanC-like protein 2 </t>
  </si>
  <si>
    <t>255069715</t>
  </si>
  <si>
    <t>cytosol aminopeptidase</t>
  </si>
  <si>
    <t>109689716</t>
  </si>
  <si>
    <t>lysosomal-associated transmembrane protein 4A</t>
  </si>
  <si>
    <t>226442901</t>
  </si>
  <si>
    <t xml:space="preserve">la-related protein 1 </t>
  </si>
  <si>
    <t>124358932</t>
  </si>
  <si>
    <t xml:space="preserve">la-related protein 4 isoform 2 </t>
  </si>
  <si>
    <t>124358934</t>
  </si>
  <si>
    <t xml:space="preserve">la-related protein 4 isoform 1 </t>
  </si>
  <si>
    <t>27369836</t>
  </si>
  <si>
    <t xml:space="preserve">la-related protein 4B </t>
  </si>
  <si>
    <t>110665742</t>
  </si>
  <si>
    <t xml:space="preserve">la-related protein 7 </t>
  </si>
  <si>
    <t>120537241</t>
  </si>
  <si>
    <t xml:space="preserve">leucine--tRNA ligase, cytoplasmic </t>
  </si>
  <si>
    <t>23346617</t>
  </si>
  <si>
    <t>probable leucine--tRNA ligase, mitochondrial</t>
  </si>
  <si>
    <t>407262453</t>
  </si>
  <si>
    <t xml:space="preserve">PREDICTED: ribosomal biogenesis protein LAS1L </t>
  </si>
  <si>
    <t>71979675</t>
  </si>
  <si>
    <t>ribosomal biogenesis protein LAS1L</t>
  </si>
  <si>
    <t>6754508</t>
  </si>
  <si>
    <t>LIM and SH3 domain protein 1</t>
  </si>
  <si>
    <t>229608895</t>
  </si>
  <si>
    <t>lamin-B receptor</t>
  </si>
  <si>
    <t>244791455</t>
  </si>
  <si>
    <t>proto-oncogene tyrosine-protein kinase LCK isoform a</t>
  </si>
  <si>
    <t>33859570</t>
  </si>
  <si>
    <t>proto-oncogene tyrosine-protein kinase LCK isoform b</t>
  </si>
  <si>
    <t>295789100;295789098</t>
  </si>
  <si>
    <t xml:space="preserve">lysocardiolipin acyltransferase 1 </t>
  </si>
  <si>
    <t>42794773</t>
  </si>
  <si>
    <t>leucine carboxyl methyltransferase 1</t>
  </si>
  <si>
    <t>34328049</t>
  </si>
  <si>
    <t>neutrophil gelatinase-associated lipocalin precursor</t>
  </si>
  <si>
    <t>31543113;350606354</t>
  </si>
  <si>
    <t xml:space="preserve">plastin-2 </t>
  </si>
  <si>
    <t>257743039</t>
  </si>
  <si>
    <t>L-lactate dehydrogenase A chain isoform 2</t>
  </si>
  <si>
    <t>6754524</t>
  </si>
  <si>
    <t>L-lactate dehydrogenase A chain isoform 1</t>
  </si>
  <si>
    <t>30425048</t>
  </si>
  <si>
    <t>L-lactate dehydrogenase A-like 6B</t>
  </si>
  <si>
    <t>6678674</t>
  </si>
  <si>
    <t>L-lactate dehydrogenase B chain</t>
  </si>
  <si>
    <t>7305229</t>
  </si>
  <si>
    <t>L-lactate dehydrogenase C chain</t>
  </si>
  <si>
    <t>34328379</t>
  </si>
  <si>
    <t>probable D-lactate dehydrogenase, mitochondrial</t>
  </si>
  <si>
    <t>113195700</t>
  </si>
  <si>
    <t>low-density lipoprotein receptor isoform 1 precursor</t>
  </si>
  <si>
    <t>358030301</t>
  </si>
  <si>
    <t xml:space="preserve">low-density lipoprotein receptor isoform 2 </t>
  </si>
  <si>
    <t>358030304</t>
  </si>
  <si>
    <t xml:space="preserve">low-density lipoprotein receptor isoform 3 presursor precursor </t>
  </si>
  <si>
    <t>160333775</t>
  </si>
  <si>
    <t xml:space="preserve">low density lipoprotein receptor adapter protein 1 </t>
  </si>
  <si>
    <t>170932462</t>
  </si>
  <si>
    <t>leukocyte cell-derived chemotaxin 1</t>
  </si>
  <si>
    <t>145864461</t>
  </si>
  <si>
    <t xml:space="preserve">inner nuclear membrane protein Man1 </t>
  </si>
  <si>
    <t>87299619</t>
  </si>
  <si>
    <t>RNA polymerase-associated protein LEO1</t>
  </si>
  <si>
    <t>28077089</t>
  </si>
  <si>
    <t>leptin receptor gene-related protein</t>
  </si>
  <si>
    <t>13386094</t>
  </si>
  <si>
    <t xml:space="preserve">leptin receptor overlapping transcript-like 1 </t>
  </si>
  <si>
    <t>9789997</t>
  </si>
  <si>
    <t>LETM1 and EF-hand domain-containing protein 1, mitochondrial precursor</t>
  </si>
  <si>
    <t>6678682</t>
  </si>
  <si>
    <t xml:space="preserve">galectin-1 </t>
  </si>
  <si>
    <t>9506757</t>
  </si>
  <si>
    <t xml:space="preserve">galectin-12 </t>
  </si>
  <si>
    <t>33859580;225543163</t>
  </si>
  <si>
    <t xml:space="preserve">galectin-3 </t>
  </si>
  <si>
    <t>225543163</t>
  </si>
  <si>
    <t>9256551</t>
  </si>
  <si>
    <t xml:space="preserve">galectin-8 </t>
  </si>
  <si>
    <t>312261230;9256551</t>
  </si>
  <si>
    <t>226531119</t>
  </si>
  <si>
    <t xml:space="preserve">galectin-9 isoform 1 </t>
  </si>
  <si>
    <t>226531139</t>
  </si>
  <si>
    <t xml:space="preserve">galectin-9 isoform 2 </t>
  </si>
  <si>
    <t>29611654</t>
  </si>
  <si>
    <t xml:space="preserve">galectin-related protein A </t>
  </si>
  <si>
    <t>7242187</t>
  </si>
  <si>
    <t>legumain precursor</t>
  </si>
  <si>
    <t>13277380</t>
  </si>
  <si>
    <t>lipoyl synthase, mitochondrial precursor</t>
  </si>
  <si>
    <t>313151236;133892266</t>
  </si>
  <si>
    <t xml:space="preserve">DNA ligase 1 </t>
  </si>
  <si>
    <t>133892266</t>
  </si>
  <si>
    <t>158518433</t>
  </si>
  <si>
    <t>LIM domain and actin-binding protein 1 isoform b</t>
  </si>
  <si>
    <t>165905585</t>
  </si>
  <si>
    <t>LIM domain and actin-binding protein 1 isoform a</t>
  </si>
  <si>
    <t>224994267</t>
  </si>
  <si>
    <t>LIM domain-containing protein 1</t>
  </si>
  <si>
    <t>6754550</t>
  </si>
  <si>
    <t>LIM domain kinase 2 isoform a</t>
  </si>
  <si>
    <t>76443701</t>
  </si>
  <si>
    <t>LIM domain kinase 2 isoform b</t>
  </si>
  <si>
    <t>77404365</t>
  </si>
  <si>
    <t>LIM domain kinase 2 isoform c</t>
  </si>
  <si>
    <t>300863087</t>
  </si>
  <si>
    <t>LIM and senescent cell antigen-like-containing domain protein 1 isoform 2</t>
  </si>
  <si>
    <t>300863089</t>
  </si>
  <si>
    <t>LIM and senescent cell antigen-like-containing domain protein 1 isoform 3</t>
  </si>
  <si>
    <t>84794647</t>
  </si>
  <si>
    <t>LIM and senescent cell antigen-like-containing domain protein 1 isoform 1</t>
  </si>
  <si>
    <t>21450085</t>
  </si>
  <si>
    <t>LIM and senescent cell antigen-like-containing domain protein 2</t>
  </si>
  <si>
    <t>85701728</t>
  </si>
  <si>
    <t>protein lin-7 homolog A isoform 2</t>
  </si>
  <si>
    <t>86991442</t>
  </si>
  <si>
    <t>protein lin-7 homolog A isoform 1</t>
  </si>
  <si>
    <t>6755971</t>
  </si>
  <si>
    <t>protein lin-7 homolog B</t>
  </si>
  <si>
    <t>6755973</t>
  </si>
  <si>
    <t>protein lin-7 homolog C</t>
  </si>
  <si>
    <t>161760651</t>
  </si>
  <si>
    <t>lysosomal acid lipase/cholesteryl ester hydrolase precursor</t>
  </si>
  <si>
    <t>87239970</t>
  </si>
  <si>
    <t>hormone-sensitive lipase isoform 1</t>
  </si>
  <si>
    <t>87239972</t>
  </si>
  <si>
    <t>hormone-sensitive lipase isoform 2</t>
  </si>
  <si>
    <t>226874865</t>
  </si>
  <si>
    <t>lethal(2) giant larvae protein homolog 1 isoform 3</t>
  </si>
  <si>
    <t>226874867</t>
  </si>
  <si>
    <t>lethal(2) giant larvae protein homolog 1 isoform 1</t>
  </si>
  <si>
    <t>6678696</t>
  </si>
  <si>
    <t>lethal(2) giant larvae protein homolog 1 isoform 2</t>
  </si>
  <si>
    <t>144922656</t>
  </si>
  <si>
    <t>lethal(2) giant larvae protein homolog 2 isoform 1</t>
  </si>
  <si>
    <t>357527422</t>
  </si>
  <si>
    <t>lethal(2) giant larvae protein homolog 2 isoform 2</t>
  </si>
  <si>
    <t>21313566</t>
  </si>
  <si>
    <t xml:space="preserve">protein LLP homolog </t>
  </si>
  <si>
    <t>149270995</t>
  </si>
  <si>
    <t>21312570</t>
  </si>
  <si>
    <t xml:space="preserve">protein ERGIC-53 precursor </t>
  </si>
  <si>
    <t>34328278</t>
  </si>
  <si>
    <t xml:space="preserve">vesicular integral-membrane protein VIP36 precursor </t>
  </si>
  <si>
    <t>61656186</t>
  </si>
  <si>
    <t xml:space="preserve">VIP36-like protein precursor </t>
  </si>
  <si>
    <t>123701962</t>
  </si>
  <si>
    <t>probable lysosomal cobalamin transporter</t>
  </si>
  <si>
    <t>254939582</t>
  </si>
  <si>
    <t>lipase maturation factor 1</t>
  </si>
  <si>
    <t>30725786</t>
  </si>
  <si>
    <t>lipase maturation factor 2</t>
  </si>
  <si>
    <t>9506843</t>
  </si>
  <si>
    <t xml:space="preserve">prelamin-A/C isoform C2 </t>
  </si>
  <si>
    <t>161760667</t>
  </si>
  <si>
    <t xml:space="preserve">prelamin-A/C isoform C </t>
  </si>
  <si>
    <t>162287370</t>
  </si>
  <si>
    <t>prelamin-A/C isoform A precursor</t>
  </si>
  <si>
    <t>188219589</t>
  </si>
  <si>
    <t xml:space="preserve">lamin-B1 </t>
  </si>
  <si>
    <t>113195686</t>
  </si>
  <si>
    <t xml:space="preserve">lamin-B2 </t>
  </si>
  <si>
    <t>157311641</t>
  </si>
  <si>
    <t>LIM domain only 7</t>
  </si>
  <si>
    <t>124487401</t>
  </si>
  <si>
    <t>serine/threonine-protein kinase LMTK2 precursor</t>
  </si>
  <si>
    <t>27370240</t>
  </si>
  <si>
    <t>leucyl-cystinyl aminopeptidase</t>
  </si>
  <si>
    <t>407260881</t>
  </si>
  <si>
    <t>PREDICTED: UDP-glucose:glycoprotein glucosyltransferase 1-like</t>
  </si>
  <si>
    <t>149257848</t>
  </si>
  <si>
    <t xml:space="preserve">PREDICTED: non-histone chromosomal protein HMG-14-like </t>
  </si>
  <si>
    <t>377837128</t>
  </si>
  <si>
    <t>149255928</t>
  </si>
  <si>
    <t xml:space="preserve">PREDICTED: protein tyrosine phosphatase type IVA 1-like isoform 1 </t>
  </si>
  <si>
    <t>309263678</t>
  </si>
  <si>
    <t xml:space="preserve">PREDICTED: vacuolar protein sorting-associated protein 52 homolog </t>
  </si>
  <si>
    <t>149251501</t>
  </si>
  <si>
    <t>PREDICTED: rRNA 2'-O-methyltransferase fibrillarin-like isoform 1</t>
  </si>
  <si>
    <t>407262350</t>
  </si>
  <si>
    <t>PREDICTED: SUMO-conjugating enzyme UBC9-like</t>
  </si>
  <si>
    <t>407262350;35493987</t>
  </si>
  <si>
    <t>407262157</t>
  </si>
  <si>
    <t xml:space="preserve">PREDICTED: ribonuclease 3-like </t>
  </si>
  <si>
    <t>309267107</t>
  </si>
  <si>
    <t xml:space="preserve">PREDICTED: heterogeneous nuclear ribonucleoproteins A2/B1-like isoform 1 </t>
  </si>
  <si>
    <t>309267107;109134362</t>
  </si>
  <si>
    <t>309266688</t>
  </si>
  <si>
    <t>PREDICTED: 60S ribosomal protein L19-like, partial</t>
  </si>
  <si>
    <t>149274502</t>
  </si>
  <si>
    <t>149271901</t>
  </si>
  <si>
    <t>PREDICTED: protein BUD31 homolog isoform 2</t>
  </si>
  <si>
    <t>149251548</t>
  </si>
  <si>
    <t>149262068</t>
  </si>
  <si>
    <t xml:space="preserve">PREDICTED: mitotic spindle assembly checkpoint protein MAD2A-like </t>
  </si>
  <si>
    <t>309267183</t>
  </si>
  <si>
    <t>PREDICTED: NHP2-like protein 1-like</t>
  </si>
  <si>
    <t>149260287</t>
  </si>
  <si>
    <t xml:space="preserve">PREDICTED: GTP-binding nuclear protein Ran-like </t>
  </si>
  <si>
    <t>407262677</t>
  </si>
  <si>
    <t>PREDICTED: host cell factor 1-like, partial</t>
  </si>
  <si>
    <t>149263037</t>
  </si>
  <si>
    <t xml:space="preserve">PREDICTED: cytochrome c oxidase subunit 5B, mitochondrial-like </t>
  </si>
  <si>
    <t>149258501</t>
  </si>
  <si>
    <t xml:space="preserve">PREDICTED: phosphate carrier protein, mitochondrial-like isoform 1 </t>
  </si>
  <si>
    <t>407261592</t>
  </si>
  <si>
    <t xml:space="preserve">PREDICTED: phosphate carrier protein, mitochondrial-like isoform 2 </t>
  </si>
  <si>
    <t>407261594</t>
  </si>
  <si>
    <t xml:space="preserve">PREDICTED: phosphate carrier protein, mitochondrial-like isoform 3 </t>
  </si>
  <si>
    <t>149254294</t>
  </si>
  <si>
    <t>407261929</t>
  </si>
  <si>
    <t xml:space="preserve">PREDICTED: transcription initiation factor IIA subunit 2-like </t>
  </si>
  <si>
    <t>149267077</t>
  </si>
  <si>
    <t xml:space="preserve">PREDICTED: 40S ribosomal protein S26-like </t>
  </si>
  <si>
    <t>149251776</t>
  </si>
  <si>
    <t>PREDICTED: nucleophosmin-like</t>
  </si>
  <si>
    <t>149274885</t>
  </si>
  <si>
    <t xml:space="preserve">PREDICTED: ES1 protein homolog, mitochondrial-like isoform 1 </t>
  </si>
  <si>
    <t>149274887</t>
  </si>
  <si>
    <t xml:space="preserve">PREDICTED: ES1 protein homolog, mitochondrial-like isoform 2 </t>
  </si>
  <si>
    <t>309266230</t>
  </si>
  <si>
    <t xml:space="preserve">PREDICTED: phosphoserine aminotransferase-like isoform 2 </t>
  </si>
  <si>
    <t>149251053</t>
  </si>
  <si>
    <t>PREDICTED: ATP synthase subunit O, mitochondrial-like</t>
  </si>
  <si>
    <t>149251053;20070412</t>
  </si>
  <si>
    <t>309264668</t>
  </si>
  <si>
    <t>PREDICTED: tax1-binding protein 3-like isoform 2</t>
  </si>
  <si>
    <t>407262733</t>
  </si>
  <si>
    <t xml:space="preserve">PREDICTED: cytochrome b5 type B-like </t>
  </si>
  <si>
    <t>149261435</t>
  </si>
  <si>
    <t>PREDICTED: eukaryotic translation initiation factor 5-like isoform 1</t>
  </si>
  <si>
    <t>407262563</t>
  </si>
  <si>
    <t xml:space="preserve">PREDICTED: nucleoside diphosphate kinase A-like </t>
  </si>
  <si>
    <t>149240955</t>
  </si>
  <si>
    <t>PREDICTED: casein kinase II subunit alpha-like</t>
  </si>
  <si>
    <t>407261725</t>
  </si>
  <si>
    <t xml:space="preserve">PREDICTED: glyceraldehyde-3-phosphate dehydrogenase-like isoform 1 </t>
  </si>
  <si>
    <t>407261373</t>
  </si>
  <si>
    <t xml:space="preserve">PREDICTED: prostaglandin E synthase 3-like </t>
  </si>
  <si>
    <t>377834168</t>
  </si>
  <si>
    <t xml:space="preserve">PREDICTED: guanine nucleotide-binding protein G(I)/G(S)/G(O) subunit gamma-5-like </t>
  </si>
  <si>
    <t>149255796</t>
  </si>
  <si>
    <t>PREDICTED: methyltransferase-like protein 21D-like</t>
  </si>
  <si>
    <t>407261032</t>
  </si>
  <si>
    <t xml:space="preserve">PREDICTED: cytochrome c oxidase subunit 7C, mitochondrial-like </t>
  </si>
  <si>
    <t>309267068</t>
  </si>
  <si>
    <t xml:space="preserve">PREDICTED: olfactory receptor 7A10-like, partial </t>
  </si>
  <si>
    <t>407262004</t>
  </si>
  <si>
    <t xml:space="preserve">PREDICTED: eukaryotic translation initiation factor 1A, X-chromosomal-like </t>
  </si>
  <si>
    <t>309264158</t>
  </si>
  <si>
    <t>309267076</t>
  </si>
  <si>
    <t xml:space="preserve">PREDICTED: acetyl-CoA carboxylase 1-like, partial </t>
  </si>
  <si>
    <t>309264728</t>
  </si>
  <si>
    <t>PREDICTED: la-related protein 1B-like isoform 1</t>
  </si>
  <si>
    <t>309265521</t>
  </si>
  <si>
    <t xml:space="preserve">PREDICTED: ubiquitin-conjugating enzyme E2 E1-like </t>
  </si>
  <si>
    <t>377833219</t>
  </si>
  <si>
    <t xml:space="preserve">PREDICTED: protein FAM177A1 </t>
  </si>
  <si>
    <t>309265677</t>
  </si>
  <si>
    <t>309265792</t>
  </si>
  <si>
    <t>309263511</t>
  </si>
  <si>
    <t xml:space="preserve">PREDICTED: 60S ribosomal protein L32-like </t>
  </si>
  <si>
    <t>309265053</t>
  </si>
  <si>
    <t>PREDICTED: up-regulated during skeletal muscle growth protein 5-like</t>
  </si>
  <si>
    <t>309266753</t>
  </si>
  <si>
    <t xml:space="preserve">PREDICTED: conserved oligomeric Golgi complex subunit 1-like </t>
  </si>
  <si>
    <t>309265938</t>
  </si>
  <si>
    <t xml:space="preserve">PREDICTED: NADH dehydrogenase [ubiquinone] iron-sulfur protein 5-like </t>
  </si>
  <si>
    <t>309264544</t>
  </si>
  <si>
    <t xml:space="preserve">PREDICTED: signal recognition particle 14 kDa protein-like </t>
  </si>
  <si>
    <t>309266758</t>
  </si>
  <si>
    <t>309264022</t>
  </si>
  <si>
    <t xml:space="preserve">PREDICTED: 40S ribosomal protein SA-like </t>
  </si>
  <si>
    <t>309265361</t>
  </si>
  <si>
    <t>377835354</t>
  </si>
  <si>
    <t>377834995</t>
  </si>
  <si>
    <t>407263800</t>
  </si>
  <si>
    <t>377833741</t>
  </si>
  <si>
    <t>PREDICTED: uncharacterized protein LOC100861945</t>
  </si>
  <si>
    <t>377835119</t>
  </si>
  <si>
    <t>PREDICTED: translational activator GCN1-like</t>
  </si>
  <si>
    <t>377834422</t>
  </si>
  <si>
    <t>PREDICTED: peroxiredoxin-1</t>
  </si>
  <si>
    <t>377834028</t>
  </si>
  <si>
    <t>PREDICTED: uncharacterized protein LOC100862066</t>
  </si>
  <si>
    <t>377837112</t>
  </si>
  <si>
    <t xml:space="preserve">PREDICTED: h-2 class I histocompatibility antigen, D-D alpha chain-like </t>
  </si>
  <si>
    <t>377837104</t>
  </si>
  <si>
    <t xml:space="preserve">PREDICTED: 40S ribosomal protein S16-like </t>
  </si>
  <si>
    <t>377837120</t>
  </si>
  <si>
    <t xml:space="preserve">PREDICTED: h-2 class I histocompatibility antigen, D-B alpha chain-like </t>
  </si>
  <si>
    <t>377837231</t>
  </si>
  <si>
    <t>407262755</t>
  </si>
  <si>
    <t>407264599</t>
  </si>
  <si>
    <t xml:space="preserve">PREDICTED: ferritin light chain 1-like isoform 1 </t>
  </si>
  <si>
    <t>377834725</t>
  </si>
  <si>
    <t>407262287</t>
  </si>
  <si>
    <t>377837185</t>
  </si>
  <si>
    <t>407261291</t>
  </si>
  <si>
    <t xml:space="preserve">PREDICTED: TBC1 domain family member 1-like, partial </t>
  </si>
  <si>
    <t>377834690</t>
  </si>
  <si>
    <t>PREDICTED: tRNA modification GTPase GTPBP3, mitochondrial-like isoform 2</t>
  </si>
  <si>
    <t>377833375</t>
  </si>
  <si>
    <t>PREDICTED: myosin-6-like</t>
  </si>
  <si>
    <t>377833339</t>
  </si>
  <si>
    <t>377834331</t>
  </si>
  <si>
    <t>407262330</t>
  </si>
  <si>
    <t xml:space="preserve">PREDICTED: uncharacterized LOC101055631 </t>
  </si>
  <si>
    <t>407262230</t>
  </si>
  <si>
    <t>407261331</t>
  </si>
  <si>
    <t xml:space="preserve">PREDICTED: 60S ribosomal protein L31-like </t>
  </si>
  <si>
    <t>407261069</t>
  </si>
  <si>
    <t xml:space="preserve">PREDICTED: 60S ribosomal protein L18-like </t>
  </si>
  <si>
    <t>407262437</t>
  </si>
  <si>
    <t xml:space="preserve">PREDICTED: uncharacterized LOC101055749 </t>
  </si>
  <si>
    <t>407264338</t>
  </si>
  <si>
    <t>PREDICTED: uncharacterized protein LOC101055749</t>
  </si>
  <si>
    <t>407261248</t>
  </si>
  <si>
    <t xml:space="preserve">PREDICTED: coiled-coil domain-containing protein 72-like </t>
  </si>
  <si>
    <t>407261857</t>
  </si>
  <si>
    <t>407262441</t>
  </si>
  <si>
    <t>407262010</t>
  </si>
  <si>
    <t xml:space="preserve">PREDICTED: protein AHNAK2-like </t>
  </si>
  <si>
    <t>407263825</t>
  </si>
  <si>
    <t>407260908</t>
  </si>
  <si>
    <t>407261194</t>
  </si>
  <si>
    <t>PREDICTED: perilipin-2-like</t>
  </si>
  <si>
    <t>407262073</t>
  </si>
  <si>
    <t xml:space="preserve">PREDICTED: protein transport protein Sec61 subunit beta-like </t>
  </si>
  <si>
    <t>407261941</t>
  </si>
  <si>
    <t xml:space="preserve">PREDICTED: small ubiquitin-related modifier 2-like </t>
  </si>
  <si>
    <t>407262980</t>
  </si>
  <si>
    <t xml:space="preserve">PREDICTED: 40S ribosomal protein S8-like </t>
  </si>
  <si>
    <t>407262455</t>
  </si>
  <si>
    <t xml:space="preserve">PREDICTED: 60S ribosomal protein L12-like </t>
  </si>
  <si>
    <t>407262470</t>
  </si>
  <si>
    <t>407264353</t>
  </si>
  <si>
    <t>407261474</t>
  </si>
  <si>
    <t>PREDICTED: 39S ribosomal protein L41, mitochondrial-like</t>
  </si>
  <si>
    <t>407264058</t>
  </si>
  <si>
    <t>PREDICTED: elongation factor 1-gamma-like</t>
  </si>
  <si>
    <t>407262130</t>
  </si>
  <si>
    <t>407264033</t>
  </si>
  <si>
    <t>407261723</t>
  </si>
  <si>
    <t>PREDICTED: nucleolar protein 56-like</t>
  </si>
  <si>
    <t>407262307</t>
  </si>
  <si>
    <t xml:space="preserve">PREDICTED: enhancer of rudimentary homolog </t>
  </si>
  <si>
    <t>407263189</t>
  </si>
  <si>
    <t>PREDICTED: envelope glycoprotein-like, partial</t>
  </si>
  <si>
    <t>407261583</t>
  </si>
  <si>
    <t xml:space="preserve">PREDICTED: VIP36-like protein-like </t>
  </si>
  <si>
    <t>407262373</t>
  </si>
  <si>
    <t xml:space="preserve">PREDICTED: uncharacterized LOC101056140 </t>
  </si>
  <si>
    <t>407264228</t>
  </si>
  <si>
    <t>PREDICTED: uncharacterized protein LOC101056140</t>
  </si>
  <si>
    <t>407261282</t>
  </si>
  <si>
    <t>407263193</t>
  </si>
  <si>
    <t>407263038</t>
  </si>
  <si>
    <t>PREDICTED: plasma membrane calcium-transporting ATPase 1-like</t>
  </si>
  <si>
    <t>407261825</t>
  </si>
  <si>
    <t>PREDICTED: eukaryotic translation initiation factor 1b-like</t>
  </si>
  <si>
    <t>407261113</t>
  </si>
  <si>
    <t>PREDICTED: glyceraldehyde-3-phosphate dehydrogenase-like, partial</t>
  </si>
  <si>
    <t>407262753</t>
  </si>
  <si>
    <t xml:space="preserve">PREDICTED: succinate dehydrogenase [ubiquinone] iron-sulfur subunit, mitochondrial-like </t>
  </si>
  <si>
    <t>407261656</t>
  </si>
  <si>
    <t>PREDICTED: alpha-enolase-like</t>
  </si>
  <si>
    <t>407262207</t>
  </si>
  <si>
    <t xml:space="preserve">PREDICTED: 40S ribosomal protein S24-like </t>
  </si>
  <si>
    <t>407262376</t>
  </si>
  <si>
    <t xml:space="preserve">PREDICTED: 60 kDa heat shock protein, mitochondrial-like </t>
  </si>
  <si>
    <t>407261123</t>
  </si>
  <si>
    <t>407261888</t>
  </si>
  <si>
    <t>407260886</t>
  </si>
  <si>
    <t>PREDICTED: DNA-(apurinic or apyrimidinic site) lyase-like</t>
  </si>
  <si>
    <t>407261870;31543471</t>
  </si>
  <si>
    <t xml:space="preserve">PREDICTED: peroxisomal membrane protein PEX13-like isoform 1 </t>
  </si>
  <si>
    <t>407262029</t>
  </si>
  <si>
    <t xml:space="preserve">PREDICTED: serpin B9-like </t>
  </si>
  <si>
    <t>407262314</t>
  </si>
  <si>
    <t xml:space="preserve">PREDICTED: 14-3-3 protein zeta/delta-like, partial </t>
  </si>
  <si>
    <t>407262619</t>
  </si>
  <si>
    <t xml:space="preserve">PREDICTED: h-2 class I histocompatibility antigen, D-D alpha chain-like isoform 9 </t>
  </si>
  <si>
    <t>407262621</t>
  </si>
  <si>
    <t xml:space="preserve">PREDICTED: h-2 class I histocompatibility antigen, D-D alpha chain-like isoform 10 </t>
  </si>
  <si>
    <t>407262603</t>
  </si>
  <si>
    <t xml:space="preserve">PREDICTED: h-2 class I histocompatibility antigen, D-D alpha chain-like isoform 1 </t>
  </si>
  <si>
    <t>407262605</t>
  </si>
  <si>
    <t xml:space="preserve">PREDICTED: h-2 class I histocompatibility antigen, D-D alpha chain-like isoform 2 </t>
  </si>
  <si>
    <t>407262607</t>
  </si>
  <si>
    <t xml:space="preserve">PREDICTED: h-2 class I histocompatibility antigen, D-D alpha chain-like isoform 3 </t>
  </si>
  <si>
    <t>407262609</t>
  </si>
  <si>
    <t xml:space="preserve">PREDICTED: h-2 class I histocompatibility antigen, D-D alpha chain-like isoform 4 </t>
  </si>
  <si>
    <t>407262611</t>
  </si>
  <si>
    <t xml:space="preserve">PREDICTED: h-2 class I histocompatibility antigen, D-D alpha chain-like isoform 5 </t>
  </si>
  <si>
    <t>407262613</t>
  </si>
  <si>
    <t xml:space="preserve">PREDICTED: h-2 class I histocompatibility antigen, D-D alpha chain-like isoform 6 </t>
  </si>
  <si>
    <t>407262615</t>
  </si>
  <si>
    <t xml:space="preserve">PREDICTED: h-2 class I histocompatibility antigen, D-D alpha chain-like isoform 7 </t>
  </si>
  <si>
    <t>407262617</t>
  </si>
  <si>
    <t xml:space="preserve">PREDICTED: h-2 class I histocompatibility antigen, D-D alpha chain-like isoform 8 </t>
  </si>
  <si>
    <t>407262576</t>
  </si>
  <si>
    <t>PREDICTED: eukaryotic translation initiation factor 2 subunit 3-like</t>
  </si>
  <si>
    <t>407262333</t>
  </si>
  <si>
    <t xml:space="preserve">PREDICTED: WW domain-containing adapter protein with coiled-coil-like isoform 1 </t>
  </si>
  <si>
    <t>407262335</t>
  </si>
  <si>
    <t xml:space="preserve">PREDICTED: WW domain-containing adapter protein with coiled-coil-like isoform 2 </t>
  </si>
  <si>
    <t>407262339</t>
  </si>
  <si>
    <t xml:space="preserve">PREDICTED: WW domain-containing adapter protein with coiled-coil-like isoform 4 </t>
  </si>
  <si>
    <t>407262341</t>
  </si>
  <si>
    <t xml:space="preserve">PREDICTED: WW domain-containing adapter protein with coiled-coil-like isoform 5 </t>
  </si>
  <si>
    <t>407262343</t>
  </si>
  <si>
    <t xml:space="preserve">PREDICTED: WW domain-containing adapter protein with coiled-coil-like isoform 6 </t>
  </si>
  <si>
    <t>407261812</t>
  </si>
  <si>
    <t>PREDICTED: uncharacterized protein LOC101056470</t>
  </si>
  <si>
    <t>407262623</t>
  </si>
  <si>
    <t>407262528</t>
  </si>
  <si>
    <t>407262506</t>
  </si>
  <si>
    <t xml:space="preserve">PREDICTED: protein flightless-1 homolog, partial </t>
  </si>
  <si>
    <t>407261989</t>
  </si>
  <si>
    <t>407262193</t>
  </si>
  <si>
    <t xml:space="preserve">PREDICTED: 40S ribosomal protein S14-like </t>
  </si>
  <si>
    <t>407262152</t>
  </si>
  <si>
    <t>PREDICTED: uncharacterized protein LOC101056551</t>
  </si>
  <si>
    <t>407262277</t>
  </si>
  <si>
    <t xml:space="preserve">PREDICTED: glyceraldehyde-3-phosphate dehydrogenase-like </t>
  </si>
  <si>
    <t>407262168</t>
  </si>
  <si>
    <t xml:space="preserve">PREDICTED: apolipoprotein L3-like </t>
  </si>
  <si>
    <t>407262168;238776830</t>
  </si>
  <si>
    <t>407261780</t>
  </si>
  <si>
    <t>PREDICTED: G/T mismatch-specific thymine DNA glycosylase-like</t>
  </si>
  <si>
    <t>407262460</t>
  </si>
  <si>
    <t xml:space="preserve">PREDICTED: mitochondrial import inner membrane translocase subunit Tim8 A-like </t>
  </si>
  <si>
    <t>407262586</t>
  </si>
  <si>
    <t>PREDICTED: electron transfer flavoprotein subunit beta-like</t>
  </si>
  <si>
    <t>407262172</t>
  </si>
  <si>
    <t xml:space="preserve">PREDICTED: serine/arginine-rich splicing factor 3-like </t>
  </si>
  <si>
    <t>407260973</t>
  </si>
  <si>
    <t>407261696</t>
  </si>
  <si>
    <t xml:space="preserve">PREDICTED: elongation factor 1-alpha 1-like isoform 1 </t>
  </si>
  <si>
    <t>407261700</t>
  </si>
  <si>
    <t xml:space="preserve">PREDICTED: elongation factor 1-alpha 1-like isoform 3 </t>
  </si>
  <si>
    <t>407261702</t>
  </si>
  <si>
    <t xml:space="preserve">PREDICTED: elongation factor 1-alpha 1-like isoform 4 </t>
  </si>
  <si>
    <t>407261716</t>
  </si>
  <si>
    <t xml:space="preserve">PREDICTED: elongation factor 1-alpha 1-like isoform 11 </t>
  </si>
  <si>
    <t>407261718</t>
  </si>
  <si>
    <t xml:space="preserve">PREDICTED: elongation factor 1-alpha 1-like isoform 12 </t>
  </si>
  <si>
    <t>407262235</t>
  </si>
  <si>
    <t>PREDICTED: adenosylhomocysteinase-like</t>
  </si>
  <si>
    <t>407262590</t>
  </si>
  <si>
    <t>407262435</t>
  </si>
  <si>
    <t>PREDICTED: cohesin subunit SA-2-like</t>
  </si>
  <si>
    <t>407262493</t>
  </si>
  <si>
    <t>PREDICTED: tryptophan--tRNA ligase, cytoplasmic-like</t>
  </si>
  <si>
    <t>407260978</t>
  </si>
  <si>
    <t>PREDICTED: DNA repair protein SWI5 homolog</t>
  </si>
  <si>
    <t>407260980</t>
  </si>
  <si>
    <t>407260982</t>
  </si>
  <si>
    <t>407260984</t>
  </si>
  <si>
    <t>377834539</t>
  </si>
  <si>
    <t>407263623</t>
  </si>
  <si>
    <t>82975294</t>
  </si>
  <si>
    <t xml:space="preserve">PREDICTED: carbonyl reductase [NADPH] 1-like </t>
  </si>
  <si>
    <t>407261848</t>
  </si>
  <si>
    <t>377834670</t>
  </si>
  <si>
    <t xml:space="preserve">PREDICTED: h-2 class I histocompatibility antigen, D-B alpha chain </t>
  </si>
  <si>
    <t>68534959</t>
  </si>
  <si>
    <t>MHC class I family member precursor</t>
  </si>
  <si>
    <t>407262567</t>
  </si>
  <si>
    <t xml:space="preserve">PREDICTED: 60S ribosomal protein L12-like isoform 1 </t>
  </si>
  <si>
    <t>82916992</t>
  </si>
  <si>
    <t xml:space="preserve">PREDICTED: lysine--tRNA ligase-like isoform 1 </t>
  </si>
  <si>
    <t>82913708</t>
  </si>
  <si>
    <t>407261777</t>
  </si>
  <si>
    <t xml:space="preserve">PREDICTED: low molecular weight phosphotyrosine protein phosphatase-like </t>
  </si>
  <si>
    <t>82892305</t>
  </si>
  <si>
    <t>82918783</t>
  </si>
  <si>
    <t>149253567</t>
  </si>
  <si>
    <t>PREDICTED: RING-box protein 2-like</t>
  </si>
  <si>
    <t>82935644</t>
  </si>
  <si>
    <t xml:space="preserve">PREDICTED: rRNA-processing protein FCF1 homolog </t>
  </si>
  <si>
    <t>83013315</t>
  </si>
  <si>
    <t>82916356</t>
  </si>
  <si>
    <t xml:space="preserve">PREDICTED: nucleoporin Nup37-like </t>
  </si>
  <si>
    <t>82931574</t>
  </si>
  <si>
    <t>82905443</t>
  </si>
  <si>
    <t xml:space="preserve">PREDICTED: 40S ribosomal protein SA-like isoform 1 </t>
  </si>
  <si>
    <t>82898629</t>
  </si>
  <si>
    <t>83009766</t>
  </si>
  <si>
    <t xml:space="preserve">PREDICTED: ragulator complex protein LAMTOR3-like </t>
  </si>
  <si>
    <t>83014391</t>
  </si>
  <si>
    <t>309263460</t>
  </si>
  <si>
    <t xml:space="preserve">PREDICTED: 60S ribosomal protein L13a-like </t>
  </si>
  <si>
    <t>82898755</t>
  </si>
  <si>
    <t xml:space="preserve">PREDICTED: 60S ribosomal protein L31-like isoform 1 </t>
  </si>
  <si>
    <t>377833703</t>
  </si>
  <si>
    <t xml:space="preserve">PREDICTED: protein farnesyltransferase subunit beta-like </t>
  </si>
  <si>
    <t>82885488</t>
  </si>
  <si>
    <t xml:space="preserve">PREDICTED: SAP30-binding protein-like </t>
  </si>
  <si>
    <t>82942326</t>
  </si>
  <si>
    <t>309264229</t>
  </si>
  <si>
    <t>PREDICTED: cyclin-dependent kinase 4-like</t>
  </si>
  <si>
    <t>309267099</t>
  </si>
  <si>
    <t>PREDICTED: ubiquinone biosynthesis protein COQ9, mitochondrial-like</t>
  </si>
  <si>
    <t>149274459</t>
  </si>
  <si>
    <t xml:space="preserve">PREDICTED: zinc finger protein 709-like </t>
  </si>
  <si>
    <t>94394659</t>
  </si>
  <si>
    <t xml:space="preserve">PREDICTED: glycine cleavage system H protein, mitochondrial-like </t>
  </si>
  <si>
    <t>377833655</t>
  </si>
  <si>
    <t xml:space="preserve">PREDICTED: heterogeneous nuclear ribonucleoprotein A3-like </t>
  </si>
  <si>
    <t>309263209</t>
  </si>
  <si>
    <t>PREDICTED: protein FAM136A-like, partial</t>
  </si>
  <si>
    <t>407262183</t>
  </si>
  <si>
    <t xml:space="preserve">PREDICTED: NADH dehydrogenase [ubiquinone] 1 subunit C2-like </t>
  </si>
  <si>
    <t>149267855</t>
  </si>
  <si>
    <t>407262542</t>
  </si>
  <si>
    <t xml:space="preserve">PREDICTED: peroxiredoxin-6-like, partial </t>
  </si>
  <si>
    <t>27754073</t>
  </si>
  <si>
    <t xml:space="preserve">loss of heterozygosity 12 chromosomal region 1 protein homolog isoform 2 </t>
  </si>
  <si>
    <t>281427221</t>
  </si>
  <si>
    <t xml:space="preserve">loss of heterozygosity 12 chromosomal region 1 protein homolog isoform 1 </t>
  </si>
  <si>
    <t>116089322</t>
  </si>
  <si>
    <t xml:space="preserve">lon protease homolog, mitochondrial precursor </t>
  </si>
  <si>
    <t>13385298</t>
  </si>
  <si>
    <t xml:space="preserve">lon protease homolog 2, peroxisomal isoform 1 </t>
  </si>
  <si>
    <t>274319427</t>
  </si>
  <si>
    <t xml:space="preserve">lon protease homolog 2, peroxisomal isoform 2 </t>
  </si>
  <si>
    <t>40254539</t>
  </si>
  <si>
    <t>lysophosphatidic acid receptor 2</t>
  </si>
  <si>
    <t>148747363</t>
  </si>
  <si>
    <t xml:space="preserve">lysophosphatidylcholine acyltransferase 1 </t>
  </si>
  <si>
    <t>27370522</t>
  </si>
  <si>
    <t xml:space="preserve">lysophosphatidylcholine acyltransferase 2 </t>
  </si>
  <si>
    <t>21699058</t>
  </si>
  <si>
    <t xml:space="preserve">lysophospholipid acyltransferase 5 </t>
  </si>
  <si>
    <t>46402175</t>
  </si>
  <si>
    <t xml:space="preserve">lysophospholipid acyltransferase LPCAT4 </t>
  </si>
  <si>
    <t>198386326</t>
  </si>
  <si>
    <t xml:space="preserve">acyl-CoA:lysophosphatidylglycerol acyltransferase 1 isoform 1 </t>
  </si>
  <si>
    <t>26986567</t>
  </si>
  <si>
    <t xml:space="preserve">acyl-CoA:lysophosphatidylglycerol acyltransferase 1 isoform 2 </t>
  </si>
  <si>
    <t>124486821</t>
  </si>
  <si>
    <t>latrophilin-2 precursor</t>
  </si>
  <si>
    <t>225543157</t>
  </si>
  <si>
    <t xml:space="preserve">lipoma-preferred partner homolog isoform 1 </t>
  </si>
  <si>
    <t>225543168</t>
  </si>
  <si>
    <t xml:space="preserve">lipoma-preferred partner homolog isoform 2 </t>
  </si>
  <si>
    <t>117956395</t>
  </si>
  <si>
    <t xml:space="preserve">lipopolysaccharide-responsive and beige-like anchor protein isoform gamma </t>
  </si>
  <si>
    <t>117956397</t>
  </si>
  <si>
    <t xml:space="preserve">lipopolysaccharide-responsive and beige-like anchor protein isoform beta </t>
  </si>
  <si>
    <t>117956399</t>
  </si>
  <si>
    <t xml:space="preserve">lipopolysaccharide-responsive and beige-like anchor protein isoform alpha </t>
  </si>
  <si>
    <t>356460937</t>
  </si>
  <si>
    <t>leucine-rich repeat and calponin homology domain-containing protein 1 isoform 2</t>
  </si>
  <si>
    <t>90991704</t>
  </si>
  <si>
    <t>leucine-rich repeat and calponin homology domain-containing protein 1 isoform 1</t>
  </si>
  <si>
    <t>22122701</t>
  </si>
  <si>
    <t>leucine-rich repeat and calponin homology domain-containing protein 4 isoform 1</t>
  </si>
  <si>
    <t>274325486</t>
  </si>
  <si>
    <t>leucine-rich repeat and calponin homology domain-containing protein 4 isoform 2</t>
  </si>
  <si>
    <t>254588006</t>
  </si>
  <si>
    <t xml:space="preserve">leucine-rich repeat and guanylate kinase domain-containing protein </t>
  </si>
  <si>
    <t>124494256</t>
  </si>
  <si>
    <t>prolow-density lipoprotein receptor-related protein 1 precursor</t>
  </si>
  <si>
    <t>153792247</t>
  </si>
  <si>
    <t>low-density lipoprotein receptor-related protein 1B precursor</t>
  </si>
  <si>
    <t>124487372</t>
  </si>
  <si>
    <t>low-density lipoprotein receptor-related protein 2 precursor</t>
  </si>
  <si>
    <t>148727327</t>
  </si>
  <si>
    <t>low-density lipoprotein receptor-related protein 6 precursor</t>
  </si>
  <si>
    <t>63999380</t>
  </si>
  <si>
    <t>alpha-2-macroglobulin receptor-associated protein precursor</t>
  </si>
  <si>
    <t>134031976</t>
  </si>
  <si>
    <t>leucine-rich PPR motif-containing protein, mitochondrial precursor</t>
  </si>
  <si>
    <t>225690585</t>
  </si>
  <si>
    <t>leucine-rich repeat-containing protein 1 isoform 2</t>
  </si>
  <si>
    <t>225690587</t>
  </si>
  <si>
    <t>leucine-rich repeat-containing protein 1 isoform 1</t>
  </si>
  <si>
    <t>21703932</t>
  </si>
  <si>
    <t>leucine-rich repeat-containing protein 14</t>
  </si>
  <si>
    <t>154146185</t>
  </si>
  <si>
    <t>leucine-rich repeat-containing protein 16A</t>
  </si>
  <si>
    <t>23956308</t>
  </si>
  <si>
    <t>leucine-rich repeat-containing protein 20</t>
  </si>
  <si>
    <t>31541911</t>
  </si>
  <si>
    <t>leucine-rich repeat-containing protein 40</t>
  </si>
  <si>
    <t>41152116</t>
  </si>
  <si>
    <t>leucine-rich repeat-containing protein 47</t>
  </si>
  <si>
    <t>227430395</t>
  </si>
  <si>
    <t>leucine-rich repeat-containing protein 57 isoform b</t>
  </si>
  <si>
    <t>227430397</t>
  </si>
  <si>
    <t>leucine-rich repeat-containing protein 57 isoform a</t>
  </si>
  <si>
    <t>31981233</t>
  </si>
  <si>
    <t>leucine-rich repeat-containing protein 57 isoform c</t>
  </si>
  <si>
    <t>110347495</t>
  </si>
  <si>
    <t>leucine-rich repeat-containing protein 58</t>
  </si>
  <si>
    <t>19527026</t>
  </si>
  <si>
    <t>leucine-rich repeat-containing protein 59</t>
  </si>
  <si>
    <t>267844854</t>
  </si>
  <si>
    <t>leucine-rich repeat-containing protein 63</t>
  </si>
  <si>
    <t>124486885</t>
  </si>
  <si>
    <t>leucine-rich repeat-containing protein 7</t>
  </si>
  <si>
    <t>29244192</t>
  </si>
  <si>
    <t>leucine-rich repeat-containing protein 8A</t>
  </si>
  <si>
    <t>254675306</t>
  </si>
  <si>
    <t xml:space="preserve">leucine-rich repeat and coiled-coil domain-containing protein 1 isoform 3 </t>
  </si>
  <si>
    <t>254675308</t>
  </si>
  <si>
    <t xml:space="preserve">leucine-rich repeat and coiled-coil domain-containing protein 1 isoform 1 </t>
  </si>
  <si>
    <t>254675310</t>
  </si>
  <si>
    <t xml:space="preserve">leucine-rich repeat and coiled-coil domain-containing protein 1 isoform 2 </t>
  </si>
  <si>
    <t>162417949</t>
  </si>
  <si>
    <t xml:space="preserve">leucine-rich repeat flightless-interacting protein 1 isoform 1 </t>
  </si>
  <si>
    <t>162417952</t>
  </si>
  <si>
    <t xml:space="preserve">leucine-rich repeat flightless-interacting protein 1 isoform 3 </t>
  </si>
  <si>
    <t>6678722</t>
  </si>
  <si>
    <t xml:space="preserve">leucine-rich repeat flightless-interacting protein 1 isoform 2 </t>
  </si>
  <si>
    <t>110625827</t>
  </si>
  <si>
    <t xml:space="preserve">leucine-rich repeat flightless-interacting protein 2 isoform 2 </t>
  </si>
  <si>
    <t>258679524</t>
  </si>
  <si>
    <t xml:space="preserve">leucine-rich repeat flightless-interacting protein 2 isoform 1 </t>
  </si>
  <si>
    <t>56699427</t>
  </si>
  <si>
    <t xml:space="preserve">leucine-rich repeat serine/threonine-protein kinase 1 </t>
  </si>
  <si>
    <t>146231954</t>
  </si>
  <si>
    <t xml:space="preserve">leucine-rich repeat serine/threonine-protein kinase 2 </t>
  </si>
  <si>
    <t>110625667</t>
  </si>
  <si>
    <t xml:space="preserve">U6 snRNA-associated Sm-like protein LSm1 </t>
  </si>
  <si>
    <t>20270251</t>
  </si>
  <si>
    <t xml:space="preserve">U7 snRNA-associated Sm-like protein LSm10 </t>
  </si>
  <si>
    <t>31711990</t>
  </si>
  <si>
    <t xml:space="preserve">protein LSM12 homolog </t>
  </si>
  <si>
    <t>23956156</t>
  </si>
  <si>
    <t>protein LSM14 homolog A</t>
  </si>
  <si>
    <t>148839333</t>
  </si>
  <si>
    <t>protein LSM14 homolog B</t>
  </si>
  <si>
    <t>324021707</t>
  </si>
  <si>
    <t xml:space="preserve">U6 snRNA-associated Sm-like protein LSm2 isoform 3 </t>
  </si>
  <si>
    <t>13994221</t>
  </si>
  <si>
    <t xml:space="preserve">U6 snRNA-associated Sm-like protein LSm2 isoform 1 </t>
  </si>
  <si>
    <t>158533995</t>
  </si>
  <si>
    <t xml:space="preserve">U6 snRNA-associated Sm-like protein LSm2 isoform 2 </t>
  </si>
  <si>
    <t>324021709</t>
  </si>
  <si>
    <t xml:space="preserve">U6 snRNA-associated Sm-like protein LSm2 isoform 4 </t>
  </si>
  <si>
    <t>13385806</t>
  </si>
  <si>
    <t xml:space="preserve">U6 snRNA-associated Sm-like protein LSm3 </t>
  </si>
  <si>
    <t>159032056</t>
  </si>
  <si>
    <t xml:space="preserve">U6 snRNA-associated Sm-like protein LSm4 </t>
  </si>
  <si>
    <t>113865835</t>
  </si>
  <si>
    <t xml:space="preserve">U6 snRNA-associated Sm-like protein LSm6 </t>
  </si>
  <si>
    <t>300797601;113865835</t>
  </si>
  <si>
    <t>13384714</t>
  </si>
  <si>
    <t xml:space="preserve">U6 snRNA-associated Sm-like protein LSm7 </t>
  </si>
  <si>
    <t>58037525</t>
  </si>
  <si>
    <t>LSM domain-containing protein 1</t>
  </si>
  <si>
    <t>255958261</t>
  </si>
  <si>
    <t>lipolysis-stimulated lipoprotein receptor isoform 2 precursor</t>
  </si>
  <si>
    <t>255958263</t>
  </si>
  <si>
    <t>lipolysis-stimulated lipoprotein receptor isoform 3 precursor</t>
  </si>
  <si>
    <t>30794490</t>
  </si>
  <si>
    <t>lipolysis-stimulated lipoprotein receptor isoform 1 precursor</t>
  </si>
  <si>
    <t>22122469</t>
  </si>
  <si>
    <t>lanosterol synthase</t>
  </si>
  <si>
    <t>116734870</t>
  </si>
  <si>
    <t xml:space="preserve">leukotriene A-4 hydrolase </t>
  </si>
  <si>
    <t>124486727</t>
  </si>
  <si>
    <t>E3 ubiquitin-protein ligase listerin</t>
  </si>
  <si>
    <t>31324539</t>
  </si>
  <si>
    <t xml:space="preserve">protein LTV1 homolog </t>
  </si>
  <si>
    <t>114158677</t>
  </si>
  <si>
    <t xml:space="preserve">putative RNA-binding protein Luc7-like 1 isoform 2 </t>
  </si>
  <si>
    <t>21536228</t>
  </si>
  <si>
    <t xml:space="preserve">putative RNA-binding protein Luc7-like 1 isoform 1 </t>
  </si>
  <si>
    <t>283806681</t>
  </si>
  <si>
    <t xml:space="preserve">putative RNA-binding protein Luc7-like 2 isoform 1 </t>
  </si>
  <si>
    <t>283806683</t>
  </si>
  <si>
    <t xml:space="preserve">putative RNA-binding protein Luc7-like 2 isoform 2 </t>
  </si>
  <si>
    <t>283806685</t>
  </si>
  <si>
    <t xml:space="preserve">putative RNA-binding protein Luc7-like 2 isoform 3 </t>
  </si>
  <si>
    <t>23956166</t>
  </si>
  <si>
    <t xml:space="preserve">luc7-like protein 3 </t>
  </si>
  <si>
    <t>119433663</t>
  </si>
  <si>
    <t>leucine zipper protein 1</t>
  </si>
  <si>
    <t>31980632</t>
  </si>
  <si>
    <t xml:space="preserve">latexin </t>
  </si>
  <si>
    <t>255708401</t>
  </si>
  <si>
    <t>lymphocyte antigen 6E precursor</t>
  </si>
  <si>
    <t>148747179</t>
  </si>
  <si>
    <t>lymphocyte antigen 75 precursor</t>
  </si>
  <si>
    <t>188219567</t>
  </si>
  <si>
    <t>cell growth-regulating nucleolar protein</t>
  </si>
  <si>
    <t>161760634</t>
  </si>
  <si>
    <t xml:space="preserve">tyrosine-protein kinase Lyn isoform B </t>
  </si>
  <si>
    <t>161760636</t>
  </si>
  <si>
    <t xml:space="preserve">tyrosine-protein kinase Lyn isoform A </t>
  </si>
  <si>
    <t>6678760</t>
  </si>
  <si>
    <t xml:space="preserve">acyl-protein thioesterase 1 </t>
  </si>
  <si>
    <t>7242156</t>
  </si>
  <si>
    <t xml:space="preserve">acyl-protein thioesterase 2 </t>
  </si>
  <si>
    <t>227496223</t>
  </si>
  <si>
    <t xml:space="preserve">lysophospholipase-like protein 1 </t>
  </si>
  <si>
    <t>41235733</t>
  </si>
  <si>
    <t>LYR motif-containing protein 4</t>
  </si>
  <si>
    <t>19526856</t>
  </si>
  <si>
    <t>LYR motif-containing protein 5</t>
  </si>
  <si>
    <t>111955376</t>
  </si>
  <si>
    <t>lysosomal-trafficking regulator</t>
  </si>
  <si>
    <t>27229082</t>
  </si>
  <si>
    <t>protein LZIC</t>
  </si>
  <si>
    <t>15277319</t>
  </si>
  <si>
    <t>leucine zipper transcription factor-like protein 1</t>
  </si>
  <si>
    <t>27229001</t>
  </si>
  <si>
    <t>leucine-zipper-like transcriptional regulator 1</t>
  </si>
  <si>
    <t>14916479</t>
  </si>
  <si>
    <t>cation-dependent mannose-6-phosphate receptor precursor</t>
  </si>
  <si>
    <t>253314482</t>
  </si>
  <si>
    <t>metastasis associated in colon cancer 1</t>
  </si>
  <si>
    <t>312433955</t>
  </si>
  <si>
    <t>microtubule-actin cross-linking factor 1 isoform 1</t>
  </si>
  <si>
    <t>312433957</t>
  </si>
  <si>
    <t>microtubule-actin cross-linking factor 1 isoform 2</t>
  </si>
  <si>
    <t>170650601</t>
  </si>
  <si>
    <t xml:space="preserve">O-acetyl-ADP-ribose deacetylase MACROD1 </t>
  </si>
  <si>
    <t>88014564</t>
  </si>
  <si>
    <t>mitotic spindle assembly checkpoint protein MAD1</t>
  </si>
  <si>
    <t>31543218</t>
  </si>
  <si>
    <t>mitotic spindle assembly checkpoint protein MAD2A</t>
  </si>
  <si>
    <t>120407043</t>
  </si>
  <si>
    <t xml:space="preserve">macrophage erythroblast attacher </t>
  </si>
  <si>
    <t>148238102</t>
  </si>
  <si>
    <t xml:space="preserve">melanoma-associated antigen 10 </t>
  </si>
  <si>
    <t>9789935</t>
  </si>
  <si>
    <t xml:space="preserve">melanoma-associated antigen D1 </t>
  </si>
  <si>
    <t>407262474</t>
  </si>
  <si>
    <t>PREDICTED: melanoma-associated antigen D2</t>
  </si>
  <si>
    <t>13507638</t>
  </si>
  <si>
    <t xml:space="preserve">melanoma-associated antigen D2 </t>
  </si>
  <si>
    <t>134031962</t>
  </si>
  <si>
    <t xml:space="preserve">membrane-associated guanylate kinase, WW and PDZ domain-containing protein 1 isoform d </t>
  </si>
  <si>
    <t>134031999</t>
  </si>
  <si>
    <t xml:space="preserve">membrane-associated guanylate kinase, WW and PDZ domain-containing protein 1 isoform b </t>
  </si>
  <si>
    <t>34328051</t>
  </si>
  <si>
    <t xml:space="preserve">membrane-associated guanylate kinase, WW and PDZ domain-containing protein 1 isoform a </t>
  </si>
  <si>
    <t>71533173</t>
  </si>
  <si>
    <t xml:space="preserve">membrane-associated guanylate kinase, WW and PDZ domain-containing protein 1 isoform c </t>
  </si>
  <si>
    <t>19527074</t>
  </si>
  <si>
    <t xml:space="preserve">membrane-associated guanylate kinase, WW and PDZ domain-containing protein 3 isoform 2 </t>
  </si>
  <si>
    <t>226823238</t>
  </si>
  <si>
    <t xml:space="preserve">membrane-associated guanylate kinase, WW and PDZ domain-containing protein 3 isoform 1 </t>
  </si>
  <si>
    <t>6754616</t>
  </si>
  <si>
    <t>protein mago nashi homolog</t>
  </si>
  <si>
    <t>256985211</t>
  </si>
  <si>
    <t xml:space="preserve">protein mago nashi homolog 2 </t>
  </si>
  <si>
    <t>298676496</t>
  </si>
  <si>
    <t>magnesium transporter protein 1</t>
  </si>
  <si>
    <t>224809525</t>
  </si>
  <si>
    <t xml:space="preserve">serine/threonine-protein kinase MAK isoform 2 </t>
  </si>
  <si>
    <t>224809542</t>
  </si>
  <si>
    <t xml:space="preserve">serine/threonine-protein kinase MAK isoform 3 </t>
  </si>
  <si>
    <t>224809552</t>
  </si>
  <si>
    <t xml:space="preserve">serine/threonine-protein kinase MAK isoform 1 </t>
  </si>
  <si>
    <t>30725780</t>
  </si>
  <si>
    <t>protein MAL2</t>
  </si>
  <si>
    <t>254939620</t>
  </si>
  <si>
    <t>mitochondrial assembly of ribosomal large subunit protein 1</t>
  </si>
  <si>
    <t>6754620</t>
  </si>
  <si>
    <t xml:space="preserve">mannosyl-oligosaccharide 1,2-alpha-mannosidase IB </t>
  </si>
  <si>
    <t>71534295</t>
  </si>
  <si>
    <t>endoplasmic reticulum mannosyl-oligosaccharide 1,2-alpha-mannosidase</t>
  </si>
  <si>
    <t>226246610</t>
  </si>
  <si>
    <t>alpha-mannosidase 2</t>
  </si>
  <si>
    <t>113195690</t>
  </si>
  <si>
    <t xml:space="preserve">lysosomal alpha-mannosidase precursor </t>
  </si>
  <si>
    <t>227330625</t>
  </si>
  <si>
    <t xml:space="preserve">epididymis-specific alpha-mannosidase precursor </t>
  </si>
  <si>
    <t>30794150</t>
  </si>
  <si>
    <t>alpha-mannosidase 2C1</t>
  </si>
  <si>
    <t>158533990</t>
  </si>
  <si>
    <t>beta-mannosidase precursor</t>
  </si>
  <si>
    <t>254540070</t>
  </si>
  <si>
    <t>protein MANBAL</t>
  </si>
  <si>
    <t>110625813</t>
  </si>
  <si>
    <t xml:space="preserve">mesencephalic astrocyte-derived neurotrophic factor precursor </t>
  </si>
  <si>
    <t>255759902</t>
  </si>
  <si>
    <t>amine oxidase [flavin-containing] A</t>
  </si>
  <si>
    <t>124244033</t>
  </si>
  <si>
    <t xml:space="preserve">microtubule-associated protein 1A isoform 1 </t>
  </si>
  <si>
    <t>291045426</t>
  </si>
  <si>
    <t xml:space="preserve">microtubule-associated protein 1A isoform 2 </t>
  </si>
  <si>
    <t>171543853</t>
  </si>
  <si>
    <t xml:space="preserve">microtubule-associated protein 1B </t>
  </si>
  <si>
    <t>23956148</t>
  </si>
  <si>
    <t>microtubule-associated proteins 1A/1B light chain 3A</t>
  </si>
  <si>
    <t>13385664</t>
  </si>
  <si>
    <t>microtubule-associated proteins 1A/1B light chain 3B</t>
  </si>
  <si>
    <t>162287131</t>
  </si>
  <si>
    <t xml:space="preserve">microtubule-associated protein 1S </t>
  </si>
  <si>
    <t>68341935</t>
  </si>
  <si>
    <t xml:space="preserve">microtubule-associated protein 2 isoform 2 </t>
  </si>
  <si>
    <t>90186270</t>
  </si>
  <si>
    <t xml:space="preserve">microtubule-associated protein 2 isoform 1 </t>
  </si>
  <si>
    <t>6678794</t>
  </si>
  <si>
    <t xml:space="preserve">dual specificity mitogen-activated protein kinase kinase 1 </t>
  </si>
  <si>
    <t>31560267</t>
  </si>
  <si>
    <t xml:space="preserve">dual specificity mitogen-activated protein kinase kinase 2 </t>
  </si>
  <si>
    <t>22094081</t>
  </si>
  <si>
    <t xml:space="preserve">dual specificity mitogen-activated protein kinase kinase 3 </t>
  </si>
  <si>
    <t>22095023</t>
  </si>
  <si>
    <t xml:space="preserve">dual specificity mitogen-activated protein kinase kinase 4 </t>
  </si>
  <si>
    <t>110347549</t>
  </si>
  <si>
    <t xml:space="preserve">dual specificity mitogen-activated protein kinase kinase 7 isoform 1 </t>
  </si>
  <si>
    <t>110347551</t>
  </si>
  <si>
    <t xml:space="preserve">dual specificity mitogen-activated protein kinase kinase 7 isoform 2 </t>
  </si>
  <si>
    <t>255918231</t>
  </si>
  <si>
    <t xml:space="preserve">dual specificity mitogen-activated protein kinase kinase 7 isoform 3 </t>
  </si>
  <si>
    <t>124486847</t>
  </si>
  <si>
    <t>mitogen-activated protein kinase kinase kinase 10</t>
  </si>
  <si>
    <t>31543234</t>
  </si>
  <si>
    <t>mitogen-activated protein kinase kinase kinase 11</t>
  </si>
  <si>
    <t>8393835</t>
  </si>
  <si>
    <t>mitogen-activated protein kinase kinase kinase 14</t>
  </si>
  <si>
    <t>282847404</t>
  </si>
  <si>
    <t>mitogen-activated protein kinase kinase kinase 15</t>
  </si>
  <si>
    <t>89257354</t>
  </si>
  <si>
    <t>mitogen-activated protein kinase kinase kinase 2</t>
  </si>
  <si>
    <t>33468949</t>
  </si>
  <si>
    <t>mitogen-activated protein kinase kinase kinase 3</t>
  </si>
  <si>
    <t>93102421</t>
  </si>
  <si>
    <t>mitogen-activated protein kinase kinase kinase 4</t>
  </si>
  <si>
    <t>171846249</t>
  </si>
  <si>
    <t>mitogen-activated protein kinase kinase kinase 5</t>
  </si>
  <si>
    <t>291575174</t>
  </si>
  <si>
    <t>mitogen-activated protein kinase kinase kinase 9 isoform 1</t>
  </si>
  <si>
    <t>52421792</t>
  </si>
  <si>
    <t>mitogen-activated protein kinase kinase kinase 9 isoform 2</t>
  </si>
  <si>
    <t>328927080</t>
  </si>
  <si>
    <t xml:space="preserve">microtubule-associated protein 4 isoform 3 </t>
  </si>
  <si>
    <t>328927083</t>
  </si>
  <si>
    <t xml:space="preserve">microtubule-associated protein 4 isoform 4 </t>
  </si>
  <si>
    <t>148747189</t>
  </si>
  <si>
    <t xml:space="preserve">microtubule-associated protein 4 isoform 2 </t>
  </si>
  <si>
    <t>328927075</t>
  </si>
  <si>
    <t xml:space="preserve">microtubule-associated protein 4 isoform 1 </t>
  </si>
  <si>
    <t>6678800</t>
  </si>
  <si>
    <t xml:space="preserve">mitogen-activated protein kinase kinase kinase kinase 2 </t>
  </si>
  <si>
    <t>124486875</t>
  </si>
  <si>
    <t xml:space="preserve">mitogen-activated protein kinase kinase kinase kinase 3 </t>
  </si>
  <si>
    <t>145279237</t>
  </si>
  <si>
    <t xml:space="preserve">mitogen-activated protein kinase kinase kinase kinase 4 isoform 2 </t>
  </si>
  <si>
    <t>356582264</t>
  </si>
  <si>
    <t xml:space="preserve">mitogen-activated protein kinase kinase kinase kinase 4 isoform 1 </t>
  </si>
  <si>
    <t>356582266</t>
  </si>
  <si>
    <t xml:space="preserve">mitogen-activated protein kinase kinase kinase kinase 4 isoform 3 </t>
  </si>
  <si>
    <t>356582268</t>
  </si>
  <si>
    <t xml:space="preserve">mitogen-activated protein kinase kinase kinase kinase 4 isoform 4 </t>
  </si>
  <si>
    <t>77736537</t>
  </si>
  <si>
    <t xml:space="preserve">mitogen-activated protein kinase kinase kinase kinase 5 </t>
  </si>
  <si>
    <t>113204613</t>
  </si>
  <si>
    <t xml:space="preserve">microtubule-associated protein 6 isoform 1 </t>
  </si>
  <si>
    <t>114520592</t>
  </si>
  <si>
    <t xml:space="preserve">microtubule-associated protein 6 isoform 2 </t>
  </si>
  <si>
    <t>114520594</t>
  </si>
  <si>
    <t xml:space="preserve">microtubule-associated protein 6 isoform 3 </t>
  </si>
  <si>
    <t>310772196</t>
  </si>
  <si>
    <t xml:space="preserve">ensconsin isoform 2 </t>
  </si>
  <si>
    <t>159110787</t>
  </si>
  <si>
    <t xml:space="preserve">ensconsin isoform 1 </t>
  </si>
  <si>
    <t>225543273</t>
  </si>
  <si>
    <t>MAP7 domain-containing protein 1 isoform 1</t>
  </si>
  <si>
    <t>225543276</t>
  </si>
  <si>
    <t>MAP7 domain-containing protein 1 isoform 2</t>
  </si>
  <si>
    <t>124486997</t>
  </si>
  <si>
    <t xml:space="preserve">microtubule-associated protein 9 </t>
  </si>
  <si>
    <t>6754632</t>
  </si>
  <si>
    <t>mitogen-activated protein kinase 1</t>
  </si>
  <si>
    <t>125858479</t>
  </si>
  <si>
    <t>mitogen-activated protein kinase 10 isoform 2</t>
  </si>
  <si>
    <t>125858511</t>
  </si>
  <si>
    <t>mitogen-activated protein kinase 10 isoform 1</t>
  </si>
  <si>
    <t>168693637</t>
  </si>
  <si>
    <t>mitogen-activated protein kinase 11</t>
  </si>
  <si>
    <t>7305253</t>
  </si>
  <si>
    <t>mitogen-activated protein kinase 12</t>
  </si>
  <si>
    <t>226246627</t>
  </si>
  <si>
    <t>mitogen-activated protein kinase 13</t>
  </si>
  <si>
    <t>10092590</t>
  </si>
  <si>
    <t>mitogen-activated protein kinase 14 isoform 1</t>
  </si>
  <si>
    <t>270341370</t>
  </si>
  <si>
    <t>mitogen-activated protein kinase 14 isoform 2</t>
  </si>
  <si>
    <t>270341386</t>
  </si>
  <si>
    <t>mitogen-activated protein kinase 14 isoform 3</t>
  </si>
  <si>
    <t>29244575</t>
  </si>
  <si>
    <t>mitogen-activated protein kinase 15</t>
  </si>
  <si>
    <t>21489933</t>
  </si>
  <si>
    <t>mitogen-activated protein kinase 3</t>
  </si>
  <si>
    <t>89337268</t>
  </si>
  <si>
    <t>mitogen-activated protein kinase 4</t>
  </si>
  <si>
    <t>76573879</t>
  </si>
  <si>
    <t>mitogen-activated protein kinase 6</t>
  </si>
  <si>
    <t>6754634</t>
  </si>
  <si>
    <t>mitogen-activated protein kinase 7</t>
  </si>
  <si>
    <t>7710060</t>
  </si>
  <si>
    <t>mitogen-activated protein kinase 8</t>
  </si>
  <si>
    <t>254540192</t>
  </si>
  <si>
    <t>C-Jun-amino-terminal kinase-interacting protein 3 isoform a</t>
  </si>
  <si>
    <t>254540198</t>
  </si>
  <si>
    <t>C-Jun-amino-terminal kinase-interacting protein 3 isoform b</t>
  </si>
  <si>
    <t>254540200</t>
  </si>
  <si>
    <t>C-Jun-amino-terminal kinase-interacting protein 3 isoform c</t>
  </si>
  <si>
    <t>254540202</t>
  </si>
  <si>
    <t>C-Jun-amino-terminal kinase-interacting protein 3 isoform d</t>
  </si>
  <si>
    <t>254540204</t>
  </si>
  <si>
    <t>C-Jun-amino-terminal kinase-interacting protein 3 isoform e</t>
  </si>
  <si>
    <t>254540206</t>
  </si>
  <si>
    <t>C-Jun-amino-terminal kinase-interacting protein 3 isoform f</t>
  </si>
  <si>
    <t>254540212</t>
  </si>
  <si>
    <t>C-Jun-amino-terminal kinase-interacting protein 3 isoform g</t>
  </si>
  <si>
    <t>254750709</t>
  </si>
  <si>
    <t>mitogen-activated protein kinase 9 isoform alpha2</t>
  </si>
  <si>
    <t>254750733</t>
  </si>
  <si>
    <t>mitogen-activated protein kinase 9 isoform beta2</t>
  </si>
  <si>
    <t>254750739</t>
  </si>
  <si>
    <t>mitogen-activated protein kinase 9 isoform alpha1</t>
  </si>
  <si>
    <t>8393749</t>
  </si>
  <si>
    <t>mitogen-activated protein kinase 9 isoform beta1</t>
  </si>
  <si>
    <t>28893485</t>
  </si>
  <si>
    <t xml:space="preserve">target of rapamycin complex 2 subunit MAPKAP1 </t>
  </si>
  <si>
    <t>45544580</t>
  </si>
  <si>
    <t xml:space="preserve">MAP kinase-activated protein kinase 2 </t>
  </si>
  <si>
    <t>31542089</t>
  </si>
  <si>
    <t xml:space="preserve">MAP kinase-activated protein kinase 3 </t>
  </si>
  <si>
    <t>6754636</t>
  </si>
  <si>
    <t xml:space="preserve">MAP kinase-activated protein kinase 5 </t>
  </si>
  <si>
    <t>7106301</t>
  </si>
  <si>
    <t>microtubule-associated protein RP/EB family member 1</t>
  </si>
  <si>
    <t>253314540</t>
  </si>
  <si>
    <t>microtubule-associated protein RP/EB family member 2 isoform 1</t>
  </si>
  <si>
    <t>253314542</t>
  </si>
  <si>
    <t>microtubule-associated protein RP/EB family member 2 isoform 2</t>
  </si>
  <si>
    <t>253314544</t>
  </si>
  <si>
    <t>microtubule-associated protein RP/EB family member 2 isoform 3</t>
  </si>
  <si>
    <t>39930509</t>
  </si>
  <si>
    <t>microtubule-associated protein RP/EB family member 3</t>
  </si>
  <si>
    <t>19526848</t>
  </si>
  <si>
    <t>MOSC domain-containing protein 2, mitochondrial precursor</t>
  </si>
  <si>
    <t>256773297</t>
  </si>
  <si>
    <t>E3 ubiquitin-protein ligase 41703 isoform 1</t>
  </si>
  <si>
    <t>256773301</t>
  </si>
  <si>
    <t>E3 ubiquitin-protein ligase 41703 isoform 2</t>
  </si>
  <si>
    <t>256773303</t>
  </si>
  <si>
    <t>E3 ubiquitin-protein ligase 41703 isoform 3</t>
  </si>
  <si>
    <t>6678768</t>
  </si>
  <si>
    <t>myristoylated alanine-rich C-kinase substrate</t>
  </si>
  <si>
    <t>6754706</t>
  </si>
  <si>
    <t>MARCKS-related protein</t>
  </si>
  <si>
    <t>124487213</t>
  </si>
  <si>
    <t xml:space="preserve">meiosis arrest female protein 1 </t>
  </si>
  <si>
    <t>224922757</t>
  </si>
  <si>
    <t xml:space="preserve">serine/threonine-protein kinase MARK1 </t>
  </si>
  <si>
    <t>122937355</t>
  </si>
  <si>
    <t xml:space="preserve">serine/threonine-protein kinase MARK2 isoform 2 </t>
  </si>
  <si>
    <t>122937357</t>
  </si>
  <si>
    <t xml:space="preserve">serine/threonine-protein kinase MARK2 isoform 4 </t>
  </si>
  <si>
    <t>122937359</t>
  </si>
  <si>
    <t xml:space="preserve">serine/threonine-protein kinase MARK2 isoform 1 </t>
  </si>
  <si>
    <t>122937363</t>
  </si>
  <si>
    <t xml:space="preserve">serine/threonine-protein kinase MARK2 isoform 3 </t>
  </si>
  <si>
    <t>251823810</t>
  </si>
  <si>
    <t>MAP/microtubule affinity-regulating kinase 3 isoform 1</t>
  </si>
  <si>
    <t>251823812</t>
  </si>
  <si>
    <t>MAP/microtubule affinity-regulating kinase 3 isoform 2</t>
  </si>
  <si>
    <t>26986591</t>
  </si>
  <si>
    <t>MAP/microtubule affinity-regulating kinase 4</t>
  </si>
  <si>
    <t>284172357</t>
  </si>
  <si>
    <t xml:space="preserve">methionine--tRNA ligase, cytoplasmic isoform 1 </t>
  </si>
  <si>
    <t>51491852</t>
  </si>
  <si>
    <t xml:space="preserve">methionine--tRNA ligase, cytoplasmic isoform 2 </t>
  </si>
  <si>
    <t>30425166</t>
  </si>
  <si>
    <t>methionine--tRNA ligase, mitochondrial precursor</t>
  </si>
  <si>
    <t>21704144</t>
  </si>
  <si>
    <t>S-adenosylmethionine synthase isoform type-2</t>
  </si>
  <si>
    <t>19527234</t>
  </si>
  <si>
    <t xml:space="preserve">methionine adenosyltransferase 2 subunit beta isoform 1 </t>
  </si>
  <si>
    <t>313482787</t>
  </si>
  <si>
    <t xml:space="preserve">methionine adenosyltransferase 2 subunit beta isoform 2 </t>
  </si>
  <si>
    <t>6754646</t>
  </si>
  <si>
    <t xml:space="preserve">megakaryocyte-associated tyrosine-protein kinase </t>
  </si>
  <si>
    <t>25141233</t>
  </si>
  <si>
    <t xml:space="preserve">matrin-3 </t>
  </si>
  <si>
    <t>269308211</t>
  </si>
  <si>
    <t xml:space="preserve">MAU2 chromatid cohesion factor homolog isoform 2 </t>
  </si>
  <si>
    <t>269308215</t>
  </si>
  <si>
    <t xml:space="preserve">MAU2 chromatid cohesion factor homolog isoform 1 </t>
  </si>
  <si>
    <t>21450263</t>
  </si>
  <si>
    <t xml:space="preserve">mitochondrial antiviral-signaling protein isoform 1 </t>
  </si>
  <si>
    <t>329755284</t>
  </si>
  <si>
    <t xml:space="preserve">mitochondrial antiviral-signaling protein isoform 2 </t>
  </si>
  <si>
    <t>226051832</t>
  </si>
  <si>
    <t>protein max isoform 1</t>
  </si>
  <si>
    <t>226051848</t>
  </si>
  <si>
    <t>protein max isoform 2</t>
  </si>
  <si>
    <t>116812912</t>
  </si>
  <si>
    <t>protein MB21D1</t>
  </si>
  <si>
    <t>7305261</t>
  </si>
  <si>
    <t>methyl-CpG-binding domain protein 3</t>
  </si>
  <si>
    <t>29244490</t>
  </si>
  <si>
    <t>metallo-beta-lactamase domain-containing protein 1</t>
  </si>
  <si>
    <t>358679352</t>
  </si>
  <si>
    <t xml:space="preserve">muscleblind-like protein 1 isoform 2 </t>
  </si>
  <si>
    <t>46411182</t>
  </si>
  <si>
    <t xml:space="preserve">muscleblind-like protein 1 isoform 1 </t>
  </si>
  <si>
    <t>30425032</t>
  </si>
  <si>
    <t xml:space="preserve">muscleblind-like protein 2 isoform 1 </t>
  </si>
  <si>
    <t>46411185</t>
  </si>
  <si>
    <t xml:space="preserve">muscleblind-like protein 2 isoform 2 </t>
  </si>
  <si>
    <t>19527398</t>
  </si>
  <si>
    <t xml:space="preserve">muscleblind-like protein 3 </t>
  </si>
  <si>
    <t>23956314</t>
  </si>
  <si>
    <t xml:space="preserve">lysophospholipid acyltransferase 1 </t>
  </si>
  <si>
    <t>31542014</t>
  </si>
  <si>
    <t xml:space="preserve">lysophospholipid acyltransferase 7 </t>
  </si>
  <si>
    <t>71725343</t>
  </si>
  <si>
    <t xml:space="preserve">malonyl-CoA-acyl carrier protein transacylase, mitochondrial </t>
  </si>
  <si>
    <t>186700620</t>
  </si>
  <si>
    <t xml:space="preserve">methylcrotonoyl-CoA carboxylase subunit alpha, mitochondrial </t>
  </si>
  <si>
    <t>73622267</t>
  </si>
  <si>
    <t xml:space="preserve">methylcrotonoyl-CoA carboxylase beta chain, mitochondrial </t>
  </si>
  <si>
    <t>165972319</t>
  </si>
  <si>
    <t>mcf.2 transforming</t>
  </si>
  <si>
    <t>21314834</t>
  </si>
  <si>
    <t>multiple coagulation factor deficiency protein 2 homolog precursor</t>
  </si>
  <si>
    <t>309262615</t>
  </si>
  <si>
    <t xml:space="preserve">PREDICTED: ubiquitin-conjugating enzyme E2 N </t>
  </si>
  <si>
    <t>6678824</t>
  </si>
  <si>
    <t>induced myeloid leukemia cell differentiation protein Mcl-1 homolog</t>
  </si>
  <si>
    <t>172088119</t>
  </si>
  <si>
    <t xml:space="preserve">DNA replication licensing factor MCM2 </t>
  </si>
  <si>
    <t>33859484</t>
  </si>
  <si>
    <t xml:space="preserve">DNA replication licensing factor MCM3 </t>
  </si>
  <si>
    <t>255918149</t>
  </si>
  <si>
    <t xml:space="preserve">DNA replication licensing factor MCM4 </t>
  </si>
  <si>
    <t>112293273</t>
  </si>
  <si>
    <t xml:space="preserve">DNA replication licensing factor MCM5 </t>
  </si>
  <si>
    <t>6678832</t>
  </si>
  <si>
    <t xml:space="preserve">DNA replication licensing factor MCM6 </t>
  </si>
  <si>
    <t>10242373</t>
  </si>
  <si>
    <t xml:space="preserve">DNA replication licensing factor MCM7 </t>
  </si>
  <si>
    <t>22122389</t>
  </si>
  <si>
    <t>mini-chromosome maintenance complex-binding protein</t>
  </si>
  <si>
    <t>21389327</t>
  </si>
  <si>
    <t xml:space="preserve">mucolipin-2 isoform 1 </t>
  </si>
  <si>
    <t>54292128</t>
  </si>
  <si>
    <t xml:space="preserve">mucolipin-2 isoform 2 </t>
  </si>
  <si>
    <t>21312175</t>
  </si>
  <si>
    <t>malignant T-cell-amplified sequence 1</t>
  </si>
  <si>
    <t>13384966</t>
  </si>
  <si>
    <t>malignant T-cell-amplified sequence 2</t>
  </si>
  <si>
    <t>168823441</t>
  </si>
  <si>
    <t xml:space="preserve">calcium uniporter protein, mitochondrial precursor </t>
  </si>
  <si>
    <t>124486696</t>
  </si>
  <si>
    <t>coiled-coil domain-containing protein 90A, mitochondrial precursor</t>
  </si>
  <si>
    <t>132626693</t>
  </si>
  <si>
    <t xml:space="preserve">mediator of DNA damage checkpoint protein 1 </t>
  </si>
  <si>
    <t>124487209</t>
  </si>
  <si>
    <t xml:space="preserve">MAM domain-containing glycosylphosphatidylinositol anchor protein 1 precursor </t>
  </si>
  <si>
    <t>254540027</t>
  </si>
  <si>
    <t xml:space="preserve">malate dehydrogenase, cytoplasmic </t>
  </si>
  <si>
    <t>31982186</t>
  </si>
  <si>
    <t>malate dehydrogenase, mitochondrial precursor</t>
  </si>
  <si>
    <t>31543245</t>
  </si>
  <si>
    <t>protein Mdm4</t>
  </si>
  <si>
    <t>124487133</t>
  </si>
  <si>
    <t xml:space="preserve">midasin </t>
  </si>
  <si>
    <t>12963663</t>
  </si>
  <si>
    <t xml:space="preserve">magnesium-dependent phosphatase 1 </t>
  </si>
  <si>
    <t>162139827</t>
  </si>
  <si>
    <t xml:space="preserve">NADP-dependent malic enzyme isoform 1 </t>
  </si>
  <si>
    <t>312147392</t>
  </si>
  <si>
    <t xml:space="preserve">NADP-dependent malic enzyme isoform 2 </t>
  </si>
  <si>
    <t>21703972</t>
  </si>
  <si>
    <t xml:space="preserve">NAD-dependent malic enzyme, mitochondrial precursor </t>
  </si>
  <si>
    <t>227116358</t>
  </si>
  <si>
    <t>trans-2-enoyl-CoA reductase, mitochondrial precursor</t>
  </si>
  <si>
    <t>121582398</t>
  </si>
  <si>
    <t>mediator of RNA polymerase II transcription subunit 1 isoform 3</t>
  </si>
  <si>
    <t>121582430</t>
  </si>
  <si>
    <t>mediator of RNA polymerase II transcription subunit 1 isoform 1</t>
  </si>
  <si>
    <t>121583906</t>
  </si>
  <si>
    <t>mediator of RNA polymerase II transcription subunit 1 isoform 2</t>
  </si>
  <si>
    <t>125628662</t>
  </si>
  <si>
    <t>mediator of RNA polymerase II transcription subunit 12</t>
  </si>
  <si>
    <t>242397421</t>
  </si>
  <si>
    <t xml:space="preserve">mediator of RNA polymerase II transcription subunit 12-like protein </t>
  </si>
  <si>
    <t>115270972</t>
  </si>
  <si>
    <t>mediator of RNA polymerase II transcription subunit 14 isoform b</t>
  </si>
  <si>
    <t>115270977</t>
  </si>
  <si>
    <t>mediator of RNA polymerase II transcription subunit 14 isoform a</t>
  </si>
  <si>
    <t>100816770</t>
  </si>
  <si>
    <t>mediator of RNA polymerase II transcription subunit 15 isoform a</t>
  </si>
  <si>
    <t>100817039</t>
  </si>
  <si>
    <t>mediator of RNA polymerase II transcription subunit 15 isoform b</t>
  </si>
  <si>
    <t>21450345</t>
  </si>
  <si>
    <t>mediator of RNA polymerase II transcription subunit 17</t>
  </si>
  <si>
    <t>21313064</t>
  </si>
  <si>
    <t>mediator of RNA polymerase II transcription subunit 18</t>
  </si>
  <si>
    <t>21313194</t>
  </si>
  <si>
    <t>mediator of RNA polymerase II transcription subunit 19</t>
  </si>
  <si>
    <t>9910590</t>
  </si>
  <si>
    <t>mediator of RNA polymerase II transcription subunit 20</t>
  </si>
  <si>
    <t>13384678</t>
  </si>
  <si>
    <t>mediator of RNA polymerase II transcription subunit 21</t>
  </si>
  <si>
    <t>6755700</t>
  </si>
  <si>
    <t>mediator of RNA polymerase II transcription subunit 22 isoform 1</t>
  </si>
  <si>
    <t>76781479</t>
  </si>
  <si>
    <t>mediator of RNA polymerase II transcription subunit 22 isoform 2</t>
  </si>
  <si>
    <t>261878545</t>
  </si>
  <si>
    <t>mediator of RNA polymerase II transcription subunit 23 isoform 1</t>
  </si>
  <si>
    <t>261878547</t>
  </si>
  <si>
    <t>mediator of RNA polymerase II transcription subunit 23 isoform 2</t>
  </si>
  <si>
    <t>119220579</t>
  </si>
  <si>
    <t>mediator of RNA polymerase II transcription subunit 24</t>
  </si>
  <si>
    <t>76253678</t>
  </si>
  <si>
    <t>mediator of RNA polymerase II transcription subunit 27</t>
  </si>
  <si>
    <t>13385388</t>
  </si>
  <si>
    <t>mediator of RNA polymerase II transcription subunit 28</t>
  </si>
  <si>
    <t>19882231</t>
  </si>
  <si>
    <t>mediator of RNA polymerase II transcription subunit 30</t>
  </si>
  <si>
    <t>56119162</t>
  </si>
  <si>
    <t>mediator of RNA polymerase II transcription subunit 31</t>
  </si>
  <si>
    <t>157266302;157266322</t>
  </si>
  <si>
    <t>mediator of RNA polymerase II transcription subunit 7</t>
  </si>
  <si>
    <t>255982602</t>
  </si>
  <si>
    <t>meiosis inhibitor protein 1</t>
  </si>
  <si>
    <t>19526994</t>
  </si>
  <si>
    <t>protein MEMO1</t>
  </si>
  <si>
    <t>119672920</t>
  </si>
  <si>
    <t xml:space="preserve">7SK snRNA methylphosphate capping enzyme </t>
  </si>
  <si>
    <t>228480219</t>
  </si>
  <si>
    <t>LDLR chaperone MESD precursor</t>
  </si>
  <si>
    <t>146198696</t>
  </si>
  <si>
    <t xml:space="preserve">hepatocyte growth factor receptor precursor </t>
  </si>
  <si>
    <t>28202007</t>
  </si>
  <si>
    <t xml:space="preserve">methionine aminopeptidase 1 </t>
  </si>
  <si>
    <t>17975502</t>
  </si>
  <si>
    <t xml:space="preserve">methionine aminopeptidase 1D, mitochondrial precursor </t>
  </si>
  <si>
    <t>9789873</t>
  </si>
  <si>
    <t xml:space="preserve">methionine aminopeptidase 2 </t>
  </si>
  <si>
    <t>6754682</t>
  </si>
  <si>
    <t>tRNA (guanine-N(7)-)-methyltransferase</t>
  </si>
  <si>
    <t>47059504</t>
  </si>
  <si>
    <t xml:space="preserve">methyltransferase-like protein 10 </t>
  </si>
  <si>
    <t>21536262</t>
  </si>
  <si>
    <t xml:space="preserve">methyltransferase-like protein 13 </t>
  </si>
  <si>
    <t>21312938</t>
  </si>
  <si>
    <t xml:space="preserve">methyltransferase-like protein 16 </t>
  </si>
  <si>
    <t>255683413</t>
  </si>
  <si>
    <t xml:space="preserve">methyltransferase-like protein 2 </t>
  </si>
  <si>
    <t>77627973</t>
  </si>
  <si>
    <t>N6-adenosine-methyltransferase 70 kDa subunit</t>
  </si>
  <si>
    <t>33563290</t>
  </si>
  <si>
    <t xml:space="preserve">methyltransferase-like protein 7A </t>
  </si>
  <si>
    <t>61098178</t>
  </si>
  <si>
    <t xml:space="preserve">methyltransferase like 7A2 </t>
  </si>
  <si>
    <t>67003561</t>
  </si>
  <si>
    <t xml:space="preserve">Mettl7a2-Higd1c readthrough transcript </t>
  </si>
  <si>
    <t>125490373</t>
  </si>
  <si>
    <t>UbiE3 protein</t>
  </si>
  <si>
    <t>34328259</t>
  </si>
  <si>
    <t>methyltransferase-like protein 9 precursor</t>
  </si>
  <si>
    <t>126517472</t>
  </si>
  <si>
    <t xml:space="preserve">microfibrillar-associated protein 1B </t>
  </si>
  <si>
    <t>113865977</t>
  </si>
  <si>
    <t>lactadherin isoform 2 precursor</t>
  </si>
  <si>
    <t>113865979</t>
  </si>
  <si>
    <t>lactadherin isoform 1 precursor</t>
  </si>
  <si>
    <t>124486881</t>
  </si>
  <si>
    <t>malignant fibrous histiocytoma-amplified sequence 1 homolog</t>
  </si>
  <si>
    <t>244793488</t>
  </si>
  <si>
    <t xml:space="preserve">mitofusin-1 </t>
  </si>
  <si>
    <t>21313266</t>
  </si>
  <si>
    <t>major facilitator superfamily domain-containing protein 1</t>
  </si>
  <si>
    <t>13386144</t>
  </si>
  <si>
    <t>major facilitator superfamily domain-containing protein 10</t>
  </si>
  <si>
    <t>148540196</t>
  </si>
  <si>
    <t>major facilitator superfamily domain-containing protein 12</t>
  </si>
  <si>
    <t>19527330</t>
  </si>
  <si>
    <t xml:space="preserve">major facilitator superfamily domain-containing protein 5 precursor </t>
  </si>
  <si>
    <t>160707919</t>
  </si>
  <si>
    <t>major facilitator superfamily domain-containing protein 6 isoform 1</t>
  </si>
  <si>
    <t>31541926</t>
  </si>
  <si>
    <t>major facilitator superfamily domain-containing protein 8</t>
  </si>
  <si>
    <t>158711696</t>
  </si>
  <si>
    <t>alpha-1,3-mannosyl-glycoprotein 2-beta-N-acetylglucosaminyltransferase</t>
  </si>
  <si>
    <t>22122521</t>
  </si>
  <si>
    <t>alpha-1,6-mannosyl-glycoprotein 2-beta-N-acetylglucosaminyltransferase</t>
  </si>
  <si>
    <t>253683470</t>
  </si>
  <si>
    <t>alpha-1,3-mannosyl-glycoprotein 4-beta-N-acetylglucosaminyltransferase B precursor</t>
  </si>
  <si>
    <t>326633239</t>
  </si>
  <si>
    <t xml:space="preserve">alpha-1,3-mannosyl-glycoprotein 4-beta-N-acetylglucosaminyltransferase C </t>
  </si>
  <si>
    <t>15011884</t>
  </si>
  <si>
    <t xml:space="preserve">bifunctional protein NCOAT </t>
  </si>
  <si>
    <t>21312780</t>
  </si>
  <si>
    <t>uncharacterized protein C20orf72 homolog</t>
  </si>
  <si>
    <t>27229238</t>
  </si>
  <si>
    <t>E3 ubiquitin-protein ligase MGRN1 isoform 2</t>
  </si>
  <si>
    <t>356995926</t>
  </si>
  <si>
    <t>E3 ubiquitin-protein ligase MGRN1 isoform 1</t>
  </si>
  <si>
    <t>31981068</t>
  </si>
  <si>
    <t>microsomal glutathione S-transferase 1</t>
  </si>
  <si>
    <t>13385010</t>
  </si>
  <si>
    <t>microsomal glutathione S-transferase 3</t>
  </si>
  <si>
    <t>124001582</t>
  </si>
  <si>
    <t>melanoma inhibitory activity protein 3 precursor</t>
  </si>
  <si>
    <t>32189428</t>
  </si>
  <si>
    <t>E3 ubiquitin-protein ligase MIB1</t>
  </si>
  <si>
    <t>170932490</t>
  </si>
  <si>
    <t>protein-methionine sulfoxide oxidase MICAL3 isoform 2</t>
  </si>
  <si>
    <t>394582113</t>
  </si>
  <si>
    <t>protein-methionine sulfoxide oxidase MICAL3 isoform 1</t>
  </si>
  <si>
    <t>168229165</t>
  </si>
  <si>
    <t xml:space="preserve">MICAL-like protein 1 </t>
  </si>
  <si>
    <t>21450201</t>
  </si>
  <si>
    <t xml:space="preserve">calcium uptake protein 1, mitochondrial </t>
  </si>
  <si>
    <t>27477043</t>
  </si>
  <si>
    <t xml:space="preserve">calcium uptake protein 2, mitochondrial </t>
  </si>
  <si>
    <t>10947008</t>
  </si>
  <si>
    <t xml:space="preserve">midnolin </t>
  </si>
  <si>
    <t>13384990</t>
  </si>
  <si>
    <t xml:space="preserve">migration and invasion enhancer 1 </t>
  </si>
  <si>
    <t>555290129</t>
  </si>
  <si>
    <t>mesoderm induction early response protein 1 isoform d</t>
  </si>
  <si>
    <t>555290144</t>
  </si>
  <si>
    <t xml:space="preserve">mesoderm induction early response protein 1 isoform c precursor </t>
  </si>
  <si>
    <t>84872225</t>
  </si>
  <si>
    <t>mesoderm induction early response protein 1 isoform b</t>
  </si>
  <si>
    <t>84872227</t>
  </si>
  <si>
    <t xml:space="preserve">mesoderm induction early response protein 1 isoform a precursor </t>
  </si>
  <si>
    <t>6754696</t>
  </si>
  <si>
    <t>macrophage migration inhibitory factor</t>
  </si>
  <si>
    <t>343790914;262073012</t>
  </si>
  <si>
    <t xml:space="preserve">MIF4G domain-containing protein isoform 1 </t>
  </si>
  <si>
    <t>343790916</t>
  </si>
  <si>
    <t xml:space="preserve">MIF4G domain-containing protein isoform 2 </t>
  </si>
  <si>
    <t>256355182</t>
  </si>
  <si>
    <t>bifunctional lysine-specific demethylase and histidyl-hydroxylase MINA</t>
  </si>
  <si>
    <t>114052104</t>
  </si>
  <si>
    <t xml:space="preserve">misshapen-like kinase 1 isoform 4 </t>
  </si>
  <si>
    <t>114052416</t>
  </si>
  <si>
    <t xml:space="preserve">misshapen-like kinase 1 isoform 2 </t>
  </si>
  <si>
    <t>114052442</t>
  </si>
  <si>
    <t xml:space="preserve">misshapen-like kinase 1 isoform 1 </t>
  </si>
  <si>
    <t>114052522</t>
  </si>
  <si>
    <t xml:space="preserve">misshapen-like kinase 1 isoform 3 </t>
  </si>
  <si>
    <t>244791232</t>
  </si>
  <si>
    <t xml:space="preserve">mitochondrial inner membrane organizing system protein 1 </t>
  </si>
  <si>
    <t>6754698</t>
  </si>
  <si>
    <t>multiple inositol polyphosphate phosphatase 1 precursor</t>
  </si>
  <si>
    <t>213021192</t>
  </si>
  <si>
    <t>WD repeat-containing protein mio</t>
  </si>
  <si>
    <t>256418961</t>
  </si>
  <si>
    <t>mirror-image polydactyly gene 1 protein homolog</t>
  </si>
  <si>
    <t>70909369</t>
  </si>
  <si>
    <t>protein Mis18-alpha</t>
  </si>
  <si>
    <t>110625710</t>
  </si>
  <si>
    <t>MIT domain-containing protein 1</t>
  </si>
  <si>
    <t>127138894</t>
  </si>
  <si>
    <t xml:space="preserve">MKL/myocardin-like protein 1 isoform 1 </t>
  </si>
  <si>
    <t>127139379</t>
  </si>
  <si>
    <t xml:space="preserve">MKL/myocardin-like protein 1 isoform 2 </t>
  </si>
  <si>
    <t>169881261</t>
  </si>
  <si>
    <t xml:space="preserve">MKL/myocardin-like protein 2 isoform 3 </t>
  </si>
  <si>
    <t>237820633</t>
  </si>
  <si>
    <t xml:space="preserve">MKL/myocardin-like protein 2 isoform 1 </t>
  </si>
  <si>
    <t>7305271</t>
  </si>
  <si>
    <t xml:space="preserve">muskelin </t>
  </si>
  <si>
    <t>10946852</t>
  </si>
  <si>
    <t xml:space="preserve">MAP kinase-interacting serine/threonine-protein kinase 2 </t>
  </si>
  <si>
    <t>88853570</t>
  </si>
  <si>
    <t xml:space="preserve">probable E3 ubiquitin-protein ligase makorin-2 </t>
  </si>
  <si>
    <t>188497650</t>
  </si>
  <si>
    <t>malectin precursor</t>
  </si>
  <si>
    <t>21703770</t>
  </si>
  <si>
    <t>myeloid leukemia factor 2</t>
  </si>
  <si>
    <t>110626037</t>
  </si>
  <si>
    <t xml:space="preserve">mixed lineage kinase domain-like protein </t>
  </si>
  <si>
    <t>11612511</t>
  </si>
  <si>
    <t>protein ENL</t>
  </si>
  <si>
    <t>145587092</t>
  </si>
  <si>
    <t xml:space="preserve">afadin </t>
  </si>
  <si>
    <t>357197121;357197118</t>
  </si>
  <si>
    <t>target of rapamycin complex subunit LST8 isoform 1</t>
  </si>
  <si>
    <t>357197118</t>
  </si>
  <si>
    <t>357197123</t>
  </si>
  <si>
    <t>target of rapamycin complex subunit LST8 isoform 2</t>
  </si>
  <si>
    <t>56797739</t>
  </si>
  <si>
    <t xml:space="preserve">malonyl-CoA decarboxylase, mitochondrial </t>
  </si>
  <si>
    <t>21313396</t>
  </si>
  <si>
    <t>cob(I)yrinic acid a,c-diamide adenosyltransferase, mitochondrial precursor</t>
  </si>
  <si>
    <t>31543255</t>
  </si>
  <si>
    <t xml:space="preserve">neprilysin </t>
  </si>
  <si>
    <t>22122803</t>
  </si>
  <si>
    <t xml:space="preserve">membrane magnesium transporter 1 precursor </t>
  </si>
  <si>
    <t>188528637</t>
  </si>
  <si>
    <t xml:space="preserve">matrix metalloproteinase-14 precursor </t>
  </si>
  <si>
    <t>23308683</t>
  </si>
  <si>
    <t xml:space="preserve">matrix metalloproteinase-21 precursor </t>
  </si>
  <si>
    <t>15100156</t>
  </si>
  <si>
    <t>MMS19 nucleotide excision repair protein homolog</t>
  </si>
  <si>
    <t>253970429</t>
  </si>
  <si>
    <t>protein MMS22-like</t>
  </si>
  <si>
    <t>89363038</t>
  </si>
  <si>
    <t xml:space="preserve">CDK-activating kinase assembly factor MAT1 </t>
  </si>
  <si>
    <t>84781795</t>
  </si>
  <si>
    <t xml:space="preserve">interferon-activable protein 205-B </t>
  </si>
  <si>
    <t>21704148</t>
  </si>
  <si>
    <t>MOB kinase activator 1A</t>
  </si>
  <si>
    <t>62412947</t>
  </si>
  <si>
    <t>MOB kinase activator 1B</t>
  </si>
  <si>
    <t>20149310</t>
  </si>
  <si>
    <t>MOB kinase activator 2</t>
  </si>
  <si>
    <t>40254521</t>
  </si>
  <si>
    <t xml:space="preserve">MOB-like protein phocein </t>
  </si>
  <si>
    <t>161484628</t>
  </si>
  <si>
    <t xml:space="preserve">molybdenum cofactor biosynthesis protein 1 isoform 1 </t>
  </si>
  <si>
    <t>237820699</t>
  </si>
  <si>
    <t>adenylyltransferase and sulfurtransferase MOCS3</t>
  </si>
  <si>
    <t>31981106</t>
  </si>
  <si>
    <t>mannosyl-oligosaccharide glucosidase</t>
  </si>
  <si>
    <t>21312179</t>
  </si>
  <si>
    <t>vacuolar fusion protein MON1 homolog A</t>
  </si>
  <si>
    <t>27370524</t>
  </si>
  <si>
    <t>vacuolar fusion protein MON1 homolog B</t>
  </si>
  <si>
    <t>253683420</t>
  </si>
  <si>
    <t xml:space="preserve">protein MON2 homolog isoform 3 </t>
  </si>
  <si>
    <t>253683422</t>
  </si>
  <si>
    <t xml:space="preserve">protein MON2 homolog isoform 1 </t>
  </si>
  <si>
    <t>253683424</t>
  </si>
  <si>
    <t xml:space="preserve">protein MON2 homolog isoform 2 </t>
  </si>
  <si>
    <t>13277348</t>
  </si>
  <si>
    <t xml:space="preserve">mortality factor 4-like protein 1 isoform b </t>
  </si>
  <si>
    <t>85540473</t>
  </si>
  <si>
    <t xml:space="preserve">mortality factor 4-like protein 1 isoform a </t>
  </si>
  <si>
    <t>167234396</t>
  </si>
  <si>
    <t xml:space="preserve">motile sperm domain-containing protein 2 </t>
  </si>
  <si>
    <t>254540179</t>
  </si>
  <si>
    <t xml:space="preserve">putative helicase MOV-10 isoform b </t>
  </si>
  <si>
    <t>254540181</t>
  </si>
  <si>
    <t xml:space="preserve">putative helicase MOV-10 isoform a </t>
  </si>
  <si>
    <t>9055178</t>
  </si>
  <si>
    <t>mitochondrial pyruvate carrier 1</t>
  </si>
  <si>
    <t>21312594</t>
  </si>
  <si>
    <t>mitochondrial pyruvate carrier 2</t>
  </si>
  <si>
    <t>31981340</t>
  </si>
  <si>
    <t xml:space="preserve">mannose-P-dolichol utilization defect 1 protein </t>
  </si>
  <si>
    <t>124053457</t>
  </si>
  <si>
    <t>multiple PDZ domain protein</t>
  </si>
  <si>
    <t>268370034</t>
  </si>
  <si>
    <t>DNA-3-methyladenine glycosylase</t>
  </si>
  <si>
    <t>21312048</t>
  </si>
  <si>
    <t xml:space="preserve">M-phase phosphoprotein 6 </t>
  </si>
  <si>
    <t>91206392</t>
  </si>
  <si>
    <t>mannose-6-phosphate isomerase</t>
  </si>
  <si>
    <t>7710062</t>
  </si>
  <si>
    <t xml:space="preserve">MAGUK p55 subfamily member 2 </t>
  </si>
  <si>
    <t>118026923</t>
  </si>
  <si>
    <t xml:space="preserve">MAGUK p55 subfamily member 3 </t>
  </si>
  <si>
    <t>9625023</t>
  </si>
  <si>
    <t xml:space="preserve">MAGUK p55 subfamily member 5 </t>
  </si>
  <si>
    <t>257900522</t>
  </si>
  <si>
    <t xml:space="preserve">MAGUK p55 subfamily member 6 isoform a </t>
  </si>
  <si>
    <t>257900524;257900522</t>
  </si>
  <si>
    <t>257900520</t>
  </si>
  <si>
    <t xml:space="preserve">MAGUK p55 subfamily member 6 isoform b </t>
  </si>
  <si>
    <t>239051572</t>
  </si>
  <si>
    <t xml:space="preserve">MAGUK p55 subfamily member 7 isoform 1 </t>
  </si>
  <si>
    <t>239051602</t>
  </si>
  <si>
    <t xml:space="preserve">MAGUK p55 subfamily member 7 isoform 2 </t>
  </si>
  <si>
    <t>244789999</t>
  </si>
  <si>
    <t>3-mercaptopyruvate sulfurtransferase</t>
  </si>
  <si>
    <t>6678926</t>
  </si>
  <si>
    <t>protein Mpv17</t>
  </si>
  <si>
    <t>31542623</t>
  </si>
  <si>
    <t>myelin protein zero-like protein 2 precursor</t>
  </si>
  <si>
    <t>6678930</t>
  </si>
  <si>
    <t>ras-related protein M-Ras precursor</t>
  </si>
  <si>
    <t>9055282</t>
  </si>
  <si>
    <t xml:space="preserve">double-strand break repair protein MRE11A </t>
  </si>
  <si>
    <t>13385746</t>
  </si>
  <si>
    <t>MORF4 family-associated protein 1</t>
  </si>
  <si>
    <t>268838020</t>
  </si>
  <si>
    <t>methylthioribose-1-phosphate isomerase</t>
  </si>
  <si>
    <t>89337263</t>
  </si>
  <si>
    <t xml:space="preserve">rRNA methyltransferase 1, mitochondrial precursor </t>
  </si>
  <si>
    <t>241982824</t>
  </si>
  <si>
    <t>HEAT repeat containing 7A isoform 2</t>
  </si>
  <si>
    <t>283046757</t>
  </si>
  <si>
    <t>HEAT repeat containing 7A isoform 1</t>
  </si>
  <si>
    <t>527317377</t>
  </si>
  <si>
    <t xml:space="preserve">maestro heat-like repeat-containing protein family member 2A </t>
  </si>
  <si>
    <t>294460010</t>
  </si>
  <si>
    <t xml:space="preserve">uncharacterized protein LOC69439 </t>
  </si>
  <si>
    <t>254692919</t>
  </si>
  <si>
    <t xml:space="preserve">uncharacterized protein LOC78258 </t>
  </si>
  <si>
    <t>13385888</t>
  </si>
  <si>
    <t>ribosomal protein 63, mitochondrial</t>
  </si>
  <si>
    <t>84875528</t>
  </si>
  <si>
    <t xml:space="preserve">39S ribosomal protein L1, mitochondrial isoform 1 </t>
  </si>
  <si>
    <t>84875532</t>
  </si>
  <si>
    <t xml:space="preserve">39S ribosomal protein L1, mitochondrial isoform 2 </t>
  </si>
  <si>
    <t>13385658</t>
  </si>
  <si>
    <t>39S ribosomal protein L10, mitochondrial precursor</t>
  </si>
  <si>
    <t>13384980</t>
  </si>
  <si>
    <t xml:space="preserve">39S ribosomal protein L11, mitochondrial </t>
  </si>
  <si>
    <t>22164792</t>
  </si>
  <si>
    <t>39S ribosomal protein L12, mitochondrial precursor</t>
  </si>
  <si>
    <t>21312936</t>
  </si>
  <si>
    <t xml:space="preserve">39S ribosomal protein L13, mitochondrial </t>
  </si>
  <si>
    <t>21312028</t>
  </si>
  <si>
    <t>39S ribosomal protein L14, mitochondrial precursor</t>
  </si>
  <si>
    <t>295054166</t>
  </si>
  <si>
    <t>39S ribosomal protein L15, mitochondrial isoform 1 precursor</t>
  </si>
  <si>
    <t>33468983</t>
  </si>
  <si>
    <t>39S ribosomal protein L15, mitochondrial isoform 2 precursor</t>
  </si>
  <si>
    <t>19424352</t>
  </si>
  <si>
    <t>39S ribosomal protein L16, mitochondrial precursor</t>
  </si>
  <si>
    <t>13384658</t>
  </si>
  <si>
    <t>39S ribosomal protein L17, mitochondrial precursor</t>
  </si>
  <si>
    <t>13385808</t>
  </si>
  <si>
    <t xml:space="preserve">39S ribosomal protein L18, mitochondrial </t>
  </si>
  <si>
    <t>13385976</t>
  </si>
  <si>
    <t xml:space="preserve">39S ribosomal protein L19, mitochondrial </t>
  </si>
  <si>
    <t>13384660</t>
  </si>
  <si>
    <t>39S ribosomal protein L2, mitochondrial precursor</t>
  </si>
  <si>
    <t>20270194</t>
  </si>
  <si>
    <t>39S ribosomal protein L20, mitochondrial precursor</t>
  </si>
  <si>
    <t>31982032</t>
  </si>
  <si>
    <t xml:space="preserve">39S ribosomal protein L21, mitochondrial </t>
  </si>
  <si>
    <t>262263310</t>
  </si>
  <si>
    <t>39S ribosomal protein L22, mitochondrial precursor</t>
  </si>
  <si>
    <t>6755352</t>
  </si>
  <si>
    <t xml:space="preserve">39S ribosomal protein L23, mitochondrial </t>
  </si>
  <si>
    <t>153792729</t>
  </si>
  <si>
    <t>39S ribosomal protein L24, mitochondrial precursor</t>
  </si>
  <si>
    <t>16716447</t>
  </si>
  <si>
    <t xml:space="preserve">39S ribosomal protein L27, mitochondrial </t>
  </si>
  <si>
    <t>26787989</t>
  </si>
  <si>
    <t xml:space="preserve">39S ribosomal protein L28, mitochondrial </t>
  </si>
  <si>
    <t>31981470</t>
  </si>
  <si>
    <t xml:space="preserve">39S ribosomal protein L3, mitochondrial </t>
  </si>
  <si>
    <t>21312302</t>
  </si>
  <si>
    <t>39S ribosomal protein L30, mitochondrial precursor</t>
  </si>
  <si>
    <t>21312948</t>
  </si>
  <si>
    <t xml:space="preserve">39S ribosomal protein L32, mitochondrial </t>
  </si>
  <si>
    <t>269784741</t>
  </si>
  <si>
    <t xml:space="preserve">39S ribosomal protein L33, mitochondrial </t>
  </si>
  <si>
    <t>16716449</t>
  </si>
  <si>
    <t xml:space="preserve">39S ribosomal protein L34, mitochondrial </t>
  </si>
  <si>
    <t>22128625</t>
  </si>
  <si>
    <t>39S ribosomal protein L37, mitochondrial precursor</t>
  </si>
  <si>
    <t>124430535</t>
  </si>
  <si>
    <t>39S ribosomal protein L38, mitochondrial precursor</t>
  </si>
  <si>
    <t>364023817</t>
  </si>
  <si>
    <t xml:space="preserve">39S ribosomal protein L39, mitochondrial </t>
  </si>
  <si>
    <t>119508437</t>
  </si>
  <si>
    <t xml:space="preserve">39S ribosomal protein L4, mitochondrial </t>
  </si>
  <si>
    <t>255003746</t>
  </si>
  <si>
    <t>39S ribosomal protein L40, mitochondrial precursor</t>
  </si>
  <si>
    <t>113461980</t>
  </si>
  <si>
    <t>39S ribosomal protein L41, mitochondrial precursor</t>
  </si>
  <si>
    <t>13385564</t>
  </si>
  <si>
    <t>39S ribosomal protein L42, mitochondrial precursor</t>
  </si>
  <si>
    <t>17298676</t>
  </si>
  <si>
    <t xml:space="preserve">39S ribosomal protein L43, mitochondrial </t>
  </si>
  <si>
    <t>124487075</t>
  </si>
  <si>
    <t>39S ribosomal protein L44, mitochondrial precursor</t>
  </si>
  <si>
    <t>13385418</t>
  </si>
  <si>
    <t xml:space="preserve">39S ribosomal protein L45, mitochondrial </t>
  </si>
  <si>
    <t>12963643</t>
  </si>
  <si>
    <t xml:space="preserve">39S ribosomal protein L46, mitochondrial </t>
  </si>
  <si>
    <t>29826332</t>
  </si>
  <si>
    <t xml:space="preserve">39S ribosomal protein L47, mitochondrial </t>
  </si>
  <si>
    <t>148368964</t>
  </si>
  <si>
    <t>39S ribosomal protein L48, mitochondrial precursor</t>
  </si>
  <si>
    <t>13385752</t>
  </si>
  <si>
    <t xml:space="preserve">39S ribosomal protein L49, mitochondrial </t>
  </si>
  <si>
    <t>30519921</t>
  </si>
  <si>
    <t xml:space="preserve">39S ribosomal protein L50, mitochondrial </t>
  </si>
  <si>
    <t>13385050</t>
  </si>
  <si>
    <t>39S ribosomal protein L51, mitochondrial precursor</t>
  </si>
  <si>
    <t>21313040</t>
  </si>
  <si>
    <t xml:space="preserve">39S ribosomal protein L53, mitochondrial </t>
  </si>
  <si>
    <t>21313400</t>
  </si>
  <si>
    <t>39S ribosomal protein L55, mitochondrial precursor</t>
  </si>
  <si>
    <t>29789253</t>
  </si>
  <si>
    <t xml:space="preserve">39S ribosomal protein L9, mitochondrial </t>
  </si>
  <si>
    <t>226246598</t>
  </si>
  <si>
    <t xml:space="preserve">28S ribosomal protein S10, mitochondrial isoform 3 </t>
  </si>
  <si>
    <t>226246600</t>
  </si>
  <si>
    <t xml:space="preserve">28S ribosomal protein S10, mitochondrial isoform 2 </t>
  </si>
  <si>
    <t>226246602</t>
  </si>
  <si>
    <t xml:space="preserve">28S ribosomal protein S10, mitochondrial isoform 1 </t>
  </si>
  <si>
    <t>170650663</t>
  </si>
  <si>
    <t xml:space="preserve">28S ribosomal protein S11, mitochondrial </t>
  </si>
  <si>
    <t>6755360</t>
  </si>
  <si>
    <t>28S ribosomal protein S12, mitochondrial precursor</t>
  </si>
  <si>
    <t>13384894</t>
  </si>
  <si>
    <t xml:space="preserve">28S ribosomal protein S14, mitochondrial </t>
  </si>
  <si>
    <t>48526512</t>
  </si>
  <si>
    <t>28S ribosomal protein S15, mitochondrial precursor</t>
  </si>
  <si>
    <t>13384844</t>
  </si>
  <si>
    <t>28S ribosomal protein S16, mitochondrial precursor</t>
  </si>
  <si>
    <t>13384854</t>
  </si>
  <si>
    <t>28S ribosomal protein S17, mitochondrial precursor</t>
  </si>
  <si>
    <t>17505206</t>
  </si>
  <si>
    <t>28S ribosomal protein S18a, mitochondrial precursor</t>
  </si>
  <si>
    <t>23956152</t>
  </si>
  <si>
    <t xml:space="preserve">28S ribosomal protein S18b, mitochondrial </t>
  </si>
  <si>
    <t>260593696</t>
  </si>
  <si>
    <t xml:space="preserve">28S ribosomal protein S2, mitochondrial isoform 1 </t>
  </si>
  <si>
    <t>260593698</t>
  </si>
  <si>
    <t xml:space="preserve">28S ribosomal protein S2, mitochondrial isoform 2 </t>
  </si>
  <si>
    <t>17505220</t>
  </si>
  <si>
    <t xml:space="preserve">28S ribosomal protein S21, mitochondrial </t>
  </si>
  <si>
    <t>13384904</t>
  </si>
  <si>
    <t xml:space="preserve">28S ribosomal protein S22, mitochondrial </t>
  </si>
  <si>
    <t>27228982</t>
  </si>
  <si>
    <t xml:space="preserve">28S ribosomal protein S23, mitochondrial </t>
  </si>
  <si>
    <t>13385578</t>
  </si>
  <si>
    <t>28S ribosomal protein S24, mitochondrial precursor</t>
  </si>
  <si>
    <t>31981257</t>
  </si>
  <si>
    <t xml:space="preserve">28S ribosomal protein S25, mitochondrial </t>
  </si>
  <si>
    <t>46402169</t>
  </si>
  <si>
    <t>28S ribosomal protein S26, mitochondrial precursor</t>
  </si>
  <si>
    <t>50980303</t>
  </si>
  <si>
    <t xml:space="preserve">28S ribosomal protein S27, mitochondrial </t>
  </si>
  <si>
    <t>254587936</t>
  </si>
  <si>
    <t xml:space="preserve">28S ribosomal protein S28, mitochondrial </t>
  </si>
  <si>
    <t>29789128</t>
  </si>
  <si>
    <t xml:space="preserve">28S ribosomal protein S30, mitochondrial </t>
  </si>
  <si>
    <t>10181116</t>
  </si>
  <si>
    <t>28S ribosomal protein S31, mitochondrial precursor</t>
  </si>
  <si>
    <t>33859564</t>
  </si>
  <si>
    <t xml:space="preserve">28S ribosomal protein S33, mitochondrial isoform 1 </t>
  </si>
  <si>
    <t>13385670</t>
  </si>
  <si>
    <t xml:space="preserve">28S ribosomal protein S34, mitochondrial </t>
  </si>
  <si>
    <t>148235701</t>
  </si>
  <si>
    <t xml:space="preserve">28S ribosomal protein S35, mitochondrial </t>
  </si>
  <si>
    <t>13384742</t>
  </si>
  <si>
    <t xml:space="preserve">28S ribosomal protein S36, mitochondrial isoform 1 </t>
  </si>
  <si>
    <t>298286543</t>
  </si>
  <si>
    <t xml:space="preserve">28S ribosomal protein S36, mitochondrial isoform 2 </t>
  </si>
  <si>
    <t>17157985</t>
  </si>
  <si>
    <t xml:space="preserve">28S ribosomal protein S5, mitochondrial </t>
  </si>
  <si>
    <t>23956244</t>
  </si>
  <si>
    <t xml:space="preserve">28S ribosomal protein S6, mitochondrial </t>
  </si>
  <si>
    <t>30794474</t>
  </si>
  <si>
    <t>28S ribosomal protein S7, mitochondrial precursor</t>
  </si>
  <si>
    <t>169790909</t>
  </si>
  <si>
    <t>28S ribosomal protein S9, mitochondrial precursor</t>
  </si>
  <si>
    <t>21312752</t>
  </si>
  <si>
    <t>ribosome-recycling factor, mitochondrial precursor</t>
  </si>
  <si>
    <t>37537520</t>
  </si>
  <si>
    <t xml:space="preserve">mRNA turnover protein 4 homolog </t>
  </si>
  <si>
    <t>6678938</t>
  </si>
  <si>
    <t xml:space="preserve">DNA mismatch repair protein Msh2 </t>
  </si>
  <si>
    <t>6754744</t>
  </si>
  <si>
    <t xml:space="preserve">DNA mismatch repair protein Msh6 </t>
  </si>
  <si>
    <t>6678940</t>
  </si>
  <si>
    <t xml:space="preserve">RNA-binding protein Musashi homolog 1 </t>
  </si>
  <si>
    <t>17157989</t>
  </si>
  <si>
    <t xml:space="preserve">RNA-binding protein Musashi homolog 2 isoform 1 </t>
  </si>
  <si>
    <t>318843692</t>
  </si>
  <si>
    <t xml:space="preserve">RNA-binding protein Musashi homolog 2 isoform 2 </t>
  </si>
  <si>
    <t>70778915</t>
  </si>
  <si>
    <t xml:space="preserve">moesin </t>
  </si>
  <si>
    <t>31981013</t>
  </si>
  <si>
    <t xml:space="preserve">mitochondrial peptide methionine sulfoxide reductase isoform 1 </t>
  </si>
  <si>
    <t>358679363</t>
  </si>
  <si>
    <t xml:space="preserve">mitochondrial peptide methionine sulfoxide reductase isoform 2 </t>
  </si>
  <si>
    <t>358679365</t>
  </si>
  <si>
    <t xml:space="preserve">mitochondrial peptide methionine sulfoxide reductase isoform 3 </t>
  </si>
  <si>
    <t>358679367</t>
  </si>
  <si>
    <t xml:space="preserve">mitochondrial peptide methionine sulfoxide reductase isoform 4 </t>
  </si>
  <si>
    <t>254826769</t>
  </si>
  <si>
    <t>macrophage-stimulating protein receptor precursor</t>
  </si>
  <si>
    <t>254692960</t>
  </si>
  <si>
    <t>protein misato homolog 1</t>
  </si>
  <si>
    <t>7305285</t>
  </si>
  <si>
    <t xml:space="preserve">metallothionein-1 </t>
  </si>
  <si>
    <t>33468863</t>
  </si>
  <si>
    <t xml:space="preserve">metallothionein-2 </t>
  </si>
  <si>
    <t>51491880</t>
  </si>
  <si>
    <t xml:space="preserve">metastasis-associated protein MTA2 </t>
  </si>
  <si>
    <t>45544618</t>
  </si>
  <si>
    <t>S-methyl-5'-thioadenosine phosphorylase</t>
  </si>
  <si>
    <t>9845273</t>
  </si>
  <si>
    <t>mitochondrial carrier homolog 1</t>
  </si>
  <si>
    <t>9790055</t>
  </si>
  <si>
    <t>mitochondrial carrier homolog 2</t>
  </si>
  <si>
    <t>31982233</t>
  </si>
  <si>
    <t>protein LYRIC</t>
  </si>
  <si>
    <t>46518496</t>
  </si>
  <si>
    <t>mTERF domain-containing protein 3, mitochondrial precursor</t>
  </si>
  <si>
    <t>70887769</t>
  </si>
  <si>
    <t xml:space="preserve">metal-response element-binding transcription factor 2 isoform 1 </t>
  </si>
  <si>
    <t>261878543</t>
  </si>
  <si>
    <t xml:space="preserve">C-1-tetrahydrofolate synthase, cytoplasmic </t>
  </si>
  <si>
    <t>283135110</t>
  </si>
  <si>
    <t xml:space="preserve">monofunctional C1-tetrahydrofolate synthase, mitochondrial precursor </t>
  </si>
  <si>
    <t>262050633</t>
  </si>
  <si>
    <t>methenyltetrahydrofolate synthase domain-containing protein isoform 1</t>
  </si>
  <si>
    <t>27370130</t>
  </si>
  <si>
    <t>methenyltetrahydrofolate synthase domain-containing protein isoform 2</t>
  </si>
  <si>
    <t>110625866</t>
  </si>
  <si>
    <t>translation initiation factor IF-2, mitochondrial precursor</t>
  </si>
  <si>
    <t>255958296</t>
  </si>
  <si>
    <t xml:space="preserve">myotubularin isoform 1 </t>
  </si>
  <si>
    <t>255958302</t>
  </si>
  <si>
    <t xml:space="preserve">myotubularin isoform 2 </t>
  </si>
  <si>
    <t>124028523</t>
  </si>
  <si>
    <t xml:space="preserve">myotubularin-related protein 10 </t>
  </si>
  <si>
    <t>27370470</t>
  </si>
  <si>
    <t xml:space="preserve">myotubularin-related protein 12 </t>
  </si>
  <si>
    <t>163937863</t>
  </si>
  <si>
    <t xml:space="preserve">myotubularin-related protein 14 </t>
  </si>
  <si>
    <t>194394153</t>
  </si>
  <si>
    <t xml:space="preserve">myotubularin-related protein 2 </t>
  </si>
  <si>
    <t>21450239</t>
  </si>
  <si>
    <t xml:space="preserve">myotubularin-related protein 6 </t>
  </si>
  <si>
    <t>171460946</t>
  </si>
  <si>
    <t xml:space="preserve">protein MTO1 homolog, mitochondrial precursor </t>
  </si>
  <si>
    <t>227330586</t>
  </si>
  <si>
    <t xml:space="preserve">serine/threonine-protein kinase mTOR </t>
  </si>
  <si>
    <t>6679961</t>
  </si>
  <si>
    <t xml:space="preserve">myotrophin </t>
  </si>
  <si>
    <t>241982740</t>
  </si>
  <si>
    <t xml:space="preserve">metaxin-1 isoform 1 </t>
  </si>
  <si>
    <t>241982742</t>
  </si>
  <si>
    <t xml:space="preserve">metaxin-1 isoform 2 </t>
  </si>
  <si>
    <t>228480241</t>
  </si>
  <si>
    <t xml:space="preserve">metaxin-2 </t>
  </si>
  <si>
    <t>7305293</t>
  </si>
  <si>
    <t>mucin-1 precursor</t>
  </si>
  <si>
    <t>167736365</t>
  </si>
  <si>
    <t>mucin-4 precursor</t>
  </si>
  <si>
    <t>31982171</t>
  </si>
  <si>
    <t>murinoglobulin-1 precursor</t>
  </si>
  <si>
    <t>153945747</t>
  </si>
  <si>
    <t>murinoglobulin-2 precursor</t>
  </si>
  <si>
    <t>244792753</t>
  </si>
  <si>
    <t xml:space="preserve">major urinary protein 1 isoform b precursor </t>
  </si>
  <si>
    <t>244792827</t>
  </si>
  <si>
    <t xml:space="preserve">major urinary protein 1 isoform a precursor </t>
  </si>
  <si>
    <t>317008598</t>
  </si>
  <si>
    <t xml:space="preserve">major urinary protein 12 precursor </t>
  </si>
  <si>
    <t>317008616</t>
  </si>
  <si>
    <t xml:space="preserve">major urinary protein 15 precursor </t>
  </si>
  <si>
    <t>197927289</t>
  </si>
  <si>
    <t xml:space="preserve">major urinary protein 7 precursor </t>
  </si>
  <si>
    <t>148540106</t>
  </si>
  <si>
    <t>methylmalonyl-CoA mutase, mitochondrial precursor</t>
  </si>
  <si>
    <t>21312058</t>
  </si>
  <si>
    <t>multivesicular body subunit 12A</t>
  </si>
  <si>
    <t>256985114</t>
  </si>
  <si>
    <t>diphosphomevalonate decarboxylase</t>
  </si>
  <si>
    <t>12963731</t>
  </si>
  <si>
    <t>mevalonate kinase</t>
  </si>
  <si>
    <t>239052674</t>
  </si>
  <si>
    <t xml:space="preserve">major vault protein </t>
  </si>
  <si>
    <t>148271069</t>
  </si>
  <si>
    <t xml:space="preserve">myeloid-associated differentiation marker </t>
  </si>
  <si>
    <t>31982724</t>
  </si>
  <si>
    <t xml:space="preserve">myb-binding protein 1A </t>
  </si>
  <si>
    <t>84871978</t>
  </si>
  <si>
    <t>C-Myc-binding protein</t>
  </si>
  <si>
    <t>127141012</t>
  </si>
  <si>
    <t xml:space="preserve">probable E3 ubiquitin-protein ligase MYCBP2 </t>
  </si>
  <si>
    <t>168229259</t>
  </si>
  <si>
    <t>MYCBP-associated protein</t>
  </si>
  <si>
    <t>6754772</t>
  </si>
  <si>
    <t>myeloid differentiation primary response protein MyD88</t>
  </si>
  <si>
    <t>244790087</t>
  </si>
  <si>
    <t>myelin expression factor 2 isoform 1</t>
  </si>
  <si>
    <t>244790091</t>
  </si>
  <si>
    <t>myelin expression factor 2 isoform 2</t>
  </si>
  <si>
    <t>244790095</t>
  </si>
  <si>
    <t>myelin expression factor 2 isoform 3</t>
  </si>
  <si>
    <t>11096332</t>
  </si>
  <si>
    <t xml:space="preserve">UPF0160 protein MYG1, mitochondrial precursor </t>
  </si>
  <si>
    <t>82524274</t>
  </si>
  <si>
    <t xml:space="preserve">myosin-1 </t>
  </si>
  <si>
    <t>33598964</t>
  </si>
  <si>
    <t xml:space="preserve">myosin-10 </t>
  </si>
  <si>
    <t>241982716</t>
  </si>
  <si>
    <t xml:space="preserve">myosin-11 isoform 1 </t>
  </si>
  <si>
    <t>241982718</t>
  </si>
  <si>
    <t xml:space="preserve">myosin-11 isoform 2 </t>
  </si>
  <si>
    <t>124486959</t>
  </si>
  <si>
    <t xml:space="preserve">myosin-13 </t>
  </si>
  <si>
    <t>29336026</t>
  </si>
  <si>
    <t xml:space="preserve">myosin-14 isoform 3 </t>
  </si>
  <si>
    <t>408821450</t>
  </si>
  <si>
    <t xml:space="preserve">myosin-14 isoform 1 </t>
  </si>
  <si>
    <t>408821455</t>
  </si>
  <si>
    <t xml:space="preserve">myosin-14 isoform 2 </t>
  </si>
  <si>
    <t>261245016</t>
  </si>
  <si>
    <t xml:space="preserve">myosin-15 </t>
  </si>
  <si>
    <t>205830428</t>
  </si>
  <si>
    <t>myosin heavy chain IIa</t>
  </si>
  <si>
    <t>153792649</t>
  </si>
  <si>
    <t xml:space="preserve">myosin-3 </t>
  </si>
  <si>
    <t>67189167</t>
  </si>
  <si>
    <t xml:space="preserve">myosin-4 </t>
  </si>
  <si>
    <t>255918225</t>
  </si>
  <si>
    <t xml:space="preserve">myosin-6 </t>
  </si>
  <si>
    <t>18859641</t>
  </si>
  <si>
    <t xml:space="preserve">myosin-7 </t>
  </si>
  <si>
    <t>145864471</t>
  </si>
  <si>
    <t xml:space="preserve">myosin-7B </t>
  </si>
  <si>
    <t>71143152</t>
  </si>
  <si>
    <t xml:space="preserve">myosin-8 </t>
  </si>
  <si>
    <t>114326446</t>
  </si>
  <si>
    <t xml:space="preserve">myosin-9 isoform 1 </t>
  </si>
  <si>
    <t>164664497</t>
  </si>
  <si>
    <t xml:space="preserve">myosin light chain 1/3, skeletal muscle isoform isoform 3f </t>
  </si>
  <si>
    <t>29789016</t>
  </si>
  <si>
    <t xml:space="preserve">myosin light chain 1/3, skeletal muscle isoform isoform 1f </t>
  </si>
  <si>
    <t>146229342</t>
  </si>
  <si>
    <t xml:space="preserve">myosin regulatory light chain 10 isoform 1 </t>
  </si>
  <si>
    <t>71037403</t>
  </si>
  <si>
    <t xml:space="preserve">myosin light chain, regulatory B-like </t>
  </si>
  <si>
    <t>21728376</t>
  </si>
  <si>
    <t xml:space="preserve">myosin regulatory light chain 12B </t>
  </si>
  <si>
    <t>33563264</t>
  </si>
  <si>
    <t>myosin light chain 3</t>
  </si>
  <si>
    <t>33620739</t>
  </si>
  <si>
    <t>myosin light polypeptide 6</t>
  </si>
  <si>
    <t>26986555</t>
  </si>
  <si>
    <t>myosin light chain 6B</t>
  </si>
  <si>
    <t>198278553</t>
  </si>
  <si>
    <t xml:space="preserve">myosin regulatory light polypeptide 9 </t>
  </si>
  <si>
    <t>126157499</t>
  </si>
  <si>
    <t>myosin light chain kinase, smooth muscle</t>
  </si>
  <si>
    <t>163644275</t>
  </si>
  <si>
    <t xml:space="preserve">myosin light chain kinase 2, skeletal/cardiac muscle </t>
  </si>
  <si>
    <t>83776559</t>
  </si>
  <si>
    <t>putative myosin light chain kinase 3</t>
  </si>
  <si>
    <t>260447058</t>
  </si>
  <si>
    <t xml:space="preserve">myosin light chain kinase family member 4 </t>
  </si>
  <si>
    <t>130507685</t>
  </si>
  <si>
    <t>unconventional myosin-X</t>
  </si>
  <si>
    <t>157041244</t>
  </si>
  <si>
    <t>unconventional myosin-XV isoform 1</t>
  </si>
  <si>
    <t>157041246</t>
  </si>
  <si>
    <t>unconventional myosin-XV isoform 2a</t>
  </si>
  <si>
    <t>157041248</t>
  </si>
  <si>
    <t>unconventional myosin-XV isoform 3</t>
  </si>
  <si>
    <t>22094119</t>
  </si>
  <si>
    <t>unconventional myosin-XVIIIa</t>
  </si>
  <si>
    <t>254939539</t>
  </si>
  <si>
    <t>unconventional myosin-XIX</t>
  </si>
  <si>
    <t>124487037</t>
  </si>
  <si>
    <t>unconventional myosin-Ia</t>
  </si>
  <si>
    <t>240120042</t>
  </si>
  <si>
    <t>unconventional myosin-Ib isoform 1</t>
  </si>
  <si>
    <t>86990450</t>
  </si>
  <si>
    <t>unconventional myosin-Ib isoform 2</t>
  </si>
  <si>
    <t>124494244;6678986</t>
  </si>
  <si>
    <t>unconventional myosin-Ic isoform b</t>
  </si>
  <si>
    <t>6678986</t>
  </si>
  <si>
    <t>124494242</t>
  </si>
  <si>
    <t>unconventional myosin-Ic isoform a</t>
  </si>
  <si>
    <t>118026911</t>
  </si>
  <si>
    <t>unconventional myosin-Id</t>
  </si>
  <si>
    <t>407261730</t>
  </si>
  <si>
    <t xml:space="preserve">PREDICTED: unconventional myosin-Ie </t>
  </si>
  <si>
    <t>68299824</t>
  </si>
  <si>
    <t>unconventional myosin-Ie</t>
  </si>
  <si>
    <t>255069756</t>
  </si>
  <si>
    <t>unconventional myosin-If</t>
  </si>
  <si>
    <t>266458101</t>
  </si>
  <si>
    <t>unconventional myosin-Ig</t>
  </si>
  <si>
    <t>111120334</t>
  </si>
  <si>
    <t xml:space="preserve">myosin-IIIb </t>
  </si>
  <si>
    <t>115511052</t>
  </si>
  <si>
    <t>unconventional myosin-Va</t>
  </si>
  <si>
    <t>46399202</t>
  </si>
  <si>
    <t>unconventional myosin-Vb</t>
  </si>
  <si>
    <t>124486759</t>
  </si>
  <si>
    <t xml:space="preserve">myosin-Vc </t>
  </si>
  <si>
    <t>261823961</t>
  </si>
  <si>
    <t>unconventional myosin-VI</t>
  </si>
  <si>
    <t>115511010</t>
  </si>
  <si>
    <t>unconventional myosin-VIIa isoform 2</t>
  </si>
  <si>
    <t>367460064</t>
  </si>
  <si>
    <t>unconventional myosin-VIIa isoform 1</t>
  </si>
  <si>
    <t>367460066</t>
  </si>
  <si>
    <t>unconventional myosin-VIIa isoform 3</t>
  </si>
  <si>
    <t>367460068</t>
  </si>
  <si>
    <t>unconventional myosin-VIIa isoform 4</t>
  </si>
  <si>
    <t>124053459</t>
  </si>
  <si>
    <t>unconventional myosin-IXb isoform 3</t>
  </si>
  <si>
    <t>215272382</t>
  </si>
  <si>
    <t>unconventional myosin-IXb isoform 1</t>
  </si>
  <si>
    <t>215272384</t>
  </si>
  <si>
    <t>unconventional myosin-IXb isoform 2</t>
  </si>
  <si>
    <t>153791796</t>
  </si>
  <si>
    <t xml:space="preserve">myoferlin </t>
  </si>
  <si>
    <t>85701616</t>
  </si>
  <si>
    <t xml:space="preserve">myocardial zonula adherens protein precursor </t>
  </si>
  <si>
    <t>30424884</t>
  </si>
  <si>
    <t>mitotic-spindle organizing protein 1</t>
  </si>
  <si>
    <t>21312988</t>
  </si>
  <si>
    <t>mitotic-spindle organizing protein 2</t>
  </si>
  <si>
    <t>67906816</t>
  </si>
  <si>
    <t>Nedd4 binding protein 2</t>
  </si>
  <si>
    <t>158186629</t>
  </si>
  <si>
    <t>NEDD4-binding protein 2-like 2</t>
  </si>
  <si>
    <t>39540506</t>
  </si>
  <si>
    <t xml:space="preserve">N6-DNA methyltransferase A isoform 1 </t>
  </si>
  <si>
    <t>13386022</t>
  </si>
  <si>
    <t>N(6)-adenine-specific DNA methyltransferase 2</t>
  </si>
  <si>
    <t>9845236</t>
  </si>
  <si>
    <t>N-alpha-acetyltransferase 10 isoform 1</t>
  </si>
  <si>
    <t>295789090</t>
  </si>
  <si>
    <t>N-alpha-acetyltransferase 10 isoform 2</t>
  </si>
  <si>
    <t>85701706</t>
  </si>
  <si>
    <t>N-alpha-acetyltransferase 11</t>
  </si>
  <si>
    <t>225543482</t>
  </si>
  <si>
    <t xml:space="preserve">N-alpha-acetyltransferase 15, NatA auxiliary subunit </t>
  </si>
  <si>
    <t>21313242</t>
  </si>
  <si>
    <t xml:space="preserve">N-alpha-acetyltransferase 16, NatA auxiliary subunit </t>
  </si>
  <si>
    <t>13385922</t>
  </si>
  <si>
    <t>N-alpha-acetyltransferase 20 isoform 2</t>
  </si>
  <si>
    <t>213972579</t>
  </si>
  <si>
    <t>N-alpha-acetyltransferase 20 isoform 1</t>
  </si>
  <si>
    <t>55742803</t>
  </si>
  <si>
    <t xml:space="preserve">N-alpha-acetyltransferase 25, NatB auxiliary subunit </t>
  </si>
  <si>
    <t>124487477</t>
  </si>
  <si>
    <t>N-alpha-acetyltransferase 30</t>
  </si>
  <si>
    <t>172072615</t>
  </si>
  <si>
    <t xml:space="preserve">N-alpha-acetyltransferase 35, NatC auxiliary subunit </t>
  </si>
  <si>
    <t>19527156</t>
  </si>
  <si>
    <t xml:space="preserve">N-alpha-acetyltransferase 38, NatC auxiliary subunit </t>
  </si>
  <si>
    <t>254588079</t>
  </si>
  <si>
    <t>N-alpha-acetyltransferase 40</t>
  </si>
  <si>
    <t>21312422</t>
  </si>
  <si>
    <t>N-alpha-acetyltransferase 50</t>
  </si>
  <si>
    <t>255683418</t>
  </si>
  <si>
    <t>N-acylethanolamine-hydrolyzing acid amidase isoform 1 precursor</t>
  </si>
  <si>
    <t>255683420</t>
  </si>
  <si>
    <t>N-acylethanolamine-hydrolyzing acid amidase isoform 2 precursor</t>
  </si>
  <si>
    <t>309264701</t>
  </si>
  <si>
    <t>PREDICTED: N-acetylated alpha-linked acidic dipeptidase-like 2 isoform 2</t>
  </si>
  <si>
    <t>28076937</t>
  </si>
  <si>
    <t>SOSS complex subunit B1</t>
  </si>
  <si>
    <t>163965357</t>
  </si>
  <si>
    <t xml:space="preserve">nascent polypeptide-associated complex subunit alpha isoform a </t>
  </si>
  <si>
    <t>41350312</t>
  </si>
  <si>
    <t xml:space="preserve">nascent polypeptide-associated complex subunit alpha isoform b </t>
  </si>
  <si>
    <t>146134392</t>
  </si>
  <si>
    <t xml:space="preserve">NAD kinase domain-containing protein 1 isoform 1 </t>
  </si>
  <si>
    <t>146134519</t>
  </si>
  <si>
    <t xml:space="preserve">NAD kinase domain-containing protein 1 isoform 2 </t>
  </si>
  <si>
    <t>21313534</t>
  </si>
  <si>
    <t xml:space="preserve">glutamine-dependent NAD(+) synthetase </t>
  </si>
  <si>
    <t>21450341</t>
  </si>
  <si>
    <t xml:space="preserve">NEDD8-activating enzyme E1 regulatory subunit </t>
  </si>
  <si>
    <t>168693635</t>
  </si>
  <si>
    <t>alpha-N-acetylgalactosaminidase precursor</t>
  </si>
  <si>
    <t>255958271</t>
  </si>
  <si>
    <t>N-acetyl-D-glucosamine kinase isoform 2</t>
  </si>
  <si>
    <t>9506739</t>
  </si>
  <si>
    <t>N-acetyl-D-glucosamine kinase isoform 1</t>
  </si>
  <si>
    <t>254910995</t>
  </si>
  <si>
    <t>alpha-N-acetylglucosaminidase precursor</t>
  </si>
  <si>
    <t>187133241</t>
  </si>
  <si>
    <t xml:space="preserve">baculoviral IAP repeat-containing protein 1b </t>
  </si>
  <si>
    <t>257153454</t>
  </si>
  <si>
    <t>nicotinamide phosphoribosyltransferase</t>
  </si>
  <si>
    <t>13385586</t>
  </si>
  <si>
    <t xml:space="preserve">N-acylneuraminate-9-phosphatase </t>
  </si>
  <si>
    <t>16716467</t>
  </si>
  <si>
    <t xml:space="preserve">sialic acid synthase </t>
  </si>
  <si>
    <t>226443026</t>
  </si>
  <si>
    <t xml:space="preserve">nucleosome assembly protein 1-like 1 isoform 1 </t>
  </si>
  <si>
    <t>7657357</t>
  </si>
  <si>
    <t xml:space="preserve">nucleosome assembly protein 1-like 1 isoform 2 </t>
  </si>
  <si>
    <t>6679012</t>
  </si>
  <si>
    <t xml:space="preserve">nucleosome assembly protein 1-like 4 </t>
  </si>
  <si>
    <t>13385392</t>
  </si>
  <si>
    <t>alpha-soluble NSF attachment protein</t>
  </si>
  <si>
    <t>29789104</t>
  </si>
  <si>
    <t>beta-soluble NSF attachment protein</t>
  </si>
  <si>
    <t>110625902</t>
  </si>
  <si>
    <t>gamma-soluble NSF attachment protein</t>
  </si>
  <si>
    <t>6680552</t>
  </si>
  <si>
    <t>napsin-A precursor</t>
  </si>
  <si>
    <t>163954939</t>
  </si>
  <si>
    <t xml:space="preserve">nuclear prelamin A recognition factor </t>
  </si>
  <si>
    <t>254911120</t>
  </si>
  <si>
    <t>cytosolic Fe-S cluster assembly factor NARFL</t>
  </si>
  <si>
    <t>219275596</t>
  </si>
  <si>
    <t xml:space="preserve">asparagine--tRNA ligase, cytoplasmic isoform 2 </t>
  </si>
  <si>
    <t>219276601</t>
  </si>
  <si>
    <t xml:space="preserve">asparagine--tRNA ligase, cytoplasmic isoform 1 </t>
  </si>
  <si>
    <t>125490378</t>
  </si>
  <si>
    <t>nuclear autoantigenic sperm protein isoform 2</t>
  </si>
  <si>
    <t>126090505</t>
  </si>
  <si>
    <t>nuclear autoantigenic sperm protein isoform 1</t>
  </si>
  <si>
    <t>23346561</t>
  </si>
  <si>
    <t>N-acetyltransferase 10</t>
  </si>
  <si>
    <t>6754794</t>
  </si>
  <si>
    <t xml:space="preserve">arylamine N-acetyltransferase 2 </t>
  </si>
  <si>
    <t>13384782</t>
  </si>
  <si>
    <t>N-acetyltransferase 9</t>
  </si>
  <si>
    <t>167466222</t>
  </si>
  <si>
    <t xml:space="preserve">neuron navigator 2 isoform 1 </t>
  </si>
  <si>
    <t>167466226</t>
  </si>
  <si>
    <t xml:space="preserve">neuron navigator 2 isoform 2 </t>
  </si>
  <si>
    <t>255003837</t>
  </si>
  <si>
    <t>neuroblastoma-amplified protein</t>
  </si>
  <si>
    <t>158854037</t>
  </si>
  <si>
    <t xml:space="preserve">neurobeachin </t>
  </si>
  <si>
    <t>153791557</t>
  </si>
  <si>
    <t xml:space="preserve">neurobeachin like 1 </t>
  </si>
  <si>
    <t>254911027</t>
  </si>
  <si>
    <t xml:space="preserve">neurobeachin-like protein 2 </t>
  </si>
  <si>
    <t>31324569</t>
  </si>
  <si>
    <t xml:space="preserve">neurocalcin-delta </t>
  </si>
  <si>
    <t>22165392</t>
  </si>
  <si>
    <t>condensin complex subunit 1</t>
  </si>
  <si>
    <t>161016797</t>
  </si>
  <si>
    <t>condensin-2 complex subunit D3</t>
  </si>
  <si>
    <t>169234780</t>
  </si>
  <si>
    <t>condensin complex subunit 3</t>
  </si>
  <si>
    <t>91208439</t>
  </si>
  <si>
    <t>condensin-2 complex subunit G2</t>
  </si>
  <si>
    <t>295389521</t>
  </si>
  <si>
    <t>condensin complex subunit 2</t>
  </si>
  <si>
    <t>169646203</t>
  </si>
  <si>
    <t>condensin-2 complex subunit H2 isoform a</t>
  </si>
  <si>
    <t>409971409</t>
  </si>
  <si>
    <t>condensin-2 complex subunit H2 isoform d</t>
  </si>
  <si>
    <t>409971411</t>
  </si>
  <si>
    <t>condensin-2 complex subunit H2 isoform c</t>
  </si>
  <si>
    <t>144922627</t>
  </si>
  <si>
    <t xml:space="preserve">nuclear cap-binding protein subunit 1 </t>
  </si>
  <si>
    <t>13386056</t>
  </si>
  <si>
    <t xml:space="preserve">nuclear cap-binding protein subunit 2 </t>
  </si>
  <si>
    <t>172072590</t>
  </si>
  <si>
    <t xml:space="preserve">neurochondrin </t>
  </si>
  <si>
    <t>30520239</t>
  </si>
  <si>
    <t xml:space="preserve">neutral cholesterol ester hydrolase 1 </t>
  </si>
  <si>
    <t>34328187</t>
  </si>
  <si>
    <t xml:space="preserve">cytoplasmic protein NCK1 </t>
  </si>
  <si>
    <t>190610036</t>
  </si>
  <si>
    <t xml:space="preserve">cytoplasmic protein NCK2 </t>
  </si>
  <si>
    <t>28395023</t>
  </si>
  <si>
    <t xml:space="preserve">nck-associated protein 1 </t>
  </si>
  <si>
    <t>23943795</t>
  </si>
  <si>
    <t xml:space="preserve">nck-associated protein 1-like </t>
  </si>
  <si>
    <t>49258190</t>
  </si>
  <si>
    <t xml:space="preserve">NCK-interacting protein with SH3 domain </t>
  </si>
  <si>
    <t>84875537</t>
  </si>
  <si>
    <t xml:space="preserve">nucleolin </t>
  </si>
  <si>
    <t>33469043</t>
  </si>
  <si>
    <t>nicalin precursor</t>
  </si>
  <si>
    <t>118026940</t>
  </si>
  <si>
    <t>nuclear receptor coactivator 2 isoform a</t>
  </si>
  <si>
    <t>118026944</t>
  </si>
  <si>
    <t>nuclear receptor coactivator 2 isoform b</t>
  </si>
  <si>
    <t>118026946</t>
  </si>
  <si>
    <t>nuclear receptor coactivator 3</t>
  </si>
  <si>
    <t>21450271</t>
  </si>
  <si>
    <t>nuclear receptor coactivator 5</t>
  </si>
  <si>
    <t>224809376</t>
  </si>
  <si>
    <t>nicastrin precursor</t>
  </si>
  <si>
    <t>226453475</t>
  </si>
  <si>
    <t xml:space="preserve">NADH dehydrogenase subunit 1musculus castaneus] </t>
  </si>
  <si>
    <t>167716837</t>
  </si>
  <si>
    <t>NADH dehydrogenase subunit 1musculus</t>
  </si>
  <si>
    <t>34538598</t>
  </si>
  <si>
    <t>NADH dehydrogenase subunit 1</t>
  </si>
  <si>
    <t>62184369</t>
  </si>
  <si>
    <t xml:space="preserve">NADH dehydrogenase subunit 1musculus molossinus] </t>
  </si>
  <si>
    <t>167716838</t>
  </si>
  <si>
    <t>NADH dehydrogenase subunit 2musculus</t>
  </si>
  <si>
    <t>226453476</t>
  </si>
  <si>
    <t xml:space="preserve">NADH dehydrogenase subunit 2musculus castaneus] </t>
  </si>
  <si>
    <t>34538599</t>
  </si>
  <si>
    <t>NADH dehydrogenase subunit 2</t>
  </si>
  <si>
    <t>62184370</t>
  </si>
  <si>
    <t xml:space="preserve">NADH dehydrogenase subunit 2musculus molossinus] </t>
  </si>
  <si>
    <t>226453482</t>
  </si>
  <si>
    <t xml:space="preserve">NADH dehydrogenase subunit 3musculus castaneus] </t>
  </si>
  <si>
    <t>34538605</t>
  </si>
  <si>
    <t>NADH dehydrogenase subunit 3</t>
  </si>
  <si>
    <t>167716846</t>
  </si>
  <si>
    <t>NADH dehydrogenase subunit 4musculus</t>
  </si>
  <si>
    <t>226453484</t>
  </si>
  <si>
    <t xml:space="preserve">NADH dehydrogenase subunit 4musculus castaneus] </t>
  </si>
  <si>
    <t>34538607</t>
  </si>
  <si>
    <t>NADH dehydrogenase subunit 4</t>
  </si>
  <si>
    <t>62184378</t>
  </si>
  <si>
    <t xml:space="preserve">NADH dehydrogenase subunit 4musculus molossinus] </t>
  </si>
  <si>
    <t>167716847</t>
  </si>
  <si>
    <t>NADH dehydrogenase subunit 5musculus</t>
  </si>
  <si>
    <t>226453485</t>
  </si>
  <si>
    <t xml:space="preserve">NADH dehydrogenase subunit 5musculus castaneus] </t>
  </si>
  <si>
    <t>34538608</t>
  </si>
  <si>
    <t>NADH dehydrogenase subunit 5</t>
  </si>
  <si>
    <t>62184379</t>
  </si>
  <si>
    <t xml:space="preserve">NADH dehydrogenase subunit 5musculus molossinus] </t>
  </si>
  <si>
    <t>166197652</t>
  </si>
  <si>
    <t>nuclear distribution protein nudE homolog 1 isoform a</t>
  </si>
  <si>
    <t>166197654</t>
  </si>
  <si>
    <t>nuclear distribution protein nudE homolog 1 isoform b</t>
  </si>
  <si>
    <t>238550188</t>
  </si>
  <si>
    <t xml:space="preserve">nuclear distribution protein nudE-like 1 </t>
  </si>
  <si>
    <t>12963595</t>
  </si>
  <si>
    <t xml:space="preserve">melanoma-associated antigen G1 </t>
  </si>
  <si>
    <t>118150658</t>
  </si>
  <si>
    <t>protein NDRG1</t>
  </si>
  <si>
    <t>255918147</t>
  </si>
  <si>
    <t>protein NDRG3 isoform 1</t>
  </si>
  <si>
    <t>7305307</t>
  </si>
  <si>
    <t>protein NDRG3 isoform 2</t>
  </si>
  <si>
    <t>9506911</t>
  </si>
  <si>
    <t>NADH dehydrogenase [ubiquinone] 1 alpha subcomplex subunit 1</t>
  </si>
  <si>
    <t>13195624</t>
  </si>
  <si>
    <t>NADH dehydrogenase [ubiquinone] 1 alpha subcomplex subunit 10, mitochondrial precursor</t>
  </si>
  <si>
    <t>226437665</t>
  </si>
  <si>
    <t>NADH dehydrogenase [ubiquinone] 1 alpha subcomplex subunit 11</t>
  </si>
  <si>
    <t>27228985</t>
  </si>
  <si>
    <t>NADH dehydrogenase [ubiquinone] 1 alpha subcomplex subunit 12</t>
  </si>
  <si>
    <t>12963633</t>
  </si>
  <si>
    <t>NADH dehydrogenase [ubiquinone] 1 alpha subcomplex subunit 13</t>
  </si>
  <si>
    <t>31981600</t>
  </si>
  <si>
    <t>NADH dehydrogenase [ubiquinone] 1 alpha subcomplex subunit 2</t>
  </si>
  <si>
    <t>21539587</t>
  </si>
  <si>
    <t>NADH dehydrogenase [ubiquinone] 1 alpha subcomplex subunit 3</t>
  </si>
  <si>
    <t>33563266</t>
  </si>
  <si>
    <t>NADH dehydrogenase [ubiquinone] 1 alpha subcomplex subunit 4</t>
  </si>
  <si>
    <t>13386100</t>
  </si>
  <si>
    <t>NADH dehydrogenase [ubiquinone] 1 alpha subcomplex subunit 5</t>
  </si>
  <si>
    <t>13385492</t>
  </si>
  <si>
    <t>NADH dehydrogenase [ubiquinone] 1 alpha subcomplex subunit 6</t>
  </si>
  <si>
    <t>12963571</t>
  </si>
  <si>
    <t>NADH dehydrogenase [ubiquinone] 1 alpha subcomplex subunit 7</t>
  </si>
  <si>
    <t>21312012</t>
  </si>
  <si>
    <t>NADH dehydrogenase [ubiquinone] 1 alpha subcomplex subunit 8</t>
  </si>
  <si>
    <t>254692859</t>
  </si>
  <si>
    <t>NADH dehydrogenase [ubiquinone] 1 alpha subcomplex subunit 9, mitochondrial precursor</t>
  </si>
  <si>
    <t>27754007</t>
  </si>
  <si>
    <t xml:space="preserve">acyl carrier protein, mitochondrial precursor </t>
  </si>
  <si>
    <t>188035926</t>
  </si>
  <si>
    <t>mimitin, mitochondrial</t>
  </si>
  <si>
    <t>12963603</t>
  </si>
  <si>
    <t xml:space="preserve">NADH dehydrogenase [ubiquinone] 1 alpha subcomplex assembly factor 3 </t>
  </si>
  <si>
    <t>21624617</t>
  </si>
  <si>
    <t xml:space="preserve">NADH dehydrogenase [ubiquinone] 1 alpha subcomplex assembly factor 4 </t>
  </si>
  <si>
    <t>166295190</t>
  </si>
  <si>
    <t>NADH dehydrogenase [ubiquinone] 1 alpha subcomplex assembly factor 5 precursor</t>
  </si>
  <si>
    <t>158937256</t>
  </si>
  <si>
    <t xml:space="preserve">protein midA homolog, mitochondrial precursor </t>
  </si>
  <si>
    <t>58037109</t>
  </si>
  <si>
    <t>NADH dehydrogenase [ubiquinone] 1 beta subcomplex subunit 10</t>
  </si>
  <si>
    <t>158631246</t>
  </si>
  <si>
    <t xml:space="preserve">NADH dehydrogenase [ubiquinone] 1 beta subcomplex subunit 11, mitochondrial </t>
  </si>
  <si>
    <t>13385054</t>
  </si>
  <si>
    <t>NADH dehydrogenase [ubiquinone] 1 beta subcomplex subunit 3</t>
  </si>
  <si>
    <t>27754144</t>
  </si>
  <si>
    <t>NADH dehydrogenase [ubiquinone] 1 beta subcomplex subunit 5, mitochondrial precursor</t>
  </si>
  <si>
    <t>84781779</t>
  </si>
  <si>
    <t>NADH dehydrogenase [ubiquinone] 1 beta subcomplex subunit 6</t>
  </si>
  <si>
    <t>13385322</t>
  </si>
  <si>
    <t>NADH dehydrogenase [ubiquinone] 1 beta subcomplex subunit 7</t>
  </si>
  <si>
    <t>13385558</t>
  </si>
  <si>
    <t>NADH dehydrogenase [ubiquinone] 1 beta subcomplex subunit 8, mitochondrial precursor</t>
  </si>
  <si>
    <t>29789148</t>
  </si>
  <si>
    <t>NADH dehydrogenase [ubiquinone] 1 beta subcomplex subunit 9</t>
  </si>
  <si>
    <t>18859597</t>
  </si>
  <si>
    <t>NADH dehydrogenase [ubiquinone] 1 subunit C2</t>
  </si>
  <si>
    <t>229892316</t>
  </si>
  <si>
    <t xml:space="preserve">NADH-ubiquinone oxidoreductase 75 kDa subunit, mitochondrial precursor </t>
  </si>
  <si>
    <t>23346461</t>
  </si>
  <si>
    <t>NADH dehydrogenase [ubiquinone] iron-sulfur protein 2, mitochondrial precursor</t>
  </si>
  <si>
    <t>58037117</t>
  </si>
  <si>
    <t>NADH dehydrogenase [ubiquinone] iron-sulfur protein 3, mitochondrial precursor</t>
  </si>
  <si>
    <t>281485615</t>
  </si>
  <si>
    <t xml:space="preserve">NADH dehydrogenase [ubiquinone] iron-sulfur protein 4, mitochondrial </t>
  </si>
  <si>
    <t>56711244</t>
  </si>
  <si>
    <t>NADH dehydrogenase [ubiquinone] iron-sulfur protein 6, mitochondrial precursor</t>
  </si>
  <si>
    <t>21312950</t>
  </si>
  <si>
    <t>NADH dehydrogenase [ubiquinone] iron-sulfur protein 7, mitochondrial precursor</t>
  </si>
  <si>
    <t>46195430</t>
  </si>
  <si>
    <t xml:space="preserve">NADH dehydrogenase [ubiquinone] iron-sulfur protein 8, mitochondrial </t>
  </si>
  <si>
    <t>19526814</t>
  </si>
  <si>
    <t xml:space="preserve">NADH dehydrogenase [ubiquinone] flavoprotein 1, mitochondrial precursor </t>
  </si>
  <si>
    <t>510025446</t>
  </si>
  <si>
    <t>NADH dehydrogenase [ubiquinone] flavoprotein 2, mitochondrial isoform 2</t>
  </si>
  <si>
    <t>110625954</t>
  </si>
  <si>
    <t xml:space="preserve">NADH dehydrogenase [ubiquinone] flavoprotein 2, mitochondrial isoform 1 precursor </t>
  </si>
  <si>
    <t>140969946</t>
  </si>
  <si>
    <t>NADH dehydrogenase [ubiquinone] flavoprotein 3, mitochondrial isoform 2</t>
  </si>
  <si>
    <t>140972309</t>
  </si>
  <si>
    <t>NADH dehydrogenase [ubiquinone] flavoprotein 3, mitochondrial isoform 1</t>
  </si>
  <si>
    <t>21311871</t>
  </si>
  <si>
    <t xml:space="preserve">nebulette </t>
  </si>
  <si>
    <t>27229051</t>
  </si>
  <si>
    <t xml:space="preserve">adaptin ear-binding coat-associated protein 1 </t>
  </si>
  <si>
    <t>13384758</t>
  </si>
  <si>
    <t xml:space="preserve">adaptin ear-binding coat-associated protein 2 </t>
  </si>
  <si>
    <t>171543875</t>
  </si>
  <si>
    <t>protein NEDD1</t>
  </si>
  <si>
    <t>56699423</t>
  </si>
  <si>
    <t>E3 ubiquitin-protein ligase NEDD4</t>
  </si>
  <si>
    <t>167466243</t>
  </si>
  <si>
    <t>E3 ubiquitin-protein ligase NEDD4-like isoform 2</t>
  </si>
  <si>
    <t>167466245</t>
  </si>
  <si>
    <t>E3 ubiquitin-protein ligase NEDD4-like isoform 1</t>
  </si>
  <si>
    <t>6679034</t>
  </si>
  <si>
    <t>NEDD8 precursor</t>
  </si>
  <si>
    <t>22094129</t>
  </si>
  <si>
    <t xml:space="preserve">endonuclease 8-like 1 </t>
  </si>
  <si>
    <t>124107627</t>
  </si>
  <si>
    <t xml:space="preserve">serine/threonine-protein kinase Nek1 </t>
  </si>
  <si>
    <t>11037794</t>
  </si>
  <si>
    <t xml:space="preserve">serine/threonine-protein kinase Nek6 </t>
  </si>
  <si>
    <t>11037792</t>
  </si>
  <si>
    <t xml:space="preserve">serine/threonine-protein kinase Nek7 </t>
  </si>
  <si>
    <t>158631240</t>
  </si>
  <si>
    <t xml:space="preserve">serine/threonine-protein kinase Nek9 </t>
  </si>
  <si>
    <t>33859652</t>
  </si>
  <si>
    <t>negative elongation factor A</t>
  </si>
  <si>
    <t>165377251</t>
  </si>
  <si>
    <t>negative elongation factor B</t>
  </si>
  <si>
    <t>91982765</t>
  </si>
  <si>
    <t>negative elongation factor D</t>
  </si>
  <si>
    <t>114052226</t>
  </si>
  <si>
    <t>negative elongation factor E</t>
  </si>
  <si>
    <t>32130521</t>
  </si>
  <si>
    <t xml:space="preserve">nuclear export mediator factor Nemf </t>
  </si>
  <si>
    <t>13384818</t>
  </si>
  <si>
    <t>neudesin precursor</t>
  </si>
  <si>
    <t>112363082</t>
  </si>
  <si>
    <t>neogenin isoform 1 precursor</t>
  </si>
  <si>
    <t>112363084</t>
  </si>
  <si>
    <t>neogenin isoform 2 precursor</t>
  </si>
  <si>
    <t>50363232</t>
  </si>
  <si>
    <t xml:space="preserve">nestin </t>
  </si>
  <si>
    <t>254939721</t>
  </si>
  <si>
    <t>sialidase-1 precursor</t>
  </si>
  <si>
    <t>240849436</t>
  </si>
  <si>
    <t xml:space="preserve">nexilin </t>
  </si>
  <si>
    <t>34878892</t>
  </si>
  <si>
    <t xml:space="preserve">neurofibromin </t>
  </si>
  <si>
    <t>117606364</t>
  </si>
  <si>
    <t xml:space="preserve">nuclear factor NF-kappa-B p105 subunit </t>
  </si>
  <si>
    <t>293651548</t>
  </si>
  <si>
    <t xml:space="preserve">nuclear factor NF-kappa-B p100 subunit isoform b </t>
  </si>
  <si>
    <t>9506921</t>
  </si>
  <si>
    <t xml:space="preserve">nuclear factor NF-kappa-B p100 subunit isoform a </t>
  </si>
  <si>
    <t>226052096</t>
  </si>
  <si>
    <t xml:space="preserve">NF-kappa-B inhibitor alpha </t>
  </si>
  <si>
    <t>24111253</t>
  </si>
  <si>
    <t xml:space="preserve">NF-kappa-B inhibitor beta </t>
  </si>
  <si>
    <t>161016824</t>
  </si>
  <si>
    <t xml:space="preserve">cysteine desulfurase, mitochondrial </t>
  </si>
  <si>
    <t>282154801</t>
  </si>
  <si>
    <t xml:space="preserve">NFU1 iron-sulfur cluster scaffold homolog, mitochondrial isoform 2 precursor </t>
  </si>
  <si>
    <t>282154803</t>
  </si>
  <si>
    <t xml:space="preserve">NFU1 iron-sulfur cluster scaffold homolog, mitochondrial isoform 1 precursor </t>
  </si>
  <si>
    <t>124301201</t>
  </si>
  <si>
    <t>nuclear transcription factor, X-box binding-like 1</t>
  </si>
  <si>
    <t>161016831</t>
  </si>
  <si>
    <t>nuclear transcription factor Y subunit alpha isoform a</t>
  </si>
  <si>
    <t>6754848</t>
  </si>
  <si>
    <t>nuclear transcription factor Y subunit alpha isoform b</t>
  </si>
  <si>
    <t>31560663</t>
  </si>
  <si>
    <t>nuclear transcription factor Y subunit gamma</t>
  </si>
  <si>
    <t>162417957</t>
  </si>
  <si>
    <t xml:space="preserve">ephexin-1 isoform 1 </t>
  </si>
  <si>
    <t>162417959</t>
  </si>
  <si>
    <t xml:space="preserve">ephexin-1 isoform 2 </t>
  </si>
  <si>
    <t>158517917</t>
  </si>
  <si>
    <t>non-homologous end-joining factor 1</t>
  </si>
  <si>
    <t>29789158</t>
  </si>
  <si>
    <t>NHL repeat-containing protein 2</t>
  </si>
  <si>
    <t>27369692</t>
  </si>
  <si>
    <t xml:space="preserve">NHL repeat-containing protein 3 precursor </t>
  </si>
  <si>
    <t>13386120</t>
  </si>
  <si>
    <t xml:space="preserve">H/ACA ribonucleoprotein complex subunit 2 </t>
  </si>
  <si>
    <t>124486678</t>
  </si>
  <si>
    <t xml:space="preserve">Nance-Horan syndrome protein </t>
  </si>
  <si>
    <t>41056093</t>
  </si>
  <si>
    <t xml:space="preserve">NIF3-like protein 1 </t>
  </si>
  <si>
    <t>224809384</t>
  </si>
  <si>
    <t xml:space="preserve">MKI67 FHA domain-interacting nucleolar phosphoprotein </t>
  </si>
  <si>
    <t>7305315</t>
  </si>
  <si>
    <t xml:space="preserve">ninjurin-1 </t>
  </si>
  <si>
    <t>257153334</t>
  </si>
  <si>
    <t xml:space="preserve">60S ribosome subunit biogenesis protein NIP7 homolog isoform 2 </t>
  </si>
  <si>
    <t>257153336</t>
  </si>
  <si>
    <t xml:space="preserve">60S ribosome subunit biogenesis protein NIP7 homolog isoform 1 </t>
  </si>
  <si>
    <t>49169845</t>
  </si>
  <si>
    <t>nipped-B-like protein isoform A</t>
  </si>
  <si>
    <t>51371928</t>
  </si>
  <si>
    <t>nipped-B-like protein isoform B</t>
  </si>
  <si>
    <t>6679066</t>
  </si>
  <si>
    <t>protein NipSnap homolog 1</t>
  </si>
  <si>
    <t>13385084</t>
  </si>
  <si>
    <t>protein NipSnap homolog 3B</t>
  </si>
  <si>
    <t>114158672</t>
  </si>
  <si>
    <t xml:space="preserve">nischarin </t>
  </si>
  <si>
    <t>336088630</t>
  </si>
  <si>
    <t xml:space="preserve">nitrilase homolog 1 isoform 2 </t>
  </si>
  <si>
    <t>6754856</t>
  </si>
  <si>
    <t xml:space="preserve">nitrilase homolog 1 isoform 1 </t>
  </si>
  <si>
    <t>12963555</t>
  </si>
  <si>
    <t>omega-amidase NIT2</t>
  </si>
  <si>
    <t>257153408</t>
  </si>
  <si>
    <t>NF-kappa-B-activating protein</t>
  </si>
  <si>
    <t>254553396</t>
  </si>
  <si>
    <t xml:space="preserve">NFKB activating protein-like </t>
  </si>
  <si>
    <t>21312616</t>
  </si>
  <si>
    <t xml:space="preserve">NF-kappa-B inhibitor-interacting Ras-like protein 2 </t>
  </si>
  <si>
    <t>62526130</t>
  </si>
  <si>
    <t xml:space="preserve">NK-tumor recognition protein </t>
  </si>
  <si>
    <t>21450629</t>
  </si>
  <si>
    <t xml:space="preserve">homeobox protein Nkx-6.1 </t>
  </si>
  <si>
    <t>238624156</t>
  </si>
  <si>
    <t>notchless protein homolog 1</t>
  </si>
  <si>
    <t>149408132</t>
  </si>
  <si>
    <t xml:space="preserve">serine/threonine-protein kinase NLK </t>
  </si>
  <si>
    <t>28077051</t>
  </si>
  <si>
    <t xml:space="preserve">neurolysin, mitochondrial precursor </t>
  </si>
  <si>
    <t>241666421</t>
  </si>
  <si>
    <t>NLR family, pyrin domain containing 1A</t>
  </si>
  <si>
    <t>22003870</t>
  </si>
  <si>
    <t xml:space="preserve">NACHT, LRR and PYD domains-containing protein 3 </t>
  </si>
  <si>
    <t>7106379</t>
  </si>
  <si>
    <t xml:space="preserve">NACHT, LRR and PYD domains-containing protein 5 isoform a </t>
  </si>
  <si>
    <t>85362740</t>
  </si>
  <si>
    <t xml:space="preserve">NACHT, LRR and PYD domains-containing protein 5 isoform b </t>
  </si>
  <si>
    <t>37700232</t>
  </si>
  <si>
    <t>nucleoside diphosphate kinase A</t>
  </si>
  <si>
    <t>6679078</t>
  </si>
  <si>
    <t>nucleoside diphosphate kinase B</t>
  </si>
  <si>
    <t>255308888</t>
  </si>
  <si>
    <t>nucleoside diphosphate kinase 3</t>
  </si>
  <si>
    <t>9055290</t>
  </si>
  <si>
    <t>nucleoside diphosphate kinase 6</t>
  </si>
  <si>
    <t>167000069</t>
  </si>
  <si>
    <t>thioredoxin domain-containing protein 3 isoform 1</t>
  </si>
  <si>
    <t>268836142</t>
  </si>
  <si>
    <t>thioredoxin domain-containing protein 3 isoform 2</t>
  </si>
  <si>
    <t>33469125</t>
  </si>
  <si>
    <t xml:space="preserve">N-myc-interactor </t>
  </si>
  <si>
    <t>57527870</t>
  </si>
  <si>
    <t>nicotinamide mononucleotide adenylyltransferase 1</t>
  </si>
  <si>
    <t>21362329</t>
  </si>
  <si>
    <t>nicotinamide mononucleotide adenylyltransferase 3</t>
  </si>
  <si>
    <t>24431937</t>
  </si>
  <si>
    <t xml:space="preserve">nmrA-like family domain-containing protein 1 </t>
  </si>
  <si>
    <t>21703978</t>
  </si>
  <si>
    <t>nicotinamide riboside kinase 1</t>
  </si>
  <si>
    <t>6679082</t>
  </si>
  <si>
    <t xml:space="preserve">glycylpeptide N-tetradecanoyltransferase 1 </t>
  </si>
  <si>
    <t>6679084</t>
  </si>
  <si>
    <t xml:space="preserve">glycylpeptide N-tetradecanoyltransferase 2 </t>
  </si>
  <si>
    <t>9790049</t>
  </si>
  <si>
    <t>nitric oxide-associated protein 1</t>
  </si>
  <si>
    <t>30794454</t>
  </si>
  <si>
    <t xml:space="preserve">RNA-binding protein NOB1 </t>
  </si>
  <si>
    <t>124301227</t>
  </si>
  <si>
    <t xml:space="preserve">nucleolar complex protein 2 homolog </t>
  </si>
  <si>
    <t>83977454</t>
  </si>
  <si>
    <t xml:space="preserve">nucleotide-binding oligomerization domain-containing protein 2 </t>
  </si>
  <si>
    <t>227430356</t>
  </si>
  <si>
    <t xml:space="preserve">polynucleotide 5'-hydroxyl-kinase NOL9 isoform 2 </t>
  </si>
  <si>
    <t>227430358</t>
  </si>
  <si>
    <t xml:space="preserve">polynucleotide 5'-hydroxyl-kinase NOL9 isoform 1 </t>
  </si>
  <si>
    <t>86198327</t>
  </si>
  <si>
    <t xml:space="preserve">nucleolar and coiled-body phosphoprotein 1 isoform B </t>
  </si>
  <si>
    <t>86198329</t>
  </si>
  <si>
    <t xml:space="preserve">nucleolar and coiled-body phosphoprotein 1 isoform C </t>
  </si>
  <si>
    <t>86198331</t>
  </si>
  <si>
    <t xml:space="preserve">nucleolar and coiled-body phosphoprotein 1 isoform A </t>
  </si>
  <si>
    <t>86198333</t>
  </si>
  <si>
    <t xml:space="preserve">nucleolar and coiled-body phosphoprotein 1 isoform D </t>
  </si>
  <si>
    <t>134288861</t>
  </si>
  <si>
    <t xml:space="preserve">nucleolar MIF4G domain-containing protein 1 </t>
  </si>
  <si>
    <t>227908803</t>
  </si>
  <si>
    <t>nodal modulator 1 precursor</t>
  </si>
  <si>
    <t>357394934;255958247</t>
  </si>
  <si>
    <t>non-POU domain-containing octamer-binding protein</t>
  </si>
  <si>
    <t>255958247</t>
  </si>
  <si>
    <t>13384790</t>
  </si>
  <si>
    <t xml:space="preserve">H/ACA ribonucleoprotein complex subunit 3 </t>
  </si>
  <si>
    <t>30519925</t>
  </si>
  <si>
    <t xml:space="preserve">nucleolar protein 16 </t>
  </si>
  <si>
    <t>158966689</t>
  </si>
  <si>
    <t xml:space="preserve">putative ribosomal RNA methyltransferase NOP2 </t>
  </si>
  <si>
    <t>126090932</t>
  </si>
  <si>
    <t xml:space="preserve">nucleolar protein 56 </t>
  </si>
  <si>
    <t>120407050</t>
  </si>
  <si>
    <t xml:space="preserve">nucleolar protein 58 </t>
  </si>
  <si>
    <t>169646352</t>
  </si>
  <si>
    <t xml:space="preserve">nucleolar protein 9 </t>
  </si>
  <si>
    <t>110625798</t>
  </si>
  <si>
    <t xml:space="preserve">carboxyl-terminal PDZ ligand of neuronal nitric oxide synthase protein isoform 2 </t>
  </si>
  <si>
    <t>158508485</t>
  </si>
  <si>
    <t xml:space="preserve">carboxyl-terminal PDZ ligand of neuronal nitric oxide synthase protein isoform 1 </t>
  </si>
  <si>
    <t>254826728</t>
  </si>
  <si>
    <t>nitric oxide synthase-interacting protein isoform 2</t>
  </si>
  <si>
    <t>13384956</t>
  </si>
  <si>
    <t>nitric oxide synthase-interacting protein isoform 1</t>
  </si>
  <si>
    <t>134288853</t>
  </si>
  <si>
    <t xml:space="preserve">neurogenic locus notch homolog protein 2 precursor </t>
  </si>
  <si>
    <t>6679096</t>
  </si>
  <si>
    <t xml:space="preserve">neurogenic locus notch homolog protein 3 precursor </t>
  </si>
  <si>
    <t>24233564</t>
  </si>
  <si>
    <t xml:space="preserve">neuronal PAS domain-containing protein 4 </t>
  </si>
  <si>
    <t>89242146</t>
  </si>
  <si>
    <t>Niemann-Pick C1 protein precursor</t>
  </si>
  <si>
    <t>12963667</t>
  </si>
  <si>
    <t xml:space="preserve">epididymal secretory protein E1 precursor </t>
  </si>
  <si>
    <t>47523981</t>
  </si>
  <si>
    <t xml:space="preserve">probable aminopeptidase NPEPL1 </t>
  </si>
  <si>
    <t>68226731</t>
  </si>
  <si>
    <t>puromycin-sensitive aminopeptidase</t>
  </si>
  <si>
    <t>303324586</t>
  </si>
  <si>
    <t>nuclear protein localization protein 4 homolog isoform A</t>
  </si>
  <si>
    <t>41054974</t>
  </si>
  <si>
    <t>nuclear protein localization protein 4 homolog isoform B</t>
  </si>
  <si>
    <t>356582423</t>
  </si>
  <si>
    <t xml:space="preserve">nucleophosmin isoform 2 </t>
  </si>
  <si>
    <t>356582426</t>
  </si>
  <si>
    <t xml:space="preserve">nucleophosmin isoform 3 </t>
  </si>
  <si>
    <t>6679108</t>
  </si>
  <si>
    <t xml:space="preserve">nucleophosmin isoform 1 </t>
  </si>
  <si>
    <t>6679110</t>
  </si>
  <si>
    <t xml:space="preserve">nucleoplasmin-3 </t>
  </si>
  <si>
    <t>71067128</t>
  </si>
  <si>
    <t>nephronectin isoform b precursor</t>
  </si>
  <si>
    <t>73088940</t>
  </si>
  <si>
    <t>nephronectin isoform a precursor</t>
  </si>
  <si>
    <t>38194222</t>
  </si>
  <si>
    <t xml:space="preserve">nitrogen permease regulator 3-like protein </t>
  </si>
  <si>
    <t>153945724</t>
  </si>
  <si>
    <t>neuroplastin precursor</t>
  </si>
  <si>
    <t>94400773</t>
  </si>
  <si>
    <t>NAD(P)H dehydrogenase [quinone] 1</t>
  </si>
  <si>
    <t>253795451</t>
  </si>
  <si>
    <t xml:space="preserve">ribosyldihydronicotinamide dehydrogenase [quinone] isoform 2 </t>
  </si>
  <si>
    <t>253795453</t>
  </si>
  <si>
    <t xml:space="preserve">ribosyldihydronicotinamide dehydrogenase [quinone] isoform 1 </t>
  </si>
  <si>
    <t>70980537</t>
  </si>
  <si>
    <t>nuclear receptor 2C2-associated protein isoform 1</t>
  </si>
  <si>
    <t>121247453</t>
  </si>
  <si>
    <t>glucocorticoid receptor</t>
  </si>
  <si>
    <t>111154109</t>
  </si>
  <si>
    <t xml:space="preserve">GTPase NRas precursor </t>
  </si>
  <si>
    <t>22219434</t>
  </si>
  <si>
    <t xml:space="preserve">nuclear receptor-binding protein </t>
  </si>
  <si>
    <t>21450055</t>
  </si>
  <si>
    <t>nuclear receptor-binding protein 2</t>
  </si>
  <si>
    <t>31559918</t>
  </si>
  <si>
    <t>nardilysin precursor</t>
  </si>
  <si>
    <t>6679132</t>
  </si>
  <si>
    <t xml:space="preserve">neural retina-specific leucine zipper protein </t>
  </si>
  <si>
    <t>19527352</t>
  </si>
  <si>
    <t xml:space="preserve">nurim </t>
  </si>
  <si>
    <t>244792700</t>
  </si>
  <si>
    <t>neuropilin-1 precursor</t>
  </si>
  <si>
    <t>31982437</t>
  </si>
  <si>
    <t xml:space="preserve">sterol-4-alpha-carboxylate 3-dehydrogenase, decarboxylating </t>
  </si>
  <si>
    <t>31543349</t>
  </si>
  <si>
    <t>vesicle-fusing ATPase</t>
  </si>
  <si>
    <t>38198665</t>
  </si>
  <si>
    <t xml:space="preserve">NSFL1 cofactor p47 </t>
  </si>
  <si>
    <t>257196205</t>
  </si>
  <si>
    <t>E3 SUMO-protein ligase NSE2 isoform 1</t>
  </si>
  <si>
    <t>257196207</t>
  </si>
  <si>
    <t>E3 SUMO-protein ligase NSE2 isoform 2</t>
  </si>
  <si>
    <t>242246981</t>
  </si>
  <si>
    <t xml:space="preserve">non-SMC element 4 homolog A </t>
  </si>
  <si>
    <t>295054316</t>
  </si>
  <si>
    <t>tRNA (cytosine(34)-C(5))-methyltransferase</t>
  </si>
  <si>
    <t>154146245</t>
  </si>
  <si>
    <t xml:space="preserve">putative methyltransferase NSUN5 </t>
  </si>
  <si>
    <t>260099658</t>
  </si>
  <si>
    <t xml:space="preserve">putative methyltransferase NSUN6 isoform a </t>
  </si>
  <si>
    <t>260099662</t>
  </si>
  <si>
    <t xml:space="preserve">putative methyltransferase NSUN6 isoform b </t>
  </si>
  <si>
    <t>260099664</t>
  </si>
  <si>
    <t xml:space="preserve">putative methyltransferase NSUN6 isoform c </t>
  </si>
  <si>
    <t>7657031</t>
  </si>
  <si>
    <t xml:space="preserve">5'(3')-deoxyribonucleotidase, cytosolic type </t>
  </si>
  <si>
    <t>256665234</t>
  </si>
  <si>
    <t xml:space="preserve">cytosolic purine 5'-nucleotidase isoform 1 </t>
  </si>
  <si>
    <t>256665236</t>
  </si>
  <si>
    <t xml:space="preserve">cytosolic purine 5'-nucleotidase isoform 2 </t>
  </si>
  <si>
    <t>256665238</t>
  </si>
  <si>
    <t xml:space="preserve">cytosolic purine 5'-nucleotidase isoform 3 </t>
  </si>
  <si>
    <t>172072627</t>
  </si>
  <si>
    <t xml:space="preserve">cytosolic 5'-nucleotidase 3 isoform 1 </t>
  </si>
  <si>
    <t>356991161</t>
  </si>
  <si>
    <t xml:space="preserve">cytosolic 5'-nucleotidase 3 isoform 2 </t>
  </si>
  <si>
    <t>156627551</t>
  </si>
  <si>
    <t>cytosolic 5'-nucleotidase III-like protein isoform 2</t>
  </si>
  <si>
    <t>156627553</t>
  </si>
  <si>
    <t>cytosolic 5'-nucleotidase III-like protein isoform 1</t>
  </si>
  <si>
    <t>110626010</t>
  </si>
  <si>
    <t>5'-nucleotidase domain-containing protein 1</t>
  </si>
  <si>
    <t>110625755</t>
  </si>
  <si>
    <t>5'-nucleotidase domain containing 2</t>
  </si>
  <si>
    <t>111494223</t>
  </si>
  <si>
    <t>5'-nucleotidase domain-containing protein 3</t>
  </si>
  <si>
    <t>6754902</t>
  </si>
  <si>
    <t>protein N-terminal asparagine amidohydrolase</t>
  </si>
  <si>
    <t>24528555</t>
  </si>
  <si>
    <t>N-terminal Xaa-Pro-Lys N-methyltransferase 1</t>
  </si>
  <si>
    <t>13385098</t>
  </si>
  <si>
    <t xml:space="preserve">cancer-related nucleoside-triphosphatase homolog </t>
  </si>
  <si>
    <t>119360354</t>
  </si>
  <si>
    <t>NEDD8 ultimate buster 1</t>
  </si>
  <si>
    <t>6754906</t>
  </si>
  <si>
    <t>cytosolic Fe-S cluster assembly factor NUBP1</t>
  </si>
  <si>
    <t>6754908</t>
  </si>
  <si>
    <t>cytosolic Fe-S cluster assembly factor NUBP2</t>
  </si>
  <si>
    <t>167234411</t>
  </si>
  <si>
    <t>iron-sulfur protein NUBPL precursor</t>
  </si>
  <si>
    <t>254750698</t>
  </si>
  <si>
    <t>nucleobindin-1 isoform 1 precursor</t>
  </si>
  <si>
    <t>6679158</t>
  </si>
  <si>
    <t>nucleobindin-1 isoform 2 precursor</t>
  </si>
  <si>
    <t>194440700</t>
  </si>
  <si>
    <t>nucleobindin-2 precursor</t>
  </si>
  <si>
    <t>224809559</t>
  </si>
  <si>
    <t>nuclear ubiquitous casein and cyclin-dependent kinase substrate 1 isoform 1</t>
  </si>
  <si>
    <t>224809563</t>
  </si>
  <si>
    <t>nuclear ubiquitous casein and cyclin-dependent kinase substrate 1 isoform 2</t>
  </si>
  <si>
    <t>6754910</t>
  </si>
  <si>
    <t>nuclear migration protein nudC</t>
  </si>
  <si>
    <t>165905633</t>
  </si>
  <si>
    <t>nudC domain-containing protein 1 isoform 1</t>
  </si>
  <si>
    <t>165905635</t>
  </si>
  <si>
    <t>nudC domain-containing protein 1 isoform 2</t>
  </si>
  <si>
    <t>133922575</t>
  </si>
  <si>
    <t>nudC domain-containing protein 2</t>
  </si>
  <si>
    <t>30424587</t>
  </si>
  <si>
    <t>nudC domain-containing protein 3</t>
  </si>
  <si>
    <t>6678950</t>
  </si>
  <si>
    <t xml:space="preserve">7,8-dihydro-8-oxoguanine triphosphatase precursor </t>
  </si>
  <si>
    <t>72384357</t>
  </si>
  <si>
    <t>diphosphoinositol polyphosphate phosphohydrolase 3-alpha</t>
  </si>
  <si>
    <t>21312664</t>
  </si>
  <si>
    <t>peroxisomal NADH pyrophosphatase NUDT12</t>
  </si>
  <si>
    <t>23956126</t>
  </si>
  <si>
    <t>uridine diphosphate glucose pyrophosphatase</t>
  </si>
  <si>
    <t>125656157</t>
  </si>
  <si>
    <t xml:space="preserve">U8 snoRNA-decapping enzyme </t>
  </si>
  <si>
    <t>13385314</t>
  </si>
  <si>
    <t>protein syndesmos</t>
  </si>
  <si>
    <t>86198335</t>
  </si>
  <si>
    <t>bis(5'-nucleosyl)-tetraphosphatase [asymmetrical]</t>
  </si>
  <si>
    <t>13386106</t>
  </si>
  <si>
    <t xml:space="preserve">cleavage and polyadenylation specificity factor subunit 5 </t>
  </si>
  <si>
    <t>9789933</t>
  </si>
  <si>
    <t>diphosphoinositol polyphosphate phosphohydrolase 1</t>
  </si>
  <si>
    <t>169808397</t>
  </si>
  <si>
    <t>diphosphoinositol polyphosphate phosphohydrolase 2</t>
  </si>
  <si>
    <t>8393853</t>
  </si>
  <si>
    <t>ADP-sugar pyrophosphatase</t>
  </si>
  <si>
    <t>13384950</t>
  </si>
  <si>
    <t>nucleoside diphosphate-linked moiety X motif 8, mitochondrial precursor</t>
  </si>
  <si>
    <t>27753998</t>
  </si>
  <si>
    <t xml:space="preserve">ADP-ribose pyrophosphatase, mitochondrial </t>
  </si>
  <si>
    <t>110625714</t>
  </si>
  <si>
    <t xml:space="preserve">kinetochore protein Nuf2 </t>
  </si>
  <si>
    <t>66730553</t>
  </si>
  <si>
    <t xml:space="preserve">nuclear fragile X mental retardation-interacting protein 2 </t>
  </si>
  <si>
    <t>254675300</t>
  </si>
  <si>
    <t xml:space="preserve">nuclear mitotic apparatus protein 1 </t>
  </si>
  <si>
    <t>209862959</t>
  </si>
  <si>
    <t xml:space="preserve">protein numb homolog isoform 1 </t>
  </si>
  <si>
    <t>440546408</t>
  </si>
  <si>
    <t xml:space="preserve">protein numb homolog isoform 3 </t>
  </si>
  <si>
    <t>440546411</t>
  </si>
  <si>
    <t xml:space="preserve">protein numb homolog isoform 4 </t>
  </si>
  <si>
    <t>6754912</t>
  </si>
  <si>
    <t xml:space="preserve">protein numb homolog isoform 2 </t>
  </si>
  <si>
    <t>29789351</t>
  </si>
  <si>
    <t xml:space="preserve">nuclear pore complex protein Nup107 </t>
  </si>
  <si>
    <t>283806543</t>
  </si>
  <si>
    <t xml:space="preserve">nuclear pore complex protein Nup133 </t>
  </si>
  <si>
    <t>165932389</t>
  </si>
  <si>
    <t xml:space="preserve">nuclear pore complex protein Nup155 </t>
  </si>
  <si>
    <t>10946932</t>
  </si>
  <si>
    <t xml:space="preserve">nuclear pore complex protein Nup160 </t>
  </si>
  <si>
    <t>38678526</t>
  </si>
  <si>
    <t xml:space="preserve">nucleoporin NUP188 homolog </t>
  </si>
  <si>
    <t>226437676</t>
  </si>
  <si>
    <t>nucleoporin 205</t>
  </si>
  <si>
    <t>172073152</t>
  </si>
  <si>
    <t>nuclear pore membrane glycoprotein 210 precursor</t>
  </si>
  <si>
    <t>124378033</t>
  </si>
  <si>
    <t xml:space="preserve">nuclear pore complex protein Nup214 </t>
  </si>
  <si>
    <t>298231198</t>
  </si>
  <si>
    <t>nucleoporin NUP53 isoform 2</t>
  </si>
  <si>
    <t>58037163</t>
  </si>
  <si>
    <t>nucleoporin NUP53 isoform 1</t>
  </si>
  <si>
    <t>210032861</t>
  </si>
  <si>
    <t>nucleoporin Nup37</t>
  </si>
  <si>
    <t>166295220</t>
  </si>
  <si>
    <t>nucleoporin Nup43</t>
  </si>
  <si>
    <t>38016154</t>
  </si>
  <si>
    <t xml:space="preserve">nuclear pore complex protein Nup50 </t>
  </si>
  <si>
    <t>39930543</t>
  </si>
  <si>
    <t xml:space="preserve">nuclear pore complex protein Nup54 </t>
  </si>
  <si>
    <t>108773813</t>
  </si>
  <si>
    <t xml:space="preserve">nuclear pore complex protein Nup85 </t>
  </si>
  <si>
    <t>27369533</t>
  </si>
  <si>
    <t xml:space="preserve">nuclear pore complex protein Nup93 </t>
  </si>
  <si>
    <t>13384840</t>
  </si>
  <si>
    <t xml:space="preserve">nogo-B receptor precursor </t>
  </si>
  <si>
    <t>111118996</t>
  </si>
  <si>
    <t xml:space="preserve">nucleolar and spindle-associated protein 1 isoform b </t>
  </si>
  <si>
    <t>19527068</t>
  </si>
  <si>
    <t xml:space="preserve">nucleolar and spindle-associated protein 1 isoform a </t>
  </si>
  <si>
    <t>33468981</t>
  </si>
  <si>
    <t xml:space="preserve">nuclear valosin-containing protein-like </t>
  </si>
  <si>
    <t>452401033</t>
  </si>
  <si>
    <t xml:space="preserve">nuclear RNA export factor 1 isoform 2 </t>
  </si>
  <si>
    <t>31980798</t>
  </si>
  <si>
    <t xml:space="preserve">nuclear RNA export factor 1 isoform 1 </t>
  </si>
  <si>
    <t>6679160</t>
  </si>
  <si>
    <t xml:space="preserve">nucleoredoxin </t>
  </si>
  <si>
    <t>158749549</t>
  </si>
  <si>
    <t>NTF2-related export protein 1</t>
  </si>
  <si>
    <t>238637332;238637330</t>
  </si>
  <si>
    <t>NTF2-related export protein 2</t>
  </si>
  <si>
    <t>256220954</t>
  </si>
  <si>
    <t>protein NYNRIN</t>
  </si>
  <si>
    <t>110625732</t>
  </si>
  <si>
    <t xml:space="preserve">O-acetyl-ADP-ribose deacetylase 1 </t>
  </si>
  <si>
    <t>281332108</t>
  </si>
  <si>
    <t xml:space="preserve">2'-5'-oligoadenylate synthase 1A </t>
  </si>
  <si>
    <t>31560524</t>
  </si>
  <si>
    <t>2'-5' oligoadenylate synthetase 1G</t>
  </si>
  <si>
    <t>28827826</t>
  </si>
  <si>
    <t>CST complex subunit STN1</t>
  </si>
  <si>
    <t>170763522</t>
  </si>
  <si>
    <t>obscurin-like 1</t>
  </si>
  <si>
    <t>12963675</t>
  </si>
  <si>
    <t>OCIA domain-containing protein 1 isoform 1</t>
  </si>
  <si>
    <t>229577356</t>
  </si>
  <si>
    <t>OCIA domain-containing protein 1 isoform 2</t>
  </si>
  <si>
    <t>229577358</t>
  </si>
  <si>
    <t>OCIA domain-containing protein 1 isoform 3</t>
  </si>
  <si>
    <t>38348576</t>
  </si>
  <si>
    <t xml:space="preserve">outer dense fiber protein 3-like protein 1 </t>
  </si>
  <si>
    <t>225007605</t>
  </si>
  <si>
    <t xml:space="preserve">oral-facial-digital syndrome 1 protein homolog </t>
  </si>
  <si>
    <t>85861164;356582489</t>
  </si>
  <si>
    <t>2-oxoglutarate dehydrogenase, mitochondrial isoform 3 precursor</t>
  </si>
  <si>
    <t>85861164</t>
  </si>
  <si>
    <t xml:space="preserve">2-oxoglutarate dehydrogenase, mitochondrial isoform 3 </t>
  </si>
  <si>
    <t>356582477</t>
  </si>
  <si>
    <t xml:space="preserve">2-oxoglutarate dehydrogenase, mitochondrial isoform 1 </t>
  </si>
  <si>
    <t>356582479</t>
  </si>
  <si>
    <t xml:space="preserve">2-oxoglutarate dehydrogenase, mitochondrial isoform 2 </t>
  </si>
  <si>
    <t>356582492</t>
  </si>
  <si>
    <t xml:space="preserve">2-oxoglutarate dehydrogenase, mitochondrial isoform 4 </t>
  </si>
  <si>
    <t>124487483</t>
  </si>
  <si>
    <t xml:space="preserve">2-oxoglutarate dehydrogenase-like, mitochondrial </t>
  </si>
  <si>
    <t>147901538</t>
  </si>
  <si>
    <t xml:space="preserve">2-oxoglutarate and iron-dependent oxygenase domain-containing protein 1 isoform 1 </t>
  </si>
  <si>
    <t>148224284</t>
  </si>
  <si>
    <t xml:space="preserve">2-oxoglutarate and iron-dependent oxygenase domain-containing protein 1 isoform 2 </t>
  </si>
  <si>
    <t>258679484</t>
  </si>
  <si>
    <t>opioid growth factor receptor</t>
  </si>
  <si>
    <t>46909607</t>
  </si>
  <si>
    <t xml:space="preserve">UDP-N-acetylglucosamine--peptide N-acetylglucosaminyltransferase 110 kDa subunit </t>
  </si>
  <si>
    <t>22164770</t>
  </si>
  <si>
    <t xml:space="preserve">protein FAM3D precursor </t>
  </si>
  <si>
    <t>21313144</t>
  </si>
  <si>
    <t xml:space="preserve">obg-like ATPase 1 isoform a </t>
  </si>
  <si>
    <t>76677915</t>
  </si>
  <si>
    <t xml:space="preserve">obg-like ATPase 1 isoform b </t>
  </si>
  <si>
    <t>121583683</t>
  </si>
  <si>
    <t xml:space="preserve">olfactory receptor 1126 </t>
  </si>
  <si>
    <t>22129387</t>
  </si>
  <si>
    <t xml:space="preserve">olfactory receptor 516 </t>
  </si>
  <si>
    <t>22129679</t>
  </si>
  <si>
    <t xml:space="preserve">olfactory receptor 518 </t>
  </si>
  <si>
    <t>121247462</t>
  </si>
  <si>
    <t xml:space="preserve">olfactory receptor 554 </t>
  </si>
  <si>
    <t>22128813</t>
  </si>
  <si>
    <t xml:space="preserve">olfactory receptor 643 </t>
  </si>
  <si>
    <t>120407031</t>
  </si>
  <si>
    <t xml:space="preserve">olfactory receptor 67 </t>
  </si>
  <si>
    <t>33239332</t>
  </si>
  <si>
    <t xml:space="preserve">olfactory receptor 810 </t>
  </si>
  <si>
    <t>33239334</t>
  </si>
  <si>
    <t xml:space="preserve">olfactory receptor 816 </t>
  </si>
  <si>
    <t>33239336</t>
  </si>
  <si>
    <t xml:space="preserve">olfactory receptor 822 </t>
  </si>
  <si>
    <t>22380661</t>
  </si>
  <si>
    <t xml:space="preserve">olfactory receptor 870 </t>
  </si>
  <si>
    <t>257196219</t>
  </si>
  <si>
    <t xml:space="preserve">olfactory receptor 871 </t>
  </si>
  <si>
    <t>289629197</t>
  </si>
  <si>
    <t xml:space="preserve">olfactory receptor 923 </t>
  </si>
  <si>
    <t>19526960</t>
  </si>
  <si>
    <t>dynamin-like 120 kDa protein, mitochondrial isoform 2 precursor</t>
  </si>
  <si>
    <t>312836758</t>
  </si>
  <si>
    <t>dynamin-like 120 kDa protein, mitochondrial isoform 1 precursor</t>
  </si>
  <si>
    <t>110625722</t>
  </si>
  <si>
    <t xml:space="preserve">optic atrophy 3 protein homolog </t>
  </si>
  <si>
    <t>32469491</t>
  </si>
  <si>
    <t xml:space="preserve">optineurin </t>
  </si>
  <si>
    <t>21313282</t>
  </si>
  <si>
    <t xml:space="preserve">ORM1-like protein 2 </t>
  </si>
  <si>
    <t>13385128</t>
  </si>
  <si>
    <t xml:space="preserve">ORM1-like protein 3 </t>
  </si>
  <si>
    <t>283837907</t>
  </si>
  <si>
    <t xml:space="preserve">protein OS-9 isoform 2 precursor </t>
  </si>
  <si>
    <t>283837911</t>
  </si>
  <si>
    <t xml:space="preserve">protein OS-9 isoform 1 precursor </t>
  </si>
  <si>
    <t>133504509</t>
  </si>
  <si>
    <t xml:space="preserve">oxysterol-binding protein 1 </t>
  </si>
  <si>
    <t>61744458</t>
  </si>
  <si>
    <t xml:space="preserve">oxysterol-binding protein 2 </t>
  </si>
  <si>
    <t>22507367</t>
  </si>
  <si>
    <t>oxysterol-binding protein-related protein 10</t>
  </si>
  <si>
    <t>257196261</t>
  </si>
  <si>
    <t>oxysterol-binding protein-related protein 11</t>
  </si>
  <si>
    <t>110625879</t>
  </si>
  <si>
    <t>oxysterol-binding protein-related protein 2</t>
  </si>
  <si>
    <t>254692962</t>
  </si>
  <si>
    <t>oxysterol-binding protein-related protein 3 isoform 1</t>
  </si>
  <si>
    <t>254692964</t>
  </si>
  <si>
    <t>oxysterol-binding protein-related protein 3 isoform 2</t>
  </si>
  <si>
    <t>51243034</t>
  </si>
  <si>
    <t>oxysterol-binding protein-like protein 8 isoform a</t>
  </si>
  <si>
    <t>51243036</t>
  </si>
  <si>
    <t>oxysterol-binding protein-like protein 8 isoform b</t>
  </si>
  <si>
    <t>198278439</t>
  </si>
  <si>
    <t>oxysterol-binding protein-related protein 9 isoform b</t>
  </si>
  <si>
    <t>198278441</t>
  </si>
  <si>
    <t>oxysterol-binding protein-related protein 9 isoform c</t>
  </si>
  <si>
    <t>307938353</t>
  </si>
  <si>
    <t>oxysterol-binding protein-related protein 9 isoform a</t>
  </si>
  <si>
    <t>84662768</t>
  </si>
  <si>
    <t>probable tRNA threonylcarbamoyladenosine biosynthesis protein Osgep</t>
  </si>
  <si>
    <t>13384930</t>
  </si>
  <si>
    <t>oligosaccharyltransferase complex subunit OSTC</t>
  </si>
  <si>
    <t>22267440</t>
  </si>
  <si>
    <t xml:space="preserve">osteoclast-stimulating factor 1 </t>
  </si>
  <si>
    <t>19527388</t>
  </si>
  <si>
    <t xml:space="preserve">ubiquitin thioesterase OTUB1 </t>
  </si>
  <si>
    <t>124487191</t>
  </si>
  <si>
    <t>OTU domain-containing protein 4 isoform 2</t>
  </si>
  <si>
    <t>365733608</t>
  </si>
  <si>
    <t>OTU domain-containing protein 4 isoform 1</t>
  </si>
  <si>
    <t>31560768</t>
  </si>
  <si>
    <t>OTU domain-containing protein 5</t>
  </si>
  <si>
    <t>157364966</t>
  </si>
  <si>
    <t>OTU domain-containing protein 6B</t>
  </si>
  <si>
    <t>18700018</t>
  </si>
  <si>
    <t>OTU domain-containing protein 7A</t>
  </si>
  <si>
    <t>71043959</t>
  </si>
  <si>
    <t>zinc finger, A20 domain containing 1</t>
  </si>
  <si>
    <t>18158418</t>
  </si>
  <si>
    <t>ovarian cancer-associated gene 2 protein homolog</t>
  </si>
  <si>
    <t>23308705</t>
  </si>
  <si>
    <t>transcription factor Ovo-like 2 isoform A</t>
  </si>
  <si>
    <t>18266680</t>
  </si>
  <si>
    <t xml:space="preserve">succinyl-CoA:3-ketoacid coenzyme A transferase 1, mitochondrial precursor </t>
  </si>
  <si>
    <t>170932556</t>
  </si>
  <si>
    <t>oxidoreductase NAD-binding domain-containing protein 1 precursor</t>
  </si>
  <si>
    <t>194328704</t>
  </si>
  <si>
    <t>oxidation resistance protein 1 isoform C</t>
  </si>
  <si>
    <t>18700026</t>
  </si>
  <si>
    <t>oxidation resistance protein 1 isoform A</t>
  </si>
  <si>
    <t>194328702</t>
  </si>
  <si>
    <t>oxidation resistance protein 1 isoform B</t>
  </si>
  <si>
    <t>194328706</t>
  </si>
  <si>
    <t>oxidation resistance protein 1 isoform D</t>
  </si>
  <si>
    <t>194328708</t>
  </si>
  <si>
    <t>oxidation resistance protein 1 isoform E</t>
  </si>
  <si>
    <t>58037235</t>
  </si>
  <si>
    <t>3-oxoacyl-[acyl-carrier-protein] synthase, mitochondrial precursor</t>
  </si>
  <si>
    <t>365777424</t>
  </si>
  <si>
    <t xml:space="preserve">serine/threonine-protein kinase OSR1 </t>
  </si>
  <si>
    <t>117676374</t>
  </si>
  <si>
    <t xml:space="preserve">P2X purinoceptor 4 </t>
  </si>
  <si>
    <t>238624118</t>
  </si>
  <si>
    <t xml:space="preserve">purinergic receptor P2X5 </t>
  </si>
  <si>
    <t>33859596</t>
  </si>
  <si>
    <t xml:space="preserve">prolyl 4-hydroxylase subunit alpha-1 precursor </t>
  </si>
  <si>
    <t>42415475</t>
  </si>
  <si>
    <t xml:space="preserve">protein disulfide-isomerase precursor </t>
  </si>
  <si>
    <t>6755100</t>
  </si>
  <si>
    <t xml:space="preserve">proliferation-associated protein 2G4 </t>
  </si>
  <si>
    <t>31560656</t>
  </si>
  <si>
    <t xml:space="preserve">polyadenylate-binding protein 1 </t>
  </si>
  <si>
    <t>166157896</t>
  </si>
  <si>
    <t xml:space="preserve">polyadenylate-binding protein 1-like </t>
  </si>
  <si>
    <t>309271474</t>
  </si>
  <si>
    <t xml:space="preserve">PREDICTED: polyadenylate-binding protein 1-like 2-like </t>
  </si>
  <si>
    <t>6754972</t>
  </si>
  <si>
    <t>poly A binding protein, cytoplasmic 2</t>
  </si>
  <si>
    <t>22507391</t>
  </si>
  <si>
    <t xml:space="preserve">polyadenylate-binding protein 4 isoform 2 </t>
  </si>
  <si>
    <t>34419622</t>
  </si>
  <si>
    <t xml:space="preserve">polyadenylate-binding protein 4 isoform 1 </t>
  </si>
  <si>
    <t>168229272</t>
  </si>
  <si>
    <t xml:space="preserve">poly(A) binding protein, cytoplasmic 4-like </t>
  </si>
  <si>
    <t>29336045</t>
  </si>
  <si>
    <t xml:space="preserve">polyadenylate-binding protein 5 </t>
  </si>
  <si>
    <t>255652857</t>
  </si>
  <si>
    <t xml:space="preserve">poly(A) binding protein, cytoplasmic 3 </t>
  </si>
  <si>
    <t>9506945</t>
  </si>
  <si>
    <t xml:space="preserve">polyadenylate-binding protein 2 </t>
  </si>
  <si>
    <t>54291704</t>
  </si>
  <si>
    <t>phosphofurin acidic cluster sorting protein 1</t>
  </si>
  <si>
    <t>7106381</t>
  </si>
  <si>
    <t xml:space="preserve">protein kinase C and casein kinase substrate in neurons protein 2 </t>
  </si>
  <si>
    <t>28077027</t>
  </si>
  <si>
    <t>protein kinase C and casein kinase II substrate protein 3</t>
  </si>
  <si>
    <t>171906557</t>
  </si>
  <si>
    <t xml:space="preserve">protein-arginine deiminase type-2 </t>
  </si>
  <si>
    <t>31980912</t>
  </si>
  <si>
    <t>RNA polymerase II-associated factor 1 homolog</t>
  </si>
  <si>
    <t>7305363</t>
  </si>
  <si>
    <t>platelet-activating factor acetylhydrolase IB subunit alpha</t>
  </si>
  <si>
    <t>40254624</t>
  </si>
  <si>
    <t>platelet-activating factor acetylhydrolase IB subunit beta</t>
  </si>
  <si>
    <t>6679201</t>
  </si>
  <si>
    <t>platelet-activating factor acetylhydrolase IB subunit gamma</t>
  </si>
  <si>
    <t>225579137</t>
  </si>
  <si>
    <t xml:space="preserve">platelet-activating factor acetylhydrolase 2, cytoplasmic </t>
  </si>
  <si>
    <t>13385434</t>
  </si>
  <si>
    <t xml:space="preserve">multifunctional protein ADE2 </t>
  </si>
  <si>
    <t>119943127</t>
  </si>
  <si>
    <t>polyadenylate-binding protein-interacting protein 1 isoform 2</t>
  </si>
  <si>
    <t>21703908</t>
  </si>
  <si>
    <t>polyadenylate-binding protein-interacting protein 1 isoform 1</t>
  </si>
  <si>
    <t>112181194</t>
  </si>
  <si>
    <t>serine/threonine-protein kinase PAK 1</t>
  </si>
  <si>
    <t>145046259</t>
  </si>
  <si>
    <t xml:space="preserve">p21-activated protein kinase-interacting protein 1 </t>
  </si>
  <si>
    <t>46559406</t>
  </si>
  <si>
    <t>serine/threonine-protein kinase PAK 2</t>
  </si>
  <si>
    <t>304307781</t>
  </si>
  <si>
    <t>serine/threonine-protein kinase PAK 3 isoform A</t>
  </si>
  <si>
    <t>304307783</t>
  </si>
  <si>
    <t>serine/threonine-protein kinase PAK 3 isoform B</t>
  </si>
  <si>
    <t>304307785</t>
  </si>
  <si>
    <t>serine/threonine-protein kinase PAK 3 isoform C</t>
  </si>
  <si>
    <t>304307788</t>
  </si>
  <si>
    <t>serine/threonine-protein kinase PAK 3 isoform D</t>
  </si>
  <si>
    <t>29336032</t>
  </si>
  <si>
    <t>serine/threonine-protein kinase PAK 4</t>
  </si>
  <si>
    <t>171846274</t>
  </si>
  <si>
    <t xml:space="preserve">paladin </t>
  </si>
  <si>
    <t>124487061</t>
  </si>
  <si>
    <t xml:space="preserve">palladin </t>
  </si>
  <si>
    <t>239985639</t>
  </si>
  <si>
    <t xml:space="preserve">paralemmin-1 isoform 1 </t>
  </si>
  <si>
    <t>239985643</t>
  </si>
  <si>
    <t xml:space="preserve">paralemmin-1 isoform 2 </t>
  </si>
  <si>
    <t>124430707</t>
  </si>
  <si>
    <t xml:space="preserve">paralemmin-3 </t>
  </si>
  <si>
    <t>153792657</t>
  </si>
  <si>
    <t>peptidyl-glycine alpha-amidating monooxygenase precursor</t>
  </si>
  <si>
    <t>13385012</t>
  </si>
  <si>
    <t xml:space="preserve">mitochondrial import inner membrane translocase subunit TIM16 </t>
  </si>
  <si>
    <t>29789349</t>
  </si>
  <si>
    <t xml:space="preserve">PAB-dependent poly(A)-specific ribonuclease subunit 2 isoform 1 </t>
  </si>
  <si>
    <t>356640187</t>
  </si>
  <si>
    <t xml:space="preserve">PAB-dependent poly(A)-specific ribonuclease subunit 2 isoform 2 </t>
  </si>
  <si>
    <t>356640190</t>
  </si>
  <si>
    <t xml:space="preserve">PAB-dependent poly(A)-specific ribonuclease subunit 2 isoform 3 </t>
  </si>
  <si>
    <t>270265830</t>
  </si>
  <si>
    <t xml:space="preserve">PAB-dependent poly(A)-specific ribonuclease subunit 3 </t>
  </si>
  <si>
    <t>12963829</t>
  </si>
  <si>
    <t xml:space="preserve">pantothenate kinase 1 isoform 2 </t>
  </si>
  <si>
    <t>167234376</t>
  </si>
  <si>
    <t xml:space="preserve">pantothenate kinase 1 isoform 1 </t>
  </si>
  <si>
    <t>51571537</t>
  </si>
  <si>
    <t xml:space="preserve">pantothenate kinase 2 </t>
  </si>
  <si>
    <t>22122397</t>
  </si>
  <si>
    <t xml:space="preserve">pantothenate kinase 3 </t>
  </si>
  <si>
    <t>240255614</t>
  </si>
  <si>
    <t xml:space="preserve">pantothenate kinase 4 </t>
  </si>
  <si>
    <t>28173566</t>
  </si>
  <si>
    <t xml:space="preserve">peroxisomal N(1)-acetyl-spermine/spermidine oxidase </t>
  </si>
  <si>
    <t>21914853</t>
  </si>
  <si>
    <t xml:space="preserve">poly(A) polymerase alpha </t>
  </si>
  <si>
    <t>9910588</t>
  </si>
  <si>
    <t xml:space="preserve">poly(A) polymerase beta </t>
  </si>
  <si>
    <t>226494207</t>
  </si>
  <si>
    <t xml:space="preserve">poly(A) polymerase gamma </t>
  </si>
  <si>
    <t>6754982</t>
  </si>
  <si>
    <t xml:space="preserve">bifunctional 3'-phosphoadenosine 5'-phosphosulfate synthase 1 </t>
  </si>
  <si>
    <t>319918850</t>
  </si>
  <si>
    <t xml:space="preserve">bifunctional 3'-phosphoadenosine 5'-phosphosulfate synthase 2 isoform 2 </t>
  </si>
  <si>
    <t>61098088</t>
  </si>
  <si>
    <t xml:space="preserve">bifunctional 3'-phosphoadenosine 5'-phosphosulfate synthase 2 isoform 1 </t>
  </si>
  <si>
    <t>12963841</t>
  </si>
  <si>
    <t xml:space="preserve">progestin and adipoQ receptor family member 4 </t>
  </si>
  <si>
    <t>171184413</t>
  </si>
  <si>
    <t>partitioning defective 3 homolog isoform 3</t>
  </si>
  <si>
    <t>171184415</t>
  </si>
  <si>
    <t>partitioning defective 3 homolog isoform 4</t>
  </si>
  <si>
    <t>61888842</t>
  </si>
  <si>
    <t>partitioning defective 3 homolog isoform 2</t>
  </si>
  <si>
    <t>61888844</t>
  </si>
  <si>
    <t>partitioning defective 3 homolog isoform 1</t>
  </si>
  <si>
    <t>163310767</t>
  </si>
  <si>
    <t xml:space="preserve">partitioning defective 3 homolog B </t>
  </si>
  <si>
    <t>114145495</t>
  </si>
  <si>
    <t xml:space="preserve">partitioning defective 6 homolog alpha isoform 1 </t>
  </si>
  <si>
    <t>114145499</t>
  </si>
  <si>
    <t xml:space="preserve">partitioning defective 6 homolog alpha isoform 2 </t>
  </si>
  <si>
    <t>114145501</t>
  </si>
  <si>
    <t xml:space="preserve">partitioning defective 6 homolog alpha isoform 3 </t>
  </si>
  <si>
    <t>253314520</t>
  </si>
  <si>
    <t xml:space="preserve">partitioning defective 6 homolog beta </t>
  </si>
  <si>
    <t>238550190</t>
  </si>
  <si>
    <t xml:space="preserve">partitioning defective 6 homolog gamma </t>
  </si>
  <si>
    <t>120444912</t>
  </si>
  <si>
    <t>poly(ADP-ribose) glycohydrolase</t>
  </si>
  <si>
    <t>55741460</t>
  </si>
  <si>
    <t>protein DJ-1</t>
  </si>
  <si>
    <t>21311877</t>
  </si>
  <si>
    <t xml:space="preserve">poly(A)-specific ribonuclease PARN </t>
  </si>
  <si>
    <t>20806109</t>
  </si>
  <si>
    <t>poly [ADP-ribose] polymerase 1</t>
  </si>
  <si>
    <t>254675288</t>
  </si>
  <si>
    <t>poly (ADP-ribose) polymerase family, member 10</t>
  </si>
  <si>
    <t>171543897</t>
  </si>
  <si>
    <t>poly [ADP-ribose] polymerase 12</t>
  </si>
  <si>
    <t>25014095</t>
  </si>
  <si>
    <t>poly [ADP-ribose] polymerase 3</t>
  </si>
  <si>
    <t>281485553</t>
  </si>
  <si>
    <t>poly (ADP-ribose) polymerase family, member 4</t>
  </si>
  <si>
    <t>13384918</t>
  </si>
  <si>
    <t>poly [ADP-ribose] polymerase 9</t>
  </si>
  <si>
    <t>139948347</t>
  </si>
  <si>
    <t>probable proline--tRNA ligase, mitochondrial isoform 1</t>
  </si>
  <si>
    <t>139948914</t>
  </si>
  <si>
    <t>probable proline--tRNA ligase, mitochondrial isoform 2</t>
  </si>
  <si>
    <t>31982526</t>
  </si>
  <si>
    <t xml:space="preserve">alpha-parvin </t>
  </si>
  <si>
    <t>18860551</t>
  </si>
  <si>
    <t xml:space="preserve">beta-parvin </t>
  </si>
  <si>
    <t>194328775</t>
  </si>
  <si>
    <t>PAS domain-containing serine/threonine-protein kinase</t>
  </si>
  <si>
    <t>255522964</t>
  </si>
  <si>
    <t>protein PAT1 homolog 1</t>
  </si>
  <si>
    <t>87196490</t>
  </si>
  <si>
    <t xml:space="preserve">PRKC apoptosis WT1 regulator protein </t>
  </si>
  <si>
    <t>226437608</t>
  </si>
  <si>
    <t xml:space="preserve">PAX3- and PAX7-binding protein 1 </t>
  </si>
  <si>
    <t>13385810</t>
  </si>
  <si>
    <t>protein PBDC1</t>
  </si>
  <si>
    <t>12963575</t>
  </si>
  <si>
    <t xml:space="preserve">lymphokine-activated killer T-cell-originated protein kinase </t>
  </si>
  <si>
    <t>31560132</t>
  </si>
  <si>
    <t xml:space="preserve">phenazine biosynthesis-like domain-containing protein 1 </t>
  </si>
  <si>
    <t>13385584</t>
  </si>
  <si>
    <t xml:space="preserve">phenazine biosynthesis-like domain-containing protein 2 </t>
  </si>
  <si>
    <t>22122651</t>
  </si>
  <si>
    <t>pre-B-cell leukemia transcription factor-interacting protein 1</t>
  </si>
  <si>
    <t>13384608</t>
  </si>
  <si>
    <t>pterin-4-alpha-carbinolamine dehydratase</t>
  </si>
  <si>
    <t>52421794</t>
  </si>
  <si>
    <t xml:space="preserve">pterin-4-alpha-carbinolamine dehydratase 2 </t>
  </si>
  <si>
    <t>6754994</t>
  </si>
  <si>
    <t xml:space="preserve">poly(rC)-binding protein 1 </t>
  </si>
  <si>
    <t>157041229</t>
  </si>
  <si>
    <t xml:space="preserve">poly(rC)-binding protein 2 isoform 1 </t>
  </si>
  <si>
    <t>157042772</t>
  </si>
  <si>
    <t xml:space="preserve">poly(rC)-binding protein 2 isoform 3 </t>
  </si>
  <si>
    <t>157057549</t>
  </si>
  <si>
    <t xml:space="preserve">poly(rC)-binding protein 2 isoform 2 </t>
  </si>
  <si>
    <t>291327528</t>
  </si>
  <si>
    <t xml:space="preserve">poly(rC)-binding protein 2 isoform 4 </t>
  </si>
  <si>
    <t>171906586</t>
  </si>
  <si>
    <t xml:space="preserve">poly(rC)-binding protein 3 </t>
  </si>
  <si>
    <t>227497228</t>
  </si>
  <si>
    <t xml:space="preserve">poly(rC)-binding protein 4 </t>
  </si>
  <si>
    <t>254540162</t>
  </si>
  <si>
    <t>propionyl-CoA carboxylase alpha chain, mitochondrial precursor</t>
  </si>
  <si>
    <t>13385310</t>
  </si>
  <si>
    <t>propionyl-CoA carboxylase beta chain, mitochondrial precursor</t>
  </si>
  <si>
    <t>34328319</t>
  </si>
  <si>
    <t>protocadherin-1 precursor</t>
  </si>
  <si>
    <t>6681021</t>
  </si>
  <si>
    <t xml:space="preserve">protocadherin alpha-4 precursor </t>
  </si>
  <si>
    <t>292658765</t>
  </si>
  <si>
    <t>protocadherin alpha 4-gamma precursor</t>
  </si>
  <si>
    <t>119372296</t>
  </si>
  <si>
    <t>PCI domain-containing protein 2</t>
  </si>
  <si>
    <t>22122647</t>
  </si>
  <si>
    <t>phosphorylated CTD-interacting factor 1</t>
  </si>
  <si>
    <t>28077029</t>
  </si>
  <si>
    <t>phosphoenolpyruvate carboxykinase [GTP], mitochondrial</t>
  </si>
  <si>
    <t>170763496</t>
  </si>
  <si>
    <t>pericentriolar material 1 protein</t>
  </si>
  <si>
    <t>226530884</t>
  </si>
  <si>
    <t>protein-L-isoaspartate(D-aspartate) O-methyltransferase</t>
  </si>
  <si>
    <t>33942104</t>
  </si>
  <si>
    <t xml:space="preserve">protein-L-isoaspartate O-methyltransferase domain-containing protein 1 </t>
  </si>
  <si>
    <t>23956398</t>
  </si>
  <si>
    <t xml:space="preserve">protein-L-isoaspartate O-methyltransferase domain-containing protein 2 </t>
  </si>
  <si>
    <t>7242171</t>
  </si>
  <si>
    <t>proliferating cell nuclear antigen</t>
  </si>
  <si>
    <t>71480098</t>
  </si>
  <si>
    <t xml:space="preserve">PEST proteolytic signal-containing nuclear protein </t>
  </si>
  <si>
    <t>93004085</t>
  </si>
  <si>
    <t xml:space="preserve">pericentrin </t>
  </si>
  <si>
    <t>126352572</t>
  </si>
  <si>
    <t xml:space="preserve">pecanex-like protein 2 isoform 2 </t>
  </si>
  <si>
    <t>157743254</t>
  </si>
  <si>
    <t xml:space="preserve">pecanex-like protein 3 </t>
  </si>
  <si>
    <t>253314509</t>
  </si>
  <si>
    <t>proprotein convertase subtilisin/kexin type 5 isoform 2 preproprotein</t>
  </si>
  <si>
    <t>299523019</t>
  </si>
  <si>
    <t>proprotein convertase subtilisin/kexin type 5 isoform 1 preproprotein</t>
  </si>
  <si>
    <t>117320552</t>
  </si>
  <si>
    <t xml:space="preserve">phosphatidylcholine transfer protein </t>
  </si>
  <si>
    <t>251823978</t>
  </si>
  <si>
    <t xml:space="preserve">pyruvate carboxylase, mitochondrial isoform 2 </t>
  </si>
  <si>
    <t>251823980</t>
  </si>
  <si>
    <t xml:space="preserve">pyruvate carboxylase, mitochondrial isoform 1 </t>
  </si>
  <si>
    <t>13385294</t>
  </si>
  <si>
    <t xml:space="preserve">prenylcysteine oxidase precursor </t>
  </si>
  <si>
    <t>27370248</t>
  </si>
  <si>
    <t xml:space="preserve">prenylcysteine oxidase-like precursor </t>
  </si>
  <si>
    <t>6753552</t>
  </si>
  <si>
    <t xml:space="preserve">choline-phosphate cytidylyltransferase A </t>
  </si>
  <si>
    <t>29164513</t>
  </si>
  <si>
    <t xml:space="preserve">choline-phosphate cytidylyltransferase B isoform 2 </t>
  </si>
  <si>
    <t>46877071</t>
  </si>
  <si>
    <t xml:space="preserve">choline-phosphate cytidylyltransferase B isoform 1 </t>
  </si>
  <si>
    <t>31980842</t>
  </si>
  <si>
    <t>ethanolamine-phosphate cytidylyltransferase</t>
  </si>
  <si>
    <t>84781781</t>
  </si>
  <si>
    <t>28 kDa heat- and acid-stable phosphoprotein</t>
  </si>
  <si>
    <t>31560391</t>
  </si>
  <si>
    <t xml:space="preserve">programmed cell death protein 10 </t>
  </si>
  <si>
    <t>54607128</t>
  </si>
  <si>
    <t xml:space="preserve">protein RRP5 homolog </t>
  </si>
  <si>
    <t>120407033</t>
  </si>
  <si>
    <t xml:space="preserve">programmed cell death protein 2 </t>
  </si>
  <si>
    <t>110625656</t>
  </si>
  <si>
    <t xml:space="preserve">programmed cell death protein 4 </t>
  </si>
  <si>
    <t>6755000</t>
  </si>
  <si>
    <t xml:space="preserve">programmed cell death protein 6 </t>
  </si>
  <si>
    <t>258547152</t>
  </si>
  <si>
    <t xml:space="preserve">programmed cell death 6-interacting protein isoform 1 </t>
  </si>
  <si>
    <t>258547154</t>
  </si>
  <si>
    <t xml:space="preserve">programmed cell death 6-interacting protein isoform 2 </t>
  </si>
  <si>
    <t>258547156</t>
  </si>
  <si>
    <t xml:space="preserve">programmed cell death 6-interacting protein isoform 3 </t>
  </si>
  <si>
    <t>165932326</t>
  </si>
  <si>
    <t>phosducin-like protein</t>
  </si>
  <si>
    <t>31560120</t>
  </si>
  <si>
    <t xml:space="preserve">phosducin-like protein 3 </t>
  </si>
  <si>
    <t>157841170</t>
  </si>
  <si>
    <t xml:space="preserve">Parkinson disease 7 domain-containing protein 1 precursor </t>
  </si>
  <si>
    <t>40538842</t>
  </si>
  <si>
    <t>2',5'-phosphodiesterase 12</t>
  </si>
  <si>
    <t>42475542</t>
  </si>
  <si>
    <t>cAMP-specific 3',5'-cyclic phosphodiesterase 4C</t>
  </si>
  <si>
    <t>158749578</t>
  </si>
  <si>
    <t xml:space="preserve">myomegalin isoform 1 </t>
  </si>
  <si>
    <t>158749580</t>
  </si>
  <si>
    <t xml:space="preserve">myomegalin isoform 4 </t>
  </si>
  <si>
    <t>31542051</t>
  </si>
  <si>
    <t xml:space="preserve">myomegalin isoform 2 </t>
  </si>
  <si>
    <t>6679245</t>
  </si>
  <si>
    <t>retinal rod rhodopsin-sensitive cGMP 3',5'-cyclic phosphodiesterase subunit delta</t>
  </si>
  <si>
    <t>170295853</t>
  </si>
  <si>
    <t xml:space="preserve">high affinity cAMP-specific 3',5'-cyclic phosphodiesterase 7A isoform 1 precursor </t>
  </si>
  <si>
    <t>170295857</t>
  </si>
  <si>
    <t>high affinity cAMP-specific 3',5'-cyclic phosphodiesterase 7A isoform 2</t>
  </si>
  <si>
    <t>255003823</t>
  </si>
  <si>
    <t xml:space="preserve">peptide deformylase-like protein </t>
  </si>
  <si>
    <t>134032050</t>
  </si>
  <si>
    <t>platelet-derived growth factor receptor alpha precursor</t>
  </si>
  <si>
    <t>226342982</t>
  </si>
  <si>
    <t>platelet-derived growth factor receptor beta isoform 1 precursor</t>
  </si>
  <si>
    <t>226371752</t>
  </si>
  <si>
    <t>platelet-derived growth factor receptor beta isoform 2 precursor</t>
  </si>
  <si>
    <t>6679261</t>
  </si>
  <si>
    <t>pyruvate dehydrogenase E1 component subunit alpha, somatic form, mitochondrial precursor</t>
  </si>
  <si>
    <t>6679263</t>
  </si>
  <si>
    <t>pyruvate dehydrogenase E1 component subunit alpha, testis-specific form, mitochondrial precursor</t>
  </si>
  <si>
    <t>18152793</t>
  </si>
  <si>
    <t>pyruvate dehydrogenase E1 component subunit beta, mitochondrial precursor</t>
  </si>
  <si>
    <t>28201978</t>
  </si>
  <si>
    <t>pyruvate dehydrogenase protein X component, mitochondrial</t>
  </si>
  <si>
    <t>112293264</t>
  </si>
  <si>
    <t>protein disulfide-isomerase A3 precursor</t>
  </si>
  <si>
    <t>86198316</t>
  </si>
  <si>
    <t>protein disulfide-isomerase A4 precursor</t>
  </si>
  <si>
    <t>30794140</t>
  </si>
  <si>
    <t>protein disulfide-isomerase A5 precursor</t>
  </si>
  <si>
    <t>377833208</t>
  </si>
  <si>
    <t>PREDICTED: protein disulfide-isomerase A6</t>
  </si>
  <si>
    <t>58037267</t>
  </si>
  <si>
    <t>protein disulfide-isomerase A6 precursor</t>
  </si>
  <si>
    <t>110625975</t>
  </si>
  <si>
    <t>pyruvate dehydrogenase kinase, isozyme 1 precursor</t>
  </si>
  <si>
    <t>226958643</t>
  </si>
  <si>
    <t xml:space="preserve">pyruvate dehydrogenase kinase, isoenzyme 2 </t>
  </si>
  <si>
    <t>21704122</t>
  </si>
  <si>
    <t xml:space="preserve">pyruvate dehydrogenase kinase, isozyme 3 </t>
  </si>
  <si>
    <t>158635992</t>
  </si>
  <si>
    <t>PDZ and LIM domain protein 1</t>
  </si>
  <si>
    <t>22122423</t>
  </si>
  <si>
    <t>PDZ and LIM domain protein 2</t>
  </si>
  <si>
    <t>170650625</t>
  </si>
  <si>
    <t>PDZ and LIM domain protein 5 isoform ENH3b</t>
  </si>
  <si>
    <t>170650627</t>
  </si>
  <si>
    <t>PDZ and LIM domain protein 5 isoform ENH2</t>
  </si>
  <si>
    <t>300069034</t>
  </si>
  <si>
    <t>PDZ and LIM domain protein 5 isoform ENH4</t>
  </si>
  <si>
    <t>300069043</t>
  </si>
  <si>
    <t>PDZ and LIM domain protein 5 isoform ENH3a</t>
  </si>
  <si>
    <t>170650623</t>
  </si>
  <si>
    <t>PDZ and LIM domain protein 5 isoform ENH1</t>
  </si>
  <si>
    <t>300069024</t>
  </si>
  <si>
    <t>PDZ and LIM domain protein 5 isoform ENH1e</t>
  </si>
  <si>
    <t>300069036</t>
  </si>
  <si>
    <t>PDZ and LIM domain protein 5 isoform ENH1b</t>
  </si>
  <si>
    <t>300069038</t>
  </si>
  <si>
    <t>PDZ and LIM domain protein 5 isoform ENH1c</t>
  </si>
  <si>
    <t>300069041</t>
  </si>
  <si>
    <t>PDZ and LIM domain protein 5 isoform ENH1d</t>
  </si>
  <si>
    <t>166197677</t>
  </si>
  <si>
    <t>PDZ and LIM domain protein 7 isoform c</t>
  </si>
  <si>
    <t>166197679</t>
  </si>
  <si>
    <t>PDZ and LIM domain protein 7 isoform b</t>
  </si>
  <si>
    <t>166197681</t>
  </si>
  <si>
    <t>PDZ and LIM domain protein 7 isoform a</t>
  </si>
  <si>
    <t>148277602</t>
  </si>
  <si>
    <t xml:space="preserve">[Pyruvate dehydrogenase [acetyl-transferring]]-phosphatase 1, mitochondrial isoform b </t>
  </si>
  <si>
    <t>148277650</t>
  </si>
  <si>
    <t xml:space="preserve">[Pyruvate dehydrogenase [acetyl-transferring]]-phosphatase 1, mitochondrial isoform a </t>
  </si>
  <si>
    <t>84794625</t>
  </si>
  <si>
    <t xml:space="preserve">[Pyruvate dehydrogenase [acetyl-transferring]]-phosphatase 1, mitochondrial isoform c </t>
  </si>
  <si>
    <t>124107594</t>
  </si>
  <si>
    <t>3-phosphoinositide-dependent protein kinase 1 isoform A</t>
  </si>
  <si>
    <t>124107598</t>
  </si>
  <si>
    <t>3-phosphoinositide-dependent protein kinase 1 isoform B</t>
  </si>
  <si>
    <t>38142488</t>
  </si>
  <si>
    <t xml:space="preserve">pyruvate dehydrogenase phosphatase regulatory subunit, mitochondrial precursor </t>
  </si>
  <si>
    <t>32490570</t>
  </si>
  <si>
    <t>p53 and DNA damage-regulated protein 1</t>
  </si>
  <si>
    <t>124486765</t>
  </si>
  <si>
    <t xml:space="preserve">sister chromatid cohesion protein PDS5 homolog A </t>
  </si>
  <si>
    <t>66955886</t>
  </si>
  <si>
    <t xml:space="preserve">sister chromatid cohesion protein PDS5 homolog B </t>
  </si>
  <si>
    <t>88758582</t>
  </si>
  <si>
    <t xml:space="preserve">pyridoxal-dependent decarboxylase domain-containing protein 1 isoform 1 </t>
  </si>
  <si>
    <t>88758584</t>
  </si>
  <si>
    <t xml:space="preserve">pyridoxal-dependent decarboxylase domain-containing protein 1 isoform 3 </t>
  </si>
  <si>
    <t>26006861</t>
  </si>
  <si>
    <t>pyridoxal kinase</t>
  </si>
  <si>
    <t>21312244</t>
  </si>
  <si>
    <t>PDZ domain-containing protein 11</t>
  </si>
  <si>
    <t>305682586</t>
  </si>
  <si>
    <t>PDZ domain-containing protein 7</t>
  </si>
  <si>
    <t>164698472</t>
  </si>
  <si>
    <t>PDZ domain containing 8</t>
  </si>
  <si>
    <t>13385522</t>
  </si>
  <si>
    <t>PDZK1-interacting protein 1 isoform 2 precursor</t>
  </si>
  <si>
    <t>257095992</t>
  </si>
  <si>
    <t xml:space="preserve">PDZK1-interacting protein 1 isoform 1 </t>
  </si>
  <si>
    <t>21426847</t>
  </si>
  <si>
    <t xml:space="preserve">astrocytic phosphoprotein PEA-15 isoform 2 </t>
  </si>
  <si>
    <t>84794552</t>
  </si>
  <si>
    <t xml:space="preserve">phosphatidylethanolamine-binding protein 1 </t>
  </si>
  <si>
    <t>227908837</t>
  </si>
  <si>
    <t xml:space="preserve">peroxisomal trans-2-enoyl-CoA reductase </t>
  </si>
  <si>
    <t>31980937</t>
  </si>
  <si>
    <t xml:space="preserve">peflin </t>
  </si>
  <si>
    <t>164698448</t>
  </si>
  <si>
    <t xml:space="preserve">protein pelota homolog </t>
  </si>
  <si>
    <t>257900472</t>
  </si>
  <si>
    <t xml:space="preserve">proline-, glutamic acid- and leucine-rich protein 1 </t>
  </si>
  <si>
    <t>170650724</t>
  </si>
  <si>
    <t>xaa-Pro dipeptidase</t>
  </si>
  <si>
    <t>12584984</t>
  </si>
  <si>
    <t>pescadillo homolog</t>
  </si>
  <si>
    <t>21450279</t>
  </si>
  <si>
    <t>glutamyl-tRNA(Gln) amidotransferase subunit B, mitochondrial precursor</t>
  </si>
  <si>
    <t>258679439</t>
  </si>
  <si>
    <t xml:space="preserve">protein PET117 homolog, mitochondrial precursor </t>
  </si>
  <si>
    <t>61657895</t>
  </si>
  <si>
    <t>peroxisome biogenesis factor 1</t>
  </si>
  <si>
    <t>109150414</t>
  </si>
  <si>
    <t>peroxisome biogenesis factor 10</t>
  </si>
  <si>
    <t>241666481</t>
  </si>
  <si>
    <t>peroxisomal membrane protein 11B isoform 1</t>
  </si>
  <si>
    <t>241666485</t>
  </si>
  <si>
    <t>peroxisomal membrane protein 11B isoform 2</t>
  </si>
  <si>
    <t>21735445</t>
  </si>
  <si>
    <t>peroxisomal membrane protein 11C</t>
  </si>
  <si>
    <t>9790153</t>
  </si>
  <si>
    <t>peroxisomal membrane protein PEX14</t>
  </si>
  <si>
    <t>254750742</t>
  </si>
  <si>
    <t>peroxisomal biogenesis factor 16</t>
  </si>
  <si>
    <t>226958492</t>
  </si>
  <si>
    <t>peroxisomal biogenesis factor 19 isoform b</t>
  </si>
  <si>
    <t>226958490</t>
  </si>
  <si>
    <t>peroxisomal biogenesis factor 19 isoform a</t>
  </si>
  <si>
    <t>255958309</t>
  </si>
  <si>
    <t>peroxisomal biogenesis factor 3 isoform 2</t>
  </si>
  <si>
    <t>9910484</t>
  </si>
  <si>
    <t>peroxisomal biogenesis factor 3 isoform 1</t>
  </si>
  <si>
    <t>21703962</t>
  </si>
  <si>
    <t>peroxisome assembly factor 2</t>
  </si>
  <si>
    <t>240120097</t>
  </si>
  <si>
    <t>peroxisomal biogenesis factor 7 isoform 2</t>
  </si>
  <si>
    <t>6679283</t>
  </si>
  <si>
    <t>peroxisomal biogenesis factor 7 isoform 1</t>
  </si>
  <si>
    <t>226958458</t>
  </si>
  <si>
    <t>phosphoribosylformylglycinamidine synthase</t>
  </si>
  <si>
    <t>13385532</t>
  </si>
  <si>
    <t xml:space="preserve">prefoldin subunit 1 </t>
  </si>
  <si>
    <t>31981577</t>
  </si>
  <si>
    <t xml:space="preserve">prefoldin subunit 2 </t>
  </si>
  <si>
    <t>158711747</t>
  </si>
  <si>
    <t>prefoldin 4 isoform 1</t>
  </si>
  <si>
    <t>315507139</t>
  </si>
  <si>
    <t>prefoldin 4 isoform 3</t>
  </si>
  <si>
    <t>61656178</t>
  </si>
  <si>
    <t>prefoldin 4 isoform 2</t>
  </si>
  <si>
    <t>55741463</t>
  </si>
  <si>
    <t xml:space="preserve">prefoldin subunit 5 </t>
  </si>
  <si>
    <t>295293207</t>
  </si>
  <si>
    <t>6-phosphofructo-2-kinase/fructose-2,6-biphosphatase 3 isoform 1</t>
  </si>
  <si>
    <t>295293209</t>
  </si>
  <si>
    <t>6-phosphofructo-2-kinase/fructose-2,6-biphosphatase 3 isoform 2</t>
  </si>
  <si>
    <t>295293211</t>
  </si>
  <si>
    <t>6-phosphofructo-2-kinase/fructose-2,6-biphosphatase 3 isoform 4</t>
  </si>
  <si>
    <t>295293213</t>
  </si>
  <si>
    <t>6-phosphofructo-2-kinase/fructose-2,6-biphosphatase 3 isoform 3</t>
  </si>
  <si>
    <t>295293215</t>
  </si>
  <si>
    <t>6-phosphofructo-2-kinase/fructose-2,6-biphosphatase 3 isoform 5</t>
  </si>
  <si>
    <t>295293217</t>
  </si>
  <si>
    <t>6-phosphofructo-2-kinase/fructose-2,6-biphosphatase 3 isoform 7</t>
  </si>
  <si>
    <t>295293220</t>
  </si>
  <si>
    <t>6-phosphofructo-2-kinase/fructose-2,6-biphosphatase 3 isoform 8</t>
  </si>
  <si>
    <t>87298847</t>
  </si>
  <si>
    <t>6-phosphofructo-2-kinase/fructose-2,6-biphosphatase 3 isoform 6</t>
  </si>
  <si>
    <t>31560653</t>
  </si>
  <si>
    <t xml:space="preserve">6-phosphofructokinase, liver type </t>
  </si>
  <si>
    <t>254553348;254553344</t>
  </si>
  <si>
    <t xml:space="preserve">6-phosphofructokinase, muscle type </t>
  </si>
  <si>
    <t>9790051</t>
  </si>
  <si>
    <t xml:space="preserve">6-phosphofructokinase type C </t>
  </si>
  <si>
    <t>6755040</t>
  </si>
  <si>
    <t xml:space="preserve">profilin-1 </t>
  </si>
  <si>
    <t>9506971</t>
  </si>
  <si>
    <t xml:space="preserve">profilin-2 </t>
  </si>
  <si>
    <t>114326546</t>
  </si>
  <si>
    <t xml:space="preserve">phosphoglycerate mutase 1 </t>
  </si>
  <si>
    <t>9256624</t>
  </si>
  <si>
    <t xml:space="preserve">phosphoglycerate mutase 2 </t>
  </si>
  <si>
    <t>254587960</t>
  </si>
  <si>
    <t>serine/threonine-protein phosphatase PGAM5, mitochondrial isoform 2</t>
  </si>
  <si>
    <t>254587962</t>
  </si>
  <si>
    <t>serine/threonine-protein phosphatase PGAM5, mitochondrial isoform 1</t>
  </si>
  <si>
    <t>254028203</t>
  </si>
  <si>
    <t>GPI inositol-deacylase</t>
  </si>
  <si>
    <t>114326508</t>
  </si>
  <si>
    <t xml:space="preserve">post-GPI attachment to proteins factor 3 precursor </t>
  </si>
  <si>
    <t>124486895</t>
  </si>
  <si>
    <t xml:space="preserve">6-phosphogluconate dehydrogenase, decarboxylating </t>
  </si>
  <si>
    <t>27369904</t>
  </si>
  <si>
    <t xml:space="preserve">geranylgeranyl transferase type-1 subunit beta </t>
  </si>
  <si>
    <t>70778976</t>
  </si>
  <si>
    <t xml:space="preserve">phosphoglycerate kinase 1 </t>
  </si>
  <si>
    <t>226246531</t>
  </si>
  <si>
    <t xml:space="preserve">phosphoglycerate kinase 2 </t>
  </si>
  <si>
    <t>13384778</t>
  </si>
  <si>
    <t xml:space="preserve">6-phosphogluconolactonase </t>
  </si>
  <si>
    <t>33859686</t>
  </si>
  <si>
    <t xml:space="preserve">phosphoglucomutase-1 </t>
  </si>
  <si>
    <t>227330633</t>
  </si>
  <si>
    <t xml:space="preserve">phosphoglucomutase-2 </t>
  </si>
  <si>
    <t>28076969</t>
  </si>
  <si>
    <t xml:space="preserve">glucose 1,6-bisphosphate synthase </t>
  </si>
  <si>
    <t>255522939</t>
  </si>
  <si>
    <t>phosphoacetylglucosamine mutase isoform 1</t>
  </si>
  <si>
    <t>255522941</t>
  </si>
  <si>
    <t>phosphoacetylglucosamine mutase isoform 2</t>
  </si>
  <si>
    <t>40254507</t>
  </si>
  <si>
    <t>phosphoglycolate phosphatase</t>
  </si>
  <si>
    <t>31980806</t>
  </si>
  <si>
    <t xml:space="preserve">membrane-associated progesterone receptor component 1 </t>
  </si>
  <si>
    <t>226442772</t>
  </si>
  <si>
    <t xml:space="preserve">membrane-associated progesterone receptor component 2 </t>
  </si>
  <si>
    <t>110626163</t>
  </si>
  <si>
    <t xml:space="preserve">CDP-diacylglycerol--glycerol-3-phosphate 3-phosphatidyltransferase, mitochondrial </t>
  </si>
  <si>
    <t>54144633</t>
  </si>
  <si>
    <t xml:space="preserve">phosphatase and actin regulator 1 isoform 1 </t>
  </si>
  <si>
    <t>54144635</t>
  </si>
  <si>
    <t xml:space="preserve">phosphatase and actin regulator 1 isoform 2 </t>
  </si>
  <si>
    <t>54144637</t>
  </si>
  <si>
    <t xml:space="preserve">phosphatase and actin regulator 1 isoform 3 </t>
  </si>
  <si>
    <t>304361725</t>
  </si>
  <si>
    <t xml:space="preserve">phosphatase and actin regulator 2 isoform A </t>
  </si>
  <si>
    <t>304361727</t>
  </si>
  <si>
    <t xml:space="preserve">phosphatase and actin regulator 2 isoform B </t>
  </si>
  <si>
    <t>304361740</t>
  </si>
  <si>
    <t xml:space="preserve">phosphatase and actin regulator 2 isoform C </t>
  </si>
  <si>
    <t>84781783</t>
  </si>
  <si>
    <t xml:space="preserve">phosphatase and actin regulator 2 isoform D </t>
  </si>
  <si>
    <t>239985486</t>
  </si>
  <si>
    <t xml:space="preserve">phosphatase and actin regulator 4 isoform 1 </t>
  </si>
  <si>
    <t>239985488</t>
  </si>
  <si>
    <t xml:space="preserve">phosphatase and actin regulator 4 isoform 2 </t>
  </si>
  <si>
    <t>253314458</t>
  </si>
  <si>
    <t xml:space="preserve">phosphorylated adapter RNA export protein isoform 1 </t>
  </si>
  <si>
    <t>253314461</t>
  </si>
  <si>
    <t xml:space="preserve">phosphorylated adapter RNA export protein isoform 2 </t>
  </si>
  <si>
    <t>6679299</t>
  </si>
  <si>
    <t xml:space="preserve">prohibitin </t>
  </si>
  <si>
    <t>126723336</t>
  </si>
  <si>
    <t xml:space="preserve">prohibitin-2 </t>
  </si>
  <si>
    <t>270288742</t>
  </si>
  <si>
    <t>PHD finger protein 14 isoform 1</t>
  </si>
  <si>
    <t>270288744</t>
  </si>
  <si>
    <t>PHD finger protein 14 isoform 2</t>
  </si>
  <si>
    <t>24415990</t>
  </si>
  <si>
    <t xml:space="preserve">PHD finger-like domain-containing protein 5A </t>
  </si>
  <si>
    <t>33563292</t>
  </si>
  <si>
    <t>PHD finger protein 6</t>
  </si>
  <si>
    <t>164518891</t>
  </si>
  <si>
    <t>histone lysine demethylase PHF8 isoform b</t>
  </si>
  <si>
    <t>52353955</t>
  </si>
  <si>
    <t>D-3-phosphoglycerate dehydrogenase</t>
  </si>
  <si>
    <t>40789096</t>
  </si>
  <si>
    <t>phosphorylase b kinase regulatory subunit beta</t>
  </si>
  <si>
    <t>226442929</t>
  </si>
  <si>
    <t xml:space="preserve">pleckstrin homology-like domain family A member 1 </t>
  </si>
  <si>
    <t>7305377</t>
  </si>
  <si>
    <t xml:space="preserve">pleckstrin homology-like domain family A member 3 </t>
  </si>
  <si>
    <t>188528897</t>
  </si>
  <si>
    <t xml:space="preserve">pleckstrin homology-like domain family B member 2 isoform 2 </t>
  </si>
  <si>
    <t>356995938</t>
  </si>
  <si>
    <t xml:space="preserve">pleckstrin homology-like domain family B member 2 isoform 1 </t>
  </si>
  <si>
    <t>156616318</t>
  </si>
  <si>
    <t xml:space="preserve">pleckstrin homology-like domain family B member 3 </t>
  </si>
  <si>
    <t>21312114</t>
  </si>
  <si>
    <t>pyridoxal phosphate phosphatase PHOSPHO2</t>
  </si>
  <si>
    <t>58037409</t>
  </si>
  <si>
    <t>14 kDa phosphohistidine phosphatase</t>
  </si>
  <si>
    <t>26986561</t>
  </si>
  <si>
    <t xml:space="preserve">phytanoyl-CoA dioxygenase domain-containing protein 1 isoform 1 </t>
  </si>
  <si>
    <t>357540869</t>
  </si>
  <si>
    <t xml:space="preserve">phytanoyl-CoA dioxygenase domain-containing protein 1 isoform 3 </t>
  </si>
  <si>
    <t>357588425</t>
  </si>
  <si>
    <t xml:space="preserve">phytanoyl-CoA dioxygenase domain-containing protein 1 isoform 2 </t>
  </si>
  <si>
    <t>357588429</t>
  </si>
  <si>
    <t xml:space="preserve">phytanoyl-CoA dioxygenase domain-containing protein 1 isoform 4 </t>
  </si>
  <si>
    <t>28077015</t>
  </si>
  <si>
    <t>5-phosphohydroxy-L-lysine phospho-lyase</t>
  </si>
  <si>
    <t>21703986</t>
  </si>
  <si>
    <t>phosphatidylinositol 4-kinase type 2-alpha</t>
  </si>
  <si>
    <t>145966816</t>
  </si>
  <si>
    <t>phosphatidylinositol 4-kinase type 2-beta isoform 2</t>
  </si>
  <si>
    <t>145966899</t>
  </si>
  <si>
    <t>phosphatidylinositol 4-kinase type 2-beta isoform 1</t>
  </si>
  <si>
    <t>241982771</t>
  </si>
  <si>
    <t xml:space="preserve">phosphatidylinositol 4-kinase type 3 alpha </t>
  </si>
  <si>
    <t>256000773</t>
  </si>
  <si>
    <t xml:space="preserve">phosphatidylinositol 4-kinase beta </t>
  </si>
  <si>
    <t>32567788</t>
  </si>
  <si>
    <t>phosphatidylinositol-binding clathrin assembly protein isoform 1</t>
  </si>
  <si>
    <t>357394959</t>
  </si>
  <si>
    <t>phosphatidylinositol-binding clathrin assembly protein isoform 2</t>
  </si>
  <si>
    <t>357394963</t>
  </si>
  <si>
    <t>phosphatidylinositol-binding clathrin assembly protein isoform 3</t>
  </si>
  <si>
    <t>357394966</t>
  </si>
  <si>
    <t>phosphatidylinositol-binding clathrin assembly protein isoform 4</t>
  </si>
  <si>
    <t>357394968</t>
  </si>
  <si>
    <t>phosphatidylinositol-binding clathrin assembly protein isoform 5</t>
  </si>
  <si>
    <t>357394970</t>
  </si>
  <si>
    <t>phosphatidylinositol-binding clathrin assembly protein isoform 6</t>
  </si>
  <si>
    <t>257153376</t>
  </si>
  <si>
    <t>piezo-type mechanosensitive ion channel component 1</t>
  </si>
  <si>
    <t>124486987</t>
  </si>
  <si>
    <t xml:space="preserve">GPI ethanolamine phosphate transferase 2 </t>
  </si>
  <si>
    <t>41872422</t>
  </si>
  <si>
    <t>phosphatidylinositol N-acetylglucosaminyltransferase subunit H</t>
  </si>
  <si>
    <t>29788753</t>
  </si>
  <si>
    <t xml:space="preserve">GPI-anchor transamidase isoform 1 precursor </t>
  </si>
  <si>
    <t>29789447</t>
  </si>
  <si>
    <t xml:space="preserve">GPI-anchor transamidase isoform 2 precursor </t>
  </si>
  <si>
    <t>19920329</t>
  </si>
  <si>
    <t xml:space="preserve">GPI mannosyltransferase 1 </t>
  </si>
  <si>
    <t>41351529</t>
  </si>
  <si>
    <t>GPI transamidase component PIG-S</t>
  </si>
  <si>
    <t>120587021</t>
  </si>
  <si>
    <t xml:space="preserve">GPI transamidase component PIG-T precursor </t>
  </si>
  <si>
    <t>52630436</t>
  </si>
  <si>
    <t>phosphatidylinositol glycan anchor biosynthesis class U protein precursor</t>
  </si>
  <si>
    <t>21313052</t>
  </si>
  <si>
    <t>PIH1 domain-containing protein 1</t>
  </si>
  <si>
    <t>145279206</t>
  </si>
  <si>
    <t xml:space="preserve">phosphatidylinositol 4-phosphate 3-kinase C2 domain-containing subunit alpha </t>
  </si>
  <si>
    <t>42475974</t>
  </si>
  <si>
    <t>phosphatidylinositol 3-kinase catalytic subunit type 3</t>
  </si>
  <si>
    <t>269914109</t>
  </si>
  <si>
    <t xml:space="preserve">phosphatidylinositol 4,5-bisphosphate 3-kinase catalytic subunit beta isoform </t>
  </si>
  <si>
    <t>255708439</t>
  </si>
  <si>
    <t xml:space="preserve">phosphatidylinositol 4,5-bisphosphate 3-kinase catalytic subunit delta isoform isoform b </t>
  </si>
  <si>
    <t>255708441</t>
  </si>
  <si>
    <t xml:space="preserve">phosphatidylinositol 4,5-bisphosphate 3-kinase catalytic subunit delta isoform isoform d </t>
  </si>
  <si>
    <t>255708443</t>
  </si>
  <si>
    <t xml:space="preserve">phosphatidylinositol 4,5-bisphosphate 3-kinase catalytic subunit delta isoform isoform e </t>
  </si>
  <si>
    <t>255708445</t>
  </si>
  <si>
    <t xml:space="preserve">phosphatidylinositol 4,5-bisphosphate 3-kinase catalytic subunit delta isoform isoform a </t>
  </si>
  <si>
    <t>71067114</t>
  </si>
  <si>
    <t xml:space="preserve">phosphatidylinositol 4,5-bisphosphate 3-kinase catalytic subunit delta isoform isoform c </t>
  </si>
  <si>
    <t>244792921</t>
  </si>
  <si>
    <t xml:space="preserve">phosphatidylinositol 3-kinase regulatory subunit beta </t>
  </si>
  <si>
    <t>124486789</t>
  </si>
  <si>
    <t xml:space="preserve">phosphoinositide 3-kinase regulatory subunit 4 </t>
  </si>
  <si>
    <t>126362959</t>
  </si>
  <si>
    <t xml:space="preserve">phosphoinositide 3-kinase regulatory subunit 6 isoform 1 </t>
  </si>
  <si>
    <t>52138727</t>
  </si>
  <si>
    <t xml:space="preserve">phosphoinositide 3-kinase regulatory subunit 6 isoform 2 </t>
  </si>
  <si>
    <t>115529473</t>
  </si>
  <si>
    <t xml:space="preserve">1-phosphatidylinositol 3-phosphate 5-kinase </t>
  </si>
  <si>
    <t>12963653</t>
  </si>
  <si>
    <t xml:space="preserve">peptidyl-prolyl cis-trans isomerase NIMA-interacting 1 </t>
  </si>
  <si>
    <t>85702071</t>
  </si>
  <si>
    <t xml:space="preserve">peptidylprolyl cis/trans isomerase, NIMA-interacting 1 </t>
  </si>
  <si>
    <t>125490368</t>
  </si>
  <si>
    <t xml:space="preserve">phosphatidylinositol 5-phosphate 4-kinase type-2 alpha </t>
  </si>
  <si>
    <t>33563294</t>
  </si>
  <si>
    <t xml:space="preserve">phosphatidylinositol 5-phosphate 4-kinase type-2 beta </t>
  </si>
  <si>
    <t>17298686</t>
  </si>
  <si>
    <t xml:space="preserve">phosphatidylinositol 5-phosphate 4-kinase type-2 gamma </t>
  </si>
  <si>
    <t>31982833</t>
  </si>
  <si>
    <t xml:space="preserve">phosphatidylinositol 4-phosphate 5-kinase type-1 alpha </t>
  </si>
  <si>
    <t>226442755</t>
  </si>
  <si>
    <t xml:space="preserve">phosphatidylinositol 4-phosphate 5-kinase type-1 gamma isoform 1 </t>
  </si>
  <si>
    <t>226442759</t>
  </si>
  <si>
    <t xml:space="preserve">phosphatidylinositol 4-phosphate 5-kinase type-1 gamma isoform 2 </t>
  </si>
  <si>
    <t>126722757</t>
  </si>
  <si>
    <t xml:space="preserve">phosphatidylserine decarboxylase proenzyme </t>
  </si>
  <si>
    <t>6679337</t>
  </si>
  <si>
    <t xml:space="preserve">phosphatidylinositol transfer protein alpha isoform </t>
  </si>
  <si>
    <t>9790159</t>
  </si>
  <si>
    <t xml:space="preserve">phosphatidylinositol transfer protein beta isoform </t>
  </si>
  <si>
    <t>21699068</t>
  </si>
  <si>
    <t>presequence protease, mitochondrial precursor</t>
  </si>
  <si>
    <t>10946610</t>
  </si>
  <si>
    <t xml:space="preserve">piwi-like protein 2 </t>
  </si>
  <si>
    <t>21450079</t>
  </si>
  <si>
    <t>E3 ubiquitin-protein ligase Praja-2 isoform b</t>
  </si>
  <si>
    <t>70794801</t>
  </si>
  <si>
    <t>E3 ubiquitin-protein ligase Praja-2 isoform a</t>
  </si>
  <si>
    <t>164519057</t>
  </si>
  <si>
    <t xml:space="preserve">polycystin-2 </t>
  </si>
  <si>
    <t>126157466</t>
  </si>
  <si>
    <t>polyductin precursor</t>
  </si>
  <si>
    <t>6755088</t>
  </si>
  <si>
    <t xml:space="preserve">cAMP-dependent protein kinase inhibitor gamma </t>
  </si>
  <si>
    <t>153792131</t>
  </si>
  <si>
    <t>pyruvate kinase isozymes R/L isoform 1</t>
  </si>
  <si>
    <t>153792772</t>
  </si>
  <si>
    <t>pyruvate kinase isozymes R/L isoform 2</t>
  </si>
  <si>
    <t>31981562</t>
  </si>
  <si>
    <t xml:space="preserve">pyruvate kinase, muscle isoform M2 </t>
  </si>
  <si>
    <t>359807367</t>
  </si>
  <si>
    <t xml:space="preserve">pyruvate kinase, muscle isoform M1 </t>
  </si>
  <si>
    <t>313760674</t>
  </si>
  <si>
    <t xml:space="preserve">serine/threonine-protein kinase N1 isoform 1 </t>
  </si>
  <si>
    <t>32813439</t>
  </si>
  <si>
    <t xml:space="preserve">serine/threonine-protein kinase N1 isoform 2 </t>
  </si>
  <si>
    <t>260099670</t>
  </si>
  <si>
    <t xml:space="preserve">serine/threonine-protein kinase N2 </t>
  </si>
  <si>
    <t>24418929</t>
  </si>
  <si>
    <t xml:space="preserve">serine/threonine-protein kinase N3 </t>
  </si>
  <si>
    <t>21312960</t>
  </si>
  <si>
    <t xml:space="preserve">plakophilin-2 </t>
  </si>
  <si>
    <t>242332585</t>
  </si>
  <si>
    <t xml:space="preserve">plakophilin-3 isoform 1 </t>
  </si>
  <si>
    <t>242332587</t>
  </si>
  <si>
    <t xml:space="preserve">plakophilin-3 isoform 2 </t>
  </si>
  <si>
    <t>19527008</t>
  </si>
  <si>
    <t xml:space="preserve">group XV phospholipase A2 precursor </t>
  </si>
  <si>
    <t>84781797</t>
  </si>
  <si>
    <t>group XVI phospholipase A1/A2</t>
  </si>
  <si>
    <t>6679369</t>
  </si>
  <si>
    <t xml:space="preserve">cytosolic phospholipase A2 </t>
  </si>
  <si>
    <t>167900427</t>
  </si>
  <si>
    <t>cytosolic phospholipase A2 beta</t>
  </si>
  <si>
    <t>312222739</t>
  </si>
  <si>
    <t xml:space="preserve">85/88 kDa calcium-independent phospholipase A2 isoform 2 </t>
  </si>
  <si>
    <t>8393978;312222745</t>
  </si>
  <si>
    <t xml:space="preserve">85/88 kDa calcium-independent phospholipase A2 isoform 1 </t>
  </si>
  <si>
    <t>31980752</t>
  </si>
  <si>
    <t>platelet-activating factor acetylhydrolase precursor</t>
  </si>
  <si>
    <t>114431250</t>
  </si>
  <si>
    <t xml:space="preserve">phospholipase A-2-activating protein </t>
  </si>
  <si>
    <t>21105853</t>
  </si>
  <si>
    <t>placenta-specific gene 8 protein</t>
  </si>
  <si>
    <t>6679377</t>
  </si>
  <si>
    <t>urokinase-type plasminogen activator precursor</t>
  </si>
  <si>
    <t>31560090</t>
  </si>
  <si>
    <t xml:space="preserve">putative phospholipase B-like 2 precursor </t>
  </si>
  <si>
    <t>31982122</t>
  </si>
  <si>
    <t>1-phosphatidylinositol 4,5-bisphosphate phosphodiesterase beta-3</t>
  </si>
  <si>
    <t>9790167</t>
  </si>
  <si>
    <t>1-phosphatidylinositol 4,5-bisphosphate phosphodiesterase delta-1</t>
  </si>
  <si>
    <t>258645148</t>
  </si>
  <si>
    <t>1-phosphatidylinositol 4,5-bisphosphate phosphodiesterase delta-3</t>
  </si>
  <si>
    <t>41393059</t>
  </si>
  <si>
    <t>1-phosphatidylinositol 4,5-bisphosphate phosphodiesterase gamma-1</t>
  </si>
  <si>
    <t>26986603</t>
  </si>
  <si>
    <t>1-phosphatidylinositol 4,5-bisphosphate phosphodiesterase gamma-2</t>
  </si>
  <si>
    <t>295148200</t>
  </si>
  <si>
    <t>1-phosphatidylinositol 4,5-bisphosphate phosphodiesterase eta-1 isoform 1</t>
  </si>
  <si>
    <t>295148202</t>
  </si>
  <si>
    <t>1-phosphatidylinositol 4,5-bisphosphate phosphodiesterase eta-1 isoform 3</t>
  </si>
  <si>
    <t>295148204</t>
  </si>
  <si>
    <t>1-phosphatidylinositol 4,5-bisphosphate phosphodiesterase eta-1 isoform 2</t>
  </si>
  <si>
    <t>197333710</t>
  </si>
  <si>
    <t xml:space="preserve">phosphatidylinositol-specific phospholipase C, X domain containing 2 </t>
  </si>
  <si>
    <t>6679379</t>
  </si>
  <si>
    <t>phospholipase D2</t>
  </si>
  <si>
    <t>7242181</t>
  </si>
  <si>
    <t>phospholipase D3</t>
  </si>
  <si>
    <t>256000745;256367522</t>
  </si>
  <si>
    <t xml:space="preserve">plectin isoform 1hij </t>
  </si>
  <si>
    <t>256367522</t>
  </si>
  <si>
    <t>254675115</t>
  </si>
  <si>
    <t xml:space="preserve">plectin isoform 12alpha </t>
  </si>
  <si>
    <t>254675117</t>
  </si>
  <si>
    <t xml:space="preserve">plectin isoform 1c2alpha3alpha </t>
  </si>
  <si>
    <t>254675119</t>
  </si>
  <si>
    <t xml:space="preserve">plectin isoform 1b2alpha </t>
  </si>
  <si>
    <t>254675195</t>
  </si>
  <si>
    <t xml:space="preserve">plectin isoform 1c </t>
  </si>
  <si>
    <t>254675201</t>
  </si>
  <si>
    <t xml:space="preserve">plectin isoform 1f </t>
  </si>
  <si>
    <t>254675244</t>
  </si>
  <si>
    <t xml:space="preserve">plectin isoform 1 </t>
  </si>
  <si>
    <t>254675251</t>
  </si>
  <si>
    <t xml:space="preserve">plectin isoform 1d </t>
  </si>
  <si>
    <t>254675253</t>
  </si>
  <si>
    <t xml:space="preserve">plectin isoform 1b </t>
  </si>
  <si>
    <t>254675259</t>
  </si>
  <si>
    <t xml:space="preserve">plectin isoform 1g </t>
  </si>
  <si>
    <t>254675265</t>
  </si>
  <si>
    <t xml:space="preserve">plectin isoform 1a </t>
  </si>
  <si>
    <t>256418964</t>
  </si>
  <si>
    <t xml:space="preserve">plectin isoform 1e </t>
  </si>
  <si>
    <t>19527162</t>
  </si>
  <si>
    <t xml:space="preserve">pleckstrin homology domain-containing family A member 1 </t>
  </si>
  <si>
    <t>13752587</t>
  </si>
  <si>
    <t xml:space="preserve">pleckstrin homology domain-containing family A member 2 </t>
  </si>
  <si>
    <t>237681204</t>
  </si>
  <si>
    <t xml:space="preserve">pleckstrin homology domain-containing family A member 6 isoform 2 </t>
  </si>
  <si>
    <t>33636693</t>
  </si>
  <si>
    <t xml:space="preserve">pleckstrin homology domain-containing family A member 6 isoform 1 </t>
  </si>
  <si>
    <t>170650667</t>
  </si>
  <si>
    <t xml:space="preserve">pleckstrin homology domain-containing family F member 1 </t>
  </si>
  <si>
    <t>29611667</t>
  </si>
  <si>
    <t xml:space="preserve">pleckstrin homology domain-containing family F member 2 </t>
  </si>
  <si>
    <t>84794546</t>
  </si>
  <si>
    <t xml:space="preserve">pleckstrin homology domain containing, family G (with RhoGef domain) member 1 </t>
  </si>
  <si>
    <t>167621502</t>
  </si>
  <si>
    <t xml:space="preserve">pleckstrin homology domain-containing family G member 3 </t>
  </si>
  <si>
    <t>188497685</t>
  </si>
  <si>
    <t xml:space="preserve">pleckstrin homology domain-containing family H member 2 </t>
  </si>
  <si>
    <t>124286797</t>
  </si>
  <si>
    <t xml:space="preserve">placenta-expressed transcript 1 protein precursor </t>
  </si>
  <si>
    <t>257471003</t>
  </si>
  <si>
    <t>plasminogen precursor</t>
  </si>
  <si>
    <t>21312800</t>
  </si>
  <si>
    <t xml:space="preserve">plasminogen receptor (KT) </t>
  </si>
  <si>
    <t>116235489</t>
  </si>
  <si>
    <t xml:space="preserve">perilipin-2 </t>
  </si>
  <si>
    <t>13385312</t>
  </si>
  <si>
    <t xml:space="preserve">perilipin-3 </t>
  </si>
  <si>
    <t>128485538</t>
  </si>
  <si>
    <t xml:space="preserve">serine/threonine-protein kinase PLK1 </t>
  </si>
  <si>
    <t>165932300</t>
  </si>
  <si>
    <t xml:space="preserve">serine/threonine-protein kinase PLK2 </t>
  </si>
  <si>
    <t>6755110</t>
  </si>
  <si>
    <t>procollagen-lysine,2-oxoglutarate 5-dioxygenase 3 precursor</t>
  </si>
  <si>
    <t>9790169</t>
  </si>
  <si>
    <t xml:space="preserve">proteolipid protein 2 </t>
  </si>
  <si>
    <t>31980791</t>
  </si>
  <si>
    <t xml:space="preserve">pleiotropic regulator 1 </t>
  </si>
  <si>
    <t>85986577</t>
  </si>
  <si>
    <t xml:space="preserve">plastin-1 </t>
  </si>
  <si>
    <t>262050551</t>
  </si>
  <si>
    <t xml:space="preserve">plastin-3 </t>
  </si>
  <si>
    <t>262050551;262050553</t>
  </si>
  <si>
    <t>262050553;262050551</t>
  </si>
  <si>
    <t>194328695</t>
  </si>
  <si>
    <t xml:space="preserve">phospholipid scramblase 1 </t>
  </si>
  <si>
    <t>12963735</t>
  </si>
  <si>
    <t xml:space="preserve">phospholipid scramblase 3 </t>
  </si>
  <si>
    <t>255522953</t>
  </si>
  <si>
    <t xml:space="preserve">plasmalemma vesicle-associated protein </t>
  </si>
  <si>
    <t>6679389</t>
  </si>
  <si>
    <t>plexin-A1 precursor</t>
  </si>
  <si>
    <t>113722113</t>
  </si>
  <si>
    <t>plexin-A2 precursor</t>
  </si>
  <si>
    <t>124286839</t>
  </si>
  <si>
    <t>plexin-A3 precursor</t>
  </si>
  <si>
    <t>171543899</t>
  </si>
  <si>
    <t>plexin-A4 precursor</t>
  </si>
  <si>
    <t>225690610</t>
  </si>
  <si>
    <t>plexin-B1 precursor</t>
  </si>
  <si>
    <t>226958474</t>
  </si>
  <si>
    <t>plexin-B2 precursor</t>
  </si>
  <si>
    <t>13385420</t>
  </si>
  <si>
    <t xml:space="preserve">polyamine-modulated factor 1 </t>
  </si>
  <si>
    <t>9910570</t>
  </si>
  <si>
    <t xml:space="preserve">polyamine-modulated factor 1-binding protein 1 </t>
  </si>
  <si>
    <t>160333282</t>
  </si>
  <si>
    <t>protein PML isoform 2</t>
  </si>
  <si>
    <t>160333286</t>
  </si>
  <si>
    <t>protein PML isoform 1</t>
  </si>
  <si>
    <t>33468959</t>
  </si>
  <si>
    <t>phosphomannomutase 1</t>
  </si>
  <si>
    <t>8393988</t>
  </si>
  <si>
    <t>phosphomannomutase 2</t>
  </si>
  <si>
    <t>27502349</t>
  </si>
  <si>
    <t xml:space="preserve">mitochondrial-processing peptidase subunit alpha precursor </t>
  </si>
  <si>
    <t>95113671</t>
  </si>
  <si>
    <t xml:space="preserve">mitochondrial-processing peptidase subunit beta precursor </t>
  </si>
  <si>
    <t>121583910</t>
  </si>
  <si>
    <t>mismatch repair endonuclease PMS2</t>
  </si>
  <si>
    <t>254588056</t>
  </si>
  <si>
    <t>phosphomevalonate kinase isoform 1</t>
  </si>
  <si>
    <t>254588058</t>
  </si>
  <si>
    <t>phosphomevalonate kinase isoform 2</t>
  </si>
  <si>
    <t>87239984</t>
  </si>
  <si>
    <t xml:space="preserve">probable hydrolase PNKD isoform 3 </t>
  </si>
  <si>
    <t>87239988</t>
  </si>
  <si>
    <t xml:space="preserve">probable hydrolase PNKD isoform 2 </t>
  </si>
  <si>
    <t>118601009</t>
  </si>
  <si>
    <t xml:space="preserve">bifunctional polynucleotide phosphatase/kinase </t>
  </si>
  <si>
    <t>112420990</t>
  </si>
  <si>
    <t xml:space="preserve">pinin </t>
  </si>
  <si>
    <t>13384846</t>
  </si>
  <si>
    <t xml:space="preserve">RNA-binding protein PNO1 </t>
  </si>
  <si>
    <t>7305395</t>
  </si>
  <si>
    <t xml:space="preserve">purine nucleoside phosphorylase </t>
  </si>
  <si>
    <t>183074535</t>
  </si>
  <si>
    <t xml:space="preserve">purine-nucleoside phosphorylase 2 </t>
  </si>
  <si>
    <t>170763470</t>
  </si>
  <si>
    <t xml:space="preserve">neuropathy target esterase isoform 2 </t>
  </si>
  <si>
    <t>390608665</t>
  </si>
  <si>
    <t xml:space="preserve">neuropathy target esterase isoform 1 </t>
  </si>
  <si>
    <t>118130807</t>
  </si>
  <si>
    <t xml:space="preserve">calcium-independent phospholipase A2-gamma </t>
  </si>
  <si>
    <t>19527238</t>
  </si>
  <si>
    <t>pyridoxine-5'-phosphate oxidase</t>
  </si>
  <si>
    <t>377833162</t>
  </si>
  <si>
    <t xml:space="preserve">PREDICTED: polyribonucleotide nucleotidyltransferase 1, mitochondrial isoform 1 </t>
  </si>
  <si>
    <t>407261876</t>
  </si>
  <si>
    <t xml:space="preserve">PREDICTED: polyribonucleotide nucleotidyltransferase 1, mitochondrial </t>
  </si>
  <si>
    <t>407261878</t>
  </si>
  <si>
    <t>407261880</t>
  </si>
  <si>
    <t>31657132</t>
  </si>
  <si>
    <t>protein POF1B</t>
  </si>
  <si>
    <t>19525731</t>
  </si>
  <si>
    <t xml:space="preserve">GDP-fucose protein O-fucosyltransferase 2 precursor </t>
  </si>
  <si>
    <t>27369505</t>
  </si>
  <si>
    <t>protein O-glucosyltransferase 1 precursor</t>
  </si>
  <si>
    <t>6679409</t>
  </si>
  <si>
    <t xml:space="preserve">DNA polymerase alpha catalytic subunit </t>
  </si>
  <si>
    <t>255708463</t>
  </si>
  <si>
    <t xml:space="preserve">DNA polymerase alpha subunit B isoform 2 </t>
  </si>
  <si>
    <t>31982107</t>
  </si>
  <si>
    <t xml:space="preserve">DNA polymerase alpha subunit B isoform 1 </t>
  </si>
  <si>
    <t>21729749</t>
  </si>
  <si>
    <t xml:space="preserve">DNA polymerase beta </t>
  </si>
  <si>
    <t>254587977</t>
  </si>
  <si>
    <t xml:space="preserve">DNA polymerase delta catalytic subunit </t>
  </si>
  <si>
    <t>226423863</t>
  </si>
  <si>
    <t xml:space="preserve">DNA polymerase delta subunit 2 </t>
  </si>
  <si>
    <t>29789321</t>
  </si>
  <si>
    <t xml:space="preserve">DNA polymerase delta subunit 3 </t>
  </si>
  <si>
    <t>21312396</t>
  </si>
  <si>
    <t xml:space="preserve">DNA polymerase delta subunit 4 </t>
  </si>
  <si>
    <t>14780884</t>
  </si>
  <si>
    <t>polymerase delta-interacting protein 2</t>
  </si>
  <si>
    <t>30519969</t>
  </si>
  <si>
    <t>polymerase delta-interacting protein 3</t>
  </si>
  <si>
    <t>195947387</t>
  </si>
  <si>
    <t>DNA polymerase epsilon catalytic subunit A</t>
  </si>
  <si>
    <t>33468927</t>
  </si>
  <si>
    <t xml:space="preserve">DNA polymerase epsilon subunit 2 </t>
  </si>
  <si>
    <t>31981174</t>
  </si>
  <si>
    <t xml:space="preserve">DNA polymerase epsilon subunit 3 </t>
  </si>
  <si>
    <t>13385366</t>
  </si>
  <si>
    <t xml:space="preserve">DNA polymerase epsilon subunit 4 </t>
  </si>
  <si>
    <t>256985188</t>
  </si>
  <si>
    <t>DNA-directed RNA polymerase I subunit RPA1</t>
  </si>
  <si>
    <t>224967092</t>
  </si>
  <si>
    <t>DNA-directed RNA polymerase I subunit RPA2</t>
  </si>
  <si>
    <t>119226251</t>
  </si>
  <si>
    <t>DNA-directed RNA polymerases I and III subunit RPAC1</t>
  </si>
  <si>
    <t>6677791</t>
  </si>
  <si>
    <t>DNA-directed RNA polymerases I and III subunit RPAC2 isoform 1</t>
  </si>
  <si>
    <t>6677795</t>
  </si>
  <si>
    <t>DNA-directed RNA polymerase II subunit RPB1</t>
  </si>
  <si>
    <t>226958589</t>
  </si>
  <si>
    <t>DNA-directed RNA polymerase II subunit RPB2</t>
  </si>
  <si>
    <t>29336059</t>
  </si>
  <si>
    <t>DNA-directed RNA polymerase II subunit RPB3</t>
  </si>
  <si>
    <t>28076931</t>
  </si>
  <si>
    <t>DNA-directed RNA polymerase II subunit RPB4 isoform 2</t>
  </si>
  <si>
    <t>21312246</t>
  </si>
  <si>
    <t>DNA-directed RNA polymerase II subunit RPB4 isoform 1</t>
  </si>
  <si>
    <t>124249077</t>
  </si>
  <si>
    <t xml:space="preserve">DNA-directed RNA polymerases I, II, and III subunit RPABC1 </t>
  </si>
  <si>
    <t>13385826</t>
  </si>
  <si>
    <t>DNA-directed RNA polymerase II subunit RPB7</t>
  </si>
  <si>
    <t>21704118</t>
  </si>
  <si>
    <t xml:space="preserve">DNA-directed RNA polymerases I, II, and III subunit RPABC3 </t>
  </si>
  <si>
    <t>110625757</t>
  </si>
  <si>
    <t>DNA-directed RNA polymerase II subunit RPB9</t>
  </si>
  <si>
    <t>188219604</t>
  </si>
  <si>
    <t>DNA-directed RNA polymerase II subunit RPB11</t>
  </si>
  <si>
    <t>219881031</t>
  </si>
  <si>
    <t xml:space="preserve">DNA-directed RNA polymerases I, II, and III subunit RPABC5 </t>
  </si>
  <si>
    <t>258645114</t>
  </si>
  <si>
    <t>DNA-directed RNA polymerase II subunit GRINL1A isoform 2</t>
  </si>
  <si>
    <t>30519919</t>
  </si>
  <si>
    <t>DNA-directed RNA polymerase II subunit GRINL1A isoform 1</t>
  </si>
  <si>
    <t>46195739</t>
  </si>
  <si>
    <t>DNA-directed RNA polymerase III subunit RPC2</t>
  </si>
  <si>
    <t>198278473</t>
  </si>
  <si>
    <t>DNA-directed RNA polymerase III subunit RPC3</t>
  </si>
  <si>
    <t>27754160</t>
  </si>
  <si>
    <t>DNA-directed RNA polymerase III subunit RPC6</t>
  </si>
  <si>
    <t>281332113</t>
  </si>
  <si>
    <t xml:space="preserve">DNA-directed RNA polymerase, mitochondrial precursor </t>
  </si>
  <si>
    <t>13385086</t>
  </si>
  <si>
    <t xml:space="preserve">proteasome maturation protein </t>
  </si>
  <si>
    <t>27370510</t>
  </si>
  <si>
    <t>serum paraoxonase/lactonase 3 precursor</t>
  </si>
  <si>
    <t>21312814</t>
  </si>
  <si>
    <t>processing of precursor 1 isoform 2</t>
  </si>
  <si>
    <t>23097256</t>
  </si>
  <si>
    <t>processing of precursor 1 isoform 1</t>
  </si>
  <si>
    <t>13384772</t>
  </si>
  <si>
    <t xml:space="preserve">ribonuclease P protein subunit p29 </t>
  </si>
  <si>
    <t>20270200</t>
  </si>
  <si>
    <t xml:space="preserve">ribonuclease P/MRP protein subunit POP5 </t>
  </si>
  <si>
    <t>13899215</t>
  </si>
  <si>
    <t xml:space="preserve">ribonuclease P protein subunit p20 </t>
  </si>
  <si>
    <t>6679421</t>
  </si>
  <si>
    <t xml:space="preserve">NADPH--cytochrome P450 reductase </t>
  </si>
  <si>
    <t>27754065</t>
  </si>
  <si>
    <t>inorganic pyrophosphatase</t>
  </si>
  <si>
    <t>22203753</t>
  </si>
  <si>
    <t xml:space="preserve">inorganic pyrophosphatase 2, mitochondrial precursor </t>
  </si>
  <si>
    <t>110431341</t>
  </si>
  <si>
    <t>lipid phosphate phosphohydrolase 2</t>
  </si>
  <si>
    <t>77861908</t>
  </si>
  <si>
    <t xml:space="preserve">presqualene diphosphate phosphatase </t>
  </si>
  <si>
    <t>26024309</t>
  </si>
  <si>
    <t xml:space="preserve">phosphoribosyl pyrophosphate amidotransferase </t>
  </si>
  <si>
    <t>28849879</t>
  </si>
  <si>
    <t>phosphopantothenoylcysteine decarboxylase</t>
  </si>
  <si>
    <t>76096364</t>
  </si>
  <si>
    <t>phosphopantothenate--cysteine ligase</t>
  </si>
  <si>
    <t>189491857</t>
  </si>
  <si>
    <t xml:space="preserve">liprin-alpha-1 isoform B </t>
  </si>
  <si>
    <t>304361734</t>
  </si>
  <si>
    <t xml:space="preserve">liprin-alpha-1 isoform A </t>
  </si>
  <si>
    <t>281371356</t>
  </si>
  <si>
    <t xml:space="preserve">liprin-beta-1 isoform 1 </t>
  </si>
  <si>
    <t>49274606</t>
  </si>
  <si>
    <t xml:space="preserve">liprin-beta-1 isoform 2 </t>
  </si>
  <si>
    <t>6679439</t>
  </si>
  <si>
    <t>peptidyl-prolyl cis-trans isomerase A</t>
  </si>
  <si>
    <t>71774133</t>
  </si>
  <si>
    <t xml:space="preserve">peptidyl-prolyl cis-trans isomerase B precursor </t>
  </si>
  <si>
    <t>6679441</t>
  </si>
  <si>
    <t xml:space="preserve">peptidyl-prolyl cis-trans isomerase C precursor </t>
  </si>
  <si>
    <t>13385854</t>
  </si>
  <si>
    <t>peptidyl-prolyl cis-trans isomerase D</t>
  </si>
  <si>
    <t>14196340</t>
  </si>
  <si>
    <t>peptidyl-prolyl cis-trans isomerase E</t>
  </si>
  <si>
    <t>19527310</t>
  </si>
  <si>
    <t>peptidyl-prolyl cis-trans isomerase F, mitochondrial precursor</t>
  </si>
  <si>
    <t>124487333</t>
  </si>
  <si>
    <t>peptidyl-prolyl cis-trans isomerase G</t>
  </si>
  <si>
    <t>158631196</t>
  </si>
  <si>
    <t>peptidyl-prolyl cis-trans isomerase H isoform 2</t>
  </si>
  <si>
    <t>21312022</t>
  </si>
  <si>
    <t>peptidyl-prolyl cis-trans isomerase H isoform 1</t>
  </si>
  <si>
    <t>21312784</t>
  </si>
  <si>
    <t>peptidyl-prolyl cis-trans isomerase-like 1</t>
  </si>
  <si>
    <t>356995944;30025020</t>
  </si>
  <si>
    <t>peptidyl-prolyl cis-trans isomerase-like 2</t>
  </si>
  <si>
    <t>30025020</t>
  </si>
  <si>
    <t>169790966</t>
  </si>
  <si>
    <t>peptidyl-prolyl cis-trans isomerase-like 3 isoform 2</t>
  </si>
  <si>
    <t>21746159</t>
  </si>
  <si>
    <t>peptidyl-prolyl cis-trans isomerase-like 3 isoform 1</t>
  </si>
  <si>
    <t>165972339</t>
  </si>
  <si>
    <t>peptidyl-prolyl cis-trans isomerase-like 4</t>
  </si>
  <si>
    <t>145207986</t>
  </si>
  <si>
    <t>inositol hexakisphosphate and diphosphoinositol-pentakisphosphate kinase 1</t>
  </si>
  <si>
    <t>166706913</t>
  </si>
  <si>
    <t>inositol hexakisphosphate and diphosphoinositol-pentakisphosphate kinase 2</t>
  </si>
  <si>
    <t>112421039</t>
  </si>
  <si>
    <t xml:space="preserve">periplakin </t>
  </si>
  <si>
    <t>6679443</t>
  </si>
  <si>
    <t xml:space="preserve">protein phosphatase 1A </t>
  </si>
  <si>
    <t>226958356</t>
  </si>
  <si>
    <t xml:space="preserve">protein phosphatase 1B isoform 3 </t>
  </si>
  <si>
    <t>226958358</t>
  </si>
  <si>
    <t xml:space="preserve">protein phosphatase 1B isoform 4 </t>
  </si>
  <si>
    <t>33859600</t>
  </si>
  <si>
    <t xml:space="preserve">protein phosphatase 1B isoform 2 </t>
  </si>
  <si>
    <t>226958354</t>
  </si>
  <si>
    <t xml:space="preserve">protein phosphatase 1B isoform 1 </t>
  </si>
  <si>
    <t>28849881</t>
  </si>
  <si>
    <t xml:space="preserve">protein phosphatase 1F </t>
  </si>
  <si>
    <t>6679793</t>
  </si>
  <si>
    <t xml:space="preserve">protein phosphatase 1G </t>
  </si>
  <si>
    <t>160358864</t>
  </si>
  <si>
    <t xml:space="preserve">protein phosphatase 1H isoform 2 </t>
  </si>
  <si>
    <t>160358866</t>
  </si>
  <si>
    <t xml:space="preserve">protein phosphatase 1H isoform 1 </t>
  </si>
  <si>
    <t>66392585</t>
  </si>
  <si>
    <t xml:space="preserve">protein phosphatase 1L </t>
  </si>
  <si>
    <t>30794138</t>
  </si>
  <si>
    <t>protein phosphatase methylesterase 1</t>
  </si>
  <si>
    <t>6679445</t>
  </si>
  <si>
    <t>protoporphyrinogen oxidase</t>
  </si>
  <si>
    <t>13994195</t>
  </si>
  <si>
    <t xml:space="preserve">serine/threonine-protein phosphatase PP1-alpha catalytic subunit </t>
  </si>
  <si>
    <t>161484668</t>
  </si>
  <si>
    <t xml:space="preserve">serine/threonine-protein phosphatase PP1-beta catalytic subunit </t>
  </si>
  <si>
    <t>31980772</t>
  </si>
  <si>
    <t xml:space="preserve">serine/threonine-protein phosphatase PP1-gamma catalytic subunit </t>
  </si>
  <si>
    <t>255308881</t>
  </si>
  <si>
    <t>serine/threonine-protein phosphatase 1 regulatory subunit 10</t>
  </si>
  <si>
    <t>18390327</t>
  </si>
  <si>
    <t>protein phosphatase 1 regulatory subunit 11</t>
  </si>
  <si>
    <t>95772123</t>
  </si>
  <si>
    <t>protein phosphatase 1 regulatory subunit 12A</t>
  </si>
  <si>
    <t>124486803</t>
  </si>
  <si>
    <t>protein phosphatase 1 regulatory subunit 12B</t>
  </si>
  <si>
    <t>45592936</t>
  </si>
  <si>
    <t xml:space="preserve">apoptosis-stimulating of p53 protein 1 </t>
  </si>
  <si>
    <t>58082069</t>
  </si>
  <si>
    <t>relA-associated inhibitor</t>
  </si>
  <si>
    <t>62122946</t>
  </si>
  <si>
    <t>protein phosphatase 1 regulatory subunit 14B</t>
  </si>
  <si>
    <t>226443075;226443079</t>
  </si>
  <si>
    <t xml:space="preserve">phostensin </t>
  </si>
  <si>
    <t>21536256</t>
  </si>
  <si>
    <t>protein phosphatase 1 regulatory subunit 1B</t>
  </si>
  <si>
    <t>18859587</t>
  </si>
  <si>
    <t>protein phosphatase inhibitor 2</t>
  </si>
  <si>
    <t>254911014</t>
  </si>
  <si>
    <t>protein phosphatase 1 regulatory subunit 21</t>
  </si>
  <si>
    <t>12963569</t>
  </si>
  <si>
    <t>protein phosphatase 1 regulatory subunit 7</t>
  </si>
  <si>
    <t>22122685</t>
  </si>
  <si>
    <t>nuclear inhibitor of protein phosphatase 1</t>
  </si>
  <si>
    <t>31711997</t>
  </si>
  <si>
    <t xml:space="preserve">neurabin-1 </t>
  </si>
  <si>
    <t>50053703</t>
  </si>
  <si>
    <t xml:space="preserve">neurabin-2 </t>
  </si>
  <si>
    <t>9506983</t>
  </si>
  <si>
    <t xml:space="preserve">serine/threonine-protein phosphatase 2A catalytic subunit alpha isoform </t>
  </si>
  <si>
    <t>8394024</t>
  </si>
  <si>
    <t xml:space="preserve">serine/threonine-protein phosphatase 2A catalytic subunit beta isoform </t>
  </si>
  <si>
    <t>8394027</t>
  </si>
  <si>
    <t>serine/threonine-protein phosphatase 2A 65 kDa regulatory subunit A alpha isoform</t>
  </si>
  <si>
    <t>557440787</t>
  </si>
  <si>
    <t>serine/threonine-protein phosphatase 2A 65 kDa regulatory subunit A beta isoform isoform c</t>
  </si>
  <si>
    <t>77539770</t>
  </si>
  <si>
    <t>serine/threonine-protein phosphatase 2A 65 kDa regulatory subunit A beta isoform isoform a</t>
  </si>
  <si>
    <t>77539776</t>
  </si>
  <si>
    <t>serine/threonine-protein phosphatase 2A 65 kDa regulatory subunit A beta isoform isoform b</t>
  </si>
  <si>
    <t>110625886</t>
  </si>
  <si>
    <t>serine/threonine-protein phosphatase 2A 55 kDa regulatory subunit B alpha isoform isoform 1</t>
  </si>
  <si>
    <t>327180707</t>
  </si>
  <si>
    <t>serine/threonine-protein phosphatase 2A 55 kDa regulatory subunit B alpha isoform isoform 2</t>
  </si>
  <si>
    <t>21312161</t>
  </si>
  <si>
    <t>serine/threonine-protein phosphatase 2A 55 kDa regulatory subunit B beta isoform isoform 2</t>
  </si>
  <si>
    <t>27370502</t>
  </si>
  <si>
    <t>serine/threonine-protein phosphatase 2A 55 kDa regulatory subunit B gamma isoform</t>
  </si>
  <si>
    <t>22726177</t>
  </si>
  <si>
    <t>serine/threonine-protein phosphatase 2A 55 kDa regulatory subunit B delta isoform</t>
  </si>
  <si>
    <t>254587947</t>
  </si>
  <si>
    <t>serine/threonine-protein phosphatase 2A activator</t>
  </si>
  <si>
    <t>47059051</t>
  </si>
  <si>
    <t xml:space="preserve">serine/threonine-protein phosphatase 2A 56 kDa regulatory subunit alpha isoform </t>
  </si>
  <si>
    <t>37718993</t>
  </si>
  <si>
    <t xml:space="preserve">serine/threonine-protein phosphatase 2A 56 kDa regulatory subunit beta isoform </t>
  </si>
  <si>
    <t>125346006</t>
  </si>
  <si>
    <t xml:space="preserve">serine/threonine-protein phosphatase 2A 56 kDa regulatory subunit gamma isoform isoform b </t>
  </si>
  <si>
    <t>125346020</t>
  </si>
  <si>
    <t xml:space="preserve">serine/threonine-protein phosphatase 2A 56 kDa regulatory subunit gamma isoform isoform a </t>
  </si>
  <si>
    <t>125346154</t>
  </si>
  <si>
    <t xml:space="preserve">serine/threonine-protein phosphatase 2A 56 kDa regulatory subunit gamma isoform isoform c </t>
  </si>
  <si>
    <t>218751908</t>
  </si>
  <si>
    <t xml:space="preserve">serine/threonine-protein phosphatase 2A 56 kDa regulatory subunit gamma isoform isoform d </t>
  </si>
  <si>
    <t>33942059</t>
  </si>
  <si>
    <t xml:space="preserve">delta isoform of regulatory subunit B56, protein phosphatase 2A </t>
  </si>
  <si>
    <t>33859660</t>
  </si>
  <si>
    <t xml:space="preserve">serine/threonine-protein phosphatase 2A 56 kDa regulatory subunit epsilon isoform </t>
  </si>
  <si>
    <t>42415473</t>
  </si>
  <si>
    <t xml:space="preserve">serine/threonine-protein phosphatase 2B catalytic subunit alpha isoform </t>
  </si>
  <si>
    <t>45592930</t>
  </si>
  <si>
    <t xml:space="preserve">serine/threonine-protein phosphatase 2B catalytic subunit beta isoform </t>
  </si>
  <si>
    <t>6679447</t>
  </si>
  <si>
    <t xml:space="preserve">serine/threonine-protein phosphatase 2B catalytic subunit gamma isoform </t>
  </si>
  <si>
    <t>84794597</t>
  </si>
  <si>
    <t xml:space="preserve">calcineurin subunit B type 1 </t>
  </si>
  <si>
    <t>9790175</t>
  </si>
  <si>
    <t xml:space="preserve">serine/threonine-protein phosphatase 4 catalytic subunit </t>
  </si>
  <si>
    <t>166706860</t>
  </si>
  <si>
    <t>serine/threonine-protein phosphatase 4 regulatory subunit 1 isoform a</t>
  </si>
  <si>
    <t>166706862</t>
  </si>
  <si>
    <t>serine/threonine-protein phosphatase 4 regulatory subunit 1 isoform b</t>
  </si>
  <si>
    <t>33636709</t>
  </si>
  <si>
    <t>serine/threonine-protein phosphatase 4 regulatory subunit 2</t>
  </si>
  <si>
    <t>199559777</t>
  </si>
  <si>
    <t xml:space="preserve">serine/threonine-protein phosphatase 5 </t>
  </si>
  <si>
    <t>21312758</t>
  </si>
  <si>
    <t xml:space="preserve">serine/threonine-protein phosphatase 6 catalytic subunit </t>
  </si>
  <si>
    <t>34536815</t>
  </si>
  <si>
    <t>serine/threonine-protein phosphatase 6 regulatory subunit 1</t>
  </si>
  <si>
    <t>28076987</t>
  </si>
  <si>
    <t>serine/threonine-protein phosphatase 6 regulatory subunit 2 isoform 2</t>
  </si>
  <si>
    <t>54145496</t>
  </si>
  <si>
    <t>serine/threonine-protein phosphatase 6 regulatory subunit 2 isoform 1</t>
  </si>
  <si>
    <t>22726197</t>
  </si>
  <si>
    <t>serine/threonine-protein phosphatase 6 regulatory subunit 3 isoform 2</t>
  </si>
  <si>
    <t>255918184</t>
  </si>
  <si>
    <t>serine/threonine-protein phosphatase 6 regulatory subunit 3 isoform 3</t>
  </si>
  <si>
    <t>255918186</t>
  </si>
  <si>
    <t>serine/threonine-protein phosphatase 6 regulatory subunit 3 isoform 1</t>
  </si>
  <si>
    <t>121674797</t>
  </si>
  <si>
    <t>palmitoyl-protein thioesterase 1 precursor</t>
  </si>
  <si>
    <t>9506985</t>
  </si>
  <si>
    <t>lysosomal thioesterase PPT2 precursor</t>
  </si>
  <si>
    <t>46195809</t>
  </si>
  <si>
    <t>protein phosphatase PTC7 homolog</t>
  </si>
  <si>
    <t>255683299</t>
  </si>
  <si>
    <t>peptidylprolyl isomerase domain and WD repeat-containing protein 1</t>
  </si>
  <si>
    <t>238550113</t>
  </si>
  <si>
    <t xml:space="preserve">PQ-loop repeat-containing protein 3 isoform 1 precursor </t>
  </si>
  <si>
    <t>238550118</t>
  </si>
  <si>
    <t xml:space="preserve">PQ-loop repeat-containing protein 3 isoform 2 precursor </t>
  </si>
  <si>
    <t>254750692</t>
  </si>
  <si>
    <t xml:space="preserve">protease-associated domain-containing protein 1 isoform b precursor </t>
  </si>
  <si>
    <t>20070422</t>
  </si>
  <si>
    <t>PRA1 family protein 2</t>
  </si>
  <si>
    <t>255308896</t>
  </si>
  <si>
    <t>PML-RARA-regulated adapter molecule 1</t>
  </si>
  <si>
    <t>188219557</t>
  </si>
  <si>
    <t xml:space="preserve">protein regulator of cytokinesis 1 </t>
  </si>
  <si>
    <t>33469015</t>
  </si>
  <si>
    <t>lysosomal Pro-X carboxypeptidase precursor</t>
  </si>
  <si>
    <t>172073164</t>
  </si>
  <si>
    <t>PR domain zinc finger protein 1</t>
  </si>
  <si>
    <t>294712532</t>
  </si>
  <si>
    <t>PR domain-containing protein 11</t>
  </si>
  <si>
    <t>6754976</t>
  </si>
  <si>
    <t xml:space="preserve">peroxiredoxin-1 </t>
  </si>
  <si>
    <t>148747558</t>
  </si>
  <si>
    <t xml:space="preserve">peroxiredoxin-2 </t>
  </si>
  <si>
    <t>6680690</t>
  </si>
  <si>
    <t xml:space="preserve">thioredoxin-dependent peroxide reductase, mitochondrial precursor </t>
  </si>
  <si>
    <t>7948999</t>
  </si>
  <si>
    <t>peroxiredoxin-4 precursor</t>
  </si>
  <si>
    <t>6755114</t>
  </si>
  <si>
    <t xml:space="preserve">peroxiredoxin-5, mitochondrial precursor </t>
  </si>
  <si>
    <t>6671549</t>
  </si>
  <si>
    <t xml:space="preserve">peroxiredoxin-6 </t>
  </si>
  <si>
    <t>28916703</t>
  </si>
  <si>
    <t xml:space="preserve">peroxiredoxin 6, related sequence 1 </t>
  </si>
  <si>
    <t>158749640</t>
  </si>
  <si>
    <t>prolactin regulatory element-binding protein</t>
  </si>
  <si>
    <t>6755152</t>
  </si>
  <si>
    <t>prolyl endopeptidase</t>
  </si>
  <si>
    <t>6679459</t>
  </si>
  <si>
    <t>DNA primase small subunit</t>
  </si>
  <si>
    <t>6679461</t>
  </si>
  <si>
    <t>DNA primase large subunit</t>
  </si>
  <si>
    <t>94681061</t>
  </si>
  <si>
    <t>5'-AMP-activated protein kinase catalytic subunit alpha-1</t>
  </si>
  <si>
    <t>227452236</t>
  </si>
  <si>
    <t>5'-AMP-activated protein kinase catalytic subunit alpha-2</t>
  </si>
  <si>
    <t>23956234</t>
  </si>
  <si>
    <t xml:space="preserve">5'-AMP-activated protein kinase subunit beta-1 </t>
  </si>
  <si>
    <t>72384347</t>
  </si>
  <si>
    <t xml:space="preserve">5'-AMP-activated protein kinase subunit beta-2 </t>
  </si>
  <si>
    <t>483968030</t>
  </si>
  <si>
    <t>cAMP-dependent protein kinase catalytic subunit alpha isoform 2</t>
  </si>
  <si>
    <t>7110693</t>
  </si>
  <si>
    <t>cAMP-dependent protein kinase catalytic subunit alpha isoform 1</t>
  </si>
  <si>
    <t>255958156</t>
  </si>
  <si>
    <t>cAMP-dependent protein kinase catalytic subunit beta isoform 4</t>
  </si>
  <si>
    <t>255958318</t>
  </si>
  <si>
    <t>cAMP-dependent protein kinase catalytic subunit beta isoform 2</t>
  </si>
  <si>
    <t>255958320</t>
  </si>
  <si>
    <t>cAMP-dependent protein kinase catalytic subunit beta isoform 3</t>
  </si>
  <si>
    <t>6755076</t>
  </si>
  <si>
    <t>cAMP-dependent protein kinase catalytic subunit beta isoform 1</t>
  </si>
  <si>
    <t>124107596</t>
  </si>
  <si>
    <t xml:space="preserve">5'-AMP-activated protein kinase subunit gamma-1 </t>
  </si>
  <si>
    <t>282847325</t>
  </si>
  <si>
    <t xml:space="preserve">5'-AMP-activated protein kinase subunit gamma-2 isoform 1 </t>
  </si>
  <si>
    <t>282847327</t>
  </si>
  <si>
    <t xml:space="preserve">5'-AMP-activated protein kinase subunit gamma-2 isoform 2 </t>
  </si>
  <si>
    <t>282847331</t>
  </si>
  <si>
    <t xml:space="preserve">5'-AMP-activated protein kinase subunit gamma-2 isoform 3 </t>
  </si>
  <si>
    <t>30794476</t>
  </si>
  <si>
    <t xml:space="preserve">cAMP-dependent protein kinase type I-alpha regulatory subunit </t>
  </si>
  <si>
    <t>359751382;254675178</t>
  </si>
  <si>
    <t xml:space="preserve">cAMP-dependent protein kinase type I-beta regulatory subunit </t>
  </si>
  <si>
    <t>22550094</t>
  </si>
  <si>
    <t xml:space="preserve">cAMP-dependent protein kinase type II-alpha regulatory subunit </t>
  </si>
  <si>
    <t>45598396</t>
  </si>
  <si>
    <t xml:space="preserve">cAMP-dependent protein kinase type II-beta regulatory subunit </t>
  </si>
  <si>
    <t>164663791</t>
  </si>
  <si>
    <t xml:space="preserve">protein kinase C alpha type </t>
  </si>
  <si>
    <t>6679345</t>
  </si>
  <si>
    <t xml:space="preserve">protein kinase C beta type </t>
  </si>
  <si>
    <t>6755082</t>
  </si>
  <si>
    <t xml:space="preserve">protein kinase C delta type </t>
  </si>
  <si>
    <t>6755084</t>
  </si>
  <si>
    <t xml:space="preserve">protein kinase C epsilon type </t>
  </si>
  <si>
    <t>6755080</t>
  </si>
  <si>
    <t xml:space="preserve">protein kinase C gamma type </t>
  </si>
  <si>
    <t>31543511</t>
  </si>
  <si>
    <t xml:space="preserve">protein kinase C eta type </t>
  </si>
  <si>
    <t>133778989</t>
  </si>
  <si>
    <t xml:space="preserve">protein kinase C iota type </t>
  </si>
  <si>
    <t>6679353</t>
  </si>
  <si>
    <t xml:space="preserve">protein kinase C theta type </t>
  </si>
  <si>
    <t>6679465</t>
  </si>
  <si>
    <t xml:space="preserve">glucosidase 2 subunit beta precursor </t>
  </si>
  <si>
    <t>84872200</t>
  </si>
  <si>
    <t xml:space="preserve">protein kinase C zeta type isoform a </t>
  </si>
  <si>
    <t>84872205</t>
  </si>
  <si>
    <t xml:space="preserve">protein kinase C zeta type isoform b </t>
  </si>
  <si>
    <t>356995870;30725754</t>
  </si>
  <si>
    <t xml:space="preserve">serine/threonine-protein kinase D2 </t>
  </si>
  <si>
    <t>30725754</t>
  </si>
  <si>
    <t>124517706</t>
  </si>
  <si>
    <t xml:space="preserve">DNA-dependent protein kinase catalytic subunit </t>
  </si>
  <si>
    <t>6755162</t>
  </si>
  <si>
    <t>interferon-inducible double stranded RNA-dependent protein kinase activator A</t>
  </si>
  <si>
    <t>357197160</t>
  </si>
  <si>
    <t>protein arginine N-methyltransferase 1 isoform 3</t>
  </si>
  <si>
    <t>357197158</t>
  </si>
  <si>
    <t>protein arginine N-methyltransferase 1 isoform 2</t>
  </si>
  <si>
    <t>9790109</t>
  </si>
  <si>
    <t>protein arginine N-methyltransferase 1 isoform 1</t>
  </si>
  <si>
    <t>117938280</t>
  </si>
  <si>
    <t>protein arginine N-methyltransferase 2</t>
  </si>
  <si>
    <t>29789323</t>
  </si>
  <si>
    <t>protein arginine N-methyltransferase 3</t>
  </si>
  <si>
    <t>188528624</t>
  </si>
  <si>
    <t>protein arginine N-methyltransferase 5</t>
  </si>
  <si>
    <t>126432554</t>
  </si>
  <si>
    <t>protein arginine N-methyltransferase 6</t>
  </si>
  <si>
    <t>21703808</t>
  </si>
  <si>
    <t>protein arginine N-methyltransferase 7</t>
  </si>
  <si>
    <t>357527369</t>
  </si>
  <si>
    <t>protein arginine N-methyltransferase 8</t>
  </si>
  <si>
    <t>118601004</t>
  </si>
  <si>
    <t xml:space="preserve">proline dehydrogenase 1, mitochondrial precursor </t>
  </si>
  <si>
    <t>254675296</t>
  </si>
  <si>
    <t>prominin-1 isoform s1 precursor</t>
  </si>
  <si>
    <t>254675298</t>
  </si>
  <si>
    <t>prominin-1 isoform s2 precursor</t>
  </si>
  <si>
    <t>254675304</t>
  </si>
  <si>
    <t>prominin-1 isoform s3 precursor</t>
  </si>
  <si>
    <t>254675312</t>
  </si>
  <si>
    <t xml:space="preserve">prominin-1 isoform s4 </t>
  </si>
  <si>
    <t>254675314</t>
  </si>
  <si>
    <t xml:space="preserve">prominin-1 isoform s5 </t>
  </si>
  <si>
    <t>254675316</t>
  </si>
  <si>
    <t>prominin-1 isoform s6 precursor</t>
  </si>
  <si>
    <t>254675318</t>
  </si>
  <si>
    <t>prominin-1 isoform s7 precursor</t>
  </si>
  <si>
    <t>254675320</t>
  </si>
  <si>
    <t>prominin-1 isoform s8 precursor</t>
  </si>
  <si>
    <t>224994182</t>
  </si>
  <si>
    <t>prominin-2 isoform 1 precursor</t>
  </si>
  <si>
    <t>224994184</t>
  </si>
  <si>
    <t>prominin-2 isoform 2 precursor</t>
  </si>
  <si>
    <t>254540216</t>
  </si>
  <si>
    <t>prolyl-tRNA synthetase associated domain-containing protein 1 isoform 1</t>
  </si>
  <si>
    <t>21312706</t>
  </si>
  <si>
    <t>prolyl-tRNA synthetase associated domain-containing protein 1 isoform 2</t>
  </si>
  <si>
    <t>84872187</t>
  </si>
  <si>
    <t>proline synthase co-transcribed bacterial homolog protein isoform c</t>
  </si>
  <si>
    <t>16930823</t>
  </si>
  <si>
    <t>proline synthase co-transcribed bacterial homolog protein isoform a</t>
  </si>
  <si>
    <t>84872182</t>
  </si>
  <si>
    <t>proline synthase co-transcribed bacterial homolog protein isoform b</t>
  </si>
  <si>
    <t>110625904</t>
  </si>
  <si>
    <t xml:space="preserve">proline and serine-rich protein 2 </t>
  </si>
  <si>
    <t>40254503</t>
  </si>
  <si>
    <t xml:space="preserve">pre-mRNA-splicing factor 18 </t>
  </si>
  <si>
    <t>19527358</t>
  </si>
  <si>
    <t xml:space="preserve">pre-mRNA-processing factor 19 isoform 2 </t>
  </si>
  <si>
    <t>359718917</t>
  </si>
  <si>
    <t xml:space="preserve">pre-mRNA-processing factor 19 isoform 1 </t>
  </si>
  <si>
    <t>359718922</t>
  </si>
  <si>
    <t xml:space="preserve">pre-mRNA-processing factor 19 isoform 3 </t>
  </si>
  <si>
    <t>31980657</t>
  </si>
  <si>
    <t xml:space="preserve">U4/U6 small nuclear ribonucleoprotein Prp3 </t>
  </si>
  <si>
    <t>228480236</t>
  </si>
  <si>
    <t xml:space="preserve">U4/U6 small nuclear ribonucleoprotein Prp31 isoform 1 </t>
  </si>
  <si>
    <t>228480238</t>
  </si>
  <si>
    <t xml:space="preserve">U4/U6 small nuclear ribonucleoprotein Prp31 isoform 2 </t>
  </si>
  <si>
    <t>227497256</t>
  </si>
  <si>
    <t xml:space="preserve">pre-mRNA-splicing factor 38A </t>
  </si>
  <si>
    <t>30794464</t>
  </si>
  <si>
    <t xml:space="preserve">pre-mRNA-splicing factor 38B </t>
  </si>
  <si>
    <t>156546892</t>
  </si>
  <si>
    <t xml:space="preserve">pre-mRNA-processing factor 39 </t>
  </si>
  <si>
    <t>55925589</t>
  </si>
  <si>
    <t xml:space="preserve">U4/U6 small nuclear ribonucleoprotein Prp4 </t>
  </si>
  <si>
    <t>9055218</t>
  </si>
  <si>
    <t xml:space="preserve">pre-mRNA-processing factor 40 homolog A </t>
  </si>
  <si>
    <t>9055244</t>
  </si>
  <si>
    <t xml:space="preserve">pre-mRNA-processing factor 40 homolog B </t>
  </si>
  <si>
    <t>158854005</t>
  </si>
  <si>
    <t>serine/threonine-protein kinase PRP4 homolog</t>
  </si>
  <si>
    <t>21539655</t>
  </si>
  <si>
    <t xml:space="preserve">pre-mRNA-processing factor 6 </t>
  </si>
  <si>
    <t>115583687</t>
  </si>
  <si>
    <t xml:space="preserve">pre-mRNA-processing-splicing factor 8 </t>
  </si>
  <si>
    <t>254675335</t>
  </si>
  <si>
    <t xml:space="preserve">peripherin isoform 1 </t>
  </si>
  <si>
    <t>254675337</t>
  </si>
  <si>
    <t xml:space="preserve">peripherin isoform 2 </t>
  </si>
  <si>
    <t>254675339</t>
  </si>
  <si>
    <t xml:space="preserve">peripherin isoform 3 </t>
  </si>
  <si>
    <t>10946854</t>
  </si>
  <si>
    <t xml:space="preserve">ribose-phosphate pyrophosphokinase 1 </t>
  </si>
  <si>
    <t>30794182</t>
  </si>
  <si>
    <t xml:space="preserve">phosphoribosyl pyrophosphate synthetase 1-like 1 </t>
  </si>
  <si>
    <t>256418956</t>
  </si>
  <si>
    <t>ribose-phosphate pyrophosphokinase</t>
  </si>
  <si>
    <t>13386146</t>
  </si>
  <si>
    <t xml:space="preserve">ribose-phosphate pyrophosphokinase 2 </t>
  </si>
  <si>
    <t>254540089</t>
  </si>
  <si>
    <t xml:space="preserve">phosphoribosyl pyrophosphate synthase-associated protein 1 </t>
  </si>
  <si>
    <t>21450169</t>
  </si>
  <si>
    <t xml:space="preserve">phosphoribosyl pyrophosphate synthase-associated protein 2 isoform a </t>
  </si>
  <si>
    <t>256773295</t>
  </si>
  <si>
    <t xml:space="preserve">phosphoribosyl pyrophosphate synthase-associated protein 2 isoform b </t>
  </si>
  <si>
    <t>110625811</t>
  </si>
  <si>
    <t>protein PRRC1</t>
  </si>
  <si>
    <t>312261233</t>
  </si>
  <si>
    <t>protein PRRC2A isoform 2</t>
  </si>
  <si>
    <t>92110037</t>
  </si>
  <si>
    <t>protein PRRC2A isoform 1</t>
  </si>
  <si>
    <t>227500365</t>
  </si>
  <si>
    <t>protein PRRC2B isoform 1</t>
  </si>
  <si>
    <t>34328385</t>
  </si>
  <si>
    <t>protein PRRC2B isoform 2</t>
  </si>
  <si>
    <t>124486835</t>
  </si>
  <si>
    <t>protein PRRC2C</t>
  </si>
  <si>
    <t>16716569</t>
  </si>
  <si>
    <t>protease, serine, 1 precursor</t>
  </si>
  <si>
    <t>19111160</t>
  </si>
  <si>
    <t>prostasin precursor</t>
  </si>
  <si>
    <t>27597069</t>
  </si>
  <si>
    <t xml:space="preserve">protein prune homolog </t>
  </si>
  <si>
    <t>225735645</t>
  </si>
  <si>
    <t>sulfated glycoprotein 1 isoform B preproprotein</t>
  </si>
  <si>
    <t>225735649</t>
  </si>
  <si>
    <t>sulfated glycoprotein 1 isoform A preproprotein</t>
  </si>
  <si>
    <t>225735651</t>
  </si>
  <si>
    <t>sulfated glycoprotein 1 isoform C preproprotein</t>
  </si>
  <si>
    <t>225735653</t>
  </si>
  <si>
    <t>sulfated glycoprotein 1 isoform D preproprotein</t>
  </si>
  <si>
    <t>225735655</t>
  </si>
  <si>
    <t>sulfated glycoprotein 1 isoform E preproprotein</t>
  </si>
  <si>
    <t>225735657</t>
  </si>
  <si>
    <t>sulfated glycoprotein 1 isoform F preproprotein</t>
  </si>
  <si>
    <t>329299029</t>
  </si>
  <si>
    <t>phosphoserine aminotransferase isoform 2</t>
  </si>
  <si>
    <t>54292132</t>
  </si>
  <si>
    <t>phosphoserine aminotransferase isoform 1</t>
  </si>
  <si>
    <t>6679493</t>
  </si>
  <si>
    <t xml:space="preserve">presenilin-1 </t>
  </si>
  <si>
    <t>190684663;190684661</t>
  </si>
  <si>
    <t xml:space="preserve">presenilin-2 </t>
  </si>
  <si>
    <t>13384922</t>
  </si>
  <si>
    <t xml:space="preserve">gamma-secretase subunit PEN-2 </t>
  </si>
  <si>
    <t>19527168</t>
  </si>
  <si>
    <t>PC4 and SFRS1-interacting protein</t>
  </si>
  <si>
    <t>33563282</t>
  </si>
  <si>
    <t>proteasome subunit alpha type-1</t>
  </si>
  <si>
    <t>134031994</t>
  </si>
  <si>
    <t>proteasome subunit alpha type-2</t>
  </si>
  <si>
    <t>261824000</t>
  </si>
  <si>
    <t>proteasome subunit alpha type-3</t>
  </si>
  <si>
    <t>6755196</t>
  </si>
  <si>
    <t>proteasome subunit alpha type-4</t>
  </si>
  <si>
    <t>7106387</t>
  </si>
  <si>
    <t>proteasome subunit alpha type-5</t>
  </si>
  <si>
    <t>6755198</t>
  </si>
  <si>
    <t>proteasome subunit alpha type-6</t>
  </si>
  <si>
    <t>7106389</t>
  </si>
  <si>
    <t>proteasome subunit alpha type-7</t>
  </si>
  <si>
    <t>254692831</t>
  </si>
  <si>
    <t>proteasome subunit alpha type-7-like</t>
  </si>
  <si>
    <t>7242197</t>
  </si>
  <si>
    <t xml:space="preserve">proteasome subunit beta type-1 precursor </t>
  </si>
  <si>
    <t>227116345</t>
  </si>
  <si>
    <t>proteasome subunit beta type-2</t>
  </si>
  <si>
    <t>6755202</t>
  </si>
  <si>
    <t>proteasome subunit beta type-3</t>
  </si>
  <si>
    <t>254540082</t>
  </si>
  <si>
    <t xml:space="preserve">proteasome subunit beta type-4 precursor </t>
  </si>
  <si>
    <t>6755204</t>
  </si>
  <si>
    <t>proteasome subunit beta type-5</t>
  </si>
  <si>
    <t>238231384</t>
  </si>
  <si>
    <t xml:space="preserve">proteasome subunit beta type-6 precursor </t>
  </si>
  <si>
    <t>6755206</t>
  </si>
  <si>
    <t xml:space="preserve">proteasome subunit beta type-7 precursor </t>
  </si>
  <si>
    <t>158303322</t>
  </si>
  <si>
    <t xml:space="preserve">proteasome subunit beta type-8 precursor </t>
  </si>
  <si>
    <t>6679501</t>
  </si>
  <si>
    <t xml:space="preserve">26S protease regulatory subunit 4 </t>
  </si>
  <si>
    <t>33859604</t>
  </si>
  <si>
    <t xml:space="preserve">26S protease regulatory subunit 7 </t>
  </si>
  <si>
    <t>228008337</t>
  </si>
  <si>
    <t xml:space="preserve">26S protease regulatory subunit 6A </t>
  </si>
  <si>
    <t>124248577</t>
  </si>
  <si>
    <t xml:space="preserve">26S protease regulatory subunit 6B </t>
  </si>
  <si>
    <t>7110703</t>
  </si>
  <si>
    <t xml:space="preserve">26S protease regulatory subunit 8 </t>
  </si>
  <si>
    <t>27754103</t>
  </si>
  <si>
    <t xml:space="preserve">26S protease regulatory subunit 10B </t>
  </si>
  <si>
    <t>74315975</t>
  </si>
  <si>
    <t>26S proteasome non-ATPase regulatory subunit 1</t>
  </si>
  <si>
    <t>255958245</t>
  </si>
  <si>
    <t>26S proteasome non-ATPase regulatory subunit 10 isoform 2</t>
  </si>
  <si>
    <t>31980811</t>
  </si>
  <si>
    <t>26S proteasome non-ATPase regulatory subunit 10 isoform 1</t>
  </si>
  <si>
    <t>134053905</t>
  </si>
  <si>
    <t>26S proteasome non-ATPase regulatory subunit 11</t>
  </si>
  <si>
    <t>13385384</t>
  </si>
  <si>
    <t>26S proteasome non-ATPase regulatory subunit 12</t>
  </si>
  <si>
    <t>6755210</t>
  </si>
  <si>
    <t>26S proteasome non-ATPase regulatory subunit 13</t>
  </si>
  <si>
    <t>145966883</t>
  </si>
  <si>
    <t>26S proteasome non-ATPase regulatory subunit 14</t>
  </si>
  <si>
    <t>19882201</t>
  </si>
  <si>
    <t>26S proteasome non-ATPase regulatory subunit 2</t>
  </si>
  <si>
    <t>19705424</t>
  </si>
  <si>
    <t>26S proteasome non-ATPase regulatory subunit 3</t>
  </si>
  <si>
    <t>6679505</t>
  </si>
  <si>
    <t>26S proteasome non-ATPase regulatory subunit 4</t>
  </si>
  <si>
    <t>134053913</t>
  </si>
  <si>
    <t>26S proteasome non-ATPase regulatory subunit 5</t>
  </si>
  <si>
    <t>46049022</t>
  </si>
  <si>
    <t>26S proteasome non-ATPase regulatory subunit 6</t>
  </si>
  <si>
    <t>6754724</t>
  </si>
  <si>
    <t>26S proteasome non-ATPase regulatory subunit 7</t>
  </si>
  <si>
    <t>156713423</t>
  </si>
  <si>
    <t>26S proteasome non-ATPase regulatory subunit 8</t>
  </si>
  <si>
    <t>119508441</t>
  </si>
  <si>
    <t>26S proteasome non-ATPase regulatory subunit 9</t>
  </si>
  <si>
    <t>6755212</t>
  </si>
  <si>
    <t xml:space="preserve">proteasome activator complex subunit 1 </t>
  </si>
  <si>
    <t>20137004</t>
  </si>
  <si>
    <t xml:space="preserve">proteasome activator complex subunit 2 isoform 1 </t>
  </si>
  <si>
    <t>71725358</t>
  </si>
  <si>
    <t xml:space="preserve">proteasome activator complex subunit 2 isoform 2 </t>
  </si>
  <si>
    <t>527317390</t>
  </si>
  <si>
    <t xml:space="preserve">protease (prosome, macropain) 28 subunit beta B </t>
  </si>
  <si>
    <t>6755214</t>
  </si>
  <si>
    <t xml:space="preserve">proteasome activator complex subunit 3 </t>
  </si>
  <si>
    <t>117956381</t>
  </si>
  <si>
    <t xml:space="preserve">proteasome activator complex subunit 4 </t>
  </si>
  <si>
    <t>47078287</t>
  </si>
  <si>
    <t>proteasome inhibitor PI31 subunit</t>
  </si>
  <si>
    <t>9506555</t>
  </si>
  <si>
    <t>proteasome assembly chaperone 1</t>
  </si>
  <si>
    <t>19527372</t>
  </si>
  <si>
    <t>proteasome assembly chaperone 2</t>
  </si>
  <si>
    <t>21313432</t>
  </si>
  <si>
    <t>proteasome assembly chaperone 3</t>
  </si>
  <si>
    <t>160333436</t>
  </si>
  <si>
    <t>proteasome assembly chaperone 4 isoform a</t>
  </si>
  <si>
    <t>160333430</t>
  </si>
  <si>
    <t>proteasome assembly chaperone 4 isoform b</t>
  </si>
  <si>
    <t>225543409</t>
  </si>
  <si>
    <t xml:space="preserve">paraspeckle component 1 </t>
  </si>
  <si>
    <t>19527116</t>
  </si>
  <si>
    <t>phosphoserine phosphatase</t>
  </si>
  <si>
    <t>171184423</t>
  </si>
  <si>
    <t>proline-serine-threonine phosphatase-interacting protein 1</t>
  </si>
  <si>
    <t>258613904</t>
  </si>
  <si>
    <t xml:space="preserve">protein prenyltransferase alpha subunit repeat containing 1 </t>
  </si>
  <si>
    <t>545688433</t>
  </si>
  <si>
    <t>polypyrimidine tract-binding protein 1 isoform 3</t>
  </si>
  <si>
    <t>116517301</t>
  </si>
  <si>
    <t>polypyrimidine tract-binding protein 1 isoform 1</t>
  </si>
  <si>
    <t>116517303</t>
  </si>
  <si>
    <t>polypyrimidine tract-binding protein 1 isoform 2</t>
  </si>
  <si>
    <t>9507003</t>
  </si>
  <si>
    <t>polypyrimidine tract-binding protein 2</t>
  </si>
  <si>
    <t>255003709</t>
  </si>
  <si>
    <t>polypyrimidine tract-binding protein 3 isoform 1</t>
  </si>
  <si>
    <t>30039680</t>
  </si>
  <si>
    <t>polypyrimidine tract-binding protein 3 isoform 2</t>
  </si>
  <si>
    <t>58037131</t>
  </si>
  <si>
    <t xml:space="preserve">pentatricopeptide repeat-containing protein 2, mitochondrial </t>
  </si>
  <si>
    <t>33469980</t>
  </si>
  <si>
    <t xml:space="preserve">pentatricopeptide repeat domain-containing protein 3, mitochondrial precursor </t>
  </si>
  <si>
    <t>6755216</t>
  </si>
  <si>
    <t>pre T-cell antigen receptor alpha precursor</t>
  </si>
  <si>
    <t>31560651</t>
  </si>
  <si>
    <t xml:space="preserve">phosphatidylserine synthase 1 </t>
  </si>
  <si>
    <t>6679523</t>
  </si>
  <si>
    <t>phosphatidylinositol 3,4,5-trisphosphate 3-phosphatase and dual-specificity protein phosphatase PTEN</t>
  </si>
  <si>
    <t>6679525</t>
  </si>
  <si>
    <t>phosphotriesterase-related protein</t>
  </si>
  <si>
    <t>260763900</t>
  </si>
  <si>
    <t>prostaglandin E synthase 2</t>
  </si>
  <si>
    <t>50845420</t>
  </si>
  <si>
    <t>prostaglandin F2 receptor negative regulator precursor</t>
  </si>
  <si>
    <t>13385466</t>
  </si>
  <si>
    <t xml:space="preserve">prostaglandin reductase 1 </t>
  </si>
  <si>
    <t>357933647</t>
  </si>
  <si>
    <t xml:space="preserve">prostaglandin reductase 2 isoform 2 </t>
  </si>
  <si>
    <t>85719320</t>
  </si>
  <si>
    <t xml:space="preserve">prostaglandin reductase 2 isoform 1 </t>
  </si>
  <si>
    <t>6679537</t>
  </si>
  <si>
    <t xml:space="preserve">prostaglandin G/H synthase 1 precursor </t>
  </si>
  <si>
    <t>31981525</t>
  </si>
  <si>
    <t xml:space="preserve">prostaglandin G/H synthase 2 precursor </t>
  </si>
  <si>
    <t>194353974</t>
  </si>
  <si>
    <t>focal adhesion kinase 1 isoform 2</t>
  </si>
  <si>
    <t>194353972</t>
  </si>
  <si>
    <t>focal adhesion kinase 1 isoform 1</t>
  </si>
  <si>
    <t>241982783</t>
  </si>
  <si>
    <t xml:space="preserve">protein-tyrosine kinase 2-beta isoform 3 </t>
  </si>
  <si>
    <t>241982787</t>
  </si>
  <si>
    <t xml:space="preserve">protein-tyrosine kinase 2-beta isoform 2 </t>
  </si>
  <si>
    <t>241982789</t>
  </si>
  <si>
    <t xml:space="preserve">protein-tyrosine kinase 2-beta isoform 1 </t>
  </si>
  <si>
    <t>30425042</t>
  </si>
  <si>
    <t xml:space="preserve">inactive tyrosine-protein kinase 7 precursor </t>
  </si>
  <si>
    <t>7110705</t>
  </si>
  <si>
    <t>prothymosin alpha</t>
  </si>
  <si>
    <t>62460366</t>
  </si>
  <si>
    <t xml:space="preserve">parathymosin </t>
  </si>
  <si>
    <t>258613926;6679545</t>
  </si>
  <si>
    <t>protein tyrosine phosphatase type IVA 2</t>
  </si>
  <si>
    <t>6679545</t>
  </si>
  <si>
    <t>171184435</t>
  </si>
  <si>
    <t xml:space="preserve">3-hydroxyacyl-CoA dehydratase 3 </t>
  </si>
  <si>
    <t>84872191</t>
  </si>
  <si>
    <t xml:space="preserve">3-hydroxyacyl-CoA dehydratase 2 </t>
  </si>
  <si>
    <t>23956130</t>
  </si>
  <si>
    <t xml:space="preserve">phosphatidylglycerophosphatase and protein-tyrosine phosphatase 1 </t>
  </si>
  <si>
    <t>133505845</t>
  </si>
  <si>
    <t xml:space="preserve">tyrosine-protein phosphatase non-receptor type 1 </t>
  </si>
  <si>
    <t>158508568</t>
  </si>
  <si>
    <t xml:space="preserve">tyrosine-protein phosphatase non-receptor type 11 isoform b </t>
  </si>
  <si>
    <t>6755228</t>
  </si>
  <si>
    <t xml:space="preserve">tyrosine-protein phosphatase non-receptor type 11 isoform a </t>
  </si>
  <si>
    <t>34328195</t>
  </si>
  <si>
    <t xml:space="preserve">tyrosine-protein phosphatase non-receptor type 12 </t>
  </si>
  <si>
    <t>134948762</t>
  </si>
  <si>
    <t xml:space="preserve">tyrosine-protein phosphatase non-receptor type 13 </t>
  </si>
  <si>
    <t>110825986</t>
  </si>
  <si>
    <t xml:space="preserve">tyrosine-protein phosphatase non-receptor type 14 </t>
  </si>
  <si>
    <t>187608416</t>
  </si>
  <si>
    <t xml:space="preserve">tyrosine-protein phosphatase non-receptor type 2 isoform b </t>
  </si>
  <si>
    <t>6679553</t>
  </si>
  <si>
    <t xml:space="preserve">tyrosine-protein phosphatase non-receptor type 2 isoform a </t>
  </si>
  <si>
    <t>226246561</t>
  </si>
  <si>
    <t xml:space="preserve">tyrosine-protein phosphatase non-receptor type 21 </t>
  </si>
  <si>
    <t>226246563;226246561</t>
  </si>
  <si>
    <t>124517678</t>
  </si>
  <si>
    <t xml:space="preserve">tyrosine-protein phosphatase non-receptor type 23 </t>
  </si>
  <si>
    <t>218505829</t>
  </si>
  <si>
    <t xml:space="preserve">tyrosine-protein phosphatase non-receptor type 3 </t>
  </si>
  <si>
    <t>118130771</t>
  </si>
  <si>
    <t xml:space="preserve">tyrosine-protein phosphatase non-receptor type 6 isoform a </t>
  </si>
  <si>
    <t>118130785</t>
  </si>
  <si>
    <t xml:space="preserve">tyrosine-protein phosphatase non-receptor type 6 isoform b </t>
  </si>
  <si>
    <t>61098100</t>
  </si>
  <si>
    <t xml:space="preserve">tyrosine-protein phosphatase non-receptor type 9 </t>
  </si>
  <si>
    <t>255304936</t>
  </si>
  <si>
    <t xml:space="preserve">receptor-type tyrosine-protein phosphatase alpha isoform 1 precursor </t>
  </si>
  <si>
    <t>255304938</t>
  </si>
  <si>
    <t xml:space="preserve">receptor-type tyrosine-protein phosphatase alpha isoform 2 precursor </t>
  </si>
  <si>
    <t>90403603</t>
  </si>
  <si>
    <t xml:space="preserve">receptor-type tyrosine-protein phosphatase delta isoform B precursor </t>
  </si>
  <si>
    <t>115648048</t>
  </si>
  <si>
    <t xml:space="preserve">receptor-type tyrosine-protein phosphatase F precursor </t>
  </si>
  <si>
    <t>208609939</t>
  </si>
  <si>
    <t>receptor-type tyrosine-protein phosphatase eta isoform 1</t>
  </si>
  <si>
    <t>208609941</t>
  </si>
  <si>
    <t>receptor-type tyrosine-protein phosphatase eta isoform 2</t>
  </si>
  <si>
    <t>6679561</t>
  </si>
  <si>
    <t xml:space="preserve">receptor-type tyrosine-protein phosphatase kappa precursor </t>
  </si>
  <si>
    <t>226054321</t>
  </si>
  <si>
    <t xml:space="preserve">receptor-type tyrosine-protein phosphatase mu precursor </t>
  </si>
  <si>
    <t>257096040</t>
  </si>
  <si>
    <t xml:space="preserve">receptor-type tyrosine-protein phosphatase O isoform 1 precursor </t>
  </si>
  <si>
    <t>257096042</t>
  </si>
  <si>
    <t xml:space="preserve">receptor-type tyrosine-protein phosphatase O isoform 2 precursor </t>
  </si>
  <si>
    <t>257096044</t>
  </si>
  <si>
    <t>receptor-type tyrosine-protein phosphatase O isoform 3</t>
  </si>
  <si>
    <t>257096046</t>
  </si>
  <si>
    <t>receptor-type tyrosine-protein phosphatase O isoform 4</t>
  </si>
  <si>
    <t>6679567</t>
  </si>
  <si>
    <t>polymerase I and transcript release factor</t>
  </si>
  <si>
    <t>149363634</t>
  </si>
  <si>
    <t>peptidyl-tRNA hydrolase 2, mitochondrial isoform b</t>
  </si>
  <si>
    <t>33239415</t>
  </si>
  <si>
    <t>peptidyl-tRNA hydrolase 2, mitochondrial isoform a</t>
  </si>
  <si>
    <t>325995166</t>
  </si>
  <si>
    <t>putative peptidyl-tRNA hydrolase PTRHD1</t>
  </si>
  <si>
    <t>7110709</t>
  </si>
  <si>
    <t xml:space="preserve">6-pyruvoyl tetrahydrobiopterin synthase </t>
  </si>
  <si>
    <t>22122339</t>
  </si>
  <si>
    <t xml:space="preserve">pituitary tumor-transforming gene 1 protein-interacting protein precursor </t>
  </si>
  <si>
    <t>257196183</t>
  </si>
  <si>
    <t xml:space="preserve">poly(U)-binding-splicing factor PUF60 isoform a </t>
  </si>
  <si>
    <t>257196186</t>
  </si>
  <si>
    <t xml:space="preserve">poly(U)-binding-splicing factor PUF60 isoform c </t>
  </si>
  <si>
    <t>76677895</t>
  </si>
  <si>
    <t xml:space="preserve">poly(U)-binding-splicing factor PUF60 isoform b </t>
  </si>
  <si>
    <t>227430380</t>
  </si>
  <si>
    <t xml:space="preserve">pumilio homolog 1 isoform 1 </t>
  </si>
  <si>
    <t>227430382</t>
  </si>
  <si>
    <t xml:space="preserve">pumilio homolog 1 isoform 2 </t>
  </si>
  <si>
    <t>227430384</t>
  </si>
  <si>
    <t xml:space="preserve">pumilio homolog 1 isoform 3 </t>
  </si>
  <si>
    <t>227430386</t>
  </si>
  <si>
    <t xml:space="preserve">pumilio homolog 1 isoform 4 </t>
  </si>
  <si>
    <t>227430388</t>
  </si>
  <si>
    <t xml:space="preserve">pumilio homolog 1 isoform 5 </t>
  </si>
  <si>
    <t>237649081;237649070</t>
  </si>
  <si>
    <t xml:space="preserve">pumilio homolog 2 isoform 1 </t>
  </si>
  <si>
    <t>237649085;237649083</t>
  </si>
  <si>
    <t xml:space="preserve">pumilio homolog 2 isoform 2 </t>
  </si>
  <si>
    <t>237649087</t>
  </si>
  <si>
    <t xml:space="preserve">pumilio homolog 2 isoform 3 </t>
  </si>
  <si>
    <t>6679573</t>
  </si>
  <si>
    <t>transcriptional activator protein Pur-alpha</t>
  </si>
  <si>
    <t>6755252</t>
  </si>
  <si>
    <t>transcriptional activator protein Pur-beta</t>
  </si>
  <si>
    <t>70906468</t>
  </si>
  <si>
    <t xml:space="preserve">tRNA pseudouridine synthase A, mitochondrial isoform 1 </t>
  </si>
  <si>
    <t>70906470</t>
  </si>
  <si>
    <t xml:space="preserve">tRNA pseudouridine synthase A, mitochondrial isoform 2 </t>
  </si>
  <si>
    <t>70906472</t>
  </si>
  <si>
    <t xml:space="preserve">tRNA pseudouridine synthase A, mitochondrial isoform 3 </t>
  </si>
  <si>
    <t>68342034</t>
  </si>
  <si>
    <t xml:space="preserve">putative tRNA pseudouridine synthase Pus10 </t>
  </si>
  <si>
    <t>89111935</t>
  </si>
  <si>
    <t>pseudouridylate synthase 7 homolog</t>
  </si>
  <si>
    <t>27369583</t>
  </si>
  <si>
    <t xml:space="preserve">pseudouridylate synthase 7 homolog-like protein </t>
  </si>
  <si>
    <t>241896974</t>
  </si>
  <si>
    <t>tRNA pseudouridine synthase-like 1</t>
  </si>
  <si>
    <t>228480273</t>
  </si>
  <si>
    <t xml:space="preserve">poliovirus receptor-related protein 2 isoform 1 precursor </t>
  </si>
  <si>
    <t>170014682</t>
  </si>
  <si>
    <t xml:space="preserve">poliovirus receptor-related protein 4 isoform a precursor </t>
  </si>
  <si>
    <t>170014686</t>
  </si>
  <si>
    <t xml:space="preserve">poliovirus receptor-related protein 4 isoform b precursor </t>
  </si>
  <si>
    <t>284005509</t>
  </si>
  <si>
    <t xml:space="preserve">periodic tryptophan protein 1 homolog </t>
  </si>
  <si>
    <t>407262659</t>
  </si>
  <si>
    <t>PREDICTED: periodic tryptophan protein 2 homolog isoform 1</t>
  </si>
  <si>
    <t>407262661</t>
  </si>
  <si>
    <t>PREDICTED: periodic tryptophan protein 2 homolog isoform 2</t>
  </si>
  <si>
    <t>268370173</t>
  </si>
  <si>
    <t xml:space="preserve">peroxidasin homolog precursor </t>
  </si>
  <si>
    <t>254692828</t>
  </si>
  <si>
    <t xml:space="preserve">PX domain-containing protein kinase-like protein long isoform </t>
  </si>
  <si>
    <t>72535128</t>
  </si>
  <si>
    <t xml:space="preserve">PX domain-containing protein kinase-like protein short isoform </t>
  </si>
  <si>
    <t>10946966</t>
  </si>
  <si>
    <t>peroxisomal membrane protein 4</t>
  </si>
  <si>
    <t>114326502</t>
  </si>
  <si>
    <t xml:space="preserve">paxillin isoform beta </t>
  </si>
  <si>
    <t>21281693</t>
  </si>
  <si>
    <t xml:space="preserve">paxillin isoform alpha </t>
  </si>
  <si>
    <t>21450149</t>
  </si>
  <si>
    <t>pyrroline-5-carboxylate reductase 1, mitochondrial</t>
  </si>
  <si>
    <t>19526878</t>
  </si>
  <si>
    <t xml:space="preserve">pyrroline-5-carboxylate reductase 2 </t>
  </si>
  <si>
    <t>119508439</t>
  </si>
  <si>
    <t xml:space="preserve">pyrroline-5-carboxylate reductase 3 </t>
  </si>
  <si>
    <t>24418919</t>
  </si>
  <si>
    <t>glycogen phosphorylase, brain form</t>
  </si>
  <si>
    <t>268836255</t>
  </si>
  <si>
    <t>glycogen phosphorylase, liver form</t>
  </si>
  <si>
    <t>6755256</t>
  </si>
  <si>
    <t>glycogen phosphorylase, muscle form</t>
  </si>
  <si>
    <t>269954677</t>
  </si>
  <si>
    <t>glutaminyl-tRNA synthetase isoform 1</t>
  </si>
  <si>
    <t>269954679</t>
  </si>
  <si>
    <t>glutaminyl-tRNA synthetase isoform 2</t>
  </si>
  <si>
    <t>21312520</t>
  </si>
  <si>
    <t>dihydropteridine reductase</t>
  </si>
  <si>
    <t>11527388</t>
  </si>
  <si>
    <t>protein quaking isoform 3</t>
  </si>
  <si>
    <t>226958438</t>
  </si>
  <si>
    <t>protein quaking isoform 2</t>
  </si>
  <si>
    <t>226958440</t>
  </si>
  <si>
    <t>protein quaking isoform 1</t>
  </si>
  <si>
    <t>166295181</t>
  </si>
  <si>
    <t xml:space="preserve">glutamine-rich protein 1 </t>
  </si>
  <si>
    <t>124486688</t>
  </si>
  <si>
    <t xml:space="preserve">glutamyl-tRNA(Gln) amidotransferase subunit A, mitochondrial </t>
  </si>
  <si>
    <t>158186691</t>
  </si>
  <si>
    <t>queuine tRNA-ribosyltransferase</t>
  </si>
  <si>
    <t>54144622</t>
  </si>
  <si>
    <t>queuine tRNA-ribosyltransferase subunit QTRTD1</t>
  </si>
  <si>
    <t>225579031</t>
  </si>
  <si>
    <t>R3H and coiled-coil domain-containing protein 1</t>
  </si>
  <si>
    <t>50845430</t>
  </si>
  <si>
    <t>R3H domain (binds single-stranded nucleic acids)</t>
  </si>
  <si>
    <t>150010587</t>
  </si>
  <si>
    <t>peptidase inhibitor R3HDML precursor</t>
  </si>
  <si>
    <t>6679587</t>
  </si>
  <si>
    <t xml:space="preserve">ras-related protein Rab-1A </t>
  </si>
  <si>
    <t>7710086</t>
  </si>
  <si>
    <t xml:space="preserve">ras-related protein Rab-10 </t>
  </si>
  <si>
    <t>31980840</t>
  </si>
  <si>
    <t xml:space="preserve">ras-related protein Rab-11A </t>
  </si>
  <si>
    <t>6679583</t>
  </si>
  <si>
    <t xml:space="preserve">ras-related protein Rab-11B </t>
  </si>
  <si>
    <t>124249097</t>
  </si>
  <si>
    <t>rab11 family-interacting protein 1 isoform 1</t>
  </si>
  <si>
    <t>297206826</t>
  </si>
  <si>
    <t>rab11 family-interacting protein 1 isoform 2</t>
  </si>
  <si>
    <t>256773180</t>
  </si>
  <si>
    <t>Rab11-family interacting protein 2 isoform 1</t>
  </si>
  <si>
    <t>256773182</t>
  </si>
  <si>
    <t>Rab11-family interacting protein 2 isoform 2</t>
  </si>
  <si>
    <t>106507168</t>
  </si>
  <si>
    <t xml:space="preserve">ras-related protein Rab-12 </t>
  </si>
  <si>
    <t>21311975</t>
  </si>
  <si>
    <t xml:space="preserve">ras-related protein Rab-13 </t>
  </si>
  <si>
    <t>18390323</t>
  </si>
  <si>
    <t xml:space="preserve">ras-related protein Rab-14 </t>
  </si>
  <si>
    <t>165377074</t>
  </si>
  <si>
    <t xml:space="preserve">ras-related protein Rab-15 </t>
  </si>
  <si>
    <t>229577224</t>
  </si>
  <si>
    <t xml:space="preserve">ras-related protein Rab-17 </t>
  </si>
  <si>
    <t>510936915</t>
  </si>
  <si>
    <t xml:space="preserve">ras-related protein Rab-18 isoform 1 </t>
  </si>
  <si>
    <t>30841008</t>
  </si>
  <si>
    <t>ras-related protein Rab-18 isoform 2 precursor</t>
  </si>
  <si>
    <t>33859608</t>
  </si>
  <si>
    <t xml:space="preserve">ras-related protein Rab-19 </t>
  </si>
  <si>
    <t>21313162</t>
  </si>
  <si>
    <t xml:space="preserve">ras-related protein Rab-1B </t>
  </si>
  <si>
    <t>45593126</t>
  </si>
  <si>
    <t xml:space="preserve">ras-related protein Rab-20 </t>
  </si>
  <si>
    <t>33859751</t>
  </si>
  <si>
    <t xml:space="preserve">ras-related protein Rab-21 </t>
  </si>
  <si>
    <t>148747177</t>
  </si>
  <si>
    <t xml:space="preserve">ras-related protein Rab-22A </t>
  </si>
  <si>
    <t>31543565</t>
  </si>
  <si>
    <t xml:space="preserve">ras-related protein Rab-23 </t>
  </si>
  <si>
    <t>6679591</t>
  </si>
  <si>
    <t xml:space="preserve">ras-related protein Rab-24 </t>
  </si>
  <si>
    <t>31980838</t>
  </si>
  <si>
    <t xml:space="preserve">ras-related protein Rab-25 </t>
  </si>
  <si>
    <t>254939698</t>
  </si>
  <si>
    <t xml:space="preserve">ras-related protein Rab-26 </t>
  </si>
  <si>
    <t>13128964</t>
  </si>
  <si>
    <t xml:space="preserve">ras-related protein Rab-27A </t>
  </si>
  <si>
    <t>127138858</t>
  </si>
  <si>
    <t xml:space="preserve">ras-related protein Rab-27B </t>
  </si>
  <si>
    <t>58037191</t>
  </si>
  <si>
    <t xml:space="preserve">ras-related protein Rab-28 </t>
  </si>
  <si>
    <t>10946940</t>
  </si>
  <si>
    <t xml:space="preserve">ras-related protein Rab-2A </t>
  </si>
  <si>
    <t>30525051</t>
  </si>
  <si>
    <t xml:space="preserve">ras-related protein Rab-2B </t>
  </si>
  <si>
    <t>31560778</t>
  </si>
  <si>
    <t xml:space="preserve">ras-related protein Rab-30 </t>
  </si>
  <si>
    <t>225579124</t>
  </si>
  <si>
    <t xml:space="preserve">ras-related protein Rab-31 </t>
  </si>
  <si>
    <t>13385896</t>
  </si>
  <si>
    <t xml:space="preserve">ras-related protein Rab-32 </t>
  </si>
  <si>
    <t>6755260</t>
  </si>
  <si>
    <t xml:space="preserve">ras-related protein Rab-33A </t>
  </si>
  <si>
    <t>8394133</t>
  </si>
  <si>
    <t xml:space="preserve">ras-related protein Rab-33B </t>
  </si>
  <si>
    <t>31560774</t>
  </si>
  <si>
    <t xml:space="preserve">ras-related protein Rab-34 </t>
  </si>
  <si>
    <t>37718983</t>
  </si>
  <si>
    <t xml:space="preserve">ras-related protein Rab-35 </t>
  </si>
  <si>
    <t>254939625</t>
  </si>
  <si>
    <t xml:space="preserve">ras-related protein Rab-37 isoform 1 </t>
  </si>
  <si>
    <t>254939635</t>
  </si>
  <si>
    <t xml:space="preserve">ras-related protein Rab-37 isoform 2 </t>
  </si>
  <si>
    <t>21105857</t>
  </si>
  <si>
    <t xml:space="preserve">ras-related protein Rab-38 </t>
  </si>
  <si>
    <t>30425356</t>
  </si>
  <si>
    <t xml:space="preserve">ras-related protein Rab-39A </t>
  </si>
  <si>
    <t>30424726</t>
  </si>
  <si>
    <t xml:space="preserve">ras-related protein Rab-39B </t>
  </si>
  <si>
    <t>261862303</t>
  </si>
  <si>
    <t xml:space="preserve">ras-related protein Rab-3A </t>
  </si>
  <si>
    <t>12963723</t>
  </si>
  <si>
    <t xml:space="preserve">ras-related protein Rab-3B </t>
  </si>
  <si>
    <t>13470090</t>
  </si>
  <si>
    <t xml:space="preserve">ras-related protein Rab-3C </t>
  </si>
  <si>
    <t>15042957</t>
  </si>
  <si>
    <t xml:space="preserve">ras-related protein Rab-3D </t>
  </si>
  <si>
    <t>158966667</t>
  </si>
  <si>
    <t xml:space="preserve">rab3 GTPase-activating protein catalytic subunit </t>
  </si>
  <si>
    <t>255003810</t>
  </si>
  <si>
    <t xml:space="preserve">rab3 GTPase-activating protein non-catalytic subunit </t>
  </si>
  <si>
    <t>51556219</t>
  </si>
  <si>
    <t>rab-3A-interacting protein</t>
  </si>
  <si>
    <t>253970492</t>
  </si>
  <si>
    <t xml:space="preserve">ras-related protein Rab-40B </t>
  </si>
  <si>
    <t>86476069</t>
  </si>
  <si>
    <t xml:space="preserve">ras-related protein Rab-43 isoform a </t>
  </si>
  <si>
    <t>171184402</t>
  </si>
  <si>
    <t xml:space="preserve">ras-related protein Rab-4A </t>
  </si>
  <si>
    <t>21313012</t>
  </si>
  <si>
    <t xml:space="preserve">ras-related protein Rab-4B </t>
  </si>
  <si>
    <t>13385374</t>
  </si>
  <si>
    <t xml:space="preserve">ras-related protein Rab-5A </t>
  </si>
  <si>
    <t>28916687</t>
  </si>
  <si>
    <t xml:space="preserve">ras-related protein Rab-5B isoform 1 </t>
  </si>
  <si>
    <t>113866024</t>
  </si>
  <si>
    <t xml:space="preserve">ras-related protein Rab-5C </t>
  </si>
  <si>
    <t>13195674</t>
  </si>
  <si>
    <t xml:space="preserve">ras-related protein Rab-6A isoform 2 </t>
  </si>
  <si>
    <t>254750706</t>
  </si>
  <si>
    <t xml:space="preserve">ras-related protein Rab-6A isoform 1 </t>
  </si>
  <si>
    <t>30424655</t>
  </si>
  <si>
    <t xml:space="preserve">ras-related protein Rab-6B </t>
  </si>
  <si>
    <t>148747526</t>
  </si>
  <si>
    <t xml:space="preserve">ras-related protein Rab-7a </t>
  </si>
  <si>
    <t>229608951</t>
  </si>
  <si>
    <t xml:space="preserve">ras-related protein Rab-7L1 </t>
  </si>
  <si>
    <t>38372905</t>
  </si>
  <si>
    <t xml:space="preserve">ras-related protein Rab-8A </t>
  </si>
  <si>
    <t>27734154</t>
  </si>
  <si>
    <t xml:space="preserve">ras-related protein Rab-8B </t>
  </si>
  <si>
    <t>9790227</t>
  </si>
  <si>
    <t xml:space="preserve">ras-related protein Rab-9A </t>
  </si>
  <si>
    <t>28892801</t>
  </si>
  <si>
    <t xml:space="preserve">ras-related protein Rab-9B </t>
  </si>
  <si>
    <t>33859558</t>
  </si>
  <si>
    <t xml:space="preserve">prenylated Rab acceptor protein 1 </t>
  </si>
  <si>
    <t>238231439</t>
  </si>
  <si>
    <t xml:space="preserve">rab GTPase-binding effector protein 1 </t>
  </si>
  <si>
    <t>140970573</t>
  </si>
  <si>
    <t xml:space="preserve">rab GTPase-binding effector protein 2 </t>
  </si>
  <si>
    <t>76880489</t>
  </si>
  <si>
    <t>rab GTPase-activating protein 1 isoform a</t>
  </si>
  <si>
    <t>76880498</t>
  </si>
  <si>
    <t>rab GTPase-activating protein 1 isoform b</t>
  </si>
  <si>
    <t>229577255</t>
  </si>
  <si>
    <t>rab GTPase-activating protein 1-like isoform a</t>
  </si>
  <si>
    <t>84490375</t>
  </si>
  <si>
    <t>rab GTPase-activating protein 1-like isoform b</t>
  </si>
  <si>
    <t>312261269;9910316</t>
  </si>
  <si>
    <t>rab5 GDP/GTP exchange factor</t>
  </si>
  <si>
    <t>9507023</t>
  </si>
  <si>
    <t xml:space="preserve">geranylgeranyl transferase type-2 subunit alpha </t>
  </si>
  <si>
    <t>254553291</t>
  </si>
  <si>
    <t xml:space="preserve">geranylgeranyl transferase type-2 subunit beta isoform 1 </t>
  </si>
  <si>
    <t>254553293</t>
  </si>
  <si>
    <t xml:space="preserve">geranylgeranyl transferase type-2 subunit beta isoform 2 </t>
  </si>
  <si>
    <t>254553295</t>
  </si>
  <si>
    <t xml:space="preserve">geranylgeranyl transferase type-2 subunit beta isoform 3 </t>
  </si>
  <si>
    <t>21704004</t>
  </si>
  <si>
    <t xml:space="preserve">guanine nucleotide exchange factor MSS4 </t>
  </si>
  <si>
    <t>146134336</t>
  </si>
  <si>
    <t xml:space="preserve">RAB, member of RAS oncogene family-like 2A </t>
  </si>
  <si>
    <t>21313026</t>
  </si>
  <si>
    <t xml:space="preserve">rab-like protein 5 </t>
  </si>
  <si>
    <t>112181302</t>
  </si>
  <si>
    <t xml:space="preserve">rab-like protein 6 </t>
  </si>
  <si>
    <t>45592934</t>
  </si>
  <si>
    <t xml:space="preserve">ras-related C3 botulinum toxin substrate 1 precursor </t>
  </si>
  <si>
    <t>6679601</t>
  </si>
  <si>
    <t xml:space="preserve">ras-related C3 botulinum toxin substrate 2 precursor </t>
  </si>
  <si>
    <t>18875380</t>
  </si>
  <si>
    <t xml:space="preserve">ras-related C3 botulinum toxin substrate 3 precursor </t>
  </si>
  <si>
    <t>6755266</t>
  </si>
  <si>
    <t>rac GTPase-activating protein 1</t>
  </si>
  <si>
    <t>84872189</t>
  </si>
  <si>
    <t xml:space="preserve">cell cycle checkpoint protein RAD1 </t>
  </si>
  <si>
    <t>254692855</t>
  </si>
  <si>
    <t xml:space="preserve">double-strand-break repair protein rad21 homolog </t>
  </si>
  <si>
    <t>34447211</t>
  </si>
  <si>
    <t xml:space="preserve">UV excision repair protein RAD23 homolog A </t>
  </si>
  <si>
    <t>171906578</t>
  </si>
  <si>
    <t xml:space="preserve">UV excision repair protein RAD23 homolog B </t>
  </si>
  <si>
    <t>153945822</t>
  </si>
  <si>
    <t>DNA repair protein RAD50</t>
  </si>
  <si>
    <t>6755276</t>
  </si>
  <si>
    <t>DNA repair protein RAD51 homolog 1</t>
  </si>
  <si>
    <t>110626102</t>
  </si>
  <si>
    <t xml:space="preserve">RAD51-associated protein 1 </t>
  </si>
  <si>
    <t>31982072</t>
  </si>
  <si>
    <t>DNA repair protein RAD51 homolog 2 isoform 1</t>
  </si>
  <si>
    <t>16716605</t>
  </si>
  <si>
    <t>DNA repair protein RAD51 homolog 3</t>
  </si>
  <si>
    <t>6755278</t>
  </si>
  <si>
    <t>DNA repair protein RAD51 homolog 4</t>
  </si>
  <si>
    <t>126090612</t>
  </si>
  <si>
    <t>helicase ARIP4</t>
  </si>
  <si>
    <t>28201956</t>
  </si>
  <si>
    <t xml:space="preserve">mRNA export factor </t>
  </si>
  <si>
    <t>6679617</t>
  </si>
  <si>
    <t>retinoic acid early-inducible protein 1-alpha precursor</t>
  </si>
  <si>
    <t>6679619</t>
  </si>
  <si>
    <t>retinoic acid early-inducible protein 1-beta precursor</t>
  </si>
  <si>
    <t>6679621</t>
  </si>
  <si>
    <t>retinoic acid early-inducible protein 1-gamma precursor</t>
  </si>
  <si>
    <t>9910522</t>
  </si>
  <si>
    <t>retinoic acid early-inducible protein 1-delta precursor</t>
  </si>
  <si>
    <t>38016148</t>
  </si>
  <si>
    <t>retinoic acid early-inducible protein 1-epsilon precursor</t>
  </si>
  <si>
    <t>18497290</t>
  </si>
  <si>
    <t>RAF proto-oncogene serine/threonine-protein kinase</t>
  </si>
  <si>
    <t>13507620</t>
  </si>
  <si>
    <t xml:space="preserve">ankycorbin </t>
  </si>
  <si>
    <t>34328471</t>
  </si>
  <si>
    <t>ras-related protein Ral-A precursor</t>
  </si>
  <si>
    <t>11612509</t>
  </si>
  <si>
    <t>ras-related protein Ral-B precursor</t>
  </si>
  <si>
    <t>163310721</t>
  </si>
  <si>
    <t xml:space="preserve">ral GTPase-activating protein subunit alpha-1 isoform 2 </t>
  </si>
  <si>
    <t>51230692</t>
  </si>
  <si>
    <t xml:space="preserve">ral GTPase-activating protein subunit alpha-1 isoform 3 </t>
  </si>
  <si>
    <t>158187505</t>
  </si>
  <si>
    <t xml:space="preserve">ral GTPase-activating protein subunit alpha-2 </t>
  </si>
  <si>
    <t>124487299</t>
  </si>
  <si>
    <t xml:space="preserve">ral GTPase-activating protein subunit beta </t>
  </si>
  <si>
    <t>213417784;213417775</t>
  </si>
  <si>
    <t xml:space="preserve">RNA-binding protein Raly short isoform </t>
  </si>
  <si>
    <t>213417775</t>
  </si>
  <si>
    <t>213417812</t>
  </si>
  <si>
    <t xml:space="preserve">RNA-binding protein Raly long isoform </t>
  </si>
  <si>
    <t>153792001</t>
  </si>
  <si>
    <t xml:space="preserve">ran-specific GTPase-activating protein </t>
  </si>
  <si>
    <t>40804757</t>
  </si>
  <si>
    <t xml:space="preserve">ran-binding protein 10 </t>
  </si>
  <si>
    <t>153792534</t>
  </si>
  <si>
    <t>E3 SUMO-protein ligase RanBP2</t>
  </si>
  <si>
    <t>357197128</t>
  </si>
  <si>
    <t xml:space="preserve">ran-binding protein 3 isoform 1 </t>
  </si>
  <si>
    <t>357197131</t>
  </si>
  <si>
    <t xml:space="preserve">ran-binding protein 3 isoform 3 </t>
  </si>
  <si>
    <t>83523744</t>
  </si>
  <si>
    <t xml:space="preserve">ran-binding protein 3 isoform 2 </t>
  </si>
  <si>
    <t>53850664</t>
  </si>
  <si>
    <t xml:space="preserve">ran-binding protein 6 </t>
  </si>
  <si>
    <t>161353515</t>
  </si>
  <si>
    <t xml:space="preserve">ran-binding protein 9 </t>
  </si>
  <si>
    <t>226051567</t>
  </si>
  <si>
    <t>ran GTPase-activating protein 1</t>
  </si>
  <si>
    <t>21704066</t>
  </si>
  <si>
    <t>ras-related protein Rap-1A precursor</t>
  </si>
  <si>
    <t>33859753</t>
  </si>
  <si>
    <t>ras-related protein Rap-1b precursor</t>
  </si>
  <si>
    <t>100818161</t>
  </si>
  <si>
    <t xml:space="preserve">RAP1, GTP-GDP dissociation stimulator 1 isoform a </t>
  </si>
  <si>
    <t>100818462</t>
  </si>
  <si>
    <t xml:space="preserve">RAP1, GTP-GDP dissociation stimulator 1 isoform b </t>
  </si>
  <si>
    <t>40254160</t>
  </si>
  <si>
    <t>ras-related protein Rap-2a precursor</t>
  </si>
  <si>
    <t>13386338</t>
  </si>
  <si>
    <t>ras-related protein Rap-2b precursor</t>
  </si>
  <si>
    <t>27369539</t>
  </si>
  <si>
    <t>ras-related protein Rap-2c precursor</t>
  </si>
  <si>
    <t>323637461</t>
  </si>
  <si>
    <t>rap guanine nucleotide exchange factor 4 isoform 1</t>
  </si>
  <si>
    <t>323637463</t>
  </si>
  <si>
    <t>rap guanine nucleotide exchange factor 4 isoform 3</t>
  </si>
  <si>
    <t>9790087</t>
  </si>
  <si>
    <t>rap guanine nucleotide exchange factor 4 isoform 2</t>
  </si>
  <si>
    <t>124257963</t>
  </si>
  <si>
    <t>rap guanine nucleotide exchange factor-like 1</t>
  </si>
  <si>
    <t>262118273</t>
  </si>
  <si>
    <t xml:space="preserve">arginine--tRNA ligase, cytoplasmic </t>
  </si>
  <si>
    <t>240120047</t>
  </si>
  <si>
    <t xml:space="preserve">probable arginine--tRNA ligase, mitochondrial precursor </t>
  </si>
  <si>
    <t>164663773</t>
  </si>
  <si>
    <t xml:space="preserve">RAS p21 protein activator 1 </t>
  </si>
  <si>
    <t>31980729</t>
  </si>
  <si>
    <t xml:space="preserve">rasGAP-activating-like protein 1 isoform 1 </t>
  </si>
  <si>
    <t>530537198</t>
  </si>
  <si>
    <t xml:space="preserve">rasGAP-activating-like protein 1 isoform 2 </t>
  </si>
  <si>
    <t>6677677</t>
  </si>
  <si>
    <t>GTP-binding nuclear protein Ran, testis-specific isoform</t>
  </si>
  <si>
    <t>110431380</t>
  </si>
  <si>
    <t xml:space="preserve">ras association domain-containing protein 6 </t>
  </si>
  <si>
    <t>29789209</t>
  </si>
  <si>
    <t xml:space="preserve">ribonucleoprotein PTB-binding 1 </t>
  </si>
  <si>
    <t>226693374</t>
  </si>
  <si>
    <t>RB1-inducible coiled-coil protein 1</t>
  </si>
  <si>
    <t>47059484</t>
  </si>
  <si>
    <t xml:space="preserve">histone-binding protein RBBP4 </t>
  </si>
  <si>
    <t>164450487</t>
  </si>
  <si>
    <t xml:space="preserve">retinoblastoma-binding protein 5 </t>
  </si>
  <si>
    <t>163937858</t>
  </si>
  <si>
    <t>E3 ubiquitin-protein ligase RBBP6 isoform 1</t>
  </si>
  <si>
    <t>157909799</t>
  </si>
  <si>
    <t xml:space="preserve">histone-binding protein RBBP7 </t>
  </si>
  <si>
    <t>86439977</t>
  </si>
  <si>
    <t xml:space="preserve">putative hydrolase RBBP9 </t>
  </si>
  <si>
    <t>145046239</t>
  </si>
  <si>
    <t xml:space="preserve">ranBP-type and C3HC4-type zinc finger-containing protein 1 </t>
  </si>
  <si>
    <t>213417847</t>
  </si>
  <si>
    <t xml:space="preserve">retinoblastoma-like protein 1 isoform 1 </t>
  </si>
  <si>
    <t>213417872</t>
  </si>
  <si>
    <t xml:space="preserve">retinoblastoma-like protein 1 isoform 2 </t>
  </si>
  <si>
    <t>21704124</t>
  </si>
  <si>
    <t xml:space="preserve">RNA-binding protein 10 isoform 1 </t>
  </si>
  <si>
    <t>269847193</t>
  </si>
  <si>
    <t xml:space="preserve">RNA-binding protein 10 isoform 2 </t>
  </si>
  <si>
    <t>269847199</t>
  </si>
  <si>
    <t xml:space="preserve">RNA-binding protein 10 isoform 3 </t>
  </si>
  <si>
    <t>114155120</t>
  </si>
  <si>
    <t xml:space="preserve">RNA-binding protein 12 </t>
  </si>
  <si>
    <t>86262142</t>
  </si>
  <si>
    <t xml:space="preserve">RNA-binding protein 14 </t>
  </si>
  <si>
    <t>124249066</t>
  </si>
  <si>
    <t xml:space="preserve">RNA binding motif protein 15 </t>
  </si>
  <si>
    <t>22779924</t>
  </si>
  <si>
    <t xml:space="preserve">splicing factor 45 </t>
  </si>
  <si>
    <t>30794154</t>
  </si>
  <si>
    <t>probable RNA-binding protein 19</t>
  </si>
  <si>
    <t>110625591</t>
  </si>
  <si>
    <t xml:space="preserve">pre-mRNA-splicing factor RBM22 </t>
  </si>
  <si>
    <t>161353449</t>
  </si>
  <si>
    <t xml:space="preserve">RNA-binding protein 25 </t>
  </si>
  <si>
    <t>123701991</t>
  </si>
  <si>
    <t xml:space="preserve">RNA-binding protein 26 </t>
  </si>
  <si>
    <t>166235127</t>
  </si>
  <si>
    <t xml:space="preserve">RNA-binding protein 28 </t>
  </si>
  <si>
    <t>261862339</t>
  </si>
  <si>
    <t>putative RNA-binding protein 3 isoform 2</t>
  </si>
  <si>
    <t>37497112</t>
  </si>
  <si>
    <t>putative RNA-binding protein 3 isoform 1</t>
  </si>
  <si>
    <t>294610680</t>
  </si>
  <si>
    <t xml:space="preserve">RNA binding motif 31, Y-linked </t>
  </si>
  <si>
    <t>145966792</t>
  </si>
  <si>
    <t xml:space="preserve">RNA-binding protein 33 </t>
  </si>
  <si>
    <t>42794007</t>
  </si>
  <si>
    <t xml:space="preserve">RNA-binding protein 34 </t>
  </si>
  <si>
    <t>118403314</t>
  </si>
  <si>
    <t xml:space="preserve">RNA-binding protein 39 </t>
  </si>
  <si>
    <t>86262144</t>
  </si>
  <si>
    <t xml:space="preserve">RNA-binding protein 4 </t>
  </si>
  <si>
    <t>224922828</t>
  </si>
  <si>
    <t xml:space="preserve">RNA-binding protein 42 </t>
  </si>
  <si>
    <t>461496486</t>
  </si>
  <si>
    <t>probable RNA-binding protein 46</t>
  </si>
  <si>
    <t>226423939</t>
  </si>
  <si>
    <t>188497698</t>
  </si>
  <si>
    <t xml:space="preserve">RNA-binding protein 47 </t>
  </si>
  <si>
    <t>27754120</t>
  </si>
  <si>
    <t xml:space="preserve">RNA-binding protein 4B </t>
  </si>
  <si>
    <t>22507333</t>
  </si>
  <si>
    <t xml:space="preserve">RNA-binding protein 5 </t>
  </si>
  <si>
    <t>27753952</t>
  </si>
  <si>
    <t xml:space="preserve">RNA-binding protein 7 </t>
  </si>
  <si>
    <t>162287294</t>
  </si>
  <si>
    <t xml:space="preserve">RNA-binding protein 8A isoform b </t>
  </si>
  <si>
    <t>162287296</t>
  </si>
  <si>
    <t xml:space="preserve">RNA-binding protein 8A isoform a </t>
  </si>
  <si>
    <t>213513165</t>
  </si>
  <si>
    <t xml:space="preserve">RNA-binding motif, single-stranded-interacting protein 1 isoform 3 </t>
  </si>
  <si>
    <t>213513185</t>
  </si>
  <si>
    <t xml:space="preserve">RNA-binding motif, single-stranded-interacting protein 1 isoform 2 </t>
  </si>
  <si>
    <t>213513205</t>
  </si>
  <si>
    <t xml:space="preserve">RNA-binding motif, single-stranded-interacting protein 1 isoform 1 </t>
  </si>
  <si>
    <t>84872203</t>
  </si>
  <si>
    <t xml:space="preserve">RNA-binding motif, single-stranded-interacting protein 2 isoform a </t>
  </si>
  <si>
    <t>84872207</t>
  </si>
  <si>
    <t xml:space="preserve">RNA-binding motif, single-stranded-interacting protein 2 isoform b </t>
  </si>
  <si>
    <t>148747313</t>
  </si>
  <si>
    <t xml:space="preserve">RNA-binding motif, single-stranded-interacting protein 3 isoform 3 </t>
  </si>
  <si>
    <t>287324565</t>
  </si>
  <si>
    <t xml:space="preserve">RNA-binding motif, single-stranded-interacting protein 3 isoform 4 </t>
  </si>
  <si>
    <t>287324670</t>
  </si>
  <si>
    <t xml:space="preserve">RNA-binding motif, single-stranded-interacting protein 3 isoform 2 </t>
  </si>
  <si>
    <t>287324761</t>
  </si>
  <si>
    <t xml:space="preserve">RNA-binding motif, single-stranded-interacting protein 3 isoform 1 </t>
  </si>
  <si>
    <t>287324845</t>
  </si>
  <si>
    <t xml:space="preserve">RNA-binding motif, single-stranded-interacting protein 3 isoform 5 </t>
  </si>
  <si>
    <t>287324984</t>
  </si>
  <si>
    <t xml:space="preserve">RNA-binding motif, single-stranded-interacting protein 3 isoform 6 </t>
  </si>
  <si>
    <t>6755296</t>
  </si>
  <si>
    <t xml:space="preserve">RNA-binding motif protein, X chromosome </t>
  </si>
  <si>
    <t>27734072</t>
  </si>
  <si>
    <t xml:space="preserve">RNA-binding motif protein, X-linked 2 </t>
  </si>
  <si>
    <t>83699420</t>
  </si>
  <si>
    <t xml:space="preserve">RNA binding motif protein, X-linked-like-1 </t>
  </si>
  <si>
    <t>83699420;355390287</t>
  </si>
  <si>
    <t>355390287;83699420</t>
  </si>
  <si>
    <t>6755300</t>
  </si>
  <si>
    <t xml:space="preserve">retinol-binding protein 1 </t>
  </si>
  <si>
    <t>555290065</t>
  </si>
  <si>
    <t xml:space="preserve">RNA-binding protein with multiple splicing isoform 4 </t>
  </si>
  <si>
    <t>111185961;33342267</t>
  </si>
  <si>
    <t xml:space="preserve">RNA-binding protein with multiple splicing isoform 2 </t>
  </si>
  <si>
    <t>33342267</t>
  </si>
  <si>
    <t xml:space="preserve">RNA-binding protein with multiple splicing isoform 1 </t>
  </si>
  <si>
    <t>111185959</t>
  </si>
  <si>
    <t xml:space="preserve">RNA-binding protein with multiple splicing isoform 3 </t>
  </si>
  <si>
    <t>155030209</t>
  </si>
  <si>
    <t xml:space="preserve">RING finger and CCCH-type zinc finger domain-containing protein 2 </t>
  </si>
  <si>
    <t>169808411</t>
  </si>
  <si>
    <t>RCC1 and BTB domain-containing protein 1</t>
  </si>
  <si>
    <t>33239431</t>
  </si>
  <si>
    <t>protein RCC2</t>
  </si>
  <si>
    <t>12963507</t>
  </si>
  <si>
    <t>CAAX prenyl protease 2</t>
  </si>
  <si>
    <t>13386058</t>
  </si>
  <si>
    <t xml:space="preserve">RING finger and CHY zinc finger domain-containing protein 1 isoform 1 </t>
  </si>
  <si>
    <t>422398909</t>
  </si>
  <si>
    <t xml:space="preserve">RING finger and CHY zinc finger domain-containing protein 1 isoform 2 </t>
  </si>
  <si>
    <t>506949339</t>
  </si>
  <si>
    <t>reticulocalbin-2 isoform 2 precursor</t>
  </si>
  <si>
    <t>114205428</t>
  </si>
  <si>
    <t>reticulocalbin-2 isoform 1 precursor</t>
  </si>
  <si>
    <t>39930559</t>
  </si>
  <si>
    <t xml:space="preserve">REST corepressor 1 </t>
  </si>
  <si>
    <t>57634523</t>
  </si>
  <si>
    <t xml:space="preserve">REST corepressor 3 </t>
  </si>
  <si>
    <t>25141231</t>
  </si>
  <si>
    <t xml:space="preserve">retinol dehydrogenase 10 </t>
  </si>
  <si>
    <t>19482172</t>
  </si>
  <si>
    <t>retinol dehydrogenase 11 precursor</t>
  </si>
  <si>
    <t>58037513</t>
  </si>
  <si>
    <t>retinol dehydrogenase 12 precursor</t>
  </si>
  <si>
    <t>30425078</t>
  </si>
  <si>
    <t>retinol dehydrogenase 13 precursor</t>
  </si>
  <si>
    <t>12963791</t>
  </si>
  <si>
    <t xml:space="preserve">retinol dehydrogenase 14 </t>
  </si>
  <si>
    <t>157277948</t>
  </si>
  <si>
    <t xml:space="preserve">radixin isoform a </t>
  </si>
  <si>
    <t>157277952</t>
  </si>
  <si>
    <t xml:space="preserve">radixin isoform b </t>
  </si>
  <si>
    <t>110625690</t>
  </si>
  <si>
    <t>ATP-dependent DNA helicase Q1 isoform 1</t>
  </si>
  <si>
    <t>326368214</t>
  </si>
  <si>
    <t>ATP-dependent DNA helicase Q1 isoform 2</t>
  </si>
  <si>
    <t>326368226</t>
  </si>
  <si>
    <t>ATP-dependent DNA helicase Q1 isoform 3</t>
  </si>
  <si>
    <t>30519927</t>
  </si>
  <si>
    <t>receptor expression-enhancing protein 3 isoform 2</t>
  </si>
  <si>
    <t>326319958</t>
  </si>
  <si>
    <t>receptor expression-enhancing protein 3 isoform 1</t>
  </si>
  <si>
    <t>161016826</t>
  </si>
  <si>
    <t>receptor expression-enhancing protein 5</t>
  </si>
  <si>
    <t>21314830</t>
  </si>
  <si>
    <t>receptor expression-enhancing protein 6 isoform 1</t>
  </si>
  <si>
    <t>326368217</t>
  </si>
  <si>
    <t>receptor expression-enhancing protein 6 isoform 2</t>
  </si>
  <si>
    <t>6677709</t>
  </si>
  <si>
    <t xml:space="preserve">transcription factor p65 </t>
  </si>
  <si>
    <t>110625912</t>
  </si>
  <si>
    <t>RELT-like protein 1 precursor</t>
  </si>
  <si>
    <t>257796226</t>
  </si>
  <si>
    <t>N-acylglucosamine 2-epimerase isoform 2</t>
  </si>
  <si>
    <t>257796315</t>
  </si>
  <si>
    <t>N-acylglucosamine 2-epimerase isoform 1</t>
  </si>
  <si>
    <t>161484650</t>
  </si>
  <si>
    <t xml:space="preserve">ralBP1-associated Eps domain-containing protein 1 isoform 1 </t>
  </si>
  <si>
    <t>161484652</t>
  </si>
  <si>
    <t xml:space="preserve">ralBP1-associated Eps domain-containing protein 1 isoform 2 </t>
  </si>
  <si>
    <t>84490401</t>
  </si>
  <si>
    <t xml:space="preserve">ralBP1-associated Eps domain-containing protein 2 </t>
  </si>
  <si>
    <t>13385882</t>
  </si>
  <si>
    <t>protein RER1</t>
  </si>
  <si>
    <t>148234285</t>
  </si>
  <si>
    <t xml:space="preserve">arginine-glutamic acid dipeptide repeats protein </t>
  </si>
  <si>
    <t>27229283</t>
  </si>
  <si>
    <t xml:space="preserve">oligoribonuclease, mitochondrial precursor </t>
  </si>
  <si>
    <t>76563952</t>
  </si>
  <si>
    <t xml:space="preserve">RNA exonuclease 4 </t>
  </si>
  <si>
    <t>188219597</t>
  </si>
  <si>
    <t xml:space="preserve">replication factor C subunit 1 </t>
  </si>
  <si>
    <t>11177922</t>
  </si>
  <si>
    <t xml:space="preserve">replication factor C subunit 2 </t>
  </si>
  <si>
    <t>124249204</t>
  </si>
  <si>
    <t xml:space="preserve">replication factor C subunit 3 </t>
  </si>
  <si>
    <t>21703948</t>
  </si>
  <si>
    <t xml:space="preserve">replication factor C subunit 4 </t>
  </si>
  <si>
    <t>110625924</t>
  </si>
  <si>
    <t xml:space="preserve">replication factor C subunit 5 </t>
  </si>
  <si>
    <t>14149726</t>
  </si>
  <si>
    <t>riboflavin kinase</t>
  </si>
  <si>
    <t>239916007</t>
  </si>
  <si>
    <t>MHC class II regulatory factor RFX1</t>
  </si>
  <si>
    <t>88703055</t>
  </si>
  <si>
    <t>regulatory factor X domain containing 2</t>
  </si>
  <si>
    <t>31982627</t>
  </si>
  <si>
    <t>ral guanine nucleotide dissociation stimulator-like 3</t>
  </si>
  <si>
    <t>170014730</t>
  </si>
  <si>
    <t xml:space="preserve">rhomboid-related protein 4 </t>
  </si>
  <si>
    <t>22122463</t>
  </si>
  <si>
    <t>rhomboid domain-containing protein 2</t>
  </si>
  <si>
    <t>28626508</t>
  </si>
  <si>
    <t>GTP-binding protein Rheb precursor</t>
  </si>
  <si>
    <t>31542143</t>
  </si>
  <si>
    <t>transforming protein RhoA precursor</t>
  </si>
  <si>
    <t>6680726</t>
  </si>
  <si>
    <t xml:space="preserve">rho-related GTP-binding protein RhoB precursor </t>
  </si>
  <si>
    <t>160415213</t>
  </si>
  <si>
    <t xml:space="preserve">rho-related GTP-binding protein RhoC precursor </t>
  </si>
  <si>
    <t>6671573</t>
  </si>
  <si>
    <t xml:space="preserve">rho-related GTP-binding protein RhoD precursor </t>
  </si>
  <si>
    <t>28201958</t>
  </si>
  <si>
    <t xml:space="preserve">rho-related GTP-binding protein RhoF precursor </t>
  </si>
  <si>
    <t>9625037</t>
  </si>
  <si>
    <t xml:space="preserve">rho-related GTP-binding protein RhoG precursor </t>
  </si>
  <si>
    <t>13489097</t>
  </si>
  <si>
    <t xml:space="preserve">rho-related GTP-binding protein RhoJ precursor </t>
  </si>
  <si>
    <t>34328361</t>
  </si>
  <si>
    <t xml:space="preserve">rho-related GTP-binding protein RhoQ precursor </t>
  </si>
  <si>
    <t>254039727</t>
  </si>
  <si>
    <t>mitochondrial Rho GTPase 1 isoform 2</t>
  </si>
  <si>
    <t>254039729</t>
  </si>
  <si>
    <t>mitochondrial Rho GTPase 1 isoform 3</t>
  </si>
  <si>
    <t>31559891</t>
  </si>
  <si>
    <t>mitochondrial Rho GTPase 1 isoform 1</t>
  </si>
  <si>
    <t>22122457</t>
  </si>
  <si>
    <t>mitochondrial Rho GTPase 2</t>
  </si>
  <si>
    <t>229092577</t>
  </si>
  <si>
    <t xml:space="preserve">rhophilin-2 </t>
  </si>
  <si>
    <t>13385124</t>
  </si>
  <si>
    <t xml:space="preserve">RIB43A-like with coiled-coils protein 1 </t>
  </si>
  <si>
    <t>16716495</t>
  </si>
  <si>
    <t xml:space="preserve">synembryn-A </t>
  </si>
  <si>
    <t>34147209</t>
  </si>
  <si>
    <t xml:space="preserve">synembryn-B isoform 2 </t>
  </si>
  <si>
    <t>61806725</t>
  </si>
  <si>
    <t xml:space="preserve">synembryn-B isoform 1 </t>
  </si>
  <si>
    <t>168480120</t>
  </si>
  <si>
    <t>rapamycin-insensitive companion of mTOR</t>
  </si>
  <si>
    <t>71480154</t>
  </si>
  <si>
    <t xml:space="preserve">rab-interacting lysosomal protein </t>
  </si>
  <si>
    <t>10946796</t>
  </si>
  <si>
    <t xml:space="preserve">RILP-like protein 1 </t>
  </si>
  <si>
    <t>21703974</t>
  </si>
  <si>
    <t xml:space="preserve">ras and Rab interactor 1 </t>
  </si>
  <si>
    <t>224967114</t>
  </si>
  <si>
    <t xml:space="preserve">ras and Rab interactor 2 </t>
  </si>
  <si>
    <t>238624151</t>
  </si>
  <si>
    <t xml:space="preserve">ras and Rab interactor 3 isoform 1 </t>
  </si>
  <si>
    <t>238624153</t>
  </si>
  <si>
    <t xml:space="preserve">ras and Rab interactor 3 isoform 2 </t>
  </si>
  <si>
    <t>226958428</t>
  </si>
  <si>
    <t>E3 ubiquitin-protein ligase RING1</t>
  </si>
  <si>
    <t>62899067</t>
  </si>
  <si>
    <t xml:space="preserve">RAD50-interacting protein 1 </t>
  </si>
  <si>
    <t>22208995</t>
  </si>
  <si>
    <t xml:space="preserve">serine/threonine-protein kinase RIO1 </t>
  </si>
  <si>
    <t>34328467</t>
  </si>
  <si>
    <t>receptor-interacting serine/threonine-protein kinase 1</t>
  </si>
  <si>
    <t>31560255</t>
  </si>
  <si>
    <t>regulator of microtubule dynamics protein 1</t>
  </si>
  <si>
    <t>41235741</t>
  </si>
  <si>
    <t>regulator of microtubule dynamics protein 2</t>
  </si>
  <si>
    <t>85701644</t>
  </si>
  <si>
    <t>regulator of microtubule dynamics protein 3</t>
  </si>
  <si>
    <t>267844815</t>
  </si>
  <si>
    <t>protein RMD5 homolog A</t>
  </si>
  <si>
    <t>226246542</t>
  </si>
  <si>
    <t>ribonuclease H1</t>
  </si>
  <si>
    <t>58037175</t>
  </si>
  <si>
    <t>ribonuclease H2 subunit A</t>
  </si>
  <si>
    <t>58037097</t>
  </si>
  <si>
    <t>ribonuclease H2 subunit B</t>
  </si>
  <si>
    <t>13386102</t>
  </si>
  <si>
    <t>ribonuclease H2 subunit C</t>
  </si>
  <si>
    <t>33239393</t>
  </si>
  <si>
    <t>ribonuclease kappa</t>
  </si>
  <si>
    <t>21311883</t>
  </si>
  <si>
    <t xml:space="preserve">ribonuclease T2B precursor </t>
  </si>
  <si>
    <t>7305435</t>
  </si>
  <si>
    <t>RING finger protein 11</t>
  </si>
  <si>
    <t>20127402</t>
  </si>
  <si>
    <t>RING finger protein 112</t>
  </si>
  <si>
    <t>23943840</t>
  </si>
  <si>
    <t>RING finger protein 113A</t>
  </si>
  <si>
    <t>88759341</t>
  </si>
  <si>
    <t>ring finger protein 113A2</t>
  </si>
  <si>
    <t>27229275</t>
  </si>
  <si>
    <t>RING finger protein 114</t>
  </si>
  <si>
    <t>70778932</t>
  </si>
  <si>
    <t>RING finger protein 121</t>
  </si>
  <si>
    <t>21362321</t>
  </si>
  <si>
    <t>RING finger protein 126</t>
  </si>
  <si>
    <t>31981195</t>
  </si>
  <si>
    <t xml:space="preserve">E3 ubiquitin-protein ligase RNF130 precursor </t>
  </si>
  <si>
    <t>46488939</t>
  </si>
  <si>
    <t>E3 ubiquitin-protein ligase RNF138 isoform 2</t>
  </si>
  <si>
    <t>46488941</t>
  </si>
  <si>
    <t>E3 ubiquitin-protein ligase RNF138 isoform 1</t>
  </si>
  <si>
    <t>257471032</t>
  </si>
  <si>
    <t>E3 ubiquitin-protein ligase RNF14 isoform a</t>
  </si>
  <si>
    <t>255003680</t>
  </si>
  <si>
    <t>RING finger protein 157</t>
  </si>
  <si>
    <t>47059206</t>
  </si>
  <si>
    <t>E3 ubiquitin-protein ligase RNF181</t>
  </si>
  <si>
    <t>33563274</t>
  </si>
  <si>
    <t>E3 ubiquitin-protein ligase RING2</t>
  </si>
  <si>
    <t>33859829</t>
  </si>
  <si>
    <t>E3 ubiquitin-protein ligase BRE1A</t>
  </si>
  <si>
    <t>309262466</t>
  </si>
  <si>
    <t>PREDICTED: LOW QUALITY PROTEIN: E3 ubiquitin-protein ligase RNF213</t>
  </si>
  <si>
    <t>30520119</t>
  </si>
  <si>
    <t>RING finger protein 214</t>
  </si>
  <si>
    <t>40254409</t>
  </si>
  <si>
    <t>E3 ubiquitin-protein ligase RNF31</t>
  </si>
  <si>
    <t>229093990</t>
  </si>
  <si>
    <t>E3 ubiquitin-protein ligase BRE1B</t>
  </si>
  <si>
    <t>110625597</t>
  </si>
  <si>
    <t xml:space="preserve">RING-box protein 2 </t>
  </si>
  <si>
    <t>158186608</t>
  </si>
  <si>
    <t xml:space="preserve">RING finger and transmembrane domain-containing protein 2 isoform 2 </t>
  </si>
  <si>
    <t>158186791</t>
  </si>
  <si>
    <t xml:space="preserve">RING finger and transmembrane domain-containing protein 2 isoform 1 </t>
  </si>
  <si>
    <t>6755342</t>
  </si>
  <si>
    <t>mRNA-capping enzyme</t>
  </si>
  <si>
    <t>285402659</t>
  </si>
  <si>
    <t>ribonuclease inhibitor isoform b</t>
  </si>
  <si>
    <t>31981748</t>
  </si>
  <si>
    <t>ribonuclease inhibitor isoform a</t>
  </si>
  <si>
    <t>13385938</t>
  </si>
  <si>
    <t>mRNA cap guanine-N7 methyltransferase isoform 1</t>
  </si>
  <si>
    <t>283945577</t>
  </si>
  <si>
    <t>mRNA cap guanine-N7 methyltransferase isoform 2</t>
  </si>
  <si>
    <t>166197675</t>
  </si>
  <si>
    <t>RNA methyltransferase-like protein 1</t>
  </si>
  <si>
    <t>227499234</t>
  </si>
  <si>
    <t>aminopeptidase B isoform 2</t>
  </si>
  <si>
    <t>227499103</t>
  </si>
  <si>
    <t>aminopeptidase B isoform 1</t>
  </si>
  <si>
    <t>318065085</t>
  </si>
  <si>
    <t xml:space="preserve">arginyl aminopeptidase-like 1 </t>
  </si>
  <si>
    <t>121674793</t>
  </si>
  <si>
    <t>RNA-binding protein with serine-rich domain 1 isoform 1</t>
  </si>
  <si>
    <t>121674799</t>
  </si>
  <si>
    <t>RNA-binding protein with serine-rich domain 1 isoform 2</t>
  </si>
  <si>
    <t>6677759</t>
  </si>
  <si>
    <t>rho-associated protein kinase 1</t>
  </si>
  <si>
    <t>134949013</t>
  </si>
  <si>
    <t>rho-associated protein kinase 2</t>
  </si>
  <si>
    <t>119508431</t>
  </si>
  <si>
    <t xml:space="preserve">protein rogdi homolog </t>
  </si>
  <si>
    <t>255958213</t>
  </si>
  <si>
    <t xml:space="preserve">reactive oxygen species modulator 1 </t>
  </si>
  <si>
    <t>255958215</t>
  </si>
  <si>
    <t>255958213;255958215</t>
  </si>
  <si>
    <t>19526820</t>
  </si>
  <si>
    <t>protein XRP2</t>
  </si>
  <si>
    <t>9055300</t>
  </si>
  <si>
    <t xml:space="preserve">retinitis pigmentosa 9 protein homolog </t>
  </si>
  <si>
    <t>18390321</t>
  </si>
  <si>
    <t xml:space="preserve">replication protein A 70 kDa DNA-binding subunit isoform 2 </t>
  </si>
  <si>
    <t>255982530</t>
  </si>
  <si>
    <t xml:space="preserve">replication protein A 70 kDa DNA-binding subunit isoform 1 </t>
  </si>
  <si>
    <t>110625961</t>
  </si>
  <si>
    <t>replication protein A 32 kDa subunit</t>
  </si>
  <si>
    <t>13386122</t>
  </si>
  <si>
    <t>replication protein A 14 kDa subunit</t>
  </si>
  <si>
    <t>254540043</t>
  </si>
  <si>
    <t xml:space="preserve">putative RNA polymerase II subunit B1 CTD phosphatase Rpap2 isoform A </t>
  </si>
  <si>
    <t>254540045</t>
  </si>
  <si>
    <t xml:space="preserve">putative RNA polymerase II subunit B1 CTD phosphatase Rpap2 isoform B </t>
  </si>
  <si>
    <t>13386276</t>
  </si>
  <si>
    <t xml:space="preserve">RNA polymerase II-associated protein 3 </t>
  </si>
  <si>
    <t>27532955</t>
  </si>
  <si>
    <t>ribulose-phosphate 3-epimerase</t>
  </si>
  <si>
    <t>94536844</t>
  </si>
  <si>
    <t>ribose-5-phosphate isomerase</t>
  </si>
  <si>
    <t>16418339</t>
  </si>
  <si>
    <t>60S ribosomal protein L10</t>
  </si>
  <si>
    <t>255003735</t>
  </si>
  <si>
    <t>60S ribosomal protein L10a</t>
  </si>
  <si>
    <t>242397462</t>
  </si>
  <si>
    <t>60S ribosomal protein L10-like</t>
  </si>
  <si>
    <t>13385408</t>
  </si>
  <si>
    <t>60S ribosomal protein L11</t>
  </si>
  <si>
    <t>160333553</t>
  </si>
  <si>
    <t>60S ribosomal protein L12</t>
  </si>
  <si>
    <t>33186863</t>
  </si>
  <si>
    <t>60S ribosomal protein L13</t>
  </si>
  <si>
    <t>31981945</t>
  </si>
  <si>
    <t>60S ribosomal protein L13a</t>
  </si>
  <si>
    <t>13385472</t>
  </si>
  <si>
    <t>60S ribosomal protein L14</t>
  </si>
  <si>
    <t>13385036</t>
  </si>
  <si>
    <t>60S ribosomal protein L15</t>
  </si>
  <si>
    <t>161484662</t>
  </si>
  <si>
    <t>60S ribosomal protein L17</t>
  </si>
  <si>
    <t>83699424</t>
  </si>
  <si>
    <t>60S ribosomal protein L18</t>
  </si>
  <si>
    <t>58037465</t>
  </si>
  <si>
    <t>60S ribosomal protein L18a</t>
  </si>
  <si>
    <t>226958653</t>
  </si>
  <si>
    <t>60S ribosomal protein L19 isoform 1</t>
  </si>
  <si>
    <t>226958657</t>
  </si>
  <si>
    <t>60S ribosomal protein L19 isoform 2</t>
  </si>
  <si>
    <t>31560385</t>
  </si>
  <si>
    <t>60S ribosomal protein L21</t>
  </si>
  <si>
    <t>459683845</t>
  </si>
  <si>
    <t>60S ribosomal protein L22 isoform b</t>
  </si>
  <si>
    <t>459683847</t>
  </si>
  <si>
    <t>60S ribosomal protein L22 isoform c</t>
  </si>
  <si>
    <t>13386010</t>
  </si>
  <si>
    <t xml:space="preserve">60S ribosomal protein L22-like 1 </t>
  </si>
  <si>
    <t>46430508</t>
  </si>
  <si>
    <t>60S ribosomal protein L23a</t>
  </si>
  <si>
    <t>18250296</t>
  </si>
  <si>
    <t>60S ribosomal protein L24</t>
  </si>
  <si>
    <t>6677777</t>
  </si>
  <si>
    <t>60S ribosomal protein L26</t>
  </si>
  <si>
    <t>8567400</t>
  </si>
  <si>
    <t>60S ribosomal protein L27</t>
  </si>
  <si>
    <t>31560517</t>
  </si>
  <si>
    <t>60S ribosomal protein L27a</t>
  </si>
  <si>
    <t>6677779</t>
  </si>
  <si>
    <t>60S ribosomal protein L28</t>
  </si>
  <si>
    <t>255308899</t>
  </si>
  <si>
    <t>60S ribosomal protein L3</t>
  </si>
  <si>
    <t>6677783</t>
  </si>
  <si>
    <t>60S ribosomal protein L30</t>
  </si>
  <si>
    <t>16716589;356582309</t>
  </si>
  <si>
    <t>60S ribosomal protein L31</t>
  </si>
  <si>
    <t>356582309</t>
  </si>
  <si>
    <t>386365497</t>
  </si>
  <si>
    <t xml:space="preserve">predicted gene, EG665562 </t>
  </si>
  <si>
    <t>25742730</t>
  </si>
  <si>
    <t>60S ribosomal protein L32</t>
  </si>
  <si>
    <t>55741555</t>
  </si>
  <si>
    <t>60S ribosomal protein L34 isoform 2</t>
  </si>
  <si>
    <t>13385044</t>
  </si>
  <si>
    <t>60S ribosomal protein L35</t>
  </si>
  <si>
    <t>160333837</t>
  </si>
  <si>
    <t>60S ribosomal protein L36</t>
  </si>
  <si>
    <t>9845295;13385038</t>
  </si>
  <si>
    <t>60S ribosomal protein L36a</t>
  </si>
  <si>
    <t>13385038</t>
  </si>
  <si>
    <t xml:space="preserve">ribosomal protein L36A-like </t>
  </si>
  <si>
    <t>6677785</t>
  </si>
  <si>
    <t>60S ribosomal protein L37a</t>
  </si>
  <si>
    <t>12963655</t>
  </si>
  <si>
    <t>60S ribosomal protein L38</t>
  </si>
  <si>
    <t>13384820</t>
  </si>
  <si>
    <t xml:space="preserve">ribosomal protein L3-like isoform 2 </t>
  </si>
  <si>
    <t>255653009</t>
  </si>
  <si>
    <t xml:space="preserve">ribosomal protein L3-like isoform 1 </t>
  </si>
  <si>
    <t>30794450</t>
  </si>
  <si>
    <t>60S ribosomal protein L4</t>
  </si>
  <si>
    <t>23956082</t>
  </si>
  <si>
    <t>60S ribosomal protein L5</t>
  </si>
  <si>
    <t>84662736</t>
  </si>
  <si>
    <t>60S ribosomal protein L6</t>
  </si>
  <si>
    <t>31981515</t>
  </si>
  <si>
    <t>60S ribosomal protein L7</t>
  </si>
  <si>
    <t>7305443</t>
  </si>
  <si>
    <t>60S ribosomal protein L7a</t>
  </si>
  <si>
    <t>27754134</t>
  </si>
  <si>
    <t xml:space="preserve">60S ribosomal protein L7-like 1 </t>
  </si>
  <si>
    <t>6755358</t>
  </si>
  <si>
    <t>60S ribosomal protein L8</t>
  </si>
  <si>
    <t>14149647</t>
  </si>
  <si>
    <t>60S ribosomal protein L9</t>
  </si>
  <si>
    <t>6671569</t>
  </si>
  <si>
    <t xml:space="preserve">60S acidic ribosomal protein P0 </t>
  </si>
  <si>
    <t>9256519</t>
  </si>
  <si>
    <t xml:space="preserve">60S acidic ribosomal protein P1 </t>
  </si>
  <si>
    <t>83745120</t>
  </si>
  <si>
    <t xml:space="preserve">60S acidic ribosomal protein P2 </t>
  </si>
  <si>
    <t>282398108</t>
  </si>
  <si>
    <t xml:space="preserve">dolichyl-diphosphooligosaccharide--protein glycosyltransferase subunit 1 precursor </t>
  </si>
  <si>
    <t>34996495</t>
  </si>
  <si>
    <t xml:space="preserve">dolichyl-diphosphooligosaccharide--protein glycosyltransferase subunit 2 precursor </t>
  </si>
  <si>
    <t>13385432</t>
  </si>
  <si>
    <t xml:space="preserve">ribonuclease P protein subunit p14 </t>
  </si>
  <si>
    <t>13385804</t>
  </si>
  <si>
    <t xml:space="preserve">ribonuclease P protein subunit p21 </t>
  </si>
  <si>
    <t>227430284</t>
  </si>
  <si>
    <t>ribonuclease P protein subunit p25-like protein</t>
  </si>
  <si>
    <t>257196209</t>
  </si>
  <si>
    <t xml:space="preserve">ribonuclease P protein subunit p30 </t>
  </si>
  <si>
    <t>247300905</t>
  </si>
  <si>
    <t xml:space="preserve">ribonuclease P protein subunit p38 </t>
  </si>
  <si>
    <t>172072663</t>
  </si>
  <si>
    <t xml:space="preserve">ribonuclease P protein subunit p40 </t>
  </si>
  <si>
    <t>21450083</t>
  </si>
  <si>
    <t xml:space="preserve">regulation of nuclear pre-mRNA domain-containing protein 1A </t>
  </si>
  <si>
    <t>34328077</t>
  </si>
  <si>
    <t xml:space="preserve">regulation of nuclear pre-mRNA domain-containing protein 1B </t>
  </si>
  <si>
    <t>124486841</t>
  </si>
  <si>
    <t xml:space="preserve">regulation of nuclear pre-mRNA domain-containing protein 2 </t>
  </si>
  <si>
    <t>13399310</t>
  </si>
  <si>
    <t>40S ribosomal protein S10</t>
  </si>
  <si>
    <t>21426889</t>
  </si>
  <si>
    <t>40S ribosomal protein S11</t>
  </si>
  <si>
    <t>40254577</t>
  </si>
  <si>
    <t>40S ribosomal protein S12</t>
  </si>
  <si>
    <t>149258592</t>
  </si>
  <si>
    <t>149250091</t>
  </si>
  <si>
    <t>51772387</t>
  </si>
  <si>
    <t>149272239</t>
  </si>
  <si>
    <t xml:space="preserve">PREDICTED: 40S ribosomal protein S12-like isoform 1 </t>
  </si>
  <si>
    <t>13386034</t>
  </si>
  <si>
    <t>40S ribosomal protein S13</t>
  </si>
  <si>
    <t>31981100</t>
  </si>
  <si>
    <t>40S ribosomal protein S14</t>
  </si>
  <si>
    <t>6677799</t>
  </si>
  <si>
    <t>40S ribosomal protein S15</t>
  </si>
  <si>
    <t>24762230</t>
  </si>
  <si>
    <t>40S ribosomal protein S15a</t>
  </si>
  <si>
    <t>309265366</t>
  </si>
  <si>
    <t xml:space="preserve">PREDICTED: 40S ribosomal protein S15a-like </t>
  </si>
  <si>
    <t>158966704</t>
  </si>
  <si>
    <t>40S ribosomal protein S16</t>
  </si>
  <si>
    <t>6677801</t>
  </si>
  <si>
    <t>40S ribosomal protein S17</t>
  </si>
  <si>
    <t>6755368</t>
  </si>
  <si>
    <t>40S ribosomal protein S18</t>
  </si>
  <si>
    <t>12963511</t>
  </si>
  <si>
    <t>40S ribosomal protein S19</t>
  </si>
  <si>
    <t>30424711</t>
  </si>
  <si>
    <t>active regulator of SIRT1</t>
  </si>
  <si>
    <t>18087805</t>
  </si>
  <si>
    <t>40S ribosomal protein S2</t>
  </si>
  <si>
    <t>13385652</t>
  </si>
  <si>
    <t>40S ribosomal protein S20</t>
  </si>
  <si>
    <t>21536222</t>
  </si>
  <si>
    <t>40S ribosomal protein S21</t>
  </si>
  <si>
    <t>13195604</t>
  </si>
  <si>
    <t>40S ribosomal protein S23</t>
  </si>
  <si>
    <t>46519156</t>
  </si>
  <si>
    <t>40S ribosomal protein S24 isoform 1</t>
  </si>
  <si>
    <t>46519160</t>
  </si>
  <si>
    <t>40S ribosomal protein S24 isoform 3</t>
  </si>
  <si>
    <t>28372479</t>
  </si>
  <si>
    <t>40S ribosomal protein S25</t>
  </si>
  <si>
    <t>255003793</t>
  </si>
  <si>
    <t>40S ribosomal protein S26</t>
  </si>
  <si>
    <t>26024336;298231238</t>
  </si>
  <si>
    <t>40S ribosomal protein S27</t>
  </si>
  <si>
    <t>13195690</t>
  </si>
  <si>
    <t xml:space="preserve">ubiquitin-40S ribosomal protein S27a precursor </t>
  </si>
  <si>
    <t>13385958</t>
  </si>
  <si>
    <t>40S ribosomal protein S27-like</t>
  </si>
  <si>
    <t>298231238</t>
  </si>
  <si>
    <t xml:space="preserve">ribosomal protein S27-like </t>
  </si>
  <si>
    <t>21426821</t>
  </si>
  <si>
    <t>40S ribosomal protein S28</t>
  </si>
  <si>
    <t>6677803</t>
  </si>
  <si>
    <t>40S ribosomal protein S29</t>
  </si>
  <si>
    <t>6755372</t>
  </si>
  <si>
    <t>40S ribosomal protein S3</t>
  </si>
  <si>
    <t>254553321</t>
  </si>
  <si>
    <t>40S ribosomal protein S3a</t>
  </si>
  <si>
    <t>6677805</t>
  </si>
  <si>
    <t>40S ribosomal protein S4, X isoform</t>
  </si>
  <si>
    <t>254675270</t>
  </si>
  <si>
    <t>40S ribosomal protein S5</t>
  </si>
  <si>
    <t>158636007</t>
  </si>
  <si>
    <t xml:space="preserve">ribosomal protein S6 kinase alpha-1 </t>
  </si>
  <si>
    <t>6755374</t>
  </si>
  <si>
    <t xml:space="preserve">ribosomal protein S6 kinase alpha-2 </t>
  </si>
  <si>
    <t>22507357</t>
  </si>
  <si>
    <t xml:space="preserve">ribosomal protein S6 kinase alpha-3 </t>
  </si>
  <si>
    <t>9910454</t>
  </si>
  <si>
    <t xml:space="preserve">ribosomal protein S6 kinase alpha-4 </t>
  </si>
  <si>
    <t>23956386</t>
  </si>
  <si>
    <t xml:space="preserve">ribosomal protein S6 kinase alpha-5 </t>
  </si>
  <si>
    <t>67625733</t>
  </si>
  <si>
    <t xml:space="preserve">ribosomal protein S6 kinase alpha-6 </t>
  </si>
  <si>
    <t>166999987</t>
  </si>
  <si>
    <t xml:space="preserve">ribosomal protein S6 kinase beta-1 isoform 1 </t>
  </si>
  <si>
    <t>29789225</t>
  </si>
  <si>
    <t xml:space="preserve">ribosomal protein S6 kinase beta-1 isoform 2 </t>
  </si>
  <si>
    <t>10946894</t>
  </si>
  <si>
    <t xml:space="preserve">ribosomal protein S6 kinase beta-2 </t>
  </si>
  <si>
    <t>94367038</t>
  </si>
  <si>
    <t xml:space="preserve">PREDICTED: 40S ribosomal protein S6-like isoform 2 </t>
  </si>
  <si>
    <t>6755376</t>
  </si>
  <si>
    <t>40S ribosomal protein S7</t>
  </si>
  <si>
    <t>33504483</t>
  </si>
  <si>
    <t>40S ribosomal protein S9</t>
  </si>
  <si>
    <t>154146249</t>
  </si>
  <si>
    <t>regulatory-associated protein of mTOR</t>
  </si>
  <si>
    <t>27734094</t>
  </si>
  <si>
    <t>RNA pseudouridylate synthase domain-containing protein 2</t>
  </si>
  <si>
    <t>10946722</t>
  </si>
  <si>
    <t xml:space="preserve">cell differentiation protein RCD1 homolog </t>
  </si>
  <si>
    <t>31541819</t>
  </si>
  <si>
    <t>ras-related GTP-binding protein A</t>
  </si>
  <si>
    <t>51921311</t>
  </si>
  <si>
    <t>ras-related GTP-binding protein B</t>
  </si>
  <si>
    <t>114145487</t>
  </si>
  <si>
    <t>ras-related GTP-binding protein C</t>
  </si>
  <si>
    <t>120444910</t>
  </si>
  <si>
    <t>ras-related GTP-binding protein D</t>
  </si>
  <si>
    <t>6677819</t>
  </si>
  <si>
    <t>ras-related protein R-Ras precursor</t>
  </si>
  <si>
    <t>165972315</t>
  </si>
  <si>
    <t>ras-related protein R-Ras2 precursor</t>
  </si>
  <si>
    <t>19482168</t>
  </si>
  <si>
    <t xml:space="preserve">ribosome-binding protein 1 isoform b </t>
  </si>
  <si>
    <t>124486712</t>
  </si>
  <si>
    <t xml:space="preserve">ribosome-binding protein 1 isoform a </t>
  </si>
  <si>
    <t>295424113</t>
  </si>
  <si>
    <t>ras-responsive element-binding protein 1 isoform 1</t>
  </si>
  <si>
    <t>295424118</t>
  </si>
  <si>
    <t>ras-responsive element-binding protein 1 isoform 2</t>
  </si>
  <si>
    <t>31982026</t>
  </si>
  <si>
    <t>ribonucleoside-diphosphate reductase large subunit</t>
  </si>
  <si>
    <t>7106399</t>
  </si>
  <si>
    <t>ribonucleoside-diphosphate reductase subunit M2</t>
  </si>
  <si>
    <t>41054952</t>
  </si>
  <si>
    <t xml:space="preserve">ribonucleoside-diphosphate reductase subunit M2 B </t>
  </si>
  <si>
    <t>117676367</t>
  </si>
  <si>
    <t xml:space="preserve">ribosomal RNA processing protein 1 homolog A </t>
  </si>
  <si>
    <t>40789092</t>
  </si>
  <si>
    <t>RRP12-like protein</t>
  </si>
  <si>
    <t>21704248</t>
  </si>
  <si>
    <t>U3 small nucleolar RNA-interacting protein 2</t>
  </si>
  <si>
    <t>227908779</t>
  </si>
  <si>
    <t xml:space="preserve">ribosome biogenesis regulatory protein homolog </t>
  </si>
  <si>
    <t>67906201</t>
  </si>
  <si>
    <t xml:space="preserve">round spermatid basic protein 1 </t>
  </si>
  <si>
    <t>124430547</t>
  </si>
  <si>
    <t xml:space="preserve">round spermatid basic protein 1-like </t>
  </si>
  <si>
    <t>30794470</t>
  </si>
  <si>
    <t xml:space="preserve">ribosomal L1 domain-containing protein 1 </t>
  </si>
  <si>
    <t>13385292</t>
  </si>
  <si>
    <t xml:space="preserve">serine/Arginine-related protein 53 </t>
  </si>
  <si>
    <t>53988374</t>
  </si>
  <si>
    <t>arginine/serine-rich coiled-coil protein 2 isoform 3</t>
  </si>
  <si>
    <t>53988372</t>
  </si>
  <si>
    <t>arginine/serine-rich coiled-coil protein 2 isoform 2</t>
  </si>
  <si>
    <t>53988376</t>
  </si>
  <si>
    <t>arginine/serine-rich coiled-coil protein 2</t>
  </si>
  <si>
    <t>31982028</t>
  </si>
  <si>
    <t>ras suppressor protein 1</t>
  </si>
  <si>
    <t>254587958</t>
  </si>
  <si>
    <t>RNA 3'-terminal phosphate cyclase</t>
  </si>
  <si>
    <t>21703842</t>
  </si>
  <si>
    <t>tRNA-splicing ligase RtcB homolog</t>
  </si>
  <si>
    <t>195976788</t>
  </si>
  <si>
    <t>RNA polymerase-associated protein RTF1 homolog precursor</t>
  </si>
  <si>
    <t>30794468</t>
  </si>
  <si>
    <t xml:space="preserve">protein RTF2 homolog </t>
  </si>
  <si>
    <t>557129040</t>
  </si>
  <si>
    <t xml:space="preserve">reticulon-1 isoform A2 </t>
  </si>
  <si>
    <t>31982561</t>
  </si>
  <si>
    <t xml:space="preserve">reticulon-1 isoform RTN1-A </t>
  </si>
  <si>
    <t>56090141</t>
  </si>
  <si>
    <t xml:space="preserve">reticulon-1 isoform RTN1-C </t>
  </si>
  <si>
    <t>16716353</t>
  </si>
  <si>
    <t xml:space="preserve">reticulon-3 isoform 4 </t>
  </si>
  <si>
    <t>407339783</t>
  </si>
  <si>
    <t xml:space="preserve">reticulon-3 isoform 5 </t>
  </si>
  <si>
    <t>407339785</t>
  </si>
  <si>
    <t xml:space="preserve">reticulon-3 isoform 6 </t>
  </si>
  <si>
    <t>51511741</t>
  </si>
  <si>
    <t xml:space="preserve">reticulon-3 isoform 2 </t>
  </si>
  <si>
    <t>54607016</t>
  </si>
  <si>
    <t xml:space="preserve">reticulon-3 isoform 1 </t>
  </si>
  <si>
    <t>13195648</t>
  </si>
  <si>
    <t xml:space="preserve">reticulon-4 isoform C </t>
  </si>
  <si>
    <t>34610233</t>
  </si>
  <si>
    <t xml:space="preserve">reticulon-4 isoform B1 </t>
  </si>
  <si>
    <t>34610235</t>
  </si>
  <si>
    <t xml:space="preserve">reticulon-4 isoform A </t>
  </si>
  <si>
    <t>34610237</t>
  </si>
  <si>
    <t xml:space="preserve">reticulon-4 isoform D </t>
  </si>
  <si>
    <t>34610241</t>
  </si>
  <si>
    <t xml:space="preserve">reticulon-4 isoform B2 </t>
  </si>
  <si>
    <t>31543608</t>
  </si>
  <si>
    <t xml:space="preserve">reticulon-4-interacting protein 1, mitochondrial precursor </t>
  </si>
  <si>
    <t>37704389</t>
  </si>
  <si>
    <t xml:space="preserve">rotatin </t>
  </si>
  <si>
    <t>27369788</t>
  </si>
  <si>
    <t>RUN and FYVE domain-containing protein 1</t>
  </si>
  <si>
    <t>119637825</t>
  </si>
  <si>
    <t>RUN and FYVE domain-containing protein 2</t>
  </si>
  <si>
    <t>21312036</t>
  </si>
  <si>
    <t>protein RUFY3</t>
  </si>
  <si>
    <t>139947575</t>
  </si>
  <si>
    <t>RUN and SH3 domain-containing protein 1 isoform 2</t>
  </si>
  <si>
    <t>139948764</t>
  </si>
  <si>
    <t>RUN and SH3 domain-containing protein 1 isoform 1</t>
  </si>
  <si>
    <t>139949087</t>
  </si>
  <si>
    <t>RUN and SH3 domain-containing protein 1 isoform 3</t>
  </si>
  <si>
    <t>9790083</t>
  </si>
  <si>
    <t>ruvB-like 1</t>
  </si>
  <si>
    <t>6755382</t>
  </si>
  <si>
    <t>ruvB-like 2</t>
  </si>
  <si>
    <t>21735427</t>
  </si>
  <si>
    <t>RWD domain-containing protein 1</t>
  </si>
  <si>
    <t>45356139</t>
  </si>
  <si>
    <t>RWD domain-containing protein 4</t>
  </si>
  <si>
    <t>38348308</t>
  </si>
  <si>
    <t>RING1 and YY1-binding protein</t>
  </si>
  <si>
    <t>6755386</t>
  </si>
  <si>
    <t>protein S100-A1</t>
  </si>
  <si>
    <t>6677833</t>
  </si>
  <si>
    <t>protein S100-A10</t>
  </si>
  <si>
    <t>21886811</t>
  </si>
  <si>
    <t>protein S100-A11</t>
  </si>
  <si>
    <t>347582617</t>
  </si>
  <si>
    <t>protein S100-A13</t>
  </si>
  <si>
    <t>254587910</t>
  </si>
  <si>
    <t>protein S100-A14 isoform b</t>
  </si>
  <si>
    <t>254587908;254587904</t>
  </si>
  <si>
    <t>protein S100-A14 isoform a</t>
  </si>
  <si>
    <t>21312760</t>
  </si>
  <si>
    <t xml:space="preserve">S100 calcium binding protein A16 </t>
  </si>
  <si>
    <t>33859624</t>
  </si>
  <si>
    <t>protein S100-A4</t>
  </si>
  <si>
    <t>6755392</t>
  </si>
  <si>
    <t>protein S100-A6</t>
  </si>
  <si>
    <t>198278397</t>
  </si>
  <si>
    <t>protein SAAL1</t>
  </si>
  <si>
    <t>13507622</t>
  </si>
  <si>
    <t xml:space="preserve">phosphatidylinositide phosphatase SAC1 </t>
  </si>
  <si>
    <t>9790247</t>
  </si>
  <si>
    <t>SUMO-activating enzyme subunit 1</t>
  </si>
  <si>
    <t>254028159</t>
  </si>
  <si>
    <t>scaffold attachment factor B1</t>
  </si>
  <si>
    <t>153945866</t>
  </si>
  <si>
    <t>scaffold attachment factor B2</t>
  </si>
  <si>
    <t>159032064</t>
  </si>
  <si>
    <t xml:space="preserve">sal-like protein 1 </t>
  </si>
  <si>
    <t>28893263</t>
  </si>
  <si>
    <t>sterile alpha motif domain-containing protein 12</t>
  </si>
  <si>
    <t>226958514</t>
  </si>
  <si>
    <t>sterile alpha motif domain-containing protein 9-like</t>
  </si>
  <si>
    <t>213418055</t>
  </si>
  <si>
    <t xml:space="preserve">SAM domain and HD domain-containing protein 1 isoform 1 </t>
  </si>
  <si>
    <t>213418079</t>
  </si>
  <si>
    <t xml:space="preserve">SAM domain and HD domain-containing protein 1 isoform 2 </t>
  </si>
  <si>
    <t>30519943</t>
  </si>
  <si>
    <t xml:space="preserve">sorting and assembly machinery component 50 homolog </t>
  </si>
  <si>
    <t>31560336</t>
  </si>
  <si>
    <t>SAP30-binding protein</t>
  </si>
  <si>
    <t>21703344</t>
  </si>
  <si>
    <t xml:space="preserve">GTP-binding protein SAR1a </t>
  </si>
  <si>
    <t>21313476</t>
  </si>
  <si>
    <t xml:space="preserve">GTP-binding protein SAR1b </t>
  </si>
  <si>
    <t>20149748</t>
  </si>
  <si>
    <t xml:space="preserve">sarcosine dehydrogenase, mitochondrial </t>
  </si>
  <si>
    <t>13384730</t>
  </si>
  <si>
    <t xml:space="preserve">SAP domain-containing ribonucleoprotein </t>
  </si>
  <si>
    <t>326381098</t>
  </si>
  <si>
    <t xml:space="preserve">serine--tRNA ligase, cytoplasmic isoform 2 </t>
  </si>
  <si>
    <t>33468931</t>
  </si>
  <si>
    <t xml:space="preserve">serine--tRNA ligase, cytoplasmic isoform 1 </t>
  </si>
  <si>
    <t>228008415</t>
  </si>
  <si>
    <t>serine--tRNA ligase, mitochondrial precursor</t>
  </si>
  <si>
    <t>124244096</t>
  </si>
  <si>
    <t>U4/U6.U5 tri-snRNP-associated protein 1</t>
  </si>
  <si>
    <t>8394239</t>
  </si>
  <si>
    <t>squamous cell carcinoma antigen recognized by T-cells 3</t>
  </si>
  <si>
    <t>124249210</t>
  </si>
  <si>
    <t xml:space="preserve">diamine acetyltransferase 2 </t>
  </si>
  <si>
    <t>218751888</t>
  </si>
  <si>
    <t>SAYSvFN domain-containing protein 1</t>
  </si>
  <si>
    <t>23956138</t>
  </si>
  <si>
    <t>ribosome maturation protein SBDS</t>
  </si>
  <si>
    <t>124487087</t>
  </si>
  <si>
    <t xml:space="preserve">protein strawberry notch homolog 1 </t>
  </si>
  <si>
    <t>34556193</t>
  </si>
  <si>
    <t xml:space="preserve">protein strawberry notch homolog 2 </t>
  </si>
  <si>
    <t>13384836</t>
  </si>
  <si>
    <t xml:space="preserve">methylsterol monooxygenase 1 </t>
  </si>
  <si>
    <t>56605682</t>
  </si>
  <si>
    <t>splicing factor, arginine/serine-rich 19</t>
  </si>
  <si>
    <t>109150409</t>
  </si>
  <si>
    <t>splicing factor, arginine/serine-rich 15</t>
  </si>
  <si>
    <t>30527367</t>
  </si>
  <si>
    <t>protein SCAF8</t>
  </si>
  <si>
    <t>58037395</t>
  </si>
  <si>
    <t xml:space="preserve">secretory carrier-associated membrane protein 1 </t>
  </si>
  <si>
    <t>12331398</t>
  </si>
  <si>
    <t xml:space="preserve">secretory carrier-associated membrane protein 2 </t>
  </si>
  <si>
    <t>118601011</t>
  </si>
  <si>
    <t xml:space="preserve">secretory carrier-associated membrane protein 3 </t>
  </si>
  <si>
    <t>9625033</t>
  </si>
  <si>
    <t xml:space="preserve">secretory carrier-associated membrane protein 4 </t>
  </si>
  <si>
    <t>9937988</t>
  </si>
  <si>
    <t xml:space="preserve">secretory carrier-associated membrane protein 5 </t>
  </si>
  <si>
    <t>124486797</t>
  </si>
  <si>
    <t xml:space="preserve">S phase cyclin A-associated protein in the endoplasmic reticulum </t>
  </si>
  <si>
    <t>14389423</t>
  </si>
  <si>
    <t>scavenger receptor class B member 1 isoform 1</t>
  </si>
  <si>
    <t>326537322</t>
  </si>
  <si>
    <t>scavenger receptor class B member 1 isoform 2</t>
  </si>
  <si>
    <t>326537324</t>
  </si>
  <si>
    <t>scavenger receptor class B member 1 isoform 3</t>
  </si>
  <si>
    <t>6680878</t>
  </si>
  <si>
    <t>lysosome membrane protein 2</t>
  </si>
  <si>
    <t>30520019</t>
  </si>
  <si>
    <t xml:space="preserve">saccharopine dehydrogenase-like oxidoreductase </t>
  </si>
  <si>
    <t>70909345</t>
  </si>
  <si>
    <t xml:space="preserve">sciellin </t>
  </si>
  <si>
    <t>58037481</t>
  </si>
  <si>
    <t xml:space="preserve">sec1 family domain-containing protein 1 </t>
  </si>
  <si>
    <t>167900448</t>
  </si>
  <si>
    <t xml:space="preserve">sec1 family domain-containing protein 2 isoform a </t>
  </si>
  <si>
    <t>21703798</t>
  </si>
  <si>
    <t xml:space="preserve">secretagogin </t>
  </si>
  <si>
    <t>226246550</t>
  </si>
  <si>
    <t xml:space="preserve">adseverin isoform 1 </t>
  </si>
  <si>
    <t>226246552</t>
  </si>
  <si>
    <t xml:space="preserve">adseverin isoform 2 </t>
  </si>
  <si>
    <t>27804323</t>
  </si>
  <si>
    <t>selenocysteine lyase</t>
  </si>
  <si>
    <t>133987591</t>
  </si>
  <si>
    <t xml:space="preserve">sodium channel protein type 11 subunit alpha </t>
  </si>
  <si>
    <t>90991710</t>
  </si>
  <si>
    <t>protein SCO1 homolog, mitochondrial</t>
  </si>
  <si>
    <t>162329549</t>
  </si>
  <si>
    <t>protein SCO2 homolog, mitochondrial</t>
  </si>
  <si>
    <t>85362711</t>
  </si>
  <si>
    <t xml:space="preserve">short coiled-coil protein isoform a </t>
  </si>
  <si>
    <t>9790207</t>
  </si>
  <si>
    <t xml:space="preserve">short coiled-coil protein isoform b </t>
  </si>
  <si>
    <t>45476581</t>
  </si>
  <si>
    <t xml:space="preserve">non-specific lipid-transfer protein </t>
  </si>
  <si>
    <t>253970508</t>
  </si>
  <si>
    <t>retinoid-inducible serine carboxypeptidase precursor</t>
  </si>
  <si>
    <t>20373163</t>
  </si>
  <si>
    <t xml:space="preserve">protein scribble homolog </t>
  </si>
  <si>
    <t>22122499</t>
  </si>
  <si>
    <t xml:space="preserve">secernin-2 </t>
  </si>
  <si>
    <t>12963867</t>
  </si>
  <si>
    <t xml:space="preserve">N-terminal kinase-like protein </t>
  </si>
  <si>
    <t>37574121</t>
  </si>
  <si>
    <t xml:space="preserve">SCY1-like protein 2 </t>
  </si>
  <si>
    <t>21311917</t>
  </si>
  <si>
    <t xml:space="preserve">protein-associating with the carboxyl-terminal domain of ezrin </t>
  </si>
  <si>
    <t>27370042</t>
  </si>
  <si>
    <t xml:space="preserve">protein SDA1 homolog </t>
  </si>
  <si>
    <t>6755438</t>
  </si>
  <si>
    <t>syndecan-1 precursor</t>
  </si>
  <si>
    <t>6755442</t>
  </si>
  <si>
    <t>syndecan-4 precursor</t>
  </si>
  <si>
    <t>148277591</t>
  </si>
  <si>
    <t xml:space="preserve">syntenin-1 isoform 2 </t>
  </si>
  <si>
    <t>148277640</t>
  </si>
  <si>
    <t xml:space="preserve">syntenin-1 isoform 1 </t>
  </si>
  <si>
    <t>29789245</t>
  </si>
  <si>
    <t xml:space="preserve">serologically defined colon cancer antigen 8 homolog </t>
  </si>
  <si>
    <t>11612505</t>
  </si>
  <si>
    <t xml:space="preserve">stromal cell-derived factor 2-like protein 1 precursor </t>
  </si>
  <si>
    <t>54607098</t>
  </si>
  <si>
    <t xml:space="preserve">succinate dehydrogenase [ubiquinone] flavoprotein subunit, mitochondrial precursor </t>
  </si>
  <si>
    <t>110815822</t>
  </si>
  <si>
    <t>succinate dehydrogenase assembly factor 1, mitochondrial</t>
  </si>
  <si>
    <t>34328286</t>
  </si>
  <si>
    <t xml:space="preserve">succinate dehydrogenase [ubiquinone] iron-sulfur subunit, mitochondrial precursor </t>
  </si>
  <si>
    <t>228008307</t>
  </si>
  <si>
    <t xml:space="preserve">succinate dehydrogenase cytochrome b560 subunit, mitochondrial precursor </t>
  </si>
  <si>
    <t>27229021</t>
  </si>
  <si>
    <t>succinate dehydrogenase [ubiquinone] cytochrome b small subunit, mitochondrial</t>
  </si>
  <si>
    <t>131889222</t>
  </si>
  <si>
    <t>epimerase family protein SDR39U1</t>
  </si>
  <si>
    <t>20589949</t>
  </si>
  <si>
    <t>serine dehydratase-like</t>
  </si>
  <si>
    <t>9910550</t>
  </si>
  <si>
    <t>signal peptidase complex catalytic subunit SEC11A</t>
  </si>
  <si>
    <t>29150272</t>
  </si>
  <si>
    <t xml:space="preserve">protein SEC13 homolog </t>
  </si>
  <si>
    <t>262073064</t>
  </si>
  <si>
    <t>SEC14-like 1 isoform 1</t>
  </si>
  <si>
    <t>262073066</t>
  </si>
  <si>
    <t>SEC14-like 1 isoform 2</t>
  </si>
  <si>
    <t>262073068</t>
  </si>
  <si>
    <t>SEC14-like 1 isoform 3</t>
  </si>
  <si>
    <t>189181692</t>
  </si>
  <si>
    <t xml:space="preserve">SEC14-like protein 5 </t>
  </si>
  <si>
    <t>124378050</t>
  </si>
  <si>
    <t xml:space="preserve">SEC16 homolog A </t>
  </si>
  <si>
    <t>27819645</t>
  </si>
  <si>
    <t xml:space="preserve">vesicle-trafficking protein SEC22a </t>
  </si>
  <si>
    <t>6755448</t>
  </si>
  <si>
    <t>vesicle-trafficking protein SEC22b precursor</t>
  </si>
  <si>
    <t>67906177</t>
  </si>
  <si>
    <t>protein transport protein Sec23A</t>
  </si>
  <si>
    <t>529250183</t>
  </si>
  <si>
    <t>protein transport protein Sec23B isoform 2</t>
  </si>
  <si>
    <t>357527456;31980969</t>
  </si>
  <si>
    <t>protein transport protein Sec23B</t>
  </si>
  <si>
    <t>31980969</t>
  </si>
  <si>
    <t>protein transport protein Sec23B isoform 1</t>
  </si>
  <si>
    <t>254692911</t>
  </si>
  <si>
    <t>SEC23-interacting protein</t>
  </si>
  <si>
    <t>116174774</t>
  </si>
  <si>
    <t>protein transport protein Sec24A</t>
  </si>
  <si>
    <t>46402179</t>
  </si>
  <si>
    <t>protein transport protein Sec24B</t>
  </si>
  <si>
    <t>269954698</t>
  </si>
  <si>
    <t>Sec24 related gene family, member C isoform 1</t>
  </si>
  <si>
    <t>269954700</t>
  </si>
  <si>
    <t>Sec24 related gene family, member C isoform 2</t>
  </si>
  <si>
    <t>46560565</t>
  </si>
  <si>
    <t>SEC24 related gene family, member D</t>
  </si>
  <si>
    <t>244791271</t>
  </si>
  <si>
    <t>protein transport protein Sec31A</t>
  </si>
  <si>
    <t>133504851</t>
  </si>
  <si>
    <t>protein transport protein Sec31B</t>
  </si>
  <si>
    <t>8394252</t>
  </si>
  <si>
    <t>protein transport protein Sec61 subunit alpha isoform 1</t>
  </si>
  <si>
    <t>10946604</t>
  </si>
  <si>
    <t>protein transport protein Sec61 subunit alpha isoform 2</t>
  </si>
  <si>
    <t>13324684</t>
  </si>
  <si>
    <t>protein transport protein Sec61 subunit beta</t>
  </si>
  <si>
    <t>39930429</t>
  </si>
  <si>
    <t xml:space="preserve">translocation protein SEC62 </t>
  </si>
  <si>
    <t>158937300</t>
  </si>
  <si>
    <t>translocation protein SEC63 homolog</t>
  </si>
  <si>
    <t>20532338</t>
  </si>
  <si>
    <t>nucleoporin SEH1 isoform b</t>
  </si>
  <si>
    <t>84875515</t>
  </si>
  <si>
    <t>nucleoporin SEH1 isoform a</t>
  </si>
  <si>
    <t>46309573</t>
  </si>
  <si>
    <t xml:space="preserve">protein sel-1 homolog 1 isoform b precursor </t>
  </si>
  <si>
    <t>84875513</t>
  </si>
  <si>
    <t xml:space="preserve">protein sel-1 homolog 1 isoform a precursor </t>
  </si>
  <si>
    <t>22164798</t>
  </si>
  <si>
    <t xml:space="preserve">selenium-binding protein 1 </t>
  </si>
  <si>
    <t>9507079</t>
  </si>
  <si>
    <t xml:space="preserve">selenium-binding protein 2 </t>
  </si>
  <si>
    <t>111119001</t>
  </si>
  <si>
    <t>selenoprotein K</t>
  </si>
  <si>
    <t>81295807</t>
  </si>
  <si>
    <t>selenoprotein O</t>
  </si>
  <si>
    <t>143770878</t>
  </si>
  <si>
    <t xml:space="preserve">selenoprotein T precursor </t>
  </si>
  <si>
    <t>46048361</t>
  </si>
  <si>
    <t>semaphorin-3C precursor</t>
  </si>
  <si>
    <t>110625636</t>
  </si>
  <si>
    <t>semaphorin-4B precursor</t>
  </si>
  <si>
    <t>530232771</t>
  </si>
  <si>
    <t>semaphorin-4D precursor</t>
  </si>
  <si>
    <t>49274623</t>
  </si>
  <si>
    <t>164698454</t>
  </si>
  <si>
    <t>semaphorin-4F isoform a precursor</t>
  </si>
  <si>
    <t>164698456</t>
  </si>
  <si>
    <t>semaphorin-4F isoform b precursor</t>
  </si>
  <si>
    <t>6755462</t>
  </si>
  <si>
    <t>semaphorin-4G precursor</t>
  </si>
  <si>
    <t>254939663</t>
  </si>
  <si>
    <t xml:space="preserve">sentrin-specific protease 3 </t>
  </si>
  <si>
    <t>16716395</t>
  </si>
  <si>
    <t>15 kDa selenoprotein precursor</t>
  </si>
  <si>
    <t>156713463</t>
  </si>
  <si>
    <t>selenide, water dikinase 1</t>
  </si>
  <si>
    <t>15011843</t>
  </si>
  <si>
    <t>selenide, water dikinase 2</t>
  </si>
  <si>
    <t>111118964</t>
  </si>
  <si>
    <t xml:space="preserve">selenoprotein N, 1 </t>
  </si>
  <si>
    <t>27369676</t>
  </si>
  <si>
    <t xml:space="preserve">O-phosphoseryl-tRNA(Sec) selenium transferase </t>
  </si>
  <si>
    <t>226442740</t>
  </si>
  <si>
    <t xml:space="preserve">septin-10 isoform 1 </t>
  </si>
  <si>
    <t>67906175</t>
  </si>
  <si>
    <t xml:space="preserve">septin-10 isoform 2 </t>
  </si>
  <si>
    <t>57634518</t>
  </si>
  <si>
    <t xml:space="preserve">septin-11 </t>
  </si>
  <si>
    <t>160333377</t>
  </si>
  <si>
    <t xml:space="preserve">septin-14 </t>
  </si>
  <si>
    <t>228480253</t>
  </si>
  <si>
    <t xml:space="preserve">septin-2 isoform b </t>
  </si>
  <si>
    <t>228480255</t>
  </si>
  <si>
    <t xml:space="preserve">septin-2 isoform a </t>
  </si>
  <si>
    <t>548923742</t>
  </si>
  <si>
    <t xml:space="preserve">septin-4 isoform 2 </t>
  </si>
  <si>
    <t>548923858</t>
  </si>
  <si>
    <t xml:space="preserve">septin-4 isoform 4 </t>
  </si>
  <si>
    <t>548923884</t>
  </si>
  <si>
    <t xml:space="preserve">septin-4 isoform 3 </t>
  </si>
  <si>
    <t>6755120</t>
  </si>
  <si>
    <t xml:space="preserve">septin-4 </t>
  </si>
  <si>
    <t>158508501</t>
  </si>
  <si>
    <t xml:space="preserve">septin-5 </t>
  </si>
  <si>
    <t>293597551</t>
  </si>
  <si>
    <t xml:space="preserve">septin-6 isoform 3 </t>
  </si>
  <si>
    <t>293597553</t>
  </si>
  <si>
    <t xml:space="preserve">septin-6 isoform 1 </t>
  </si>
  <si>
    <t>31560370</t>
  </si>
  <si>
    <t xml:space="preserve">septin-6 isoform 2 </t>
  </si>
  <si>
    <t>358679344</t>
  </si>
  <si>
    <t xml:space="preserve">septin-6 isoform 4 </t>
  </si>
  <si>
    <t>28173550</t>
  </si>
  <si>
    <t xml:space="preserve">septin-7 isoform 1 </t>
  </si>
  <si>
    <t>329299065</t>
  </si>
  <si>
    <t xml:space="preserve">septin-7 isoform 2 </t>
  </si>
  <si>
    <t>356640208</t>
  </si>
  <si>
    <t xml:space="preserve">septin-8 isoform 2 </t>
  </si>
  <si>
    <t>356640210</t>
  </si>
  <si>
    <t xml:space="preserve">septin-8 isoform 3 </t>
  </si>
  <si>
    <t>39930477</t>
  </si>
  <si>
    <t xml:space="preserve">septin-8 isoform 1 </t>
  </si>
  <si>
    <t>164698479</t>
  </si>
  <si>
    <t xml:space="preserve">septin-9 isoform a </t>
  </si>
  <si>
    <t>164698481</t>
  </si>
  <si>
    <t xml:space="preserve">septin-9 isoform b </t>
  </si>
  <si>
    <t>8393784</t>
  </si>
  <si>
    <t xml:space="preserve">septin-9 isoform c </t>
  </si>
  <si>
    <t>6677917</t>
  </si>
  <si>
    <t>selenoprotein W</t>
  </si>
  <si>
    <t>161169008</t>
  </si>
  <si>
    <t>protein SERAC1 isoform 2</t>
  </si>
  <si>
    <t>161169010</t>
  </si>
  <si>
    <t>protein SERAC1 isoform 3</t>
  </si>
  <si>
    <t>165932375</t>
  </si>
  <si>
    <t>plasminogen activator inhibitor 1 RNA-binding protein isoform 1</t>
  </si>
  <si>
    <t>165932377</t>
  </si>
  <si>
    <t>plasminogen activator inhibitor 1 RNA-binding protein isoform 2</t>
  </si>
  <si>
    <t>165932379</t>
  </si>
  <si>
    <t>plasminogen activator inhibitor 1 RNA-binding protein isoform 3</t>
  </si>
  <si>
    <t>165932381</t>
  </si>
  <si>
    <t>plasminogen activator inhibitor 1 RNA-binding protein isoform 4</t>
  </si>
  <si>
    <t>6755472</t>
  </si>
  <si>
    <t>small EDRK-rich factor 2</t>
  </si>
  <si>
    <t>13443008</t>
  </si>
  <si>
    <t xml:space="preserve">serine hydrolase-like protein </t>
  </si>
  <si>
    <t>9790269</t>
  </si>
  <si>
    <t>serine incorporator 1 precursor</t>
  </si>
  <si>
    <t>148277027</t>
  </si>
  <si>
    <t>serine incorporator 2 isoform 1 precursor</t>
  </si>
  <si>
    <t>358356409</t>
  </si>
  <si>
    <t xml:space="preserve">serine incorporator 2 isoform 2 </t>
  </si>
  <si>
    <t>213385301</t>
  </si>
  <si>
    <t>serine incorporator 3 precursor</t>
  </si>
  <si>
    <t>6680856</t>
  </si>
  <si>
    <t xml:space="preserve">corticosteroid-binding globulin precursor </t>
  </si>
  <si>
    <t>160333613</t>
  </si>
  <si>
    <t xml:space="preserve">serine (or cysteine) proteinase inhibitor, clade B, member 3C </t>
  </si>
  <si>
    <t>6678103</t>
  </si>
  <si>
    <t>serpin B5</t>
  </si>
  <si>
    <t>255759941</t>
  </si>
  <si>
    <t>serpin B6 isoform a</t>
  </si>
  <si>
    <t>255759943</t>
  </si>
  <si>
    <t>serpin B6 isoform b</t>
  </si>
  <si>
    <t>15826844</t>
  </si>
  <si>
    <t xml:space="preserve">serine (or cysteine) proteinase inhibitor, clade B, member 6b </t>
  </si>
  <si>
    <t>142347364</t>
  </si>
  <si>
    <t xml:space="preserve">serine proteinase inhibitor member 6C </t>
  </si>
  <si>
    <t>115647930</t>
  </si>
  <si>
    <t xml:space="preserve">serine (or cysteine) peptidase inhibitor, clade B, member 6d </t>
  </si>
  <si>
    <t>6678101</t>
  </si>
  <si>
    <t xml:space="preserve">serine (or cysteine) proteinase inhibitor, clade B, member 9 </t>
  </si>
  <si>
    <t>15826842</t>
  </si>
  <si>
    <t xml:space="preserve">serine (or cysteine) proteinase inhibitor, clade B, member 9b </t>
  </si>
  <si>
    <t>33468935</t>
  </si>
  <si>
    <t xml:space="preserve">serine (or cysteine) proteinase inhibitor, clade B, member 9d </t>
  </si>
  <si>
    <t>15826846</t>
  </si>
  <si>
    <t xml:space="preserve">serine (or cysteine) proteinase inhibitor, clade B, member 9e </t>
  </si>
  <si>
    <t>60593101</t>
  </si>
  <si>
    <t xml:space="preserve">serine (or cysteine) proteinase inhibitor, clade B, member 9f </t>
  </si>
  <si>
    <t>254675225</t>
  </si>
  <si>
    <t xml:space="preserve">serine (or cysteine) proteinase inhibitor, clade B, member 9g </t>
  </si>
  <si>
    <t>170172562</t>
  </si>
  <si>
    <t xml:space="preserve">plasminogen activator inhibitor 1 precursor </t>
  </si>
  <si>
    <t>161353502</t>
  </si>
  <si>
    <t xml:space="preserve">serpin H1 precursor </t>
  </si>
  <si>
    <t>30425210</t>
  </si>
  <si>
    <t xml:space="preserve">SEC14 domain and spectrin repeat-containing protein 1 </t>
  </si>
  <si>
    <t>13591862</t>
  </si>
  <si>
    <t>protein SET isoform 1</t>
  </si>
  <si>
    <t>325910859</t>
  </si>
  <si>
    <t>protein SET isoform 2</t>
  </si>
  <si>
    <t>119508422</t>
  </si>
  <si>
    <t>SET domain containing 1A</t>
  </si>
  <si>
    <t>268370088</t>
  </si>
  <si>
    <t xml:space="preserve">histone-lysine N-methyltransferase setd3 </t>
  </si>
  <si>
    <t>84490382</t>
  </si>
  <si>
    <t xml:space="preserve">histone-lysine N-methyltransferase SETD7 </t>
  </si>
  <si>
    <t>113722131</t>
  </si>
  <si>
    <t xml:space="preserve">probable helicase senataxin </t>
  </si>
  <si>
    <t>160707945</t>
  </si>
  <si>
    <t xml:space="preserve">splicing factor 1 isoform 2 </t>
  </si>
  <si>
    <t>160707947</t>
  </si>
  <si>
    <t xml:space="preserve">splicing factor 1 isoform 1 </t>
  </si>
  <si>
    <t>165932270</t>
  </si>
  <si>
    <t xml:space="preserve">splicing factor 3A subunit 1 </t>
  </si>
  <si>
    <t>158749553</t>
  </si>
  <si>
    <t xml:space="preserve">splicing factor 3A subunit 2 </t>
  </si>
  <si>
    <t>22095003</t>
  </si>
  <si>
    <t xml:space="preserve">splicing factor 3A subunit 3 </t>
  </si>
  <si>
    <t>153791358</t>
  </si>
  <si>
    <t xml:space="preserve">splicing factor 3B subunit 1 </t>
  </si>
  <si>
    <t>268837785</t>
  </si>
  <si>
    <t xml:space="preserve">splicing factor 3b, subunit 2 </t>
  </si>
  <si>
    <t>19527174</t>
  </si>
  <si>
    <t xml:space="preserve">splicing factor 3B subunit 3 </t>
  </si>
  <si>
    <t>23346437</t>
  </si>
  <si>
    <t xml:space="preserve">splicing factor 3B subunit 4 </t>
  </si>
  <si>
    <t>85540445</t>
  </si>
  <si>
    <t xml:space="preserve">splicing factor 3B subunit 5 </t>
  </si>
  <si>
    <t>134023662</t>
  </si>
  <si>
    <t xml:space="preserve">14-3-3 protein sigma </t>
  </si>
  <si>
    <t>23956214</t>
  </si>
  <si>
    <t xml:space="preserve">splicing factor, proline- and glutamine-rich </t>
  </si>
  <si>
    <t>125662573</t>
  </si>
  <si>
    <t xml:space="preserve">swi5-dependent recombination DNA repair protein 1 homolog </t>
  </si>
  <si>
    <t>226437597</t>
  </si>
  <si>
    <t xml:space="preserve">arginine/serine-rich protein PNISR </t>
  </si>
  <si>
    <t>21704008</t>
  </si>
  <si>
    <t>vesicle transport protein SFT2B</t>
  </si>
  <si>
    <t>242247185</t>
  </si>
  <si>
    <t>vesicle transport protein SFT2C</t>
  </si>
  <si>
    <t>15147224</t>
  </si>
  <si>
    <t xml:space="preserve">sideroflexin-1 </t>
  </si>
  <si>
    <t>86439984</t>
  </si>
  <si>
    <t xml:space="preserve">sideroflexin-2 </t>
  </si>
  <si>
    <t>16716499</t>
  </si>
  <si>
    <t xml:space="preserve">sideroflexin-3 isoform 1 </t>
  </si>
  <si>
    <t>295821210</t>
  </si>
  <si>
    <t xml:space="preserve">sideroflexin-3 isoform 2 </t>
  </si>
  <si>
    <t>295821212</t>
  </si>
  <si>
    <t xml:space="preserve">sideroflexin-3 isoform 3 </t>
  </si>
  <si>
    <t>31543694</t>
  </si>
  <si>
    <t xml:space="preserve">sphingosine-1-phosphate lyase 1 </t>
  </si>
  <si>
    <t>31543697</t>
  </si>
  <si>
    <t xml:space="preserve">N-sulfoglucosamine sulfohydrolase precursor </t>
  </si>
  <si>
    <t>21313588</t>
  </si>
  <si>
    <t>small glutamine-rich tetratricopeptide repeat-containing protein alpha</t>
  </si>
  <si>
    <t>206597474</t>
  </si>
  <si>
    <t>SH2 domain-containing protein 4A</t>
  </si>
  <si>
    <t>9910548</t>
  </si>
  <si>
    <t xml:space="preserve">SH3 domain-binding glutamic acid-rich-like protein </t>
  </si>
  <si>
    <t>27369694</t>
  </si>
  <si>
    <t>SH3 domain-binding glutamic acid-rich-like protein 2</t>
  </si>
  <si>
    <t>18017602</t>
  </si>
  <si>
    <t>SH3 domain-binding glutamic acid-rich-like protein 3</t>
  </si>
  <si>
    <t>85838509</t>
  </si>
  <si>
    <t>SH3 domain-binding protein 1</t>
  </si>
  <si>
    <t>19527036</t>
  </si>
  <si>
    <t>SH3 domain-binding protein 4</t>
  </si>
  <si>
    <t>170671710</t>
  </si>
  <si>
    <t>SH3 domain-containing protein 19</t>
  </si>
  <si>
    <t>357197145</t>
  </si>
  <si>
    <t xml:space="preserve">endophilin-A2 isoform 2 </t>
  </si>
  <si>
    <t>7305485</t>
  </si>
  <si>
    <t xml:space="preserve">endophilin-A2 isoform 1 </t>
  </si>
  <si>
    <t>31560792</t>
  </si>
  <si>
    <t xml:space="preserve">endophilin-A1 </t>
  </si>
  <si>
    <t>530677952</t>
  </si>
  <si>
    <t xml:space="preserve">endophilin-B1 isoform 1 </t>
  </si>
  <si>
    <t>530677964</t>
  </si>
  <si>
    <t xml:space="preserve">endophilin-B1 isoform 3 </t>
  </si>
  <si>
    <t>9507097</t>
  </si>
  <si>
    <t xml:space="preserve">endophilin-B1 isoform 2 </t>
  </si>
  <si>
    <t>21314838</t>
  </si>
  <si>
    <t xml:space="preserve">endophilin-B2 </t>
  </si>
  <si>
    <t>7305487</t>
  </si>
  <si>
    <t xml:space="preserve">SH3 domain-containing YSC84-like protein 1 </t>
  </si>
  <si>
    <t>15778828</t>
  </si>
  <si>
    <t xml:space="preserve">SHC-transforming protein 1 isoform b </t>
  </si>
  <si>
    <t>164664522</t>
  </si>
  <si>
    <t xml:space="preserve">SHC-transforming protein 1 isoform a </t>
  </si>
  <si>
    <t>6755508</t>
  </si>
  <si>
    <t xml:space="preserve">SHC SH2 domain-binding protein 1 </t>
  </si>
  <si>
    <t>21617861</t>
  </si>
  <si>
    <t>sonic hedgehog protein precursor</t>
  </si>
  <si>
    <t>291463305</t>
  </si>
  <si>
    <t>protein shisa-9 isoform 2</t>
  </si>
  <si>
    <t>291463307</t>
  </si>
  <si>
    <t xml:space="preserve">protein shisa-9 isoform 1 precursor </t>
  </si>
  <si>
    <t>67846103</t>
  </si>
  <si>
    <t xml:space="preserve">serine hydroxymethyltransferase, cytosolic </t>
  </si>
  <si>
    <t>21312298</t>
  </si>
  <si>
    <t xml:space="preserve">serine hydroxymethyltransferase, mitochondrial isoform 1 </t>
  </si>
  <si>
    <t>356640163</t>
  </si>
  <si>
    <t xml:space="preserve">serine hydroxymethyltransferase, mitochondrial isoform 2 </t>
  </si>
  <si>
    <t>31543701</t>
  </si>
  <si>
    <t>leucine-rich repeat protein SHOC-2</t>
  </si>
  <si>
    <t>22095001</t>
  </si>
  <si>
    <t xml:space="preserve">sedoheptulokinase </t>
  </si>
  <si>
    <t>166998470</t>
  </si>
  <si>
    <t xml:space="preserve">protein SHQ1 homolog </t>
  </si>
  <si>
    <t>94818779</t>
  </si>
  <si>
    <t>protein Shroom4</t>
  </si>
  <si>
    <t>31560532</t>
  </si>
  <si>
    <t xml:space="preserve">sialate O-acetylesterase precursor </t>
  </si>
  <si>
    <t>26986551</t>
  </si>
  <si>
    <t>SID1 transmembrane family member 2 precursor</t>
  </si>
  <si>
    <t>134032002</t>
  </si>
  <si>
    <t>sialic acid-binding Ig-like lectin 12 precursor</t>
  </si>
  <si>
    <t>13385140</t>
  </si>
  <si>
    <t>suppressor of IKBKE 1</t>
  </si>
  <si>
    <t>257196264</t>
  </si>
  <si>
    <t xml:space="preserve">nucleotide exchange factor SIL1 precursor </t>
  </si>
  <si>
    <t>160333357</t>
  </si>
  <si>
    <t xml:space="preserve">paired amphipathic helix protein Sin3a isoform 1 </t>
  </si>
  <si>
    <t>160333360</t>
  </si>
  <si>
    <t xml:space="preserve">paired amphipathic helix protein Sin3a isoform 2 </t>
  </si>
  <si>
    <t>227430309</t>
  </si>
  <si>
    <t>NAD-dependent protein deacetylase sirtuin-1 isoform 2</t>
  </si>
  <si>
    <t>9790229</t>
  </si>
  <si>
    <t>NAD-dependent protein deacetylase sirtuin-1 isoform 1</t>
  </si>
  <si>
    <t>170650630</t>
  </si>
  <si>
    <t>NAD-dependent protein deacetylase sirtuin-2 isoform 1</t>
  </si>
  <si>
    <t>170650632</t>
  </si>
  <si>
    <t>NAD-dependent protein deacetylase sirtuin-2 isoform 2</t>
  </si>
  <si>
    <t>170650634</t>
  </si>
  <si>
    <t>NAD-dependent protein deacetylase sirtuin-2 isoform 3</t>
  </si>
  <si>
    <t>267844847</t>
  </si>
  <si>
    <t>NAD-dependent protein deacetylase sirtuin-4</t>
  </si>
  <si>
    <t>30578432</t>
  </si>
  <si>
    <t xml:space="preserve">NAD-dependent protein deacylase sirtuin-5, mitochondrial </t>
  </si>
  <si>
    <t>254939656</t>
  </si>
  <si>
    <t>NAD-dependent protein deacetylase sirtuin-6 isoform 2</t>
  </si>
  <si>
    <t>31712018</t>
  </si>
  <si>
    <t>NAD-dependent protein deacetylase sirtuin-6 isoform 1</t>
  </si>
  <si>
    <t>240120126</t>
  </si>
  <si>
    <t>apoptosis regulatory protein Siva isoform 1</t>
  </si>
  <si>
    <t>240120128</t>
  </si>
  <si>
    <t>apoptosis regulatory protein Siva isoform 2</t>
  </si>
  <si>
    <t>87252727</t>
  </si>
  <si>
    <t>superkiller viralicidic activity 2-like</t>
  </si>
  <si>
    <t>21312352</t>
  </si>
  <si>
    <t xml:space="preserve">superkiller viralicidic activity 2-like 2 </t>
  </si>
  <si>
    <t>158854016</t>
  </si>
  <si>
    <t>S-phase kinase-associated protein 1</t>
  </si>
  <si>
    <t>371119693</t>
  </si>
  <si>
    <t>P3 protein</t>
  </si>
  <si>
    <t>119226231</t>
  </si>
  <si>
    <t>solute carrier family 12 member 1 isoform A</t>
  </si>
  <si>
    <t>119226233</t>
  </si>
  <si>
    <t>solute carrier family 12 member 1 isoform F</t>
  </si>
  <si>
    <t>124517716</t>
  </si>
  <si>
    <t>solute carrier family 12 member 2</t>
  </si>
  <si>
    <t>6755534</t>
  </si>
  <si>
    <t>solute carrier family 12 member 7</t>
  </si>
  <si>
    <t>281371456</t>
  </si>
  <si>
    <t>solute carrier family 12 member 9</t>
  </si>
  <si>
    <t>19527112</t>
  </si>
  <si>
    <t>solute carrier family 15 member 4</t>
  </si>
  <si>
    <t>6677995</t>
  </si>
  <si>
    <t xml:space="preserve">monocarboxylate transporter 1 </t>
  </si>
  <si>
    <t>166999494</t>
  </si>
  <si>
    <t xml:space="preserve">monocarboxylate transporter 10 isoform 1 </t>
  </si>
  <si>
    <t>30794382</t>
  </si>
  <si>
    <t xml:space="preserve">monocarboxylate transporter 10 isoform 2 </t>
  </si>
  <si>
    <t>114326474</t>
  </si>
  <si>
    <t xml:space="preserve">neutral amino acid transporter B(0) </t>
  </si>
  <si>
    <t>42741686</t>
  </si>
  <si>
    <t>solute carrier family 23 member 1</t>
  </si>
  <si>
    <t>23943838</t>
  </si>
  <si>
    <t>solute carrier family 25, member 1</t>
  </si>
  <si>
    <t>254826790</t>
  </si>
  <si>
    <t xml:space="preserve">mitochondrial dicarboxylate carrier </t>
  </si>
  <si>
    <t>21312994</t>
  </si>
  <si>
    <t>mitochondrial 2-oxoglutarate/malate carrier protein</t>
  </si>
  <si>
    <t>27369581</t>
  </si>
  <si>
    <t xml:space="preserve">calcium-binding mitochondrial carrier protein Aralar1 </t>
  </si>
  <si>
    <t>294832028</t>
  </si>
  <si>
    <t xml:space="preserve">calcium-binding mitochondrial carrier protein Aralar2 isoform 2 </t>
  </si>
  <si>
    <t>7657583</t>
  </si>
  <si>
    <t xml:space="preserve">calcium-binding mitochondrial carrier protein Aralar2 isoform 1 </t>
  </si>
  <si>
    <t>31044465</t>
  </si>
  <si>
    <t>mitochondrial ornithine transporter 1 isoform 1</t>
  </si>
  <si>
    <t>30424808</t>
  </si>
  <si>
    <t xml:space="preserve">graves disease carrier protein homolog </t>
  </si>
  <si>
    <t>29789024</t>
  </si>
  <si>
    <t>peroxisomal membrane protein PMP34</t>
  </si>
  <si>
    <t>10048462</t>
  </si>
  <si>
    <t>mitochondrial carnitine/acylcarnitine carrier protein</t>
  </si>
  <si>
    <t>294831970</t>
  </si>
  <si>
    <t>mitochondrial glutamate carrier 1</t>
  </si>
  <si>
    <t>27369998</t>
  </si>
  <si>
    <t xml:space="preserve">calcium-binding mitochondrial carrier protein SCaMC-1 </t>
  </si>
  <si>
    <t>27754081</t>
  </si>
  <si>
    <t>S-adenosylmethionine mitochondrial carrier protein</t>
  </si>
  <si>
    <t>21312006</t>
  </si>
  <si>
    <t>mitochondrial uncoupling protein 4</t>
  </si>
  <si>
    <t>31044469</t>
  </si>
  <si>
    <t xml:space="preserve">mitochondrial carnitine/acylcarnitine carrier protein CACL </t>
  </si>
  <si>
    <t>19526818</t>
  </si>
  <si>
    <t xml:space="preserve">phosphate carrier protein, mitochondrial precursor </t>
  </si>
  <si>
    <t>13385736</t>
  </si>
  <si>
    <t xml:space="preserve">kidney mitochondrial carrier protein 1 </t>
  </si>
  <si>
    <t>254692892</t>
  </si>
  <si>
    <t xml:space="preserve">ADP/ATP translocase 4 </t>
  </si>
  <si>
    <t>168480117</t>
  </si>
  <si>
    <t xml:space="preserve">mitochondrial folate transporter/carrier </t>
  </si>
  <si>
    <t>148747424</t>
  </si>
  <si>
    <t xml:space="preserve">ADP/ATP translocase 1 </t>
  </si>
  <si>
    <t>158749545</t>
  </si>
  <si>
    <t>solute carrier family 25 member 40</t>
  </si>
  <si>
    <t>23956272</t>
  </si>
  <si>
    <t>solute carrier family 25 member 45</t>
  </si>
  <si>
    <t>254692847</t>
  </si>
  <si>
    <t>solute carrier family 25 member 48</t>
  </si>
  <si>
    <t>22094075</t>
  </si>
  <si>
    <t xml:space="preserve">ADP/ATP translocase 2 </t>
  </si>
  <si>
    <t>6755546</t>
  </si>
  <si>
    <t>long-chain fatty acid transport protein 1</t>
  </si>
  <si>
    <t>45597453</t>
  </si>
  <si>
    <t>long-chain fatty acid transport protein 4</t>
  </si>
  <si>
    <t>12584968</t>
  </si>
  <si>
    <t>equilibrative nucleoside transporter 1 isoform 2</t>
  </si>
  <si>
    <t>312283707</t>
  </si>
  <si>
    <t>equilibrative nucleoside transporter 1 isoform 1</t>
  </si>
  <si>
    <t>165377226</t>
  </si>
  <si>
    <t xml:space="preserve">solute carrier family 2, facilitated glucose transporter member 1 </t>
  </si>
  <si>
    <t>6678017</t>
  </si>
  <si>
    <t xml:space="preserve">zinc transporter 1 </t>
  </si>
  <si>
    <t>12963579</t>
  </si>
  <si>
    <t xml:space="preserve">zinc transporter 7 </t>
  </si>
  <si>
    <t>227116313</t>
  </si>
  <si>
    <t>high affinity copper uptake protein 1</t>
  </si>
  <si>
    <t>13384632</t>
  </si>
  <si>
    <t xml:space="preserve">probable low affinity copper uptake protein 2 </t>
  </si>
  <si>
    <t>31543730</t>
  </si>
  <si>
    <t>acetyl-coenzyme A transporter 1</t>
  </si>
  <si>
    <t>225543514</t>
  </si>
  <si>
    <t xml:space="preserve">CMP-sialic acid transporter </t>
  </si>
  <si>
    <t>145279183</t>
  </si>
  <si>
    <t>UDP-galactose translocator isoform 1</t>
  </si>
  <si>
    <t>145279202</t>
  </si>
  <si>
    <t>UDP-galactose translocator isoform 2</t>
  </si>
  <si>
    <t>21450281</t>
  </si>
  <si>
    <t>UDP-N-acetylglucosamine transporter</t>
  </si>
  <si>
    <t>7949137</t>
  </si>
  <si>
    <t>solute carrier family 35 member B1</t>
  </si>
  <si>
    <t>110625963</t>
  </si>
  <si>
    <t xml:space="preserve">adenosine 3'-phospho 5'-phosphosulfate transporter 1 </t>
  </si>
  <si>
    <t>165377022</t>
  </si>
  <si>
    <t>solute carrier family 35 member E1</t>
  </si>
  <si>
    <t>160333206</t>
  </si>
  <si>
    <t>solute carrier family 35 member F2</t>
  </si>
  <si>
    <t>188497646</t>
  </si>
  <si>
    <t xml:space="preserve">solute carrier family 35 member F6 precursor </t>
  </si>
  <si>
    <t>145207965</t>
  </si>
  <si>
    <t xml:space="preserve">proton-coupled amino acid transporter 1 </t>
  </si>
  <si>
    <t>258645131</t>
  </si>
  <si>
    <t xml:space="preserve">putative sodium-coupled neutral amino acid transporter 10 isoform 1 </t>
  </si>
  <si>
    <t>258645133</t>
  </si>
  <si>
    <t xml:space="preserve">putative sodium-coupled neutral amino acid transporter 10 isoform 2 </t>
  </si>
  <si>
    <t>258645135</t>
  </si>
  <si>
    <t xml:space="preserve">putative sodium-coupled neutral amino acid transporter 10 isoform 3 </t>
  </si>
  <si>
    <t>258645137</t>
  </si>
  <si>
    <t xml:space="preserve">putative sodium-coupled neutral amino acid transporter 10 isoform 4 </t>
  </si>
  <si>
    <t>27370116</t>
  </si>
  <si>
    <t xml:space="preserve">putative sodium-coupled neutral amino acid transporter 7 </t>
  </si>
  <si>
    <t>262073041</t>
  </si>
  <si>
    <t xml:space="preserve">zinc transporter ZIP11 isoform 2 </t>
  </si>
  <si>
    <t>262073043</t>
  </si>
  <si>
    <t xml:space="preserve">zinc transporter ZIP11 isoform 1 </t>
  </si>
  <si>
    <t>118150670</t>
  </si>
  <si>
    <t>zinc transporter SLC39A7 precursor</t>
  </si>
  <si>
    <t>238637277</t>
  </si>
  <si>
    <t xml:space="preserve">4F2 cell-surface antigen heavy chain isoform a </t>
  </si>
  <si>
    <t>238637279</t>
  </si>
  <si>
    <t xml:space="preserve">4F2 cell-surface antigen heavy chain isoform b </t>
  </si>
  <si>
    <t>124248585</t>
  </si>
  <si>
    <t>solute carrier family 40 member 1</t>
  </si>
  <si>
    <t>313482803</t>
  </si>
  <si>
    <t>large neutral amino acids transporter small subunit 4</t>
  </si>
  <si>
    <t>227499980</t>
  </si>
  <si>
    <t>choline transporter-like protein 1 isoform A</t>
  </si>
  <si>
    <t>227499988</t>
  </si>
  <si>
    <t>choline transporter-like protein 1 isoform B</t>
  </si>
  <si>
    <t>22779895</t>
  </si>
  <si>
    <t>choline transporter-like protein 2 isoform 2</t>
  </si>
  <si>
    <t>312596932</t>
  </si>
  <si>
    <t>choline transporter-like protein 2 isoform 1</t>
  </si>
  <si>
    <t>225579159</t>
  </si>
  <si>
    <t>choline transporter-like protein 3</t>
  </si>
  <si>
    <t>12963733</t>
  </si>
  <si>
    <t>choline transporter-like protein 4</t>
  </si>
  <si>
    <t>225543517</t>
  </si>
  <si>
    <t>thymic stromal cotransporter protein</t>
  </si>
  <si>
    <t>85702045</t>
  </si>
  <si>
    <t>multidrug and toxin extrusion protein 2</t>
  </si>
  <si>
    <t>155722992</t>
  </si>
  <si>
    <t>solute carrier family 4 (anion exchanger), member 1, adaptor protein</t>
  </si>
  <si>
    <t>359751389</t>
  </si>
  <si>
    <t>anion exchange protein 2</t>
  </si>
  <si>
    <t>161169001;359751389</t>
  </si>
  <si>
    <t>165377246</t>
  </si>
  <si>
    <t>anion exchange protein 3</t>
  </si>
  <si>
    <t>133922580</t>
  </si>
  <si>
    <t xml:space="preserve">electrogenic sodium bicarbonate cotransporter 1 isoform a </t>
  </si>
  <si>
    <t>210147430</t>
  </si>
  <si>
    <t xml:space="preserve">electrogenic sodium bicarbonate cotransporter 1 isoform b </t>
  </si>
  <si>
    <t>308210768</t>
  </si>
  <si>
    <t xml:space="preserve">electrogenic sodium bicarbonate cotransporter 1 isoform c </t>
  </si>
  <si>
    <t>117320529</t>
  </si>
  <si>
    <t>sodium bicarbonate cotransporter 3</t>
  </si>
  <si>
    <t>22122353</t>
  </si>
  <si>
    <t xml:space="preserve">organic solute transporter subunit alpha </t>
  </si>
  <si>
    <t>148536859</t>
  </si>
  <si>
    <t>sodium/myo-inositol cotransporter</t>
  </si>
  <si>
    <t>31982828</t>
  </si>
  <si>
    <t xml:space="preserve">sodium- and chloride-dependent taurine transporter </t>
  </si>
  <si>
    <t>161016790</t>
  </si>
  <si>
    <t xml:space="preserve">high affinity cationic amino acid transporter 1 </t>
  </si>
  <si>
    <t>6756011</t>
  </si>
  <si>
    <t>cystine/glutamate transporter</t>
  </si>
  <si>
    <t>113680233</t>
  </si>
  <si>
    <t xml:space="preserve">low affinity cationic amino acid transporter 2 isoform 2 </t>
  </si>
  <si>
    <t>31982764</t>
  </si>
  <si>
    <t>large neutral amino acids transporter small subunit 1</t>
  </si>
  <si>
    <t>57222272</t>
  </si>
  <si>
    <t>probable RNA polymerase II nuclear localization protein SLC7A6OS</t>
  </si>
  <si>
    <t>8567404</t>
  </si>
  <si>
    <t xml:space="preserve">sodium/hydrogen exchanger 1 </t>
  </si>
  <si>
    <t>6755566</t>
  </si>
  <si>
    <t xml:space="preserve">Na(+)/H(+) exchange regulatory cofactor NHE-RF1 </t>
  </si>
  <si>
    <t>84490391</t>
  </si>
  <si>
    <t>schlafen 4</t>
  </si>
  <si>
    <t>268370030</t>
  </si>
  <si>
    <t>schlafen 8 isoform 1</t>
  </si>
  <si>
    <t>116089296</t>
  </si>
  <si>
    <t>schlafen 9</t>
  </si>
  <si>
    <t>283046784</t>
  </si>
  <si>
    <t xml:space="preserve">SRA stem-loop-interacting RNA-binding protein, mitochondrial </t>
  </si>
  <si>
    <t>257467552</t>
  </si>
  <si>
    <t xml:space="preserve">STE20-like serine/threonine-protein kinase isoform 1 </t>
  </si>
  <si>
    <t>257467554</t>
  </si>
  <si>
    <t xml:space="preserve">STE20-like serine/threonine-protein kinase isoform 2 </t>
  </si>
  <si>
    <t>13384954</t>
  </si>
  <si>
    <t>protein slowmo homolog 2</t>
  </si>
  <si>
    <t>31543220</t>
  </si>
  <si>
    <t xml:space="preserve">mothers against decapentaplegic homolog 1 </t>
  </si>
  <si>
    <t>31560568</t>
  </si>
  <si>
    <t xml:space="preserve">mothers against decapentaplegic homolog 2 </t>
  </si>
  <si>
    <t>254675249</t>
  </si>
  <si>
    <t xml:space="preserve">mothers against decapentaplegic homolog 3 </t>
  </si>
  <si>
    <t>255708405</t>
  </si>
  <si>
    <t xml:space="preserve">mothers against decapentaplegic homolog 5 </t>
  </si>
  <si>
    <t>84490384</t>
  </si>
  <si>
    <t xml:space="preserve">mothers against decapentaplegic homolog 9 </t>
  </si>
  <si>
    <t>262050608</t>
  </si>
  <si>
    <t xml:space="preserve">probable global transcription activator SNF2L1 </t>
  </si>
  <si>
    <t>21313112</t>
  </si>
  <si>
    <t xml:space="preserve">probable global transcription activator SNF2L2 isoform 2 </t>
  </si>
  <si>
    <t>51593084</t>
  </si>
  <si>
    <t xml:space="preserve">probable global transcription activator SNF2L2 isoform 1 </t>
  </si>
  <si>
    <t>291463269</t>
  </si>
  <si>
    <t xml:space="preserve">transcription activator BRG1 isoform 1 </t>
  </si>
  <si>
    <t>291463271</t>
  </si>
  <si>
    <t xml:space="preserve">transcription activator BRG1 isoform 3 </t>
  </si>
  <si>
    <t>76253779</t>
  </si>
  <si>
    <t xml:space="preserve">transcription activator BRG1 isoform 2 </t>
  </si>
  <si>
    <t>40254124</t>
  </si>
  <si>
    <t>SWI/SNF-related matrix-associated actin-dependent regulator of chromatin subfamily A member 5</t>
  </si>
  <si>
    <t>358438428</t>
  </si>
  <si>
    <t xml:space="preserve">SWI/SNF-related matrix-associated actin-dependent regulator of chromatin subfamily A containing DEAD/H box 1 isoform </t>
  </si>
  <si>
    <t>62543565</t>
  </si>
  <si>
    <t>229577278</t>
  </si>
  <si>
    <t>SWI/SNF-related matrix-associated actin-dependent regulator of chromatin subfamily A-like protein 1</t>
  </si>
  <si>
    <t>112421097</t>
  </si>
  <si>
    <t>SWI/SNF complex subunit SMARCC1</t>
  </si>
  <si>
    <t>166235123</t>
  </si>
  <si>
    <t>SWI/SNF complex subunit SMARCC2 isoform 2</t>
  </si>
  <si>
    <t>166235125</t>
  </si>
  <si>
    <t>SWI/SNF complex subunit SMARCC2 isoform 1</t>
  </si>
  <si>
    <t>37718972</t>
  </si>
  <si>
    <t>SWI/SNF complex subunit SMARCC2 isoform 3</t>
  </si>
  <si>
    <t>125347396</t>
  </si>
  <si>
    <t>SWI/SNF-related matrix-associated actin-dependent regulator of chromatin subfamily D member 1</t>
  </si>
  <si>
    <t>194328771</t>
  </si>
  <si>
    <t>SWI/SNF-related matrix-associated actin-dependent regulator of chromatin subfamily D member 2 isoform 2</t>
  </si>
  <si>
    <t>194328773</t>
  </si>
  <si>
    <t>SWI/SNF-related matrix-associated actin-dependent regulator of chromatin subfamily D member 2 isoform 1</t>
  </si>
  <si>
    <t>77404373</t>
  </si>
  <si>
    <t>SWI/SNF-related matrix-associated actin-dependent regulator of chromatin subfamily D member 3</t>
  </si>
  <si>
    <t>10181166</t>
  </si>
  <si>
    <t>SWI/SNF-related matrix-associated actin-dependent regulator of chromatin subfamily E member 1</t>
  </si>
  <si>
    <t>258613892</t>
  </si>
  <si>
    <t>structural maintenance of chromosomes protein 1A</t>
  </si>
  <si>
    <t>62990166</t>
  </si>
  <si>
    <t>structural maintenance of chromosomes protein 2</t>
  </si>
  <si>
    <t>36031035</t>
  </si>
  <si>
    <t>structural maintenance of chromosomes protein 3</t>
  </si>
  <si>
    <t>29789347</t>
  </si>
  <si>
    <t>structural maintenance of chromosomes protein 4</t>
  </si>
  <si>
    <t>148839318</t>
  </si>
  <si>
    <t xml:space="preserve">structural maintenance of chromosomes flexible hinge domain-containing protein 1 </t>
  </si>
  <si>
    <t>281427239</t>
  </si>
  <si>
    <t>uncharacterized protein C3orf43 homolog</t>
  </si>
  <si>
    <t>58037137</t>
  </si>
  <si>
    <t>UPF0466 protein C22orf32 homolog, mitochondrial precursor</t>
  </si>
  <si>
    <t>237649040</t>
  </si>
  <si>
    <t>serine/threonine-protein phosphatase 4 regulatory subunit 3A isoform 2</t>
  </si>
  <si>
    <t>46849745</t>
  </si>
  <si>
    <t>serine/threonine-protein phosphatase 4 regulatory subunit 3A isoform 1</t>
  </si>
  <si>
    <t>262231766</t>
  </si>
  <si>
    <t>serine/threonine-protein phosphatase 4 regulatory subunit 3B</t>
  </si>
  <si>
    <t>73532758</t>
  </si>
  <si>
    <t xml:space="preserve">serine/threonine-protein kinase SMG1 </t>
  </si>
  <si>
    <t>112807193</t>
  </si>
  <si>
    <t>protein SMG5</t>
  </si>
  <si>
    <t>50582545</t>
  </si>
  <si>
    <t xml:space="preserve">telomerase-binding protein EST1A </t>
  </si>
  <si>
    <t>23956216</t>
  </si>
  <si>
    <t>protein SMG8</t>
  </si>
  <si>
    <t>21312548</t>
  </si>
  <si>
    <t>protein SMG9</t>
  </si>
  <si>
    <t>254910949</t>
  </si>
  <si>
    <t>uncharacterized protein LOC388588 homolog</t>
  </si>
  <si>
    <t>13384892</t>
  </si>
  <si>
    <t xml:space="preserve">small integral membrane protein 12 </t>
  </si>
  <si>
    <t>224177530</t>
  </si>
  <si>
    <t xml:space="preserve">uncharacterized protein LOC66278 </t>
  </si>
  <si>
    <t>359374252</t>
  </si>
  <si>
    <t xml:space="preserve">uncharacterized protein LOC432995 isoform 2 </t>
  </si>
  <si>
    <t>359374254</t>
  </si>
  <si>
    <t xml:space="preserve">uncharacterized protein LOC432995 isoform 1 </t>
  </si>
  <si>
    <t>27369485</t>
  </si>
  <si>
    <t>small integral membrane protein 7 precursor</t>
  </si>
  <si>
    <t>6755580</t>
  </si>
  <si>
    <t>survival motor neuron protein isoform 1</t>
  </si>
  <si>
    <t>27369569</t>
  </si>
  <si>
    <t>survival of motor neuron-related-splicing factor 30</t>
  </si>
  <si>
    <t>6678031</t>
  </si>
  <si>
    <t xml:space="preserve">sphingomyelin phosphodiesterase 2 </t>
  </si>
  <si>
    <t>257196240</t>
  </si>
  <si>
    <t xml:space="preserve">sphingomyelin phosphodiesterase 4 isoform 1 </t>
  </si>
  <si>
    <t>257196243</t>
  </si>
  <si>
    <t xml:space="preserve">sphingomyelin phosphodiesterase 4 isoform 4 </t>
  </si>
  <si>
    <t>257196245</t>
  </si>
  <si>
    <t xml:space="preserve">sphingomyelin phosphodiesterase 4 isoform 3 </t>
  </si>
  <si>
    <t>257196247</t>
  </si>
  <si>
    <t xml:space="preserve">sphingomyelin phosphodiesterase 4 isoform 2 </t>
  </si>
  <si>
    <t>19527104</t>
  </si>
  <si>
    <t xml:space="preserve">acid sphingomyelinase-like phosphodiesterase 3b precursor </t>
  </si>
  <si>
    <t>226529455</t>
  </si>
  <si>
    <t xml:space="preserve">smoothelin </t>
  </si>
  <si>
    <t>227430367</t>
  </si>
  <si>
    <t>WD40 repeat-containing protein SMU1</t>
  </si>
  <si>
    <t>40254179</t>
  </si>
  <si>
    <t>single-strand selective monofunctional uracil DNA glycosylase</t>
  </si>
  <si>
    <t>254939680</t>
  </si>
  <si>
    <t>E3 ubiquitin-protein ligase SMURF2</t>
  </si>
  <si>
    <t>21312378</t>
  </si>
  <si>
    <t>SET and MYND domain-containing protein 3</t>
  </si>
  <si>
    <t>154689581</t>
  </si>
  <si>
    <t>SET and MYND domain-containing protein 5</t>
  </si>
  <si>
    <t>295317330;6678049</t>
  </si>
  <si>
    <t xml:space="preserve">synaptosomal-associated protein 23 isoform b </t>
  </si>
  <si>
    <t>6678049</t>
  </si>
  <si>
    <t>295317325</t>
  </si>
  <si>
    <t xml:space="preserve">synaptosomal-associated protein 23 isoform a </t>
  </si>
  <si>
    <t>6755588</t>
  </si>
  <si>
    <t xml:space="preserve">synaptosomal-associated protein 25 </t>
  </si>
  <si>
    <t>139948568</t>
  </si>
  <si>
    <t xml:space="preserve">synaptosomal-associated protein 29 </t>
  </si>
  <si>
    <t>21362303</t>
  </si>
  <si>
    <t xml:space="preserve">synaptosomal-associated protein 47 </t>
  </si>
  <si>
    <t>7305507</t>
  </si>
  <si>
    <t xml:space="preserve">clathrin coat assembly protein AP180 </t>
  </si>
  <si>
    <t>19923056</t>
  </si>
  <si>
    <t xml:space="preserve">SNARE-associated protein Snapin </t>
  </si>
  <si>
    <t>77404392</t>
  </si>
  <si>
    <t xml:space="preserve">staphylococcal nuclease domain-containing protein 1 </t>
  </si>
  <si>
    <t>15809002</t>
  </si>
  <si>
    <t xml:space="preserve">vacuolar-sorting protein SNF8 </t>
  </si>
  <si>
    <t>40018610</t>
  </si>
  <si>
    <t xml:space="preserve">U5 small nuclear ribonucleoprotein 200 kDa helicase </t>
  </si>
  <si>
    <t>27228990</t>
  </si>
  <si>
    <t xml:space="preserve">U4/U6.U5 small nuclear ribonucleoprotein 27 kDa protein </t>
  </si>
  <si>
    <t>115298670</t>
  </si>
  <si>
    <t xml:space="preserve">U5 small nuclear ribonucleoprotein 40 kDa protein </t>
  </si>
  <si>
    <t>67846113</t>
  </si>
  <si>
    <t>U1 small nuclear ribonucleoprotein 70 kDa</t>
  </si>
  <si>
    <t>114052106</t>
  </si>
  <si>
    <t xml:space="preserve">U1 small nuclear ribonucleoprotein A </t>
  </si>
  <si>
    <t>228480232</t>
  </si>
  <si>
    <t xml:space="preserve">U2 small nuclear ribonucleoprotein A' </t>
  </si>
  <si>
    <t>6678053</t>
  </si>
  <si>
    <t xml:space="preserve">small nuclear ribonucleoprotein-associated protein B </t>
  </si>
  <si>
    <t>23956110</t>
  </si>
  <si>
    <t xml:space="preserve">U2 small nuclear ribonucleoprotein B'' </t>
  </si>
  <si>
    <t>6755596</t>
  </si>
  <si>
    <t xml:space="preserve">U1 small nuclear ribonucleoprotein C </t>
  </si>
  <si>
    <t>6678055</t>
  </si>
  <si>
    <t xml:space="preserve">small nuclear ribonucleoprotein Sm D1 </t>
  </si>
  <si>
    <t>58037145</t>
  </si>
  <si>
    <t xml:space="preserve">small nuclear ribonucleoprotein Sm D2 </t>
  </si>
  <si>
    <t>13385598</t>
  </si>
  <si>
    <t xml:space="preserve">small nuclear ribonucleoprotein Sm D3 </t>
  </si>
  <si>
    <t>27883844</t>
  </si>
  <si>
    <t>small nuclear ribonucleoprotein E</t>
  </si>
  <si>
    <t>254028189</t>
  </si>
  <si>
    <t>small nuclear ribonucleoprotein F</t>
  </si>
  <si>
    <t>13385994</t>
  </si>
  <si>
    <t>small nuclear ribonucleoprotein G</t>
  </si>
  <si>
    <t>7305509</t>
  </si>
  <si>
    <t xml:space="preserve">small nuclear ribonucleoprotein-associated protein N </t>
  </si>
  <si>
    <t>160333722</t>
  </si>
  <si>
    <t xml:space="preserve">alpha-1-syntrophin </t>
  </si>
  <si>
    <t>6678059</t>
  </si>
  <si>
    <t xml:space="preserve">beta-2-syntrophin </t>
  </si>
  <si>
    <t>146149191</t>
  </si>
  <si>
    <t>SNW domain-containing protein 1</t>
  </si>
  <si>
    <t>71043944</t>
  </si>
  <si>
    <t>sorting nexin-1</t>
  </si>
  <si>
    <t>160333829</t>
  </si>
  <si>
    <t>sorting nexin-12 isoform 3</t>
  </si>
  <si>
    <t>160333832</t>
  </si>
  <si>
    <t>sorting nexin-12 isoform 1</t>
  </si>
  <si>
    <t>160333835</t>
  </si>
  <si>
    <t>sorting nexin-12 isoform 2</t>
  </si>
  <si>
    <t>238814328</t>
  </si>
  <si>
    <t>sorting nexin-14</t>
  </si>
  <si>
    <t>24211031</t>
  </si>
  <si>
    <t>sorting nexin-17</t>
  </si>
  <si>
    <t>91598596</t>
  </si>
  <si>
    <t>sorting nexin-18</t>
  </si>
  <si>
    <t>13385878</t>
  </si>
  <si>
    <t>sorting nexin-2</t>
  </si>
  <si>
    <t>110625874</t>
  </si>
  <si>
    <t>sorting nexin-21</t>
  </si>
  <si>
    <t>21313014</t>
  </si>
  <si>
    <t>sorting nexin-24</t>
  </si>
  <si>
    <t>126722910</t>
  </si>
  <si>
    <t>sorting nexin-27 isoform 2</t>
  </si>
  <si>
    <t>126723792</t>
  </si>
  <si>
    <t>sorting nexin-27 isoform 1</t>
  </si>
  <si>
    <t>343790938</t>
  </si>
  <si>
    <t>sorting nexin-29</t>
  </si>
  <si>
    <t>31560433</t>
  </si>
  <si>
    <t>sorting nexin-3</t>
  </si>
  <si>
    <t>66792896</t>
  </si>
  <si>
    <t>sorting nexin-32</t>
  </si>
  <si>
    <t>18017596</t>
  </si>
  <si>
    <t>sorting nexin-4</t>
  </si>
  <si>
    <t>18034769</t>
  </si>
  <si>
    <t>sorting nexin-5</t>
  </si>
  <si>
    <t>27754031</t>
  </si>
  <si>
    <t>sorting nexin-6</t>
  </si>
  <si>
    <t>297747313</t>
  </si>
  <si>
    <t>sorting nexin-7 isoform 2</t>
  </si>
  <si>
    <t>297747317</t>
  </si>
  <si>
    <t>sorting nexin-7 isoform 1</t>
  </si>
  <si>
    <t>26986581</t>
  </si>
  <si>
    <t>sorting nexin-8</t>
  </si>
  <si>
    <t>29568084</t>
  </si>
  <si>
    <t>sorting nexin-9</t>
  </si>
  <si>
    <t>84619697</t>
  </si>
  <si>
    <t xml:space="preserve">sterol O-acyltransferase 1 </t>
  </si>
  <si>
    <t>45597447</t>
  </si>
  <si>
    <t xml:space="preserve">superoxide dismutase [Cu-Zn] </t>
  </si>
  <si>
    <t>31980762</t>
  </si>
  <si>
    <t xml:space="preserve">superoxide dismutase [Mn], mitochondrial precursor </t>
  </si>
  <si>
    <t>124358955</t>
  </si>
  <si>
    <t>protein SON</t>
  </si>
  <si>
    <t>124378037</t>
  </si>
  <si>
    <t>protein SON truncated isoform</t>
  </si>
  <si>
    <t>78000154</t>
  </si>
  <si>
    <t>sorbin and SH3 domain-containing protein 1 isoform 5</t>
  </si>
  <si>
    <t>78000173</t>
  </si>
  <si>
    <t>sorbin and SH3 domain-containing protein 1 isoform 2</t>
  </si>
  <si>
    <t>78000175</t>
  </si>
  <si>
    <t>sorbin and SH3 domain-containing protein 1 isoform 1</t>
  </si>
  <si>
    <t>78000177</t>
  </si>
  <si>
    <t>sorbin and SH3 domain-containing protein 1 isoform 4</t>
  </si>
  <si>
    <t>78000179</t>
  </si>
  <si>
    <t>sorbin and SH3 domain-containing protein 1 isoform 3</t>
  </si>
  <si>
    <t>327315368</t>
  </si>
  <si>
    <t>sorbin and SH3 domain-containing protein 2 isoform 1</t>
  </si>
  <si>
    <t>327315370</t>
  </si>
  <si>
    <t>sorbin and SH3 domain-containing protein 2 isoform 2</t>
  </si>
  <si>
    <t>406719571</t>
  </si>
  <si>
    <t xml:space="preserve">vinexin isoform b </t>
  </si>
  <si>
    <t>406719575</t>
  </si>
  <si>
    <t xml:space="preserve">vinexin isoform c </t>
  </si>
  <si>
    <t>6755504</t>
  </si>
  <si>
    <t xml:space="preserve">vinexin isoform a </t>
  </si>
  <si>
    <t>22128627</t>
  </si>
  <si>
    <t>sorbitol dehydrogenase</t>
  </si>
  <si>
    <t>110625645</t>
  </si>
  <si>
    <t xml:space="preserve">sortilin-related receptor precursor </t>
  </si>
  <si>
    <t>34610211</t>
  </si>
  <si>
    <t>sortilin isoform 2 precursor</t>
  </si>
  <si>
    <t>409264681</t>
  </si>
  <si>
    <t xml:space="preserve">sortilin isoform 1 </t>
  </si>
  <si>
    <t>117414170</t>
  </si>
  <si>
    <t xml:space="preserve">son of sevenless homolog 1 </t>
  </si>
  <si>
    <t>30424924</t>
  </si>
  <si>
    <t xml:space="preserve">ankyrin repeat domain-containing protein SOWAHB </t>
  </si>
  <si>
    <t>187173282</t>
  </si>
  <si>
    <t xml:space="preserve">ankyrin repeat domain-containing protein SOWAHC </t>
  </si>
  <si>
    <t>119226255</t>
  </si>
  <si>
    <t xml:space="preserve">transcription factor Sp1 </t>
  </si>
  <si>
    <t>148747279</t>
  </si>
  <si>
    <t xml:space="preserve">sperm-associated antigen 1 </t>
  </si>
  <si>
    <t>162287182</t>
  </si>
  <si>
    <t xml:space="preserve">sperm-associated antigen 17 </t>
  </si>
  <si>
    <t>264681516</t>
  </si>
  <si>
    <t xml:space="preserve">sperm-associated antigen 7 isoform 1 </t>
  </si>
  <si>
    <t>264681518</t>
  </si>
  <si>
    <t xml:space="preserve">sperm-associated antigen 7 isoform 2 </t>
  </si>
  <si>
    <t>312836821</t>
  </si>
  <si>
    <t>C-Jun-amino-terminal kinase-interacting protein 4 isoform 5</t>
  </si>
  <si>
    <t>312836823</t>
  </si>
  <si>
    <t>C-Jun-amino-terminal kinase-interacting protein 4 isoform 6</t>
  </si>
  <si>
    <t>312836825</t>
  </si>
  <si>
    <t>C-Jun-amino-terminal kinase-interacting protein 4 isoform 7</t>
  </si>
  <si>
    <t>70887772</t>
  </si>
  <si>
    <t>C-Jun-amino-terminal kinase-interacting protein 4 isoform 1</t>
  </si>
  <si>
    <t>70887776</t>
  </si>
  <si>
    <t>C-Jun-amino-terminal kinase-interacting protein 4 isoform 3</t>
  </si>
  <si>
    <t>70887778</t>
  </si>
  <si>
    <t>C-Jun-amino-terminal kinase-interacting protein 4 isoform 2</t>
  </si>
  <si>
    <t>70887784</t>
  </si>
  <si>
    <t>C-Jun-amino-terminal kinase-interacting protein 4 isoform 4</t>
  </si>
  <si>
    <t>244790106</t>
  </si>
  <si>
    <t xml:space="preserve">spastin isoform 1 </t>
  </si>
  <si>
    <t>244790112</t>
  </si>
  <si>
    <t xml:space="preserve">spastin isoform 2 </t>
  </si>
  <si>
    <t>242247225</t>
  </si>
  <si>
    <t xml:space="preserve">spermatogenesis-associated protein 13 </t>
  </si>
  <si>
    <t>254553468</t>
  </si>
  <si>
    <t xml:space="preserve">spermatogenesis-associated protein 5 isoform 2 </t>
  </si>
  <si>
    <t>254553470</t>
  </si>
  <si>
    <t xml:space="preserve">spermatogenesis-associated protein 5 isoform 1 </t>
  </si>
  <si>
    <t>20982833</t>
  </si>
  <si>
    <t>spermatogenesis-associated serine-rich protein 2</t>
  </si>
  <si>
    <t>21312862</t>
  </si>
  <si>
    <t xml:space="preserve">kinetochore protein Spc24 </t>
  </si>
  <si>
    <t>312283739;312283741</t>
  </si>
  <si>
    <t xml:space="preserve">kinetochore protein Spc25 isoform 1 </t>
  </si>
  <si>
    <t>312283741</t>
  </si>
  <si>
    <t>21313454</t>
  </si>
  <si>
    <t xml:space="preserve">kinetochore protein Spc25 </t>
  </si>
  <si>
    <t>193788663</t>
  </si>
  <si>
    <t xml:space="preserve">signal peptidase complex subunit 1 </t>
  </si>
  <si>
    <t>13385134</t>
  </si>
  <si>
    <t xml:space="preserve">signal peptidase complex subunit 2 </t>
  </si>
  <si>
    <t>125988403</t>
  </si>
  <si>
    <t>71979930</t>
  </si>
  <si>
    <t xml:space="preserve">cytospin-B </t>
  </si>
  <si>
    <t>125991758</t>
  </si>
  <si>
    <t>sperm flagellar protein 2</t>
  </si>
  <si>
    <t>120587001</t>
  </si>
  <si>
    <t>msx2-interacting protein</t>
  </si>
  <si>
    <t>222418579;21450269</t>
  </si>
  <si>
    <t xml:space="preserve">spartin isoform a </t>
  </si>
  <si>
    <t>222418581</t>
  </si>
  <si>
    <t xml:space="preserve">spartin isoform b </t>
  </si>
  <si>
    <t>20070390</t>
  </si>
  <si>
    <t xml:space="preserve">maspardin </t>
  </si>
  <si>
    <t>148539988</t>
  </si>
  <si>
    <t xml:space="preserve">paraplegin </t>
  </si>
  <si>
    <t>22094105</t>
  </si>
  <si>
    <t xml:space="preserve">sphingosine kinase 1 isoform 1 </t>
  </si>
  <si>
    <t>27532969;289191342</t>
  </si>
  <si>
    <t xml:space="preserve">sphingosine kinase 1 isoform 2 </t>
  </si>
  <si>
    <t>289191346</t>
  </si>
  <si>
    <t xml:space="preserve">sphingosine kinase 1 isoform 3 </t>
  </si>
  <si>
    <t>289191399</t>
  </si>
  <si>
    <t xml:space="preserve">sphingosine kinase 2 </t>
  </si>
  <si>
    <t>257196267</t>
  </si>
  <si>
    <t xml:space="preserve">spindle and centriole-associated protein 1 </t>
  </si>
  <si>
    <t>34328234</t>
  </si>
  <si>
    <t xml:space="preserve">kunitz-type protease inhibitor 1 precursor </t>
  </si>
  <si>
    <t>127139427</t>
  </si>
  <si>
    <t xml:space="preserve">kunitz-type protease inhibitor 2 isoform b precursor </t>
  </si>
  <si>
    <t>33563278</t>
  </si>
  <si>
    <t xml:space="preserve">kunitz-type protease inhibitor 2 isoform a precursor </t>
  </si>
  <si>
    <t>258645125</t>
  </si>
  <si>
    <t xml:space="preserve">signal peptide peptidase-like 2A precursor </t>
  </si>
  <si>
    <t>160333789</t>
  </si>
  <si>
    <t>sepiapterin reductase</t>
  </si>
  <si>
    <t>6678115</t>
  </si>
  <si>
    <t xml:space="preserve">cornifin-A </t>
  </si>
  <si>
    <t>58037095</t>
  </si>
  <si>
    <t>SPRY domain-containing protein 4</t>
  </si>
  <si>
    <t>27228993</t>
  </si>
  <si>
    <t>SPRY domain-containing protein 7</t>
  </si>
  <si>
    <t>19526481</t>
  </si>
  <si>
    <t xml:space="preserve">spectrin alpha chain, erythrocytic 1 </t>
  </si>
  <si>
    <t>115496850</t>
  </si>
  <si>
    <t xml:space="preserve">spectrin alpha chain, non-erythrocytic 1 isoform 1 </t>
  </si>
  <si>
    <t>295054266</t>
  </si>
  <si>
    <t xml:space="preserve">spectrin alpha chain, non-erythrocytic 1 isoform 2 </t>
  </si>
  <si>
    <t>295054271</t>
  </si>
  <si>
    <t xml:space="preserve">spectrin alpha chain, non-erythrocytic 1 isoform 3 </t>
  </si>
  <si>
    <t>84490394</t>
  </si>
  <si>
    <t>spectrin beta chain, erythrocytic</t>
  </si>
  <si>
    <t>117938332</t>
  </si>
  <si>
    <t xml:space="preserve">spectrin beta chain, non-erythrocytic 1 isoform 1 </t>
  </si>
  <si>
    <t>117938334</t>
  </si>
  <si>
    <t xml:space="preserve">spectrin beta chain, non-erythrocytic 1 isoform 2 </t>
  </si>
  <si>
    <t>55926127</t>
  </si>
  <si>
    <t xml:space="preserve">spectrin beta chain, brain 2 </t>
  </si>
  <si>
    <t>116174793</t>
  </si>
  <si>
    <t xml:space="preserve">spectrin beta 4 isoform sigma1 </t>
  </si>
  <si>
    <t>29244577</t>
  </si>
  <si>
    <t xml:space="preserve">serine palmitoyltransferase 1 </t>
  </si>
  <si>
    <t>6755656</t>
  </si>
  <si>
    <t xml:space="preserve">serine palmitoyltransferase 2 </t>
  </si>
  <si>
    <t>6678127</t>
  </si>
  <si>
    <t>squalene monooxygenase</t>
  </si>
  <si>
    <t>244790049</t>
  </si>
  <si>
    <t xml:space="preserve">sulfide:quinone oxidoreductase, mitochondrial </t>
  </si>
  <si>
    <t>244790045;244790049</t>
  </si>
  <si>
    <t>244790049;244790045</t>
  </si>
  <si>
    <t>6754954</t>
  </si>
  <si>
    <t xml:space="preserve">sequestosome-1 </t>
  </si>
  <si>
    <t>257096048</t>
  </si>
  <si>
    <t xml:space="preserve">steroid receptor RNA activator 1 isoform a </t>
  </si>
  <si>
    <t>257096050</t>
  </si>
  <si>
    <t xml:space="preserve">steroid receptor RNA activator 1 isoform b </t>
  </si>
  <si>
    <t>226443099</t>
  </si>
  <si>
    <t xml:space="preserve">S1 RNA-binding domain-containing protein 1 </t>
  </si>
  <si>
    <t>70794809</t>
  </si>
  <si>
    <t xml:space="preserve">neuronal proto-oncogene tyrosine-protein kinase Src isoform 2 </t>
  </si>
  <si>
    <t>70794811</t>
  </si>
  <si>
    <t xml:space="preserve">neuronal proto-oncogene tyrosine-protein kinase Src isoform 1 </t>
  </si>
  <si>
    <t>87044895</t>
  </si>
  <si>
    <t xml:space="preserve">3-oxo-5-alpha-steroid 4-dehydrogenase 1 </t>
  </si>
  <si>
    <t>27881427</t>
  </si>
  <si>
    <t xml:space="preserve">probable polyprenol reductase </t>
  </si>
  <si>
    <t>73661204</t>
  </si>
  <si>
    <t xml:space="preserve">sterol regulatory element-binding protein 2 </t>
  </si>
  <si>
    <t>27369842</t>
  </si>
  <si>
    <t xml:space="preserve">splicing regulatory glutamine/lysine-rich protein 1 </t>
  </si>
  <si>
    <t>124486650</t>
  </si>
  <si>
    <t xml:space="preserve">SLIT-ROBO Rho GTPase-activating protein 1 isoform 1 </t>
  </si>
  <si>
    <t>334724478</t>
  </si>
  <si>
    <t xml:space="preserve">SLIT-ROBO Rho GTPase-activating protein 1 isoform 2 </t>
  </si>
  <si>
    <t>157951723</t>
  </si>
  <si>
    <t xml:space="preserve">SLIT-ROBO Rho GTPase-activating protein 2 </t>
  </si>
  <si>
    <t>154090967</t>
  </si>
  <si>
    <t xml:space="preserve">SLIT-ROBO Rho GTPase-activating protein 3 </t>
  </si>
  <si>
    <t>124430537</t>
  </si>
  <si>
    <t xml:space="preserve">sorcin isoform 1 </t>
  </si>
  <si>
    <t>124430543</t>
  </si>
  <si>
    <t xml:space="preserve">sorcin isoform 2 </t>
  </si>
  <si>
    <t>34328417</t>
  </si>
  <si>
    <t>sarcalumenin precursor</t>
  </si>
  <si>
    <t>6678131</t>
  </si>
  <si>
    <t>spermidine synthase</t>
  </si>
  <si>
    <t>54287682</t>
  </si>
  <si>
    <t xml:space="preserve">tyrosine-protein kinase Srms </t>
  </si>
  <si>
    <t>160333840</t>
  </si>
  <si>
    <t>signal recognition particle 19 kDa protein</t>
  </si>
  <si>
    <t>31981338;153791789</t>
  </si>
  <si>
    <t>signal recognition particle 54 kDa protein</t>
  </si>
  <si>
    <t>153791789</t>
  </si>
  <si>
    <t>153791464</t>
  </si>
  <si>
    <t>signal recognition particle 54C</t>
  </si>
  <si>
    <t>47271535</t>
  </si>
  <si>
    <t xml:space="preserve">signal recognition particle subunit SRP68 </t>
  </si>
  <si>
    <t>118344452</t>
  </si>
  <si>
    <t>signal recognition particle 72</t>
  </si>
  <si>
    <t>6755662</t>
  </si>
  <si>
    <t>signal recognition particle 9 kDa protein</t>
  </si>
  <si>
    <t>31982726</t>
  </si>
  <si>
    <t>SRSF protein kinase 1</t>
  </si>
  <si>
    <t>47059480</t>
  </si>
  <si>
    <t>SRSF protein kinase 2</t>
  </si>
  <si>
    <t>9790111</t>
  </si>
  <si>
    <t>SRSF protein kinase 3</t>
  </si>
  <si>
    <t>27229036</t>
  </si>
  <si>
    <t>signal recognition particle receptor subunit alpha</t>
  </si>
  <si>
    <t>6678137</t>
  </si>
  <si>
    <t>signal recognition particle receptor subunit beta</t>
  </si>
  <si>
    <t>7305521</t>
  </si>
  <si>
    <t>serine racemase</t>
  </si>
  <si>
    <t>194440682</t>
  </si>
  <si>
    <t xml:space="preserve">serine/arginine repetitive matrix protein 1 isoform 1 </t>
  </si>
  <si>
    <t>194440687</t>
  </si>
  <si>
    <t xml:space="preserve">serine/arginine repetitive matrix protein 1 isoform 2 </t>
  </si>
  <si>
    <t>126157504</t>
  </si>
  <si>
    <t xml:space="preserve">serine/arginine repetitive matrix protein 2 </t>
  </si>
  <si>
    <t>13937395</t>
  </si>
  <si>
    <t xml:space="preserve">serrate RNA effector molecule homolog isoform 1 </t>
  </si>
  <si>
    <t>158186670</t>
  </si>
  <si>
    <t xml:space="preserve">serrate RNA effector molecule homolog isoform 2 </t>
  </si>
  <si>
    <t>158186674</t>
  </si>
  <si>
    <t xml:space="preserve">serrate RNA effector molecule homolog isoform 3 </t>
  </si>
  <si>
    <t>118582271</t>
  </si>
  <si>
    <t>serine/arginine-rich splicing factor 1 isoform 2</t>
  </si>
  <si>
    <t>34328400</t>
  </si>
  <si>
    <t>serine/arginine-rich splicing factor 1 isoform 1</t>
  </si>
  <si>
    <t>545746418</t>
  </si>
  <si>
    <t>serine/arginine-rich splicing factor 10 isoform 3</t>
  </si>
  <si>
    <t>545746420</t>
  </si>
  <si>
    <t>serine/arginine-rich splicing factor 10 isoform 4</t>
  </si>
  <si>
    <t>122937372</t>
  </si>
  <si>
    <t>serine/arginine-rich splicing factor 10 isoform 2</t>
  </si>
  <si>
    <t>6753820</t>
  </si>
  <si>
    <t>serine/arginine-rich splicing factor 10 isoform 1</t>
  </si>
  <si>
    <t>33469007</t>
  </si>
  <si>
    <t>splicing factor, arginine/serine-rich 11 isoform 3</t>
  </si>
  <si>
    <t>147898671</t>
  </si>
  <si>
    <t>splicing factor, arginine/serine-rich 11 isoform 1</t>
  </si>
  <si>
    <t>148222073</t>
  </si>
  <si>
    <t>splicing factor, arginine/serine-rich 11 isoform 2</t>
  </si>
  <si>
    <t>6755478</t>
  </si>
  <si>
    <t>serine/arginine-rich splicing factor 2</t>
  </si>
  <si>
    <t>8567402</t>
  </si>
  <si>
    <t>serine/arginine-rich splicing factor 3</t>
  </si>
  <si>
    <t>165377173</t>
  </si>
  <si>
    <t>serine/arginine-rich splicing factor 4</t>
  </si>
  <si>
    <t>119226245</t>
  </si>
  <si>
    <t>serine/arginine-rich splicing factor 5</t>
  </si>
  <si>
    <t>224967104</t>
  </si>
  <si>
    <t>arginine/serine-rich splicing factor 6</t>
  </si>
  <si>
    <t>22122585</t>
  </si>
  <si>
    <t>serine/arginine-rich splicing factor 7 isoform 1</t>
  </si>
  <si>
    <t>306774098</t>
  </si>
  <si>
    <t>serine/arginine-rich splicing factor 7 isoform 2</t>
  </si>
  <si>
    <t>306774101</t>
  </si>
  <si>
    <t>serine/arginine-rich splicing factor 7 isoform 3</t>
  </si>
  <si>
    <t>306774103</t>
  </si>
  <si>
    <t>serine/arginine-rich splicing factor 7 isoform 4</t>
  </si>
  <si>
    <t>13385016</t>
  </si>
  <si>
    <t>serine/arginine-rich splicing factor 9</t>
  </si>
  <si>
    <t>402747081</t>
  </si>
  <si>
    <t xml:space="preserve">sulfiredoxin-1 </t>
  </si>
  <si>
    <t>260436924</t>
  </si>
  <si>
    <t>calcium-responsive transactivator</t>
  </si>
  <si>
    <t>6678143</t>
  </si>
  <si>
    <t>lupus La protein homolog</t>
  </si>
  <si>
    <t>47058964</t>
  </si>
  <si>
    <t>single-stranded DNA-binding protein, mitochondrial isoform 2</t>
  </si>
  <si>
    <t>47059026</t>
  </si>
  <si>
    <t>single-stranded DNA-binding protein, mitochondrial isoform 1</t>
  </si>
  <si>
    <t>37674269</t>
  </si>
  <si>
    <t xml:space="preserve">protein phosphatase Slingshot homolog 3 </t>
  </si>
  <si>
    <t>12963687</t>
  </si>
  <si>
    <t>Sjoegren syndrome nuclear autoantigen 1 homolog</t>
  </si>
  <si>
    <t>165377206</t>
  </si>
  <si>
    <t xml:space="preserve">translocon-associated protein subunit alpha precursor </t>
  </si>
  <si>
    <t>21312968</t>
  </si>
  <si>
    <t>translocon-associated protein subunit gamma</t>
  </si>
  <si>
    <t>262050625</t>
  </si>
  <si>
    <t xml:space="preserve">translocon-associated protein subunit delta isoform 1 precursor </t>
  </si>
  <si>
    <t>6678145</t>
  </si>
  <si>
    <t xml:space="preserve">translocon-associated protein subunit delta isoform 2 precursor </t>
  </si>
  <si>
    <t>111154063</t>
  </si>
  <si>
    <t>FACT complex subunit SSRP1</t>
  </si>
  <si>
    <t>31543773</t>
  </si>
  <si>
    <t xml:space="preserve">Sjoegren syndrome/scleroderma autoantigen 1 homolog </t>
  </si>
  <si>
    <t>172088095</t>
  </si>
  <si>
    <t xml:space="preserve">RNA polymerase II subunit A C-terminal domain phosphatase SSU72 </t>
  </si>
  <si>
    <t>19526912</t>
  </si>
  <si>
    <t>hsc70-interacting protein</t>
  </si>
  <si>
    <t>7363445</t>
  </si>
  <si>
    <t>suppressor of tumorigenicity 14 protein homolog</t>
  </si>
  <si>
    <t>9055352</t>
  </si>
  <si>
    <t>type 2 lactosamine alpha-2,3-sialyltransferase</t>
  </si>
  <si>
    <t>118150672</t>
  </si>
  <si>
    <t xml:space="preserve">cohesin subunit SA-2 </t>
  </si>
  <si>
    <t>6755668</t>
  </si>
  <si>
    <t xml:space="preserve">signal transducing adapter molecule 1 </t>
  </si>
  <si>
    <t>9789975</t>
  </si>
  <si>
    <t xml:space="preserve">signal transducing adapter molecule 2 </t>
  </si>
  <si>
    <t>17941277</t>
  </si>
  <si>
    <t>STAM-binding protein</t>
  </si>
  <si>
    <t>22122357</t>
  </si>
  <si>
    <t>signal-transducing adaptor protein 2</t>
  </si>
  <si>
    <t>9910482</t>
  </si>
  <si>
    <t>PCTP-like protein</t>
  </si>
  <si>
    <t>10946984</t>
  </si>
  <si>
    <t xml:space="preserve">stAR-related lipid transfer protein 3 </t>
  </si>
  <si>
    <t>70794799</t>
  </si>
  <si>
    <t>MLN64 N-terminal domain homolog</t>
  </si>
  <si>
    <t>21218432</t>
  </si>
  <si>
    <t xml:space="preserve">stAR-related lipid transfer protein 5 </t>
  </si>
  <si>
    <t>114326482;328887938</t>
  </si>
  <si>
    <t xml:space="preserve">signal transducer and activator of transcription 1 isoform 2 </t>
  </si>
  <si>
    <t>114326482</t>
  </si>
  <si>
    <t>328887938;114326482</t>
  </si>
  <si>
    <t>328887935</t>
  </si>
  <si>
    <t xml:space="preserve">signal transducer and activator of transcription 1 isoform 1 </t>
  </si>
  <si>
    <t>9910572</t>
  </si>
  <si>
    <t xml:space="preserve">signal transducer and activator of transcription 2 </t>
  </si>
  <si>
    <t>22094115</t>
  </si>
  <si>
    <t xml:space="preserve">signal transducer and activator of transcription 3 isoform 3 </t>
  </si>
  <si>
    <t>47458804</t>
  </si>
  <si>
    <t xml:space="preserve">signal transducer and activator of transcription 3 isoform 1 </t>
  </si>
  <si>
    <t>47458807</t>
  </si>
  <si>
    <t xml:space="preserve">signal transducer and activator of transcription 3 isoform 2 </t>
  </si>
  <si>
    <t>255759968</t>
  </si>
  <si>
    <t xml:space="preserve">signal transducer and activator of transcription 5A isoform 2 </t>
  </si>
  <si>
    <t>6755672</t>
  </si>
  <si>
    <t xml:space="preserve">signal transducer and activator of transcription 5A isoform 1 </t>
  </si>
  <si>
    <t>165932366</t>
  </si>
  <si>
    <t xml:space="preserve">signal transducer and activator of transcription 5B </t>
  </si>
  <si>
    <t>128485774</t>
  </si>
  <si>
    <t>signal transducer and transcription activator 6</t>
  </si>
  <si>
    <t>158186639</t>
  </si>
  <si>
    <t>double-stranded RNA-binding protein Staufen homolog 1 isoform 2</t>
  </si>
  <si>
    <t>158186641</t>
  </si>
  <si>
    <t>double-stranded RNA-binding protein Staufen homolog 1 isoform 1</t>
  </si>
  <si>
    <t>6755674</t>
  </si>
  <si>
    <t>double-stranded RNA-binding protein Staufen homolog 1 isoform 3</t>
  </si>
  <si>
    <t>162287083</t>
  </si>
  <si>
    <t>double-stranded RNA-binding protein Staufen homolog 2 isoform 2</t>
  </si>
  <si>
    <t>194018455</t>
  </si>
  <si>
    <t>double-stranded RNA-binding protein Staufen homolog 2 isoform 3</t>
  </si>
  <si>
    <t>254553462</t>
  </si>
  <si>
    <t>metalloreductase STEAP1</t>
  </si>
  <si>
    <t>124249344</t>
  </si>
  <si>
    <t>metalloreductase STEAP2</t>
  </si>
  <si>
    <t>31981983</t>
  </si>
  <si>
    <t xml:space="preserve">stromal interaction molecule 1 precursor </t>
  </si>
  <si>
    <t>281182368</t>
  </si>
  <si>
    <t xml:space="preserve">stromal interaction molecule 2 precursor </t>
  </si>
  <si>
    <t>14389431</t>
  </si>
  <si>
    <t>stress-induced-phosphoprotein 1</t>
  </si>
  <si>
    <t>126362973</t>
  </si>
  <si>
    <t xml:space="preserve">serine/threonine-protein kinase 10 </t>
  </si>
  <si>
    <t>7106425</t>
  </si>
  <si>
    <t xml:space="preserve">serine/threonine-protein kinase STK11 </t>
  </si>
  <si>
    <t>169808413</t>
  </si>
  <si>
    <t>serine/threonine-protein kinase 11-interacting protein</t>
  </si>
  <si>
    <t>226958539</t>
  </si>
  <si>
    <t xml:space="preserve">serine/threonine-protein kinase 16 </t>
  </si>
  <si>
    <t>21703922</t>
  </si>
  <si>
    <t xml:space="preserve">serine/threonine-protein kinase 24 </t>
  </si>
  <si>
    <t>89337277</t>
  </si>
  <si>
    <t xml:space="preserve">serine/threonine-protein kinase 25 </t>
  </si>
  <si>
    <t>118150664</t>
  </si>
  <si>
    <t xml:space="preserve">serine/threonine-protein kinase 3 </t>
  </si>
  <si>
    <t>19527344</t>
  </si>
  <si>
    <t xml:space="preserve">serine/threonine-protein kinase 38 </t>
  </si>
  <si>
    <t>27370078</t>
  </si>
  <si>
    <t xml:space="preserve">serine/threonine-protein kinase 38-like </t>
  </si>
  <si>
    <t>12328814</t>
  </si>
  <si>
    <t xml:space="preserve">serine/threonine-protein kinase 4 </t>
  </si>
  <si>
    <t>9789995</t>
  </si>
  <si>
    <t xml:space="preserve">stathmin </t>
  </si>
  <si>
    <t>13384630</t>
  </si>
  <si>
    <t xml:space="preserve">stathmin-2 </t>
  </si>
  <si>
    <t>9790189</t>
  </si>
  <si>
    <t xml:space="preserve">stathmin-4 </t>
  </si>
  <si>
    <t>7710018</t>
  </si>
  <si>
    <t>erythrocyte band 7 integral membrane protein</t>
  </si>
  <si>
    <t>12963591</t>
  </si>
  <si>
    <t>stomatin-like protein 2, mitochondrial</t>
  </si>
  <si>
    <t>159032010</t>
  </si>
  <si>
    <t xml:space="preserve">stonin-1 </t>
  </si>
  <si>
    <t>30425068</t>
  </si>
  <si>
    <t xml:space="preserve">stonin-2 </t>
  </si>
  <si>
    <t>160707896</t>
  </si>
  <si>
    <t>serine-threonine kinase receptor-associated protein</t>
  </si>
  <si>
    <t>114842377</t>
  </si>
  <si>
    <t>spermatid perinuclear RNA-binding protein</t>
  </si>
  <si>
    <t>169646306</t>
  </si>
  <si>
    <t xml:space="preserve">striatin-interacting protein 1 </t>
  </si>
  <si>
    <t>83627724</t>
  </si>
  <si>
    <t xml:space="preserve">striatin-interacting proteins 2 isoform b </t>
  </si>
  <si>
    <t>83627727</t>
  </si>
  <si>
    <t xml:space="preserve">striatin-interacting proteins 2 isoform a </t>
  </si>
  <si>
    <t>61098078</t>
  </si>
  <si>
    <t xml:space="preserve">striatin </t>
  </si>
  <si>
    <t>16418469</t>
  </si>
  <si>
    <t xml:space="preserve">striatin-3 isoform 1 </t>
  </si>
  <si>
    <t>285402377</t>
  </si>
  <si>
    <t xml:space="preserve">striatin-3 isoform 2 </t>
  </si>
  <si>
    <t>89886482</t>
  </si>
  <si>
    <t xml:space="preserve">striatin-4 isoform 1 </t>
  </si>
  <si>
    <t>89886486</t>
  </si>
  <si>
    <t xml:space="preserve">striatin-4 isoform 2 </t>
  </si>
  <si>
    <t>148747128</t>
  </si>
  <si>
    <t>dolichyl-diphosphooligosaccharide--protein glycosyltransferase subunit STT3A</t>
  </si>
  <si>
    <t>61651673</t>
  </si>
  <si>
    <t>dolichyl-diphosphooligosaccharide--protein glycosyltransferase subunit STT3B</t>
  </si>
  <si>
    <t>9789907</t>
  </si>
  <si>
    <t xml:space="preserve">STIP1 homology and U box-containing protein 1 </t>
  </si>
  <si>
    <t>19527102</t>
  </si>
  <si>
    <t xml:space="preserve">syntaxin-12 </t>
  </si>
  <si>
    <t>156231057</t>
  </si>
  <si>
    <t xml:space="preserve">syntaxin-16 isoform a </t>
  </si>
  <si>
    <t>156231059</t>
  </si>
  <si>
    <t xml:space="preserve">syntaxin-16 isoform b </t>
  </si>
  <si>
    <t>156231061</t>
  </si>
  <si>
    <t xml:space="preserve">syntaxin-16 isoform c </t>
  </si>
  <si>
    <t>156231063</t>
  </si>
  <si>
    <t xml:space="preserve">syntaxin-16 isoform d </t>
  </si>
  <si>
    <t>84579893</t>
  </si>
  <si>
    <t xml:space="preserve">syntaxin-17 </t>
  </si>
  <si>
    <t>77736535</t>
  </si>
  <si>
    <t xml:space="preserve">syntaxin-18 </t>
  </si>
  <si>
    <t>22726207</t>
  </si>
  <si>
    <t xml:space="preserve">syntaxin-3 isoform C </t>
  </si>
  <si>
    <t>70778802</t>
  </si>
  <si>
    <t xml:space="preserve">syntaxin-3 isoform B </t>
  </si>
  <si>
    <t>70778911</t>
  </si>
  <si>
    <t xml:space="preserve">syntaxin-3 isoform A </t>
  </si>
  <si>
    <t>6678177</t>
  </si>
  <si>
    <t xml:space="preserve">syntaxin-4 </t>
  </si>
  <si>
    <t>268370185;268370181</t>
  </si>
  <si>
    <t xml:space="preserve">syntaxin-5 </t>
  </si>
  <si>
    <t>268370181;268370185</t>
  </si>
  <si>
    <t>10946800</t>
  </si>
  <si>
    <t xml:space="preserve">syntaxin-6 </t>
  </si>
  <si>
    <t>31560462</t>
  </si>
  <si>
    <t xml:space="preserve">syntaxin-7 </t>
  </si>
  <si>
    <t>9055356</t>
  </si>
  <si>
    <t xml:space="preserve">syntaxin-8 </t>
  </si>
  <si>
    <t>165972305</t>
  </si>
  <si>
    <t xml:space="preserve">syntaxin-binding protein 1 isoform b </t>
  </si>
  <si>
    <t>165972307</t>
  </si>
  <si>
    <t xml:space="preserve">syntaxin-binding protein 1 isoform a </t>
  </si>
  <si>
    <t>6755688</t>
  </si>
  <si>
    <t xml:space="preserve">syntaxin-binding protein 2 </t>
  </si>
  <si>
    <t>6755690</t>
  </si>
  <si>
    <t xml:space="preserve">syntaxin-binding protein 3 </t>
  </si>
  <si>
    <t>6755692</t>
  </si>
  <si>
    <t xml:space="preserve">syntaxin-binding protein 4 </t>
  </si>
  <si>
    <t>158749547</t>
  </si>
  <si>
    <t xml:space="preserve">syntaxin-binding protein 5 </t>
  </si>
  <si>
    <t>308082030</t>
  </si>
  <si>
    <t xml:space="preserve">serine/threonine/tyrosine-interacting-like protein 1 </t>
  </si>
  <si>
    <t>6755364</t>
  </si>
  <si>
    <t xml:space="preserve">activated RNA polymerase II transcriptional coactivator p15 </t>
  </si>
  <si>
    <t>46849708</t>
  </si>
  <si>
    <t xml:space="preserve">succinyl-CoA ligase [ADP-forming] subunit beta, mitochondrial precursor </t>
  </si>
  <si>
    <t>255958286</t>
  </si>
  <si>
    <t xml:space="preserve">succinyl-CoA ligase [ADP/GDP-forming] subunit alpha, mitochondrial precursor </t>
  </si>
  <si>
    <t>165972309</t>
  </si>
  <si>
    <t xml:space="preserve">succinyl-CoA ligase [GDP-forming] subunit beta, mitochondrial precursor </t>
  </si>
  <si>
    <t>70794805</t>
  </si>
  <si>
    <t>suppressor of fused homolog isoform 1</t>
  </si>
  <si>
    <t>70794807</t>
  </si>
  <si>
    <t>suppressor of fused homolog isoform 2</t>
  </si>
  <si>
    <t>23956176</t>
  </si>
  <si>
    <t xml:space="preserve">suppressor of G2 allele of SKP1 homolog </t>
  </si>
  <si>
    <t>40254554</t>
  </si>
  <si>
    <t>sulfotransferase 1C1</t>
  </si>
  <si>
    <t>34328501</t>
  </si>
  <si>
    <t>sulfotransferase 1C2</t>
  </si>
  <si>
    <t>188219649</t>
  </si>
  <si>
    <t xml:space="preserve">sulfotransferase 1 family member D1 </t>
  </si>
  <si>
    <t>229092371</t>
  </si>
  <si>
    <t>sulfotransferase family cytosolic 2B member 1</t>
  </si>
  <si>
    <t>171906580</t>
  </si>
  <si>
    <t>amine sulfotransferase</t>
  </si>
  <si>
    <t>144094256</t>
  </si>
  <si>
    <t>sulfatase-modifying factor 1 precursor</t>
  </si>
  <si>
    <t>19111164</t>
  </si>
  <si>
    <t xml:space="preserve">small ubiquitin-related modifier 2 precursor </t>
  </si>
  <si>
    <t>9910556</t>
  </si>
  <si>
    <t xml:space="preserve">small ubiquitin-related modifier 3 precursor </t>
  </si>
  <si>
    <t>29789243</t>
  </si>
  <si>
    <t>SUN domain-containing protein 1 isoform 1</t>
  </si>
  <si>
    <t>371120922</t>
  </si>
  <si>
    <t>SUN domain-containing protein 1 isoform 2</t>
  </si>
  <si>
    <t>371120936</t>
  </si>
  <si>
    <t>SUN domain-containing protein 1 isoform 3</t>
  </si>
  <si>
    <t>371121164</t>
  </si>
  <si>
    <t>SUN domain-containing protein 1 isoform 4</t>
  </si>
  <si>
    <t>371121280</t>
  </si>
  <si>
    <t>SUN domain-containing protein 1 isoform 5</t>
  </si>
  <si>
    <t>168693641</t>
  </si>
  <si>
    <t>SUN domain-containing protein 2 isoform 3</t>
  </si>
  <si>
    <t>329299035</t>
  </si>
  <si>
    <t>SUN domain-containing protein 2 isoform 1</t>
  </si>
  <si>
    <t>329299037</t>
  </si>
  <si>
    <t>SUN domain-containing protein 2 isoform 2</t>
  </si>
  <si>
    <t>154350222</t>
  </si>
  <si>
    <t>FACT complex subunit SPT16</t>
  </si>
  <si>
    <t>6678181</t>
  </si>
  <si>
    <t xml:space="preserve">transcription elongation factor SPT4 1 </t>
  </si>
  <si>
    <t>22094123</t>
  </si>
  <si>
    <t>transcription elongation factor SPT5</t>
  </si>
  <si>
    <t>166091434</t>
  </si>
  <si>
    <t>transcription elongation factor SPT6</t>
  </si>
  <si>
    <t>31088872</t>
  </si>
  <si>
    <t>ATP-dependent RNA helicase SUPV3L1, mitochondrial precursor</t>
  </si>
  <si>
    <t>160707899</t>
  </si>
  <si>
    <t>surfeit locus protein 1 isoform 1</t>
  </si>
  <si>
    <t>411147435</t>
  </si>
  <si>
    <t>surfeit locus protein 1 isoform 2</t>
  </si>
  <si>
    <t>7305529</t>
  </si>
  <si>
    <t>surfeit locus protein 2</t>
  </si>
  <si>
    <t>6755698</t>
  </si>
  <si>
    <t>surfeit locus protein 4</t>
  </si>
  <si>
    <t>6678185</t>
  </si>
  <si>
    <t>surfeit locus protein 6</t>
  </si>
  <si>
    <t>268607615</t>
  </si>
  <si>
    <t xml:space="preserve">histone-lysine N-methyltransferase SUV420H1 isoform b </t>
  </si>
  <si>
    <t>268607619</t>
  </si>
  <si>
    <t xml:space="preserve">histone-lysine N-methyltransferase SUV420H1 isoform a </t>
  </si>
  <si>
    <t>237858757</t>
  </si>
  <si>
    <t xml:space="preserve">small VCP/p97-interacting protein </t>
  </si>
  <si>
    <t>228008363</t>
  </si>
  <si>
    <t xml:space="preserve">switch-associated protein 70 </t>
  </si>
  <si>
    <t>270265917</t>
  </si>
  <si>
    <t xml:space="preserve">synapse-associated protein 1 </t>
  </si>
  <si>
    <t>56550045</t>
  </si>
  <si>
    <t xml:space="preserve">tyrosine-protein kinase SYK </t>
  </si>
  <si>
    <t>226437613</t>
  </si>
  <si>
    <t xml:space="preserve">symplekin </t>
  </si>
  <si>
    <t>85701452</t>
  </si>
  <si>
    <t>envelope glycoprotein syncytin-A precursor</t>
  </si>
  <si>
    <t>547235396</t>
  </si>
  <si>
    <t>heterogeneous nuclear ribonucleoprotein Q isoform 3</t>
  </si>
  <si>
    <t>114145493</t>
  </si>
  <si>
    <t>heterogeneous nuclear ribonucleoprotein Q isoform 1</t>
  </si>
  <si>
    <t>29788787</t>
  </si>
  <si>
    <t>heterogeneous nuclear ribonucleoprotein Q isoform 2</t>
  </si>
  <si>
    <t>119120816</t>
  </si>
  <si>
    <t xml:space="preserve">nesprin-1 isoform 2 </t>
  </si>
  <si>
    <t>119120865</t>
  </si>
  <si>
    <t xml:space="preserve">nesprin-1 isoform 3 </t>
  </si>
  <si>
    <t>145699091</t>
  </si>
  <si>
    <t xml:space="preserve">nesprin-2 </t>
  </si>
  <si>
    <t>46877048</t>
  </si>
  <si>
    <t xml:space="preserve">synaptogyrin-1 isoform 1a </t>
  </si>
  <si>
    <t>6678193</t>
  </si>
  <si>
    <t xml:space="preserve">synaptogyrin-1 isoform 1b </t>
  </si>
  <si>
    <t>7106429</t>
  </si>
  <si>
    <t xml:space="preserve">synaptogyrin-2 </t>
  </si>
  <si>
    <t>31560541</t>
  </si>
  <si>
    <t xml:space="preserve">synaptogyrin-3 </t>
  </si>
  <si>
    <t>256773218</t>
  </si>
  <si>
    <t xml:space="preserve">synaptojanin-1 isoform b </t>
  </si>
  <si>
    <t>256773220</t>
  </si>
  <si>
    <t xml:space="preserve">synaptojanin-1 isoform a </t>
  </si>
  <si>
    <t>13384642</t>
  </si>
  <si>
    <t>synaptojanin-2-binding protein</t>
  </si>
  <si>
    <t>169234726</t>
  </si>
  <si>
    <t>synergin gamma isoform 1</t>
  </si>
  <si>
    <t>34996507</t>
  </si>
  <si>
    <t>synergin gamma isoform 2</t>
  </si>
  <si>
    <t>226958374</t>
  </si>
  <si>
    <t xml:space="preserve">synaptophysin-like protein 1 isoform 1 </t>
  </si>
  <si>
    <t>41282044</t>
  </si>
  <si>
    <t xml:space="preserve">synaptophysin-like protein 1 isoform 2 </t>
  </si>
  <si>
    <t>258547102</t>
  </si>
  <si>
    <t xml:space="preserve">E3 ubiquitin-protein ligase synoviolin precursor </t>
  </si>
  <si>
    <t>33239391</t>
  </si>
  <si>
    <t>SUZ domain-containing protein 1 isoform 2</t>
  </si>
  <si>
    <t>71043934</t>
  </si>
  <si>
    <t>SUZ domain-containing protein 1 isoform 1</t>
  </si>
  <si>
    <t>34328268</t>
  </si>
  <si>
    <t xml:space="preserve">TGF-beta-activated kinase 1 and MAP3K7-binding protein 1 </t>
  </si>
  <si>
    <t>6678207</t>
  </si>
  <si>
    <t>protachykinin-1 precursor</t>
  </si>
  <si>
    <t>52486864</t>
  </si>
  <si>
    <t xml:space="preserve">transforming acidic coiled-coil-containing protein 2 isoform b </t>
  </si>
  <si>
    <t>52486915</t>
  </si>
  <si>
    <t xml:space="preserve">transforming acidic coiled-coil-containing protein 2 isoform a </t>
  </si>
  <si>
    <t>52486843</t>
  </si>
  <si>
    <t xml:space="preserve">transforming acidic coiled-coil-containing protein 2 isoform c </t>
  </si>
  <si>
    <t>94681040</t>
  </si>
  <si>
    <t xml:space="preserve">transforming acidic coiled-coil-containing protein 3 </t>
  </si>
  <si>
    <t>39930435</t>
  </si>
  <si>
    <t xml:space="preserve">translational activator of cytochrome c oxidase 1 </t>
  </si>
  <si>
    <t>31560359</t>
  </si>
  <si>
    <t>tumor-associated calcium signal transducer 2 precursor</t>
  </si>
  <si>
    <t>30794436</t>
  </si>
  <si>
    <t>transcription initiation factor TFIID subunit 11</t>
  </si>
  <si>
    <t>30794412</t>
  </si>
  <si>
    <t>TATA-binding protein-associated factor 2N</t>
  </si>
  <si>
    <t>295317363</t>
  </si>
  <si>
    <t xml:space="preserve">TAF6-like RNA polymerase II p300/CBP-associated factor-associated factor 65 kDa subunit 6L isoform 1 </t>
  </si>
  <si>
    <t>295317365</t>
  </si>
  <si>
    <t xml:space="preserve">TAF6-like RNA polymerase II p300/CBP-associated factor-associated factor 65 kDa subunit 6L isoform 2 </t>
  </si>
  <si>
    <t>283046765</t>
  </si>
  <si>
    <t>transcription initiation factor TFIID subunit 7-like</t>
  </si>
  <si>
    <t>30519911</t>
  </si>
  <si>
    <t xml:space="preserve">transgelin-2 </t>
  </si>
  <si>
    <t>9790125</t>
  </si>
  <si>
    <t xml:space="preserve">transgelin-3 </t>
  </si>
  <si>
    <t>33859640</t>
  </si>
  <si>
    <t xml:space="preserve">transaldolase </t>
  </si>
  <si>
    <t>76559944</t>
  </si>
  <si>
    <t xml:space="preserve">mitochondrial translocator assembly and maintenance protein 41 homolog precursor </t>
  </si>
  <si>
    <t>57164407</t>
  </si>
  <si>
    <t>protein TANC1</t>
  </si>
  <si>
    <t>124378026</t>
  </si>
  <si>
    <t>protein TANC2</t>
  </si>
  <si>
    <t>255918143</t>
  </si>
  <si>
    <t>ser/Thr-rich protein T10 in DGCR region</t>
  </si>
  <si>
    <t>124358959</t>
  </si>
  <si>
    <t xml:space="preserve">serine/threonine-protein kinase TAO1 </t>
  </si>
  <si>
    <t>255003682</t>
  </si>
  <si>
    <t xml:space="preserve">serine/threonine-protein kinase TAO2 isoform 1 </t>
  </si>
  <si>
    <t>124486801</t>
  </si>
  <si>
    <t xml:space="preserve">serine/threonine-protein kinase TAO3 </t>
  </si>
  <si>
    <t>6678219</t>
  </si>
  <si>
    <t>tapasin isoform 2 precursor</t>
  </si>
  <si>
    <t>70778974</t>
  </si>
  <si>
    <t>tapasin isoform 1 precursor</t>
  </si>
  <si>
    <t>71143116</t>
  </si>
  <si>
    <t>transmembrane anterior posterior transformation protein 1</t>
  </si>
  <si>
    <t>166295185</t>
  </si>
  <si>
    <t>RISC-loading complex subunit TARBP2 isoform 1</t>
  </si>
  <si>
    <t>21704096</t>
  </si>
  <si>
    <t>TAR DNA-binding protein 43 isoform 1</t>
  </si>
  <si>
    <t>56682929</t>
  </si>
  <si>
    <t>TAR DNA-binding protein 43 isoform 2</t>
  </si>
  <si>
    <t>56682931</t>
  </si>
  <si>
    <t>TAR DNA-binding protein 43 isoform 3</t>
  </si>
  <si>
    <t>56682933</t>
  </si>
  <si>
    <t>TAR DNA-binding protein 43 isoform 4</t>
  </si>
  <si>
    <t>56682935</t>
  </si>
  <si>
    <t>TAR DNA-binding protein 43 isoform 5</t>
  </si>
  <si>
    <t>27229277</t>
  </si>
  <si>
    <t xml:space="preserve">threonine--tRNA ligase, cytoplasmic </t>
  </si>
  <si>
    <t>254692865</t>
  </si>
  <si>
    <t xml:space="preserve">threonine--tRNA ligase, mitochondrial isoform 1 </t>
  </si>
  <si>
    <t>254692867</t>
  </si>
  <si>
    <t xml:space="preserve">threonine--tRNA ligase, mitochondrial isoform 2 </t>
  </si>
  <si>
    <t>254692871</t>
  </si>
  <si>
    <t xml:space="preserve">threonine--tRNA ligase, mitochondrial isoform 3 </t>
  </si>
  <si>
    <t>254692873</t>
  </si>
  <si>
    <t xml:space="preserve">threonine--tRNA ligase, mitochondrial isoform 4 </t>
  </si>
  <si>
    <t>227908819</t>
  </si>
  <si>
    <t xml:space="preserve">probable threonine--tRNA ligase 2, cytoplasmic </t>
  </si>
  <si>
    <t>13994201</t>
  </si>
  <si>
    <t xml:space="preserve">taste receptor type 1 member 3 precursor </t>
  </si>
  <si>
    <t>30424744</t>
  </si>
  <si>
    <t xml:space="preserve">putative deoxyribonuclease TATDN1 </t>
  </si>
  <si>
    <t>256773241</t>
  </si>
  <si>
    <t>tax1-binding protein 1 homolog</t>
  </si>
  <si>
    <t>21313140</t>
  </si>
  <si>
    <t xml:space="preserve">tax1-binding protein 3 </t>
  </si>
  <si>
    <t>120587003</t>
  </si>
  <si>
    <t xml:space="preserve">TBC1 domain family member 1 </t>
  </si>
  <si>
    <t>19527240</t>
  </si>
  <si>
    <t xml:space="preserve">TBC1 domain family member 10A </t>
  </si>
  <si>
    <t>167614490</t>
  </si>
  <si>
    <t xml:space="preserve">TBC1 domain family member 10B </t>
  </si>
  <si>
    <t>22122839</t>
  </si>
  <si>
    <t xml:space="preserve">TBC1 domain family member 13 </t>
  </si>
  <si>
    <t>255958202</t>
  </si>
  <si>
    <t xml:space="preserve">TBC1 domain family member 15 </t>
  </si>
  <si>
    <t>111120337</t>
  </si>
  <si>
    <t xml:space="preserve">TBC1 domain family member 17 </t>
  </si>
  <si>
    <t>111038126</t>
  </si>
  <si>
    <t xml:space="preserve">TBC1 domain family member 2A </t>
  </si>
  <si>
    <t>42734463</t>
  </si>
  <si>
    <t xml:space="preserve">TBC1 domain family member 22A </t>
  </si>
  <si>
    <t>38348532</t>
  </si>
  <si>
    <t xml:space="preserve">TBC1 domain family member 22B </t>
  </si>
  <si>
    <t>27754079</t>
  </si>
  <si>
    <t xml:space="preserve">TBC1 domain family member 23 </t>
  </si>
  <si>
    <t>255522819</t>
  </si>
  <si>
    <t xml:space="preserve">TBC1 domain family member 24 isoform a </t>
  </si>
  <si>
    <t>255522825</t>
  </si>
  <si>
    <t xml:space="preserve">TBC1 domain family member 24 isoform b </t>
  </si>
  <si>
    <t>163644270</t>
  </si>
  <si>
    <t xml:space="preserve">TBC1 domain family member 4 </t>
  </si>
  <si>
    <t>164518898</t>
  </si>
  <si>
    <t xml:space="preserve">TBC1 domain family member 5 </t>
  </si>
  <si>
    <t>125630636</t>
  </si>
  <si>
    <t xml:space="preserve">TBC1 domain family member 8B </t>
  </si>
  <si>
    <t>162329599</t>
  </si>
  <si>
    <t xml:space="preserve">TBC1 domain family member 9 isoform 1 </t>
  </si>
  <si>
    <t>30794404</t>
  </si>
  <si>
    <t xml:space="preserve">TBC1 domain family member 9 isoform 2 </t>
  </si>
  <si>
    <t>124358940</t>
  </si>
  <si>
    <t xml:space="preserve">TBC1 domain family member 9B </t>
  </si>
  <si>
    <t>6678225</t>
  </si>
  <si>
    <t xml:space="preserve">tubulin-specific chaperone A </t>
  </si>
  <si>
    <t>170650659</t>
  </si>
  <si>
    <t xml:space="preserve">tubulin-folding cofactor B </t>
  </si>
  <si>
    <t>87044901</t>
  </si>
  <si>
    <t xml:space="preserve">tubulin-specific chaperone C </t>
  </si>
  <si>
    <t>28077067</t>
  </si>
  <si>
    <t xml:space="preserve">tubulin-specific chaperone D </t>
  </si>
  <si>
    <t>31543843</t>
  </si>
  <si>
    <t xml:space="preserve">tubulin-specific chaperone E </t>
  </si>
  <si>
    <t>27370562</t>
  </si>
  <si>
    <t xml:space="preserve">tubulin-specific chaperone cofactor E-like protein </t>
  </si>
  <si>
    <t>251823839</t>
  </si>
  <si>
    <t xml:space="preserve">serine/threonine-protein kinase TBK1 </t>
  </si>
  <si>
    <t>33468969</t>
  </si>
  <si>
    <t>F-box-like/WD repeat-containing protein TBL1X</t>
  </si>
  <si>
    <t>31543001</t>
  </si>
  <si>
    <t>F-box-like/WD repeat-containing protein TBL1XR1</t>
  </si>
  <si>
    <t>31543845</t>
  </si>
  <si>
    <t xml:space="preserve">transducin beta-like protein 2 precursor </t>
  </si>
  <si>
    <t>30102935</t>
  </si>
  <si>
    <t>transducin beta-like protein 3</t>
  </si>
  <si>
    <t>172073171</t>
  </si>
  <si>
    <t>TATA-box-binding protein</t>
  </si>
  <si>
    <t>6755811</t>
  </si>
  <si>
    <t xml:space="preserve">TATA box-binding protein-like protein 1 </t>
  </si>
  <si>
    <t>39979630</t>
  </si>
  <si>
    <t xml:space="preserve">TATA box-binding protein-like protein 2 </t>
  </si>
  <si>
    <t>20589521</t>
  </si>
  <si>
    <t>protein TBRG4</t>
  </si>
  <si>
    <t>229094709</t>
  </si>
  <si>
    <t>transcription elongation factor A protein 1 isoform 3</t>
  </si>
  <si>
    <t>229094714</t>
  </si>
  <si>
    <t>transcription elongation factor A protein 1 isoform 1</t>
  </si>
  <si>
    <t>6755728</t>
  </si>
  <si>
    <t>transcription elongation factor A protein 1 isoform 2</t>
  </si>
  <si>
    <t>6678235</t>
  </si>
  <si>
    <t>transcription elongation factor A protein 2</t>
  </si>
  <si>
    <t>13385800</t>
  </si>
  <si>
    <t>transcription elongation factor B polypeptide 2</t>
  </si>
  <si>
    <t>87196334</t>
  </si>
  <si>
    <t>transcription elongation regulator 1</t>
  </si>
  <si>
    <t>209863008</t>
  </si>
  <si>
    <t>T-cell, immune regulator 1</t>
  </si>
  <si>
    <t>312176443</t>
  </si>
  <si>
    <t>treacle protein isoform 1</t>
  </si>
  <si>
    <t>6755742</t>
  </si>
  <si>
    <t>treacle protein isoform 2</t>
  </si>
  <si>
    <t>110625624</t>
  </si>
  <si>
    <t xml:space="preserve">T-complex protein 1 subunit alpha </t>
  </si>
  <si>
    <t>28893201</t>
  </si>
  <si>
    <t xml:space="preserve">T-complex protein 11-like protein 1 </t>
  </si>
  <si>
    <t>166706899</t>
  </si>
  <si>
    <t xml:space="preserve">G/T mismatch-specific thymine DNA glycosylase isoform 2 </t>
  </si>
  <si>
    <t>166706901</t>
  </si>
  <si>
    <t xml:space="preserve">G/T mismatch-specific thymine DNA glycosylase isoform 1 </t>
  </si>
  <si>
    <t>162417986</t>
  </si>
  <si>
    <t xml:space="preserve">tyrosyl-DNA phosphodiesterase 1 </t>
  </si>
  <si>
    <t>9507213</t>
  </si>
  <si>
    <t xml:space="preserve">tyrosyl-DNA phosphodiesterase 2 </t>
  </si>
  <si>
    <t>225703112</t>
  </si>
  <si>
    <t>tudor domain-containing protein 3 isoform 1</t>
  </si>
  <si>
    <t>359279950</t>
  </si>
  <si>
    <t>tudor domain-containing protein 3 isoform 2</t>
  </si>
  <si>
    <t>124249058</t>
  </si>
  <si>
    <t xml:space="preserve">tectonin beta-propeller repeat-containing protein 1 </t>
  </si>
  <si>
    <t>19923070</t>
  </si>
  <si>
    <t xml:space="preserve">very-long-chain enoyl-CoA reductase isoform 1 </t>
  </si>
  <si>
    <t>226342960</t>
  </si>
  <si>
    <t xml:space="preserve">very-long-chain enoyl-CoA reductase isoform 2 </t>
  </si>
  <si>
    <t>134053922</t>
  </si>
  <si>
    <t>transcription elongation factor, mitochondrial</t>
  </si>
  <si>
    <t>117956379</t>
  </si>
  <si>
    <t xml:space="preserve">tektin-1 </t>
  </si>
  <si>
    <t>255683437</t>
  </si>
  <si>
    <t>telomere length regulation protein TEL2 homolog</t>
  </si>
  <si>
    <t>254675210</t>
  </si>
  <si>
    <t>CST complex subunit TEN1</t>
  </si>
  <si>
    <t>119372288</t>
  </si>
  <si>
    <t>tensin-like C1 domain-containing phosphatase</t>
  </si>
  <si>
    <t>7657413</t>
  </si>
  <si>
    <t xml:space="preserve">teneurin-1 </t>
  </si>
  <si>
    <t>6678285</t>
  </si>
  <si>
    <t>telomerase protein component 1</t>
  </si>
  <si>
    <t>133904140</t>
  </si>
  <si>
    <t>telomeric repeat-binding factor 2 isoform 2</t>
  </si>
  <si>
    <t>133904142</t>
  </si>
  <si>
    <t>telomeric repeat-binding factor 2 isoform 1</t>
  </si>
  <si>
    <t>6678291</t>
  </si>
  <si>
    <t xml:space="preserve">telomerase reverse transcriptase </t>
  </si>
  <si>
    <t>46395466</t>
  </si>
  <si>
    <t xml:space="preserve">testin </t>
  </si>
  <si>
    <t>124249335</t>
  </si>
  <si>
    <t>testis-expressed sequence 10 protein</t>
  </si>
  <si>
    <t>125347370</t>
  </si>
  <si>
    <t>testis-expressed sequence 13A protein</t>
  </si>
  <si>
    <t>126090850</t>
  </si>
  <si>
    <t>testis expressed gene 264</t>
  </si>
  <si>
    <t>198278417</t>
  </si>
  <si>
    <t>testis-expressed sequence 30 protein</t>
  </si>
  <si>
    <t>6678303</t>
  </si>
  <si>
    <t xml:space="preserve">transcription factor A, mitochondrial precursor </t>
  </si>
  <si>
    <t>22122569</t>
  </si>
  <si>
    <t>dimethyladenosine transferase 1, mitochondrial</t>
  </si>
  <si>
    <t>15628025</t>
  </si>
  <si>
    <t>alpha-globin transcription factor CP2</t>
  </si>
  <si>
    <t>239835744</t>
  </si>
  <si>
    <t xml:space="preserve">transcription factor EB isoform a </t>
  </si>
  <si>
    <t>239835746</t>
  </si>
  <si>
    <t xml:space="preserve">transcription factor EB isoform b </t>
  </si>
  <si>
    <t>356995942</t>
  </si>
  <si>
    <t>protein TFG isoform 2</t>
  </si>
  <si>
    <t>9790261</t>
  </si>
  <si>
    <t>protein TFG isoform 1</t>
  </si>
  <si>
    <t>10190660</t>
  </si>
  <si>
    <t xml:space="preserve">tuftelin-interacting protein 11 </t>
  </si>
  <si>
    <t>11596855</t>
  </si>
  <si>
    <t>transferrin receptor protein 1</t>
  </si>
  <si>
    <t>6678329</t>
  </si>
  <si>
    <t xml:space="preserve">protein-glutamine gamma-glutamyltransferase 2 </t>
  </si>
  <si>
    <t>227496324</t>
  </si>
  <si>
    <t>trimethylguanosine synthase</t>
  </si>
  <si>
    <t>241982820</t>
  </si>
  <si>
    <t>thyroid adenoma-associated protein homolog</t>
  </si>
  <si>
    <t>47059073</t>
  </si>
  <si>
    <t>thrombospondin-1 precursor</t>
  </si>
  <si>
    <t>29243946</t>
  </si>
  <si>
    <t xml:space="preserve">threonine synthase-like 1 isoform a </t>
  </si>
  <si>
    <t>47604972</t>
  </si>
  <si>
    <t xml:space="preserve">threonine synthase-like 1 isoform b </t>
  </si>
  <si>
    <t>23956332</t>
  </si>
  <si>
    <t>THO complex subunit 1</t>
  </si>
  <si>
    <t>125656163</t>
  </si>
  <si>
    <t>THO complex subunit 2</t>
  </si>
  <si>
    <t>254553424</t>
  </si>
  <si>
    <t>THO complex subunit 3</t>
  </si>
  <si>
    <t>56605680</t>
  </si>
  <si>
    <t xml:space="preserve">THO complex subunit 6 homolog </t>
  </si>
  <si>
    <t>239916005</t>
  </si>
  <si>
    <t>thimet oligopeptidase</t>
  </si>
  <si>
    <t>68533246</t>
  </si>
  <si>
    <t xml:space="preserve">thyroid hormone receptor-associated protein 3 </t>
  </si>
  <si>
    <t>23346499</t>
  </si>
  <si>
    <t xml:space="preserve">thiamine-triphosphatase </t>
  </si>
  <si>
    <t>21704176</t>
  </si>
  <si>
    <t>THUMP domain-containing protein 1</t>
  </si>
  <si>
    <t>6680129</t>
  </si>
  <si>
    <t>THUMP domain-containing protein 3</t>
  </si>
  <si>
    <t>21362343</t>
  </si>
  <si>
    <t>thymocyte nuclear protein 1</t>
  </si>
  <si>
    <t>255760009</t>
  </si>
  <si>
    <t>nucleolysin TIA-1 isoform 2</t>
  </si>
  <si>
    <t>255760011</t>
  </si>
  <si>
    <t>nucleolysin TIA-1 isoform 3</t>
  </si>
  <si>
    <t>6755783</t>
  </si>
  <si>
    <t>nucleolysin TIA-1 isoform 1</t>
  </si>
  <si>
    <t>6678349</t>
  </si>
  <si>
    <t>nucleolysin TIAR</t>
  </si>
  <si>
    <t>21553067</t>
  </si>
  <si>
    <t xml:space="preserve">TRAF-interacting protein with FHA domain-containing protein A </t>
  </si>
  <si>
    <t>209862977</t>
  </si>
  <si>
    <t xml:space="preserve">protein timeless homolog isoform 1 </t>
  </si>
  <si>
    <t>255760015</t>
  </si>
  <si>
    <t xml:space="preserve">protein timeless homolog isoform 3 </t>
  </si>
  <si>
    <t>6755789</t>
  </si>
  <si>
    <t xml:space="preserve">protein timeless homolog isoform 2 </t>
  </si>
  <si>
    <t>158937240</t>
  </si>
  <si>
    <t xml:space="preserve">mitochondrial import inner membrane translocase subunit Tim10 </t>
  </si>
  <si>
    <t>9507187</t>
  </si>
  <si>
    <t>mitochondrial import inner membrane translocase subunit Tim9 B</t>
  </si>
  <si>
    <t>7305581</t>
  </si>
  <si>
    <t xml:space="preserve">mitochondrial import inner membrane translocase subunit Tim13 </t>
  </si>
  <si>
    <t>33468937</t>
  </si>
  <si>
    <t xml:space="preserve">mitochondrial import inner membrane translocase subunit Tim17-B </t>
  </si>
  <si>
    <t>21313128</t>
  </si>
  <si>
    <t xml:space="preserve">mitochondrial import inner membrane translocase subunit Tim21 </t>
  </si>
  <si>
    <t>296785067</t>
  </si>
  <si>
    <t xml:space="preserve">mitochondrial import inner membrane translocase subunit Tim22 isoform 2 </t>
  </si>
  <si>
    <t>31543865</t>
  </si>
  <si>
    <t xml:space="preserve">mitochondrial import inner membrane translocase subunit Tim22 isoform 1 </t>
  </si>
  <si>
    <t>254675168</t>
  </si>
  <si>
    <t xml:space="preserve">mitochondrial import inner membrane translocase subunit Tim23 </t>
  </si>
  <si>
    <t>170763467</t>
  </si>
  <si>
    <t xml:space="preserve">mitochondrial import inner membrane translocase subunit TIM44 </t>
  </si>
  <si>
    <t>22094989</t>
  </si>
  <si>
    <t>mitochondrial import inner membrane translocase subunit TIM50 precursor</t>
  </si>
  <si>
    <t>7305577</t>
  </si>
  <si>
    <t>mitochondrial import inner membrane translocase subunit Tim8 A</t>
  </si>
  <si>
    <t>83627687</t>
  </si>
  <si>
    <t xml:space="preserve">putative mitochondrial import inner membrane translocase subunit Tim8 A-B </t>
  </si>
  <si>
    <t>7305579</t>
  </si>
  <si>
    <t>mitochondrial import inner membrane translocase subunit Tim8 B</t>
  </si>
  <si>
    <t>67846099;7305573</t>
  </si>
  <si>
    <t xml:space="preserve">mitochondrial import inner membrane translocase subunit Tim9 </t>
  </si>
  <si>
    <t>7305573</t>
  </si>
  <si>
    <t>225543444</t>
  </si>
  <si>
    <t>translocase of inner mitochondrial membrane domain-containing protein 1</t>
  </si>
  <si>
    <t>31542102</t>
  </si>
  <si>
    <t>TCDD-inducible poly [ADP-ribose] polymerase</t>
  </si>
  <si>
    <t>21313608</t>
  </si>
  <si>
    <t>TIMELESS-interacting protein</t>
  </si>
  <si>
    <t>21704010</t>
  </si>
  <si>
    <t>TIP41-like protein</t>
  </si>
  <si>
    <t>21311861</t>
  </si>
  <si>
    <t>tight junction-associated protein 1</t>
  </si>
  <si>
    <t>254675277</t>
  </si>
  <si>
    <t>tight junction protein ZO-1 isoform 1</t>
  </si>
  <si>
    <t>254675279</t>
  </si>
  <si>
    <t>tight junction protein ZO-1 isoform 2</t>
  </si>
  <si>
    <t>160333863</t>
  </si>
  <si>
    <t>tight junction protein ZO-2 isoform 2</t>
  </si>
  <si>
    <t>312222765</t>
  </si>
  <si>
    <t>tight junction protein ZO-2 isoform 1</t>
  </si>
  <si>
    <t>530788242</t>
  </si>
  <si>
    <t>tight junction protein ZO-3 isoform 1</t>
  </si>
  <si>
    <t>114052811</t>
  </si>
  <si>
    <t>tight junction protein ZO-3 isoform 2</t>
  </si>
  <si>
    <t>6678359</t>
  </si>
  <si>
    <t xml:space="preserve">transketolase </t>
  </si>
  <si>
    <t>148287022</t>
  </si>
  <si>
    <t xml:space="preserve">transketolase-like protein 2 </t>
  </si>
  <si>
    <t>409191601;148287022</t>
  </si>
  <si>
    <t>21539617</t>
  </si>
  <si>
    <t xml:space="preserve">TLC domain-containing protein 1 precursor </t>
  </si>
  <si>
    <t>145207950</t>
  </si>
  <si>
    <t>transducin-like enhancer protein 3 isoform 3</t>
  </si>
  <si>
    <t>145207972</t>
  </si>
  <si>
    <t>transducin-like enhancer protein 3 isoform 2</t>
  </si>
  <si>
    <t>145207988</t>
  </si>
  <si>
    <t>transducin-like enhancer protein 3 isoform 1</t>
  </si>
  <si>
    <t>227116327</t>
  </si>
  <si>
    <t xml:space="preserve">talin-1 </t>
  </si>
  <si>
    <t>163310736</t>
  </si>
  <si>
    <t xml:space="preserve">talin-2 </t>
  </si>
  <si>
    <t>45429999</t>
  </si>
  <si>
    <t>toll-like receptor 13 precursor</t>
  </si>
  <si>
    <t>18875360</t>
  </si>
  <si>
    <t>toll-like receptor 7 precursor</t>
  </si>
  <si>
    <t>229324850</t>
  </si>
  <si>
    <t xml:space="preserve">TM2 domain-containing protein 2 precursor </t>
  </si>
  <si>
    <t>119964708</t>
  </si>
  <si>
    <t>transmembrane 7 superfamily member 3 precursor</t>
  </si>
  <si>
    <t>27229185</t>
  </si>
  <si>
    <t>transmembrane 9 superfamily member 1 precursor</t>
  </si>
  <si>
    <t>188528894</t>
  </si>
  <si>
    <t>transmembrane 9 superfamily member 2 precursor</t>
  </si>
  <si>
    <t>19111162</t>
  </si>
  <si>
    <t>transmembrane 9 superfamily member 3 precursor</t>
  </si>
  <si>
    <t>31542095</t>
  </si>
  <si>
    <t>transmembrane 9 superfamily member 4 precursor</t>
  </si>
  <si>
    <t>309264231</t>
  </si>
  <si>
    <t>283945625</t>
  </si>
  <si>
    <t xml:space="preserve">bax inhibitor 1 </t>
  </si>
  <si>
    <t>283945625;283945630</t>
  </si>
  <si>
    <t>283945630</t>
  </si>
  <si>
    <t>31542282</t>
  </si>
  <si>
    <t>transmembrane channel-like protein 7</t>
  </si>
  <si>
    <t>87116677</t>
  </si>
  <si>
    <t xml:space="preserve">transmembrane and coiled-coil domain-containing protein 1 precursor </t>
  </si>
  <si>
    <t>21313340</t>
  </si>
  <si>
    <t>transmembrane and coiled-coil domain-containing protein 4</t>
  </si>
  <si>
    <t>112181164</t>
  </si>
  <si>
    <t>transmembrane and coiled-coil domain-containing protein 6</t>
  </si>
  <si>
    <t>85362703</t>
  </si>
  <si>
    <t>transmembrane emp24 domain-containing protein 1 precursor</t>
  </si>
  <si>
    <t>21312062</t>
  </si>
  <si>
    <t>transmembrane emp24 domain-containing protein 10 precursor</t>
  </si>
  <si>
    <t>281427153</t>
  </si>
  <si>
    <t>transmembrane emp24 domain-containing protein 3 precursor</t>
  </si>
  <si>
    <t>19527236</t>
  </si>
  <si>
    <t>transmembrane emp24 domain-containing protein 4 precursor</t>
  </si>
  <si>
    <t>21746165</t>
  </si>
  <si>
    <t>transmembrane emp24 domain-containing protein 5 precursor</t>
  </si>
  <si>
    <t>255003819</t>
  </si>
  <si>
    <t>transmembrane emp24 protein transport domain containing 7 precursor</t>
  </si>
  <si>
    <t>145966911</t>
  </si>
  <si>
    <t>transmembrane emp24 domain-containing protein 9 precursor</t>
  </si>
  <si>
    <t>145966766</t>
  </si>
  <si>
    <t xml:space="preserve">transmembrane protein 102 </t>
  </si>
  <si>
    <t>188035856</t>
  </si>
  <si>
    <t xml:space="preserve">transmembrane protein 106B </t>
  </si>
  <si>
    <t>19527378</t>
  </si>
  <si>
    <t>transmembrane protein 109 precursor</t>
  </si>
  <si>
    <t>27734998</t>
  </si>
  <si>
    <t>transmembrane protein 11, mitochondrial isoform 1</t>
  </si>
  <si>
    <t>281182922</t>
  </si>
  <si>
    <t>transmembrane protein 11, mitochondrial isoform 2</t>
  </si>
  <si>
    <t>9790165</t>
  </si>
  <si>
    <t xml:space="preserve">transmembrane protein 115 </t>
  </si>
  <si>
    <t>29789387</t>
  </si>
  <si>
    <t xml:space="preserve">transmembrane protein 120A </t>
  </si>
  <si>
    <t>58037123</t>
  </si>
  <si>
    <t xml:space="preserve">transmembrane protein 126B </t>
  </si>
  <si>
    <t>21624623</t>
  </si>
  <si>
    <t xml:space="preserve">transmembrane protein 138 </t>
  </si>
  <si>
    <t>120952692</t>
  </si>
  <si>
    <t xml:space="preserve">transmembrane protein 147 </t>
  </si>
  <si>
    <t>13384766</t>
  </si>
  <si>
    <t xml:space="preserve">transmembrane protein 14C </t>
  </si>
  <si>
    <t>58037143</t>
  </si>
  <si>
    <t xml:space="preserve">transmembrane protein 160 </t>
  </si>
  <si>
    <t>111154067</t>
  </si>
  <si>
    <t>transmembrane protein 165 precursor</t>
  </si>
  <si>
    <t>225007607</t>
  </si>
  <si>
    <t xml:space="preserve">protein kish-A precursor </t>
  </si>
  <si>
    <t>27532967</t>
  </si>
  <si>
    <t xml:space="preserve">transmembrane protein 168 </t>
  </si>
  <si>
    <t>254692993</t>
  </si>
  <si>
    <t xml:space="preserve">stimulator of interferon genes protein </t>
  </si>
  <si>
    <t>254587930</t>
  </si>
  <si>
    <t xml:space="preserve">transmembrane protein 175 isoform 1 </t>
  </si>
  <si>
    <t>254587932</t>
  </si>
  <si>
    <t xml:space="preserve">transmembrane protein 175 isoform 2 </t>
  </si>
  <si>
    <t>12746434</t>
  </si>
  <si>
    <t xml:space="preserve">transmembrane protein 176B </t>
  </si>
  <si>
    <t>27228988</t>
  </si>
  <si>
    <t xml:space="preserve">transmembrane protein 186 </t>
  </si>
  <si>
    <t>21704060</t>
  </si>
  <si>
    <t xml:space="preserve">transmembrane protein 189 </t>
  </si>
  <si>
    <t>19526846</t>
  </si>
  <si>
    <t xml:space="preserve">transmembrane protein 19 </t>
  </si>
  <si>
    <t>254939603</t>
  </si>
  <si>
    <t xml:space="preserve">transmembrane protein 192 isoform 2 </t>
  </si>
  <si>
    <t>58037311</t>
  </si>
  <si>
    <t xml:space="preserve">transmembrane protein 192 isoform 1 </t>
  </si>
  <si>
    <t>76253926</t>
  </si>
  <si>
    <t xml:space="preserve">transmembrane protein 2 </t>
  </si>
  <si>
    <t>331284197</t>
  </si>
  <si>
    <t xml:space="preserve">transmembrane protein 200C </t>
  </si>
  <si>
    <t>31982159</t>
  </si>
  <si>
    <t xml:space="preserve">transmembrane protein 205 isoform 2 </t>
  </si>
  <si>
    <t>359718989</t>
  </si>
  <si>
    <t xml:space="preserve">transmembrane protein 205 isoform 1 </t>
  </si>
  <si>
    <t>13384906</t>
  </si>
  <si>
    <t xml:space="preserve">transmembrane protein 208 </t>
  </si>
  <si>
    <t>31559970</t>
  </si>
  <si>
    <t xml:space="preserve">transmembrane protein 214 </t>
  </si>
  <si>
    <t>213972600</t>
  </si>
  <si>
    <t xml:space="preserve">transmembrane protein 230 </t>
  </si>
  <si>
    <t>75677480</t>
  </si>
  <si>
    <t xml:space="preserve">transmembrane protein 231 </t>
  </si>
  <si>
    <t>395132459;395132466</t>
  </si>
  <si>
    <t>transmembrane protein C10orf57 homolog-like isoform 2</t>
  </si>
  <si>
    <t>395132457</t>
  </si>
  <si>
    <t>transmembrane protein C10orf57 homolog-like isoform 1</t>
  </si>
  <si>
    <t>395132466</t>
  </si>
  <si>
    <t xml:space="preserve">predicted gene 10395 isoform 2 </t>
  </si>
  <si>
    <t>110625730</t>
  </si>
  <si>
    <t>transmembrane protein 256 precursor</t>
  </si>
  <si>
    <t>19526900</t>
  </si>
  <si>
    <t xml:space="preserve">cell cycle control protein 50A </t>
  </si>
  <si>
    <t>22267448</t>
  </si>
  <si>
    <t xml:space="preserve">transmembrane protein 33 isoform 1 </t>
  </si>
  <si>
    <t>68533251</t>
  </si>
  <si>
    <t xml:space="preserve">transmembrane protein 33 isoform 2 </t>
  </si>
  <si>
    <t>85662379</t>
  </si>
  <si>
    <t xml:space="preserve">transmembrane protein 41B </t>
  </si>
  <si>
    <t>21311891</t>
  </si>
  <si>
    <t xml:space="preserve">transmembrane protein 43 </t>
  </si>
  <si>
    <t>21450349</t>
  </si>
  <si>
    <t xml:space="preserve">transmembrane protein 45B </t>
  </si>
  <si>
    <t>34610239</t>
  </si>
  <si>
    <t xml:space="preserve">transmembrane protein 50A </t>
  </si>
  <si>
    <t>21313410</t>
  </si>
  <si>
    <t xml:space="preserve">transmembrane protein 50B </t>
  </si>
  <si>
    <t>21312268</t>
  </si>
  <si>
    <t xml:space="preserve">transmembrane protein 55A </t>
  </si>
  <si>
    <t>84095197</t>
  </si>
  <si>
    <t xml:space="preserve">transmembrane protein 55B </t>
  </si>
  <si>
    <t>227330571</t>
  </si>
  <si>
    <t>transmembrane protein 59 precursor</t>
  </si>
  <si>
    <t>21450147</t>
  </si>
  <si>
    <t xml:space="preserve">transmembrane protein 63A </t>
  </si>
  <si>
    <t>226342964</t>
  </si>
  <si>
    <t xml:space="preserve">transmembrane protein 63B </t>
  </si>
  <si>
    <t>70778812</t>
  </si>
  <si>
    <t xml:space="preserve">transmembrane protein 65 </t>
  </si>
  <si>
    <t>158631230</t>
  </si>
  <si>
    <t xml:space="preserve">store-operated calcium entry-associated regulatory factor </t>
  </si>
  <si>
    <t>117647263</t>
  </si>
  <si>
    <t>transmembrane protein 70, mitochondrial isoform 1</t>
  </si>
  <si>
    <t>117647265</t>
  </si>
  <si>
    <t>transmembrane protein 70, mitochondrial isoform 2</t>
  </si>
  <si>
    <t>160333201</t>
  </si>
  <si>
    <t xml:space="preserve">transmembrane protein 87A isoform 1 </t>
  </si>
  <si>
    <t>160333204</t>
  </si>
  <si>
    <t xml:space="preserve">transmembrane protein 87A isoform 2 </t>
  </si>
  <si>
    <t>160333208</t>
  </si>
  <si>
    <t xml:space="preserve">transmembrane protein 87A isoform 3 </t>
  </si>
  <si>
    <t>254553287</t>
  </si>
  <si>
    <t>transmembrane protein 89 precursor</t>
  </si>
  <si>
    <t>236466816</t>
  </si>
  <si>
    <t>transmembrane protein 9 precursor</t>
  </si>
  <si>
    <t>19526880</t>
  </si>
  <si>
    <t xml:space="preserve">transmembrane protein 97 </t>
  </si>
  <si>
    <t>10092671</t>
  </si>
  <si>
    <t>transmembrane protein 9B precursor</t>
  </si>
  <si>
    <t>8394460</t>
  </si>
  <si>
    <t xml:space="preserve">tropomodulin-3 </t>
  </si>
  <si>
    <t>121949760</t>
  </si>
  <si>
    <t xml:space="preserve">lamina-associated polypeptide 2 isoform alpha </t>
  </si>
  <si>
    <t>121949763</t>
  </si>
  <si>
    <t xml:space="preserve">lamina-associated polypeptide 2 isoform gamma </t>
  </si>
  <si>
    <t>121949765</t>
  </si>
  <si>
    <t xml:space="preserve">lamina-associated polypeptide 2 isoform epsilon </t>
  </si>
  <si>
    <t>121949767</t>
  </si>
  <si>
    <t xml:space="preserve">lamina-associated polypeptide 2 isoform delta </t>
  </si>
  <si>
    <t>121949769</t>
  </si>
  <si>
    <t xml:space="preserve">lamina-associated polypeptide 2 isoform beta </t>
  </si>
  <si>
    <t>121949779</t>
  </si>
  <si>
    <t xml:space="preserve">lamina-associated polypeptide 2 isoform zeta </t>
  </si>
  <si>
    <t>317008614</t>
  </si>
  <si>
    <t xml:space="preserve">transmembrane protein with metallophosphoesterase domain </t>
  </si>
  <si>
    <t>148747219</t>
  </si>
  <si>
    <t xml:space="preserve">transmembrane protease serine 11B-like protein </t>
  </si>
  <si>
    <t>188536038</t>
  </si>
  <si>
    <t>transmembrane protease serine 11G</t>
  </si>
  <si>
    <t>34328226</t>
  </si>
  <si>
    <t>transmembrane protease serine 2</t>
  </si>
  <si>
    <t>21703806</t>
  </si>
  <si>
    <t>transmembrane protease serine 4</t>
  </si>
  <si>
    <t>126517491</t>
  </si>
  <si>
    <t>thymosin beta-like</t>
  </si>
  <si>
    <t>124378056</t>
  </si>
  <si>
    <t>46402291</t>
  </si>
  <si>
    <t>Tmsb15b1-Tmsb15b2 protein</t>
  </si>
  <si>
    <t>10946578</t>
  </si>
  <si>
    <t>thymosin beta-4</t>
  </si>
  <si>
    <t>75677476</t>
  </si>
  <si>
    <t>transmembrane and TPR repeat-containing protein 3 isoform 2</t>
  </si>
  <si>
    <t>158517929</t>
  </si>
  <si>
    <t>transmembrane and TPR repeat-containing protein 3 isoform 1</t>
  </si>
  <si>
    <t>11967945</t>
  </si>
  <si>
    <t xml:space="preserve">transmembrane and ubiquitin-like domain-containing protein 1 precursor </t>
  </si>
  <si>
    <t>33859722</t>
  </si>
  <si>
    <t xml:space="preserve">thioredoxin-related transmembrane protein 1 precursor </t>
  </si>
  <si>
    <t>21313210</t>
  </si>
  <si>
    <t xml:space="preserve">thioredoxin-related transmembrane protein 2 precursor </t>
  </si>
  <si>
    <t>117606385</t>
  </si>
  <si>
    <t>protein disulfide-isomerase TMX3 precursor</t>
  </si>
  <si>
    <t>112817607</t>
  </si>
  <si>
    <t xml:space="preserve">thioredoxin-related transmembrane protein 4 precursor </t>
  </si>
  <si>
    <t>194394239</t>
  </si>
  <si>
    <t>tumor necrosis factor alpha-induced protein 2</t>
  </si>
  <si>
    <t>295444879</t>
  </si>
  <si>
    <t>tumor necrosis factor alpha-induced protein 8 isoform 1</t>
  </si>
  <si>
    <t>295444881</t>
  </si>
  <si>
    <t>tumor necrosis factor alpha-induced protein 8 isoform 2</t>
  </si>
  <si>
    <t>295444883</t>
  </si>
  <si>
    <t>tumor necrosis factor alpha-induced protein 8 isoform 3</t>
  </si>
  <si>
    <t>31560244</t>
  </si>
  <si>
    <t>tumor necrosis factor alpha-induced protein 8-like protein 1</t>
  </si>
  <si>
    <t>244792359</t>
  </si>
  <si>
    <t xml:space="preserve">traf2 and NCK-interacting protein kinase isoform 1 </t>
  </si>
  <si>
    <t>244792600</t>
  </si>
  <si>
    <t xml:space="preserve">traf2 and NCK-interacting protein kinase isoform 2 </t>
  </si>
  <si>
    <t>244792613</t>
  </si>
  <si>
    <t xml:space="preserve">traf2 and NCK-interacting protein kinase isoform 3 </t>
  </si>
  <si>
    <t>244792650</t>
  </si>
  <si>
    <t xml:space="preserve">traf2 and NCK-interacting protein kinase isoform 4 </t>
  </si>
  <si>
    <t>254939617</t>
  </si>
  <si>
    <t xml:space="preserve">TNFAIP3-interacting protein 1 isoform 1 </t>
  </si>
  <si>
    <t>407027872;313103031</t>
  </si>
  <si>
    <t xml:space="preserve">TNFAIP3-interacting protein 1 isoform 2 </t>
  </si>
  <si>
    <t>407027874</t>
  </si>
  <si>
    <t xml:space="preserve">TNFAIP3-interacting protein 1 isoform 3 </t>
  </si>
  <si>
    <t>124486923</t>
  </si>
  <si>
    <t>182 kDa tankyrase-1-binding protein</t>
  </si>
  <si>
    <t>6678391</t>
  </si>
  <si>
    <t xml:space="preserve">troponin I, fast skeletal muscle </t>
  </si>
  <si>
    <t>115385966</t>
  </si>
  <si>
    <t xml:space="preserve">transportin-1 isoform 2 </t>
  </si>
  <si>
    <t>115385968</t>
  </si>
  <si>
    <t xml:space="preserve">transportin-1 isoform 1 </t>
  </si>
  <si>
    <t>170932528</t>
  </si>
  <si>
    <t xml:space="preserve">transportin-2 </t>
  </si>
  <si>
    <t>54312056</t>
  </si>
  <si>
    <t xml:space="preserve">transportin-3 </t>
  </si>
  <si>
    <t>159110982</t>
  </si>
  <si>
    <t xml:space="preserve">trinucleotide repeat-containing gene 6B protein isoform 2 </t>
  </si>
  <si>
    <t>67782332</t>
  </si>
  <si>
    <t xml:space="preserve">trinucleotide repeat-containing gene 6B protein isoform 1 </t>
  </si>
  <si>
    <t>124378035</t>
  </si>
  <si>
    <t xml:space="preserve">trinucleotide repeat-containing gene 6C protein </t>
  </si>
  <si>
    <t>226437589</t>
  </si>
  <si>
    <t>tensin 1</t>
  </si>
  <si>
    <t>134152676</t>
  </si>
  <si>
    <t xml:space="preserve">tensin-3 </t>
  </si>
  <si>
    <t>21311839</t>
  </si>
  <si>
    <t xml:space="preserve">target of EGR1 protein 1 </t>
  </si>
  <si>
    <t>13591860</t>
  </si>
  <si>
    <t>toll-interacting protein</t>
  </si>
  <si>
    <t>210147426</t>
  </si>
  <si>
    <t xml:space="preserve">target of Myb protein 1 isoform 2 </t>
  </si>
  <si>
    <t>6755847</t>
  </si>
  <si>
    <t xml:space="preserve">target of Myb protein 1 isoform 1 </t>
  </si>
  <si>
    <t>110625896</t>
  </si>
  <si>
    <t xml:space="preserve">TOM1-like protein 1 </t>
  </si>
  <si>
    <t>31982091</t>
  </si>
  <si>
    <t>mitochondrial import receptor subunit TOM22 homolog</t>
  </si>
  <si>
    <t>13385500</t>
  </si>
  <si>
    <t xml:space="preserve">mitochondrial import receptor subunit TOM34 </t>
  </si>
  <si>
    <t>157909797</t>
  </si>
  <si>
    <t>mitochondrial import receptor subunit TOM40 homolog</t>
  </si>
  <si>
    <t>153791486</t>
  </si>
  <si>
    <t>mitochondrial import receptor subunit TOM5 homolog isoform 1</t>
  </si>
  <si>
    <t>197382455</t>
  </si>
  <si>
    <t>mitochondrial import receptor subunit TOM5 homolog isoform 2</t>
  </si>
  <si>
    <t>21313592</t>
  </si>
  <si>
    <t>mitochondrial import receptor subunit TOM7 homolog</t>
  </si>
  <si>
    <t>27552760</t>
  </si>
  <si>
    <t xml:space="preserve">mitochondrial import receptor subunit TOM70 </t>
  </si>
  <si>
    <t>187608797</t>
  </si>
  <si>
    <t>tonsoku-like protein</t>
  </si>
  <si>
    <t>112734855</t>
  </si>
  <si>
    <t xml:space="preserve">DNA topoisomerase 1 </t>
  </si>
  <si>
    <t>50657345</t>
  </si>
  <si>
    <t>DNA topoisomerase I, mitochondrial</t>
  </si>
  <si>
    <t>153945749</t>
  </si>
  <si>
    <t xml:space="preserve">DNA topoisomerase 2-alpha </t>
  </si>
  <si>
    <t>34328148</t>
  </si>
  <si>
    <t xml:space="preserve">DNA topoisomerase 2-beta </t>
  </si>
  <si>
    <t>6678403</t>
  </si>
  <si>
    <t xml:space="preserve">DNA topoisomerase 3-alpha </t>
  </si>
  <si>
    <t>6755851</t>
  </si>
  <si>
    <t xml:space="preserve">DNA topoisomerase 3-beta-1 </t>
  </si>
  <si>
    <t>21450255</t>
  </si>
  <si>
    <t>torsin-1A precursor</t>
  </si>
  <si>
    <t>229608948</t>
  </si>
  <si>
    <t xml:space="preserve">torsin-1A-interacting protein 1 isoform 3 </t>
  </si>
  <si>
    <t>229608944</t>
  </si>
  <si>
    <t xml:space="preserve">torsin-1A-interacting protein 1 isoform 2 </t>
  </si>
  <si>
    <t>229608946</t>
  </si>
  <si>
    <t xml:space="preserve">torsin-1A-interacting protein 1 isoform 1 </t>
  </si>
  <si>
    <t>229892347</t>
  </si>
  <si>
    <t xml:space="preserve">torsin-1A-interacting protein 2 isoform b </t>
  </si>
  <si>
    <t>11612513</t>
  </si>
  <si>
    <t>interferon alpha responsive protein isoform a</t>
  </si>
  <si>
    <t>31559990</t>
  </si>
  <si>
    <t>torsin-1B precursor</t>
  </si>
  <si>
    <t>22779883</t>
  </si>
  <si>
    <t>torsin-2A precursor</t>
  </si>
  <si>
    <t>224809275</t>
  </si>
  <si>
    <t>torsin-3A precursor</t>
  </si>
  <si>
    <t>258645109</t>
  </si>
  <si>
    <t xml:space="preserve">trophoblast glycoprotein precursor </t>
  </si>
  <si>
    <t>6678407</t>
  </si>
  <si>
    <t xml:space="preserve">tumor protein D52 isoform 5 </t>
  </si>
  <si>
    <t>70608194</t>
  </si>
  <si>
    <t xml:space="preserve">tumor protein D52 isoform 1 </t>
  </si>
  <si>
    <t>70608198</t>
  </si>
  <si>
    <t xml:space="preserve">tumor protein D52 isoform 2 </t>
  </si>
  <si>
    <t>70608205</t>
  </si>
  <si>
    <t xml:space="preserve">tumor protein D52 isoform 4 </t>
  </si>
  <si>
    <t>70608214</t>
  </si>
  <si>
    <t xml:space="preserve">tumor protein D52 isoform 3 </t>
  </si>
  <si>
    <t>6678409</t>
  </si>
  <si>
    <t xml:space="preserve">tumor protein D53 </t>
  </si>
  <si>
    <t>31560247</t>
  </si>
  <si>
    <t xml:space="preserve">tumor protein D54 </t>
  </si>
  <si>
    <t>226958349</t>
  </si>
  <si>
    <t>triosephosphate isomerase</t>
  </si>
  <si>
    <t>7305589</t>
  </si>
  <si>
    <t xml:space="preserve">thiamin pyrophosphokinase 1 </t>
  </si>
  <si>
    <t>256000780</t>
  </si>
  <si>
    <t xml:space="preserve">tropomyosin alpha-1 chain isoform 1 </t>
  </si>
  <si>
    <t>256000782</t>
  </si>
  <si>
    <t xml:space="preserve">tropomyosin alpha-1 chain isoform 2 </t>
  </si>
  <si>
    <t>256000784</t>
  </si>
  <si>
    <t xml:space="preserve">tropomyosin alpha-1 chain isoform 4 </t>
  </si>
  <si>
    <t>256000786</t>
  </si>
  <si>
    <t xml:space="preserve">tropomyosin alpha-1 chain isoform 5 </t>
  </si>
  <si>
    <t>256000788</t>
  </si>
  <si>
    <t xml:space="preserve">tropomyosin alpha-1 chain isoform 6 </t>
  </si>
  <si>
    <t>256000790</t>
  </si>
  <si>
    <t xml:space="preserve">tropomyosin alpha-1 chain isoform 7 </t>
  </si>
  <si>
    <t>256000792</t>
  </si>
  <si>
    <t xml:space="preserve">tropomyosin alpha-1 chain isoform 8 </t>
  </si>
  <si>
    <t>256000794</t>
  </si>
  <si>
    <t xml:space="preserve">tropomyosin alpha-1 chain isoform 9 </t>
  </si>
  <si>
    <t>256000796</t>
  </si>
  <si>
    <t xml:space="preserve">tropomyosin alpha-1 chain isoform 10 </t>
  </si>
  <si>
    <t>31560030</t>
  </si>
  <si>
    <t xml:space="preserve">tropomyosin alpha-1 chain isoform 3 </t>
  </si>
  <si>
    <t>482677662</t>
  </si>
  <si>
    <t xml:space="preserve">tropomyosin beta chain isoform 2 </t>
  </si>
  <si>
    <t>482677666</t>
  </si>
  <si>
    <t xml:space="preserve">tropomyosin beta chain isoform 3 </t>
  </si>
  <si>
    <t>11875203</t>
  </si>
  <si>
    <t xml:space="preserve">tropomyosin beta chain isoform 1 </t>
  </si>
  <si>
    <t>359279904</t>
  </si>
  <si>
    <t xml:space="preserve">tropomyosin alpha-3 chain isoform 3 </t>
  </si>
  <si>
    <t>359279908</t>
  </si>
  <si>
    <t xml:space="preserve">tropomyosin alpha-3 chain isoform 4 </t>
  </si>
  <si>
    <t>40254525</t>
  </si>
  <si>
    <t xml:space="preserve">tropomyosin alpha-3 chain isoform 1 </t>
  </si>
  <si>
    <t>418203916</t>
  </si>
  <si>
    <t xml:space="preserve">tropomyosin alpha-3 chain isoform 5 </t>
  </si>
  <si>
    <t>47894398</t>
  </si>
  <si>
    <t xml:space="preserve">tropomyosin alpha-4 chain </t>
  </si>
  <si>
    <t>253795504</t>
  </si>
  <si>
    <t>thiopurine S-methyltransferase</t>
  </si>
  <si>
    <t>6753448</t>
  </si>
  <si>
    <t xml:space="preserve">tripeptidyl-peptidase 1 precursor </t>
  </si>
  <si>
    <t>6678419</t>
  </si>
  <si>
    <t>tripeptidyl-peptidase 2</t>
  </si>
  <si>
    <t>270309140</t>
  </si>
  <si>
    <t>nucleoprotein TPR</t>
  </si>
  <si>
    <t>21312776</t>
  </si>
  <si>
    <t>tumor protein p63-regulated gene 1-like protein</t>
  </si>
  <si>
    <t>28849893</t>
  </si>
  <si>
    <t>TP53RK-binding protein</t>
  </si>
  <si>
    <t>28849893;281427253</t>
  </si>
  <si>
    <t>281427253;28849893</t>
  </si>
  <si>
    <t>190014629</t>
  </si>
  <si>
    <t xml:space="preserve">taperin </t>
  </si>
  <si>
    <t>255683445</t>
  </si>
  <si>
    <t xml:space="preserve">tryptase gamma precursor </t>
  </si>
  <si>
    <t>6678437</t>
  </si>
  <si>
    <t xml:space="preserve">translationally-controlled tumor protein </t>
  </si>
  <si>
    <t>269784764</t>
  </si>
  <si>
    <t xml:space="preserve">transmembrane phosphatase with tensin homology </t>
  </si>
  <si>
    <t>111160869</t>
  </si>
  <si>
    <t>transformer-2 protein homolog alpha</t>
  </si>
  <si>
    <t>6677975</t>
  </si>
  <si>
    <t>transformer-2 protein homolog beta</t>
  </si>
  <si>
    <t>117606383</t>
  </si>
  <si>
    <t xml:space="preserve">traB domain-containing protein </t>
  </si>
  <si>
    <t>75677522</t>
  </si>
  <si>
    <t xml:space="preserve">tumor necrosis factor receptor type 1-associated DEATH domain protein </t>
  </si>
  <si>
    <t>83921633</t>
  </si>
  <si>
    <t>TNF receptor-associated factor 2</t>
  </si>
  <si>
    <t>6755867</t>
  </si>
  <si>
    <t>TNF receptor-associated factor 5</t>
  </si>
  <si>
    <t>30794386</t>
  </si>
  <si>
    <t xml:space="preserve">translocating chain-associated membrane protein 1 </t>
  </si>
  <si>
    <t>13385998</t>
  </si>
  <si>
    <t xml:space="preserve">heat shock protein 75 kDa, mitochondrial precursor </t>
  </si>
  <si>
    <t>66730565</t>
  </si>
  <si>
    <t>trafficking protein particle complex subunit 1</t>
  </si>
  <si>
    <t>124486684</t>
  </si>
  <si>
    <t>trafficking protein particle complex subunit 10</t>
  </si>
  <si>
    <t>62241019</t>
  </si>
  <si>
    <t>trafficking protein particle complex subunit 11</t>
  </si>
  <si>
    <t>238637273;238637271</t>
  </si>
  <si>
    <t>trafficking protein particle complex subunit 12 isoform 1</t>
  </si>
  <si>
    <t>238637273</t>
  </si>
  <si>
    <t>238637275</t>
  </si>
  <si>
    <t>trafficking protein particle complex subunit 12 isoform 2</t>
  </si>
  <si>
    <t>153791919</t>
  </si>
  <si>
    <t>trafficking protein particle complex subunit 2</t>
  </si>
  <si>
    <t>10946914</t>
  </si>
  <si>
    <t xml:space="preserve">trafficking protein particle complex subunit 2-like protein </t>
  </si>
  <si>
    <t>7304929</t>
  </si>
  <si>
    <t>trafficking protein particle complex subunit 3</t>
  </si>
  <si>
    <t>11140825</t>
  </si>
  <si>
    <t>trafficking protein particle complex subunit 4</t>
  </si>
  <si>
    <t>157266281</t>
  </si>
  <si>
    <t>trafficking protein particle complex subunit 5</t>
  </si>
  <si>
    <t>31981104</t>
  </si>
  <si>
    <t>trafficking protein particle complex subunit 6A</t>
  </si>
  <si>
    <t>58037519</t>
  </si>
  <si>
    <t>trafficking protein particle complex subunit 6B</t>
  </si>
  <si>
    <t>291621688</t>
  </si>
  <si>
    <t xml:space="preserve">uncharacterized protein LOC75964 isoform 1 </t>
  </si>
  <si>
    <t>257467575</t>
  </si>
  <si>
    <t>trafficking protein particle complex subunit 9 isoform 2</t>
  </si>
  <si>
    <t>257467578</t>
  </si>
  <si>
    <t>trafficking protein particle complex subunit 9 isoform 3</t>
  </si>
  <si>
    <t>257467580</t>
  </si>
  <si>
    <t>trafficking protein particle complex subunit 9 isoform 4</t>
  </si>
  <si>
    <t>257467582</t>
  </si>
  <si>
    <t>trafficking protein particle complex subunit 9 isoform 5</t>
  </si>
  <si>
    <t>30840992</t>
  </si>
  <si>
    <t>trafficking protein particle complex subunit 9 isoform 1</t>
  </si>
  <si>
    <t>21312202</t>
  </si>
  <si>
    <t xml:space="preserve">TP53-regulated inhibitor of apoptosis 1 </t>
  </si>
  <si>
    <t>70778828</t>
  </si>
  <si>
    <t>tripartite motif-containing protein 16</t>
  </si>
  <si>
    <t>29789263</t>
  </si>
  <si>
    <t>E3 ubiquitin-protein ligase TRIM23</t>
  </si>
  <si>
    <t>440918679</t>
  </si>
  <si>
    <t>transcription intermediary factor 1-alpha isoform 2</t>
  </si>
  <si>
    <t>440918697</t>
  </si>
  <si>
    <t>transcription intermediary factor 1-alpha isoform 3</t>
  </si>
  <si>
    <t>94420998</t>
  </si>
  <si>
    <t>transcription intermediary factor 1-alpha isoform 1</t>
  </si>
  <si>
    <t>145207948</t>
  </si>
  <si>
    <t>E3 ubiquitin/ISG15 ligase TRIM25</t>
  </si>
  <si>
    <t>125347389</t>
  </si>
  <si>
    <t>zinc finger protein RFP</t>
  </si>
  <si>
    <t>170295840</t>
  </si>
  <si>
    <t>transcription intermediary factor 1-beta</t>
  </si>
  <si>
    <t>33468961</t>
  </si>
  <si>
    <t>tripartite motif-containing protein 3</t>
  </si>
  <si>
    <t>239937489</t>
  </si>
  <si>
    <t>E3 ubiquitin-protein ligase TRIM32</t>
  </si>
  <si>
    <t>119637828</t>
  </si>
  <si>
    <t>E3 ubiquitin-protein ligase TRIM33 isoform 1</t>
  </si>
  <si>
    <t>119637830</t>
  </si>
  <si>
    <t>E3 ubiquitin-protein ligase TRIM33 isoform 2</t>
  </si>
  <si>
    <t>326537318</t>
  </si>
  <si>
    <t>tripartite motif-containing protein 47 isoform 1</t>
  </si>
  <si>
    <t>326537320</t>
  </si>
  <si>
    <t>tripartite motif-containing protein 47 isoform 2</t>
  </si>
  <si>
    <t>41235779</t>
  </si>
  <si>
    <t>E3 ubiquitin-protein ligase TRIM56</t>
  </si>
  <si>
    <t>170295836</t>
  </si>
  <si>
    <t>tripartite motif-containing protein 59</t>
  </si>
  <si>
    <t>164518923</t>
  </si>
  <si>
    <t>tripartite motif-containing protein 65</t>
  </si>
  <si>
    <t>85701941</t>
  </si>
  <si>
    <t>tripartite motif-containing protein 75</t>
  </si>
  <si>
    <t>154240708</t>
  </si>
  <si>
    <t xml:space="preserve">probable E3 ubiquitin-protein ligase TRIM8 </t>
  </si>
  <si>
    <t>145587082</t>
  </si>
  <si>
    <t>triple functional domain protein</t>
  </si>
  <si>
    <t>88501743</t>
  </si>
  <si>
    <t>TRIO and F-actin-binding protein isoform 5</t>
  </si>
  <si>
    <t>88501745</t>
  </si>
  <si>
    <t>TRIO and F-actin-binding protein isoform 1</t>
  </si>
  <si>
    <t>88501749</t>
  </si>
  <si>
    <t>TRIO and F-actin-binding protein isoform 3</t>
  </si>
  <si>
    <t>19527354</t>
  </si>
  <si>
    <t xml:space="preserve">cdc42-interacting protein 4 isoform 3 </t>
  </si>
  <si>
    <t>334724448</t>
  </si>
  <si>
    <t xml:space="preserve">cdc42-interacting protein 4 isoform 1 </t>
  </si>
  <si>
    <t>334724450</t>
  </si>
  <si>
    <t xml:space="preserve">cdc42-interacting protein 4 isoform 2 </t>
  </si>
  <si>
    <t>334724453</t>
  </si>
  <si>
    <t xml:space="preserve">cdc42-interacting protein 4 isoform 4 </t>
  </si>
  <si>
    <t>226531227</t>
  </si>
  <si>
    <t xml:space="preserve">thyroid hormone receptor interactor 11 </t>
  </si>
  <si>
    <t>91932791</t>
  </si>
  <si>
    <t>E3 ubiquitin-protein ligase TRIP12</t>
  </si>
  <si>
    <t>110625724</t>
  </si>
  <si>
    <t xml:space="preserve">pachytene checkpoint protein 2 homolog </t>
  </si>
  <si>
    <t>283945454</t>
  </si>
  <si>
    <t>activating signal cointegrator 1 isoform 2</t>
  </si>
  <si>
    <t>71773829</t>
  </si>
  <si>
    <t>activating signal cointegrator 1 isoform 1</t>
  </si>
  <si>
    <t>6755879</t>
  </si>
  <si>
    <t>thyroid receptor-interacting protein 6</t>
  </si>
  <si>
    <t>257095998</t>
  </si>
  <si>
    <t>tRNA (guanine(26)-N(2))-dimethyltransferase isoform 1</t>
  </si>
  <si>
    <t>257096002</t>
  </si>
  <si>
    <t>tRNA (guanine(26)-N(2))-dimethyltransferase isoform 2</t>
  </si>
  <si>
    <t>60593005</t>
  </si>
  <si>
    <t xml:space="preserve">tRNA methyltransferase 10 homolog A </t>
  </si>
  <si>
    <t>21312876</t>
  </si>
  <si>
    <t>mitochondrial ribonuclease P protein 1 precursor</t>
  </si>
  <si>
    <t>114051171</t>
  </si>
  <si>
    <t xml:space="preserve">tRNA (guanine(10)-N2)-methyltransferase homolog </t>
  </si>
  <si>
    <t>261823938;261823936</t>
  </si>
  <si>
    <t>tRNA methyltransferase 112 homolog</t>
  </si>
  <si>
    <t>261823936</t>
  </si>
  <si>
    <t>229608908</t>
  </si>
  <si>
    <t>TRMT1-like protein</t>
  </si>
  <si>
    <t>124487421</t>
  </si>
  <si>
    <t>tRNA (uracil-5-)-methyltransferase homolog A isoform 1</t>
  </si>
  <si>
    <t>124487423</t>
  </si>
  <si>
    <t>tRNA (uracil-5-)-methyltransferase homolog A isoform 2</t>
  </si>
  <si>
    <t>304555603</t>
  </si>
  <si>
    <t>tRNA (uracil-5-)-methyltransferase homolog A isoform 4</t>
  </si>
  <si>
    <t>21313170</t>
  </si>
  <si>
    <t>tRNA (guanine(37)-N1)-methyltransferase</t>
  </si>
  <si>
    <t>148747333</t>
  </si>
  <si>
    <t xml:space="preserve">tRNA (adenine(58)-N(1))-methyltransferase non-catalytic subunit TRM6 </t>
  </si>
  <si>
    <t>152963551</t>
  </si>
  <si>
    <t xml:space="preserve">tRNA (adenine(58)-N(1))-methyltransferase catalytic subunit TRMT61A </t>
  </si>
  <si>
    <t>334358911</t>
  </si>
  <si>
    <t xml:space="preserve">CCA tRNA nucleotidyltransferase 1, mitochondrial isoform b </t>
  </si>
  <si>
    <t>33859692</t>
  </si>
  <si>
    <t xml:space="preserve">CCA tRNA nucleotidyltransferase 1, mitochondrial isoform a </t>
  </si>
  <si>
    <t>7305523</t>
  </si>
  <si>
    <t>60 kDa SS-A/Ro ribonucleoprotein</t>
  </si>
  <si>
    <t>148747262</t>
  </si>
  <si>
    <t>cellular tumor antigen p53 isoform a</t>
  </si>
  <si>
    <t>187960040</t>
  </si>
  <si>
    <t>cellular tumor antigen p53 isoform b</t>
  </si>
  <si>
    <t>160333077</t>
  </si>
  <si>
    <t xml:space="preserve">tumor suppressor p53-binding protein 1 </t>
  </si>
  <si>
    <t>31560052</t>
  </si>
  <si>
    <t>TP53-regulating kinase</t>
  </si>
  <si>
    <t>409168273</t>
  </si>
  <si>
    <t>transformation related protein 53 target 5</t>
  </si>
  <si>
    <t>358439497</t>
  </si>
  <si>
    <t>short transient receptor potential channel 4 isoform 2</t>
  </si>
  <si>
    <t>8394487</t>
  </si>
  <si>
    <t>short transient receptor potential channel 4 isoform 1</t>
  </si>
  <si>
    <t>6678435</t>
  </si>
  <si>
    <t>short transient receptor potential channel 5</t>
  </si>
  <si>
    <t>157824093</t>
  </si>
  <si>
    <t xml:space="preserve">transient receptor potential cation channel subfamily M member 4 </t>
  </si>
  <si>
    <t>224994263</t>
  </si>
  <si>
    <t xml:space="preserve">tRNA 2'-phosphotransferase 1 </t>
  </si>
  <si>
    <t>269784723</t>
  </si>
  <si>
    <t xml:space="preserve">transient receptor potential cation channel subfamily V member 4 </t>
  </si>
  <si>
    <t>124486949</t>
  </si>
  <si>
    <t xml:space="preserve">transformation/transcription domain-associated protein </t>
  </si>
  <si>
    <t>21312414</t>
  </si>
  <si>
    <t xml:space="preserve">probable tRNA pseudouridine synthase 1 isoform 1 </t>
  </si>
  <si>
    <t>268607501</t>
  </si>
  <si>
    <t xml:space="preserve">probable tRNA pseudouridine synthase 1 isoform 2 </t>
  </si>
  <si>
    <t>224994213</t>
  </si>
  <si>
    <t xml:space="preserve">probable tRNA pseudouridine synthase 2 </t>
  </si>
  <si>
    <t>79750409</t>
  </si>
  <si>
    <t xml:space="preserve">hamartin </t>
  </si>
  <si>
    <t>86439987</t>
  </si>
  <si>
    <t xml:space="preserve">tuberin isoform 1 </t>
  </si>
  <si>
    <t>86439992</t>
  </si>
  <si>
    <t xml:space="preserve">tuberin isoform 2 </t>
  </si>
  <si>
    <t>295293202</t>
  </si>
  <si>
    <t xml:space="preserve">TSC22 domain family protein 1 isoform 1 </t>
  </si>
  <si>
    <t>295293205</t>
  </si>
  <si>
    <t xml:space="preserve">TSC22 domain family protein 1 isoform 3 </t>
  </si>
  <si>
    <t>6678315</t>
  </si>
  <si>
    <t xml:space="preserve">TSC22 domain family protein 1 isoform 2 </t>
  </si>
  <si>
    <t>124487001</t>
  </si>
  <si>
    <t xml:space="preserve">TSC22 domain family protein 2 </t>
  </si>
  <si>
    <t>116517338</t>
  </si>
  <si>
    <t xml:space="preserve">TSC22 domain family protein 3 isoform 1 </t>
  </si>
  <si>
    <t>116517342</t>
  </si>
  <si>
    <t xml:space="preserve">TSC22 domain family protein 3 isoform 2 </t>
  </si>
  <si>
    <t>356995846</t>
  </si>
  <si>
    <t xml:space="preserve">TSC22 domain family protein 4 isoform 1 </t>
  </si>
  <si>
    <t>75750501</t>
  </si>
  <si>
    <t xml:space="preserve">TSC22 domain family protein 4 isoform 2 </t>
  </si>
  <si>
    <t>228008361</t>
  </si>
  <si>
    <t>tRNA-splicing endonuclease subunit Sen15</t>
  </si>
  <si>
    <t>255958183</t>
  </si>
  <si>
    <t>tRNA-splicing endonuclease subunit Sen34 isoform a</t>
  </si>
  <si>
    <t>255958183;13195596</t>
  </si>
  <si>
    <t>255958185</t>
  </si>
  <si>
    <t>tRNA-splicing endonuclease subunit Sen34 isoform b</t>
  </si>
  <si>
    <t>108389163</t>
  </si>
  <si>
    <t>tRNA-splicing endonuclease subunit Sen54</t>
  </si>
  <si>
    <t>21313468</t>
  </si>
  <si>
    <t xml:space="preserve">elongation factor Ts, mitochondrial precursor </t>
  </si>
  <si>
    <t>11230780</t>
  </si>
  <si>
    <t xml:space="preserve">tumor susceptibility gene 101 protein </t>
  </si>
  <si>
    <t>6755899</t>
  </si>
  <si>
    <t xml:space="preserve">translin </t>
  </si>
  <si>
    <t>8394490</t>
  </si>
  <si>
    <t xml:space="preserve">translin-associated protein X </t>
  </si>
  <si>
    <t>22122345</t>
  </si>
  <si>
    <t xml:space="preserve">tetraspanin-14 </t>
  </si>
  <si>
    <t>110347498</t>
  </si>
  <si>
    <t xml:space="preserve">tetraspanin-15 </t>
  </si>
  <si>
    <t>13385482</t>
  </si>
  <si>
    <t xml:space="preserve">tetraspanin-31 </t>
  </si>
  <si>
    <t>31560378</t>
  </si>
  <si>
    <t xml:space="preserve">tetraspanin-6 </t>
  </si>
  <si>
    <t>22122475</t>
  </si>
  <si>
    <t xml:space="preserve">tetraspanin-8 </t>
  </si>
  <si>
    <t>30425124</t>
  </si>
  <si>
    <t xml:space="preserve">tetraspanin-9 </t>
  </si>
  <si>
    <t>6678445</t>
  </si>
  <si>
    <t>testis-specific Y-encoded-like protein 1</t>
  </si>
  <si>
    <t>126506294</t>
  </si>
  <si>
    <t>pre-rRNA-processing protein TSR1 homolog</t>
  </si>
  <si>
    <t>257153359</t>
  </si>
  <si>
    <t>pre-rRNA-processing protein TSR2 homolog isoform 1</t>
  </si>
  <si>
    <t>257196134</t>
  </si>
  <si>
    <t>pre-rRNA-processing protein TSR2 homolog isoform 2</t>
  </si>
  <si>
    <t>238550175</t>
  </si>
  <si>
    <t>protein TSSC1</t>
  </si>
  <si>
    <t>13654268</t>
  </si>
  <si>
    <t>GDP-L-fucose synthase</t>
  </si>
  <si>
    <t>67906805</t>
  </si>
  <si>
    <t xml:space="preserve">tau-tubulin kinase 2 isoform 1 </t>
  </si>
  <si>
    <t>67906807</t>
  </si>
  <si>
    <t xml:space="preserve">tau-tubulin kinase 2 isoform 2 </t>
  </si>
  <si>
    <t>20452462</t>
  </si>
  <si>
    <t>tetratricopeptide repeat protein 1</t>
  </si>
  <si>
    <t>27370132</t>
  </si>
  <si>
    <t>tetratricopeptide repeat protein 12</t>
  </si>
  <si>
    <t>114158711</t>
  </si>
  <si>
    <t>tetratricopeptide repeat protein 21B</t>
  </si>
  <si>
    <t>254281218</t>
  </si>
  <si>
    <t>tetratricopeptide repeat protein 23-like</t>
  </si>
  <si>
    <t>42734471</t>
  </si>
  <si>
    <t>tetratricopeptide repeat protein 26</t>
  </si>
  <si>
    <t>164519039</t>
  </si>
  <si>
    <t>tetratricopeptide repeat protein 27</t>
  </si>
  <si>
    <t>154091024</t>
  </si>
  <si>
    <t>E3 ubiquitin-protein ligase TTC3</t>
  </si>
  <si>
    <t>125988391</t>
  </si>
  <si>
    <t>tetratricopeptide repeat protein 30A1</t>
  </si>
  <si>
    <t>124487007</t>
  </si>
  <si>
    <t>tetratricopeptide repeat protein 30A2</t>
  </si>
  <si>
    <t>125988383</t>
  </si>
  <si>
    <t>tetratricopeptide repeat protein 30B</t>
  </si>
  <si>
    <t>58037417</t>
  </si>
  <si>
    <t>tetratricopeptide repeat protein 32</t>
  </si>
  <si>
    <t>21312920</t>
  </si>
  <si>
    <t>tetratricopeptide repeat protein 33</t>
  </si>
  <si>
    <t>225543265</t>
  </si>
  <si>
    <t>tetratricopeptide repeat protein 34</t>
  </si>
  <si>
    <t>124486883</t>
  </si>
  <si>
    <t>tetratricopeptide repeat protein 37</t>
  </si>
  <si>
    <t>158517895</t>
  </si>
  <si>
    <t>tetratricopeptide repeat protein 38</t>
  </si>
  <si>
    <t>124358948</t>
  </si>
  <si>
    <t>tetratricopeptide repeat protein 5 isoform a</t>
  </si>
  <si>
    <t>29244012</t>
  </si>
  <si>
    <t>tetratricopeptide repeat protein 5 isoform b</t>
  </si>
  <si>
    <t>85701652</t>
  </si>
  <si>
    <t>tetratricopeptide repeat protein 9A</t>
  </si>
  <si>
    <t>110625776</t>
  </si>
  <si>
    <t>tetratricopeptide repeat protein 9C</t>
  </si>
  <si>
    <t>111154070</t>
  </si>
  <si>
    <t>transcription termination factor 1</t>
  </si>
  <si>
    <t>254692909</t>
  </si>
  <si>
    <t>transcription termination factor 2</t>
  </si>
  <si>
    <t>33859732</t>
  </si>
  <si>
    <t>TELO2-interacting protein 1 homolog</t>
  </si>
  <si>
    <t>31542190</t>
  </si>
  <si>
    <t xml:space="preserve">TELO2-interacting protein 2 isoform a </t>
  </si>
  <si>
    <t>316983174</t>
  </si>
  <si>
    <t xml:space="preserve">TELO2-interacting protein 2 isoform b </t>
  </si>
  <si>
    <t>269954711</t>
  </si>
  <si>
    <t>tubulin--tyrosine ligase-like protein 12</t>
  </si>
  <si>
    <t>77812697</t>
  </si>
  <si>
    <t xml:space="preserve">titin isoform N2-A </t>
  </si>
  <si>
    <t>77812699</t>
  </si>
  <si>
    <t xml:space="preserve">titin isoform N2-B </t>
  </si>
  <si>
    <t>254588052</t>
  </si>
  <si>
    <t>protein tweety homolog 3</t>
  </si>
  <si>
    <t>6755901</t>
  </si>
  <si>
    <t xml:space="preserve">tubulin alpha-1A chain </t>
  </si>
  <si>
    <t>34740335</t>
  </si>
  <si>
    <t xml:space="preserve">tubulin alpha-1B chain </t>
  </si>
  <si>
    <t>6678469</t>
  </si>
  <si>
    <t xml:space="preserve">tubulin alpha-1C chain </t>
  </si>
  <si>
    <t>6678465</t>
  </si>
  <si>
    <t xml:space="preserve">tubulin alpha-3 chain </t>
  </si>
  <si>
    <t>6678467</t>
  </si>
  <si>
    <t xml:space="preserve">tubulin alpha-4A chain </t>
  </si>
  <si>
    <t>8394493</t>
  </si>
  <si>
    <t xml:space="preserve">tubulin alpha-8 chain </t>
  </si>
  <si>
    <t>224809300</t>
  </si>
  <si>
    <t>tubulin alpha chain-like 3</t>
  </si>
  <si>
    <t>124430500</t>
  </si>
  <si>
    <t xml:space="preserve">tubulin beta-1 chain </t>
  </si>
  <si>
    <t>33859488</t>
  </si>
  <si>
    <t xml:space="preserve">tubulin beta-2A chain </t>
  </si>
  <si>
    <t>21746161</t>
  </si>
  <si>
    <t xml:space="preserve">tubulin beta-2B chain </t>
  </si>
  <si>
    <t>12963615</t>
  </si>
  <si>
    <t xml:space="preserve">tubulin beta-3 chain </t>
  </si>
  <si>
    <t>31981939</t>
  </si>
  <si>
    <t xml:space="preserve">tubulin beta-4A chain </t>
  </si>
  <si>
    <t>22165384</t>
  </si>
  <si>
    <t xml:space="preserve">tubulin beta-4B chain </t>
  </si>
  <si>
    <t>7106439</t>
  </si>
  <si>
    <t xml:space="preserve">tubulin beta-5 chain </t>
  </si>
  <si>
    <t>27754056</t>
  </si>
  <si>
    <t xml:space="preserve">tubulin beta-6 chain </t>
  </si>
  <si>
    <t>19527242</t>
  </si>
  <si>
    <t xml:space="preserve">tubulin gamma-1 chain </t>
  </si>
  <si>
    <t>19527246</t>
  </si>
  <si>
    <t xml:space="preserve">tubulin gamma-2 chain </t>
  </si>
  <si>
    <t>228008297</t>
  </si>
  <si>
    <t>gamma-tubulin complex component 2</t>
  </si>
  <si>
    <t>39930567</t>
  </si>
  <si>
    <t>gamma-tubulin complex component 3</t>
  </si>
  <si>
    <t>23943924</t>
  </si>
  <si>
    <t>gamma-tubulin complex component 4</t>
  </si>
  <si>
    <t>46560557</t>
  </si>
  <si>
    <t>gamma-tubulin complex component 5</t>
  </si>
  <si>
    <t>254039634</t>
  </si>
  <si>
    <t>tubulin, gamma complex associated protein 6</t>
  </si>
  <si>
    <t>254911131</t>
  </si>
  <si>
    <t>elongation factor Tu, mitochondrial isoform 2</t>
  </si>
  <si>
    <t>27370092</t>
  </si>
  <si>
    <t>elongation factor Tu, mitochondrial isoform 1</t>
  </si>
  <si>
    <t>124248487</t>
  </si>
  <si>
    <t xml:space="preserve">tumor suppressor candidate 3 precursor </t>
  </si>
  <si>
    <t>37574078</t>
  </si>
  <si>
    <t xml:space="preserve">speckle targeted PIP5K1A-regulated poly(A) polymerase </t>
  </si>
  <si>
    <t>21312930</t>
  </si>
  <si>
    <t>protein FAM18B1</t>
  </si>
  <si>
    <t>62990169</t>
  </si>
  <si>
    <t xml:space="preserve">twinfilin-1 </t>
  </si>
  <si>
    <t>6755224</t>
  </si>
  <si>
    <t xml:space="preserve">twinfilin-2 </t>
  </si>
  <si>
    <t>91598586</t>
  </si>
  <si>
    <t xml:space="preserve">alpha-taxilin </t>
  </si>
  <si>
    <t>30725808</t>
  </si>
  <si>
    <t xml:space="preserve">gamma-taxilin </t>
  </si>
  <si>
    <t>6755911</t>
  </si>
  <si>
    <t xml:space="preserve">thioredoxin </t>
  </si>
  <si>
    <t>13384700</t>
  </si>
  <si>
    <t xml:space="preserve">thioredoxin domain-containing protein 12 precursor </t>
  </si>
  <si>
    <t>52693935</t>
  </si>
  <si>
    <t xml:space="preserve">thioredoxin domain-containing protein 15 precursor </t>
  </si>
  <si>
    <t>13386060</t>
  </si>
  <si>
    <t>thioredoxin domain-containing protein 17</t>
  </si>
  <si>
    <t>83921612</t>
  </si>
  <si>
    <t xml:space="preserve">thioredoxin domain-containing protein 5 precursor </t>
  </si>
  <si>
    <t>25286717</t>
  </si>
  <si>
    <t>thioredoxin domain-containing protein 9</t>
  </si>
  <si>
    <t>254553444</t>
  </si>
  <si>
    <t>thioredoxin-interacting protein isoform 2</t>
  </si>
  <si>
    <t>60687518</t>
  </si>
  <si>
    <t>thioredoxin-interacting protein isoform 1</t>
  </si>
  <si>
    <t>31543902</t>
  </si>
  <si>
    <t xml:space="preserve">thioredoxin-like protein 1 </t>
  </si>
  <si>
    <t>109255210</t>
  </si>
  <si>
    <t xml:space="preserve">thioredoxin-like protein 4A isoform b </t>
  </si>
  <si>
    <t>13384656</t>
  </si>
  <si>
    <t xml:space="preserve">thioredoxin-like protein 4A isoform a </t>
  </si>
  <si>
    <t>160333183</t>
  </si>
  <si>
    <t xml:space="preserve">thioredoxin-like protein 4B </t>
  </si>
  <si>
    <t>110224447</t>
  </si>
  <si>
    <t>thioredoxin reductase 1, cytoplasmic isoform 1</t>
  </si>
  <si>
    <t>13569841</t>
  </si>
  <si>
    <t>thioredoxin reductase 1, cytoplasmic isoform 2</t>
  </si>
  <si>
    <t>102468565</t>
  </si>
  <si>
    <t xml:space="preserve">thioredoxin reductase 2, mitochondrial precursor </t>
  </si>
  <si>
    <t>296010805</t>
  </si>
  <si>
    <t xml:space="preserve">thioredoxin reductase 3 isoform 3 </t>
  </si>
  <si>
    <t>296010807</t>
  </si>
  <si>
    <t xml:space="preserve">thioredoxin reductase 3 isoform 4 </t>
  </si>
  <si>
    <t>110735449</t>
  </si>
  <si>
    <t xml:space="preserve">thioredoxin reductase 3 isoform 2 </t>
  </si>
  <si>
    <t>296010803</t>
  </si>
  <si>
    <t xml:space="preserve">thioredoxin reductase 3 isoform 1 </t>
  </si>
  <si>
    <t>133922607</t>
  </si>
  <si>
    <t>non-receptor tyrosine-protein kinase TYK2 isoform 2</t>
  </si>
  <si>
    <t>328887920</t>
  </si>
  <si>
    <t>non-receptor tyrosine-protein kinase TYK2 isoform 1</t>
  </si>
  <si>
    <t>46358062</t>
  </si>
  <si>
    <t>thymidylate synthase</t>
  </si>
  <si>
    <t>30725740</t>
  </si>
  <si>
    <t xml:space="preserve">tRNA wybutosine-synthesizing protein 1 homolog isoform 2 </t>
  </si>
  <si>
    <t>62899041</t>
  </si>
  <si>
    <t xml:space="preserve">tRNA wybutosine-synthesizing protein 1 homolog isoform 1 </t>
  </si>
  <si>
    <t>291045186</t>
  </si>
  <si>
    <t xml:space="preserve">tRNA wybutosine-synthesizing protein 3 homolog isoform 2 </t>
  </si>
  <si>
    <t>33859785</t>
  </si>
  <si>
    <t xml:space="preserve">tRNA wybutosine-synthesizing protein 3 homolog isoform 1 </t>
  </si>
  <si>
    <t>166235142</t>
  </si>
  <si>
    <t>tRNA wybutosine-synthesizing protein 5 isoform 1</t>
  </si>
  <si>
    <t>166235146</t>
  </si>
  <si>
    <t>tRNA wybutosine-synthesizing protein 5 isoform 2</t>
  </si>
  <si>
    <t>254939700</t>
  </si>
  <si>
    <t>splicing factor U2AF 35 kDa subunit isoform 2</t>
  </si>
  <si>
    <t>254939694</t>
  </si>
  <si>
    <t>splicing factor U2AF 35 kDa subunit isoform 1</t>
  </si>
  <si>
    <t>25072205</t>
  </si>
  <si>
    <t>splicing factor U2AF 26 kDa subunit</t>
  </si>
  <si>
    <t>164565377</t>
  </si>
  <si>
    <t>splicing factor U2AF 65 kDa subunit isoform 2</t>
  </si>
  <si>
    <t>327365322</t>
  </si>
  <si>
    <t>splicing factor U2AF 65 kDa subunit isoform 1</t>
  </si>
  <si>
    <t>171460908</t>
  </si>
  <si>
    <t xml:space="preserve">U2 snRNP-associated SURP motif-containing protein isoform 2 </t>
  </si>
  <si>
    <t>171460910</t>
  </si>
  <si>
    <t xml:space="preserve">U2 snRNP-associated SURP motif-containing protein isoform 1 </t>
  </si>
  <si>
    <t>28077007</t>
  </si>
  <si>
    <t>uveal autoantigen with coiled-coil domains and ankyrin repeats</t>
  </si>
  <si>
    <t>30520375</t>
  </si>
  <si>
    <t>UDP-N-acetylhexosamine pyrophosphorylase</t>
  </si>
  <si>
    <t>377833682</t>
  </si>
  <si>
    <t xml:space="preserve">PREDICTED: UDP-N-acetylhexosamine pyrophosphorylase </t>
  </si>
  <si>
    <t>84794548</t>
  </si>
  <si>
    <t>UDP-N-acetylhexosamine pyrophosphorylase-like protein 1</t>
  </si>
  <si>
    <t>209862989</t>
  </si>
  <si>
    <t>ubiquitin-like modifier-activating enzyme 1 isoform 2</t>
  </si>
  <si>
    <t>209862989;6678483</t>
  </si>
  <si>
    <t>6678483;209862989</t>
  </si>
  <si>
    <t>ubiquitin-like modifier-activating enzyme 1 isoform 1</t>
  </si>
  <si>
    <t>444189294</t>
  </si>
  <si>
    <t>6755923</t>
  </si>
  <si>
    <t xml:space="preserve">ubiquitin-like modifier-activating enzyme 1 Y </t>
  </si>
  <si>
    <t>7709986</t>
  </si>
  <si>
    <t>SUMO-activating enzyme subunit 2</t>
  </si>
  <si>
    <t>162135936</t>
  </si>
  <si>
    <t xml:space="preserve">NEDD8-activating enzyme E1 catalytic subunit isoform 1 </t>
  </si>
  <si>
    <t>162287057</t>
  </si>
  <si>
    <t xml:space="preserve">NEDD8-activating enzyme E1 catalytic subunit isoform 2 </t>
  </si>
  <si>
    <t>227499242</t>
  </si>
  <si>
    <t>ubiquitin-like modifier-activating enzyme 5</t>
  </si>
  <si>
    <t>9845265</t>
  </si>
  <si>
    <t>ubiquitin-60S ribosomal protein L40</t>
  </si>
  <si>
    <t>27370032</t>
  </si>
  <si>
    <t>ubiquitin-like modifier-activating enzyme 6</t>
  </si>
  <si>
    <t>30794156</t>
  </si>
  <si>
    <t>ubiquitin-like modifier-activating enzyme 7</t>
  </si>
  <si>
    <t>260447056</t>
  </si>
  <si>
    <t>ubiquitin-associated domain-containing protein 1</t>
  </si>
  <si>
    <t>90568036</t>
  </si>
  <si>
    <t xml:space="preserve">ubiquitin-associated domain-containing protein 2 precursor </t>
  </si>
  <si>
    <t>28076915</t>
  </si>
  <si>
    <t xml:space="preserve">ubiquitin-associated protein 2 </t>
  </si>
  <si>
    <t>260166704</t>
  </si>
  <si>
    <t xml:space="preserve">ubiquitin-associated protein 2-like isoform 3 </t>
  </si>
  <si>
    <t>260166706</t>
  </si>
  <si>
    <t xml:space="preserve">ubiquitin-associated protein 2-like isoform 4 </t>
  </si>
  <si>
    <t>260166709</t>
  </si>
  <si>
    <t xml:space="preserve">ubiquitin-associated protein 2-like isoform 2 </t>
  </si>
  <si>
    <t>260166711;260166713</t>
  </si>
  <si>
    <t xml:space="preserve">ubiquitin-associated protein 2-like isoform 5 </t>
  </si>
  <si>
    <t>260166715</t>
  </si>
  <si>
    <t xml:space="preserve">ubiquitin-associated protein 2-like isoform 6 </t>
  </si>
  <si>
    <t>33239421</t>
  </si>
  <si>
    <t xml:space="preserve">ubiquitin-associated protein 2-like isoform 1 </t>
  </si>
  <si>
    <t>6755919</t>
  </si>
  <si>
    <t xml:space="preserve">polyubiquitin-B </t>
  </si>
  <si>
    <t>157671923</t>
  </si>
  <si>
    <t xml:space="preserve">polyubiquitin-C </t>
  </si>
  <si>
    <t>9790041</t>
  </si>
  <si>
    <t>ubiquitin-conjugating enzyme E2 A</t>
  </si>
  <si>
    <t>21312888</t>
  </si>
  <si>
    <t>ubiquitin-conjugating enzyme E2 C</t>
  </si>
  <si>
    <t>21703838</t>
  </si>
  <si>
    <t>ubiquitin-conjugating enzyme E2 D1</t>
  </si>
  <si>
    <t>9910600</t>
  </si>
  <si>
    <t>ubiquitin-conjugating enzyme E2 D2</t>
  </si>
  <si>
    <t>448889035</t>
  </si>
  <si>
    <t>ubiquitin-conjugating enzyme E2 D2B</t>
  </si>
  <si>
    <t>13384718</t>
  </si>
  <si>
    <t>ubiquitin-conjugating enzyme E2 D3</t>
  </si>
  <si>
    <t>6678479</t>
  </si>
  <si>
    <t>ubiquitin-conjugating enzyme E2 E1</t>
  </si>
  <si>
    <t>21450233</t>
  </si>
  <si>
    <t>ubiquitin-conjugating enzyme E2 E2</t>
  </si>
  <si>
    <t>6678477</t>
  </si>
  <si>
    <t>ubiquitin-conjugating enzyme E2 E3</t>
  </si>
  <si>
    <t>13385948</t>
  </si>
  <si>
    <t xml:space="preserve">NEDD8-conjugating enzyme UBE2F </t>
  </si>
  <si>
    <t>27754105</t>
  </si>
  <si>
    <t>ubiquitin-conjugating enzyme E2 G1</t>
  </si>
  <si>
    <t>281332142</t>
  </si>
  <si>
    <t>ubiquitin-conjugating enzyme E2 H isoform 2</t>
  </si>
  <si>
    <t>6678487</t>
  </si>
  <si>
    <t>ubiquitin-conjugating enzyme E2 H isoform 1</t>
  </si>
  <si>
    <t>31542956</t>
  </si>
  <si>
    <t>ubiquitin-conjugating enzyme E2 K</t>
  </si>
  <si>
    <t>21704162</t>
  </si>
  <si>
    <t xml:space="preserve">NEDD8-conjugating enzyme Ubc12 isoform 1 </t>
  </si>
  <si>
    <t>270309117</t>
  </si>
  <si>
    <t xml:space="preserve">NEDD8-conjugating enzyme Ubc12 isoform 2 </t>
  </si>
  <si>
    <t>345525404</t>
  </si>
  <si>
    <t xml:space="preserve">NEDD8-conjugating enzyme Ubc12 isoform 3 </t>
  </si>
  <si>
    <t>18017605</t>
  </si>
  <si>
    <t>ubiquitin-conjugating enzyme E2 N</t>
  </si>
  <si>
    <t>50234896</t>
  </si>
  <si>
    <t>ubiquitin-conjugating enzyme E2 O</t>
  </si>
  <si>
    <t>170172548</t>
  </si>
  <si>
    <t>ubiquitin-conjugating enzyme E2 Q1</t>
  </si>
  <si>
    <t>257796272</t>
  </si>
  <si>
    <t>ubiquitin-conjugating enzyme E2 Q2</t>
  </si>
  <si>
    <t>13385778</t>
  </si>
  <si>
    <t>ubiquitin-conjugating enzyme E2 R2</t>
  </si>
  <si>
    <t>19527004</t>
  </si>
  <si>
    <t>ubiquitin-conjugating enzyme E2 S</t>
  </si>
  <si>
    <t>13385530</t>
  </si>
  <si>
    <t>ubiquitin-conjugating enzyme E2 T</t>
  </si>
  <si>
    <t>42741690</t>
  </si>
  <si>
    <t xml:space="preserve">ubiquitin-conjugating enzyme E2 variant 1 </t>
  </si>
  <si>
    <t>226823223</t>
  </si>
  <si>
    <t xml:space="preserve">ubiquitin-conjugating enzyme E2 variant 2 isoform 2 </t>
  </si>
  <si>
    <t>31543918</t>
  </si>
  <si>
    <t xml:space="preserve">ubiquitin-conjugating enzyme E2 variant 2 isoform 1 </t>
  </si>
  <si>
    <t>401891882</t>
  </si>
  <si>
    <t>ubiquitin-conjugating enzyme E2 W isoform 1</t>
  </si>
  <si>
    <t>401891885</t>
  </si>
  <si>
    <t>ubiquitin-conjugating enzyme E2 W isoform 2</t>
  </si>
  <si>
    <t>401901244</t>
  </si>
  <si>
    <t>ubiquitin-conjugating enzyme E2 W isoform 3</t>
  </si>
  <si>
    <t>110681729</t>
  </si>
  <si>
    <t>ubiquitin-conjugating enzyme E2 Z</t>
  </si>
  <si>
    <t>27804321</t>
  </si>
  <si>
    <t xml:space="preserve">ubiquitin-protein ligase E3A isoform 1 </t>
  </si>
  <si>
    <t>76880494</t>
  </si>
  <si>
    <t xml:space="preserve">ubiquitin-protein ligase E3A isoform 2 </t>
  </si>
  <si>
    <t>76880500</t>
  </si>
  <si>
    <t xml:space="preserve">ubiquitin-protein ligase E3A isoform 3 </t>
  </si>
  <si>
    <t>29789341</t>
  </si>
  <si>
    <t xml:space="preserve">ubiquitin-protein ligase E3C </t>
  </si>
  <si>
    <t>167736371</t>
  </si>
  <si>
    <t xml:space="preserve">ubiquitin conjugation factor E4 A </t>
  </si>
  <si>
    <t>172073169</t>
  </si>
  <si>
    <t xml:space="preserve">ubiquitin conjugation factor E4 B </t>
  </si>
  <si>
    <t>77917602</t>
  </si>
  <si>
    <t>ubiquitin domain-containing protein UBFD1</t>
  </si>
  <si>
    <t>6755925</t>
  </si>
  <si>
    <t>ubiquitin-like protein 3 precursor</t>
  </si>
  <si>
    <t>21703810</t>
  </si>
  <si>
    <t xml:space="preserve">ubiquitin-like protein 4A </t>
  </si>
  <si>
    <t>13384784</t>
  </si>
  <si>
    <t xml:space="preserve">ubiquitin-like protein 5 </t>
  </si>
  <si>
    <t>407261853</t>
  </si>
  <si>
    <t xml:space="preserve">PREDICTED: ubiquitin-like domain containing CTD phosphatase 1 </t>
  </si>
  <si>
    <t>46575895</t>
  </si>
  <si>
    <t xml:space="preserve">ubiquitin-like domain-containing CTD phosphatase 1 </t>
  </si>
  <si>
    <t>134032032</t>
  </si>
  <si>
    <t xml:space="preserve">upstream-binding protein 1 isoform a </t>
  </si>
  <si>
    <t>7305605</t>
  </si>
  <si>
    <t xml:space="preserve">upstream-binding protein 1 isoform b </t>
  </si>
  <si>
    <t>22726191</t>
  </si>
  <si>
    <t xml:space="preserve">ubiquilin-1 isoform 2 </t>
  </si>
  <si>
    <t>295054230</t>
  </si>
  <si>
    <t xml:space="preserve">ubiquilin-1 isoform 1 </t>
  </si>
  <si>
    <t>34328236</t>
  </si>
  <si>
    <t xml:space="preserve">ubiquilin-2 </t>
  </si>
  <si>
    <t>15805016</t>
  </si>
  <si>
    <t xml:space="preserve">ubiquilin-4 </t>
  </si>
  <si>
    <t>154091026</t>
  </si>
  <si>
    <t>E3 ubiquitin-protein ligase UBR1</t>
  </si>
  <si>
    <t>293651567</t>
  </si>
  <si>
    <t>E3 ubiquitin-protein ligase UBR2 isoform 2</t>
  </si>
  <si>
    <t>58615693</t>
  </si>
  <si>
    <t>E3 ubiquitin-protein ligase UBR2 isoform 1</t>
  </si>
  <si>
    <t>160948616</t>
  </si>
  <si>
    <t>E3 ubiquitin-protein ligase UBR3 isoform 1</t>
  </si>
  <si>
    <t>160948614</t>
  </si>
  <si>
    <t>E3 ubiquitin-protein ligase UBR3 isoform 2</t>
  </si>
  <si>
    <t>237820660</t>
  </si>
  <si>
    <t>E3 ubiquitin-protein ligase UBR4</t>
  </si>
  <si>
    <t>163310751</t>
  </si>
  <si>
    <t>E3 ubiquitin-protein ligase UBR5 isoform 1</t>
  </si>
  <si>
    <t>163310753</t>
  </si>
  <si>
    <t>E3 ubiquitin-protein ligase UBR5 isoform 2</t>
  </si>
  <si>
    <t>29789154</t>
  </si>
  <si>
    <t xml:space="preserve">putative E3 ubiquitin-protein ligase UBR7 </t>
  </si>
  <si>
    <t>21703984</t>
  </si>
  <si>
    <t>ubiquitin domain-containing protein 1</t>
  </si>
  <si>
    <t>40254263</t>
  </si>
  <si>
    <t>ubiquitin domain-containing protein 2</t>
  </si>
  <si>
    <t>113205053</t>
  </si>
  <si>
    <t>nucleolar transcription factor 1 isoform 2</t>
  </si>
  <si>
    <t>113205057</t>
  </si>
  <si>
    <t>nucleolar transcription factor 1 isoform 1</t>
  </si>
  <si>
    <t>22122591</t>
  </si>
  <si>
    <t>UBX domain-containing protein 1</t>
  </si>
  <si>
    <t>85861252</t>
  </si>
  <si>
    <t>UBX domain-containing protein 4</t>
  </si>
  <si>
    <t>13277354</t>
  </si>
  <si>
    <t>UBX domain-containing protein 6</t>
  </si>
  <si>
    <t>268839673</t>
  </si>
  <si>
    <t>UBX domain-containing protein 7</t>
  </si>
  <si>
    <t>139948802</t>
  </si>
  <si>
    <t xml:space="preserve">ubiquitin carboxyl-terminal hydrolase isozyme L3 </t>
  </si>
  <si>
    <t>15809026</t>
  </si>
  <si>
    <t xml:space="preserve">ubiquitin carboxyl-terminal hydrolase isozyme L4 </t>
  </si>
  <si>
    <t>229577281</t>
  </si>
  <si>
    <t xml:space="preserve">ubiquitin carboxyl-terminal hydrolase isozyme L5 isoform 1 </t>
  </si>
  <si>
    <t>229577283</t>
  </si>
  <si>
    <t xml:space="preserve">ubiquitin carboxyl-terminal hydrolase isozyme L5 isoform 2 </t>
  </si>
  <si>
    <t>227498248</t>
  </si>
  <si>
    <t xml:space="preserve">uridine-cytidine kinase 1 </t>
  </si>
  <si>
    <t>13507680</t>
  </si>
  <si>
    <t xml:space="preserve">uridine-cytidine kinase 2 </t>
  </si>
  <si>
    <t>31541796</t>
  </si>
  <si>
    <t xml:space="preserve">uridine-cytidine kinase-like 1 </t>
  </si>
  <si>
    <t>104294890</t>
  </si>
  <si>
    <t xml:space="preserve">ubiquitin-conjugating enzyme E2 variant 3 </t>
  </si>
  <si>
    <t>13384768</t>
  </si>
  <si>
    <t>ubiquitin-fold modifier-conjugating enzyme 1</t>
  </si>
  <si>
    <t>257153392</t>
  </si>
  <si>
    <t>ubiquitin fusion degradation protein 1 homolog</t>
  </si>
  <si>
    <t>227330590</t>
  </si>
  <si>
    <t>E3 UFM1-protein ligase 1</t>
  </si>
  <si>
    <t>13385932</t>
  </si>
  <si>
    <t>ubiquitin-fold modifier 1 precursor</t>
  </si>
  <si>
    <t>20149754</t>
  </si>
  <si>
    <t xml:space="preserve">ufm1-specific protease 2 </t>
  </si>
  <si>
    <t>6678499</t>
  </si>
  <si>
    <t>UDP-glucose 6-dehydrogenase</t>
  </si>
  <si>
    <t>236466498</t>
  </si>
  <si>
    <t>UDP-glucose:glycoprotein glucosyltransferase 1 precursor</t>
  </si>
  <si>
    <t>158749642</t>
  </si>
  <si>
    <t>UDP-glucose:glycoprotein glucosyltransferase 2 precursor</t>
  </si>
  <si>
    <t>21314832</t>
  </si>
  <si>
    <t>UTP--glucose-1-phosphate uridylyltransferase</t>
  </si>
  <si>
    <t>31543926</t>
  </si>
  <si>
    <t xml:space="preserve">2-hydroxyacylsphingosine 1-beta-galactosyltransferase precursor </t>
  </si>
  <si>
    <t>161621269</t>
  </si>
  <si>
    <t>E3 ubiquitin-protein ligase UHRF1 isoform A</t>
  </si>
  <si>
    <t>162287241</t>
  </si>
  <si>
    <t>E3 ubiquitin-protein ligase UHRF1 isoform B</t>
  </si>
  <si>
    <t>124107591</t>
  </si>
  <si>
    <t xml:space="preserve">UHRF1 (ICBP90) binding protein 1 </t>
  </si>
  <si>
    <t>33859498</t>
  </si>
  <si>
    <t xml:space="preserve">uridine 5'-monophosphate synthase </t>
  </si>
  <si>
    <t>6755939</t>
  </si>
  <si>
    <t>protein unc-119 homolog A</t>
  </si>
  <si>
    <t>30425054</t>
  </si>
  <si>
    <t>protein unc-119 homolog B</t>
  </si>
  <si>
    <t>124487217</t>
  </si>
  <si>
    <t>protein unc-13 homolog C</t>
  </si>
  <si>
    <t>62243588</t>
  </si>
  <si>
    <t>protein unc-13 homolog D</t>
  </si>
  <si>
    <t>227908790</t>
  </si>
  <si>
    <t>protein unc-45 homolog A</t>
  </si>
  <si>
    <t>313661493</t>
  </si>
  <si>
    <t xml:space="preserve">protein unc-79 homolog </t>
  </si>
  <si>
    <t>101943608</t>
  </si>
  <si>
    <t>uracil-DNA glycosylase isoform a</t>
  </si>
  <si>
    <t>27369808</t>
  </si>
  <si>
    <t xml:space="preserve">RING finger protein unkempt homolog </t>
  </si>
  <si>
    <t>170784811</t>
  </si>
  <si>
    <t xml:space="preserve">regulator of nonsense transcripts 1 isoform b </t>
  </si>
  <si>
    <t>170784813</t>
  </si>
  <si>
    <t xml:space="preserve">regulator of nonsense transcripts 1 isoform a </t>
  </si>
  <si>
    <t>124487283</t>
  </si>
  <si>
    <t xml:space="preserve">regulator of nonsense transcripts 2 </t>
  </si>
  <si>
    <t>74959788</t>
  </si>
  <si>
    <t xml:space="preserve">regulator of nonsense transcripts 3B </t>
  </si>
  <si>
    <t>58037127</t>
  </si>
  <si>
    <t xml:space="preserve">uroplakin-1a </t>
  </si>
  <si>
    <t>121949819</t>
  </si>
  <si>
    <t>uroplakin-2 precursor</t>
  </si>
  <si>
    <t>124487135</t>
  </si>
  <si>
    <t xml:space="preserve">uracil phosphoribosyltransferase homolog </t>
  </si>
  <si>
    <t>213512915</t>
  </si>
  <si>
    <t xml:space="preserve">ubiquinol-cytochrome c reductase complex chaperone CBP3 homolog </t>
  </si>
  <si>
    <t>13385560</t>
  </si>
  <si>
    <t>mitochondrial nucleoid factor 1</t>
  </si>
  <si>
    <t>37574048</t>
  </si>
  <si>
    <t xml:space="preserve">cytochrome b-c1 complex subunit 9 </t>
  </si>
  <si>
    <t>13385112</t>
  </si>
  <si>
    <t xml:space="preserve">cytochrome b-c1 complex subunit 10 </t>
  </si>
  <si>
    <t>13385726</t>
  </si>
  <si>
    <t xml:space="preserve">cytochrome b-c1 complex subunit 7 </t>
  </si>
  <si>
    <t>46593021</t>
  </si>
  <si>
    <t xml:space="preserve">cytochrome b-c1 complex subunit 1, mitochondrial precursor </t>
  </si>
  <si>
    <t>22267442</t>
  </si>
  <si>
    <t xml:space="preserve">cytochrome b-c1 complex subunit 2, mitochondrial precursor </t>
  </si>
  <si>
    <t>13385168</t>
  </si>
  <si>
    <t>cytochrome b-c1 complex subunit Rieske, mitochondrial</t>
  </si>
  <si>
    <t>21539599</t>
  </si>
  <si>
    <t>cytochrome b-c1 complex subunit 6, mitochondrial</t>
  </si>
  <si>
    <t>21539585</t>
  </si>
  <si>
    <t xml:space="preserve">cytochrome b-c1 complex subunit 8 </t>
  </si>
  <si>
    <t>256818750</t>
  </si>
  <si>
    <t>nucleolar pre-ribosomal-associated protein 1</t>
  </si>
  <si>
    <t>71274162</t>
  </si>
  <si>
    <t>unhealthy ribosome biogenesis protein 2 homolog</t>
  </si>
  <si>
    <t>110347606</t>
  </si>
  <si>
    <t>uroporphyrinogen decarboxylase</t>
  </si>
  <si>
    <t>6678519</t>
  </si>
  <si>
    <t>uroporphyrinogen-III synthase</t>
  </si>
  <si>
    <t>21630259</t>
  </si>
  <si>
    <t>vesicle transport protein USE1 isoform 1</t>
  </si>
  <si>
    <t>224809387</t>
  </si>
  <si>
    <t>vesicle transport protein USE1 isoform 3</t>
  </si>
  <si>
    <t>254911001</t>
  </si>
  <si>
    <t xml:space="preserve">harmonin isoform b3 </t>
  </si>
  <si>
    <t>254911003</t>
  </si>
  <si>
    <t xml:space="preserve">harmonin isoform a1 </t>
  </si>
  <si>
    <t>254911005</t>
  </si>
  <si>
    <t xml:space="preserve">harmonin isoform b4 </t>
  </si>
  <si>
    <t>23956096</t>
  </si>
  <si>
    <t xml:space="preserve">general vesicular transport factor p115 </t>
  </si>
  <si>
    <t>6678493</t>
  </si>
  <si>
    <t>ubiquitin carboxyl-terminal hydrolase 10</t>
  </si>
  <si>
    <t>164663834</t>
  </si>
  <si>
    <t>ubiquitin carboxyl-terminal hydrolase 11</t>
  </si>
  <si>
    <t>34328057</t>
  </si>
  <si>
    <t>ubiquitin carboxyl-terminal hydrolase 12</t>
  </si>
  <si>
    <t>31560313</t>
  </si>
  <si>
    <t>ubiquitin carboxyl-terminal hydrolase 14 isoform 1</t>
  </si>
  <si>
    <t>84452155</t>
  </si>
  <si>
    <t>ubiquitin carboxyl-terminal hydrolase 14 isoform 2</t>
  </si>
  <si>
    <t>21489969</t>
  </si>
  <si>
    <t>ubiquitin carboxyl-terminal hydrolase 15</t>
  </si>
  <si>
    <t>251823802</t>
  </si>
  <si>
    <t>ubiquitin carboxyl-terminal hydrolase 16</t>
  </si>
  <si>
    <t>112983634</t>
  </si>
  <si>
    <t xml:space="preserve">deubiquitinating enzyme 2a </t>
  </si>
  <si>
    <t>270265841</t>
  </si>
  <si>
    <t>ubiquitin carboxyl-terminal hydrolase 19 isoform 1</t>
  </si>
  <si>
    <t>270265843</t>
  </si>
  <si>
    <t>ubiquitin carboxyl-terminal hydrolase 19 isoform 2</t>
  </si>
  <si>
    <t>270265845</t>
  </si>
  <si>
    <t>ubiquitin carboxyl-terminal hydrolase 19 isoform 3</t>
  </si>
  <si>
    <t>270265848</t>
  </si>
  <si>
    <t>ubiquitin carboxyl-terminal hydrolase 19 isoform 4</t>
  </si>
  <si>
    <t>270265851</t>
  </si>
  <si>
    <t>ubiquitin carboxyl-terminal hydrolase 19 isoform 5</t>
  </si>
  <si>
    <t>260064007</t>
  </si>
  <si>
    <t>ubiquitin carboxyl-terminal hydrolase 24</t>
  </si>
  <si>
    <t>31980712</t>
  </si>
  <si>
    <t>ubiquitin carboxyl-terminal hydrolase 25</t>
  </si>
  <si>
    <t>126032299</t>
  </si>
  <si>
    <t>ubiquitin specific protease 32</t>
  </si>
  <si>
    <t>357527386</t>
  </si>
  <si>
    <t>ubiquitin carboxyl-terminal hydrolase 34</t>
  </si>
  <si>
    <t>226442882</t>
  </si>
  <si>
    <t>ubiquitin carboxyl-terminal hydrolase 36</t>
  </si>
  <si>
    <t>34328301</t>
  </si>
  <si>
    <t>ubiquitin carboxyl-terminal hydrolase 38</t>
  </si>
  <si>
    <t>20070404</t>
  </si>
  <si>
    <t>U4/U6.U5 tri-snRNP-associated protein 2</t>
  </si>
  <si>
    <t>164519045</t>
  </si>
  <si>
    <t>ubiquitin carboxyl-terminal hydrolase 4</t>
  </si>
  <si>
    <t>312836847</t>
  </si>
  <si>
    <t>ubiquitin carboxyl-terminal hydrolase 47 isoform 1</t>
  </si>
  <si>
    <t>48928014</t>
  </si>
  <si>
    <t>ubiquitin carboxyl-terminal hydrolase 47 isoform 2</t>
  </si>
  <si>
    <t>7305619</t>
  </si>
  <si>
    <t>ubiquitin carboxyl-terminal hydrolase 5</t>
  </si>
  <si>
    <t>154146209</t>
  </si>
  <si>
    <t>ubiquitin carboxyl-terminal hydrolase 7</t>
  </si>
  <si>
    <t>31981044</t>
  </si>
  <si>
    <t>ubiquitin carboxyl-terminal hydrolase 8 isoform 2</t>
  </si>
  <si>
    <t>357588457</t>
  </si>
  <si>
    <t>ubiquitin carboxyl-terminal hydrolase 8 isoform 1</t>
  </si>
  <si>
    <t>115511018</t>
  </si>
  <si>
    <t xml:space="preserve">probable ubiquitin carboxyl-terminal hydrolase FAF-X </t>
  </si>
  <si>
    <t>120300980</t>
  </si>
  <si>
    <t>ubiquitin specific peptidase 9, Y chromosome</t>
  </si>
  <si>
    <t>169646253</t>
  </si>
  <si>
    <t xml:space="preserve">SUMO-specific isopeptidase USPL1 isoform A </t>
  </si>
  <si>
    <t>169646335</t>
  </si>
  <si>
    <t xml:space="preserve">SUMO-specific isopeptidase USPL1 isoform B </t>
  </si>
  <si>
    <t>558472807</t>
  </si>
  <si>
    <t xml:space="preserve">SUMO-specific isopeptidase USPL1 isoform E </t>
  </si>
  <si>
    <t>110556631</t>
  </si>
  <si>
    <t>uronyl 2-sulfotransferase</t>
  </si>
  <si>
    <t>30725776</t>
  </si>
  <si>
    <t xml:space="preserve">U3 small nucleolar RNA-associated protein 15 homolog </t>
  </si>
  <si>
    <t>226437674</t>
  </si>
  <si>
    <t>small subunit processome component 20 homolog</t>
  </si>
  <si>
    <t>12746430</t>
  </si>
  <si>
    <t xml:space="preserve">something about silencing protein 10 </t>
  </si>
  <si>
    <t>110431378</t>
  </si>
  <si>
    <t xml:space="preserve">utrophin </t>
  </si>
  <si>
    <t>6755931</t>
  </si>
  <si>
    <t>urotensin-2 precursor</t>
  </si>
  <si>
    <t>170671724</t>
  </si>
  <si>
    <t>UV radiation resistance associated</t>
  </si>
  <si>
    <t>28076899</t>
  </si>
  <si>
    <t>UDP-glucuronic acid decarboxylase 1</t>
  </si>
  <si>
    <t>30841023</t>
  </si>
  <si>
    <t>protein UXT</t>
  </si>
  <si>
    <t>31542488</t>
  </si>
  <si>
    <t xml:space="preserve">protein VAC14 homolog </t>
  </si>
  <si>
    <t>123702073</t>
  </si>
  <si>
    <t>vesicle-associated membrane protein 1 isoform b</t>
  </si>
  <si>
    <t>6678549</t>
  </si>
  <si>
    <t>vesicle-associated membrane protein 1 isoform a</t>
  </si>
  <si>
    <t>6678551</t>
  </si>
  <si>
    <t>vesicle-associated membrane protein 2</t>
  </si>
  <si>
    <t>6678553</t>
  </si>
  <si>
    <t>vesicle-associated membrane protein 3</t>
  </si>
  <si>
    <t>31543938</t>
  </si>
  <si>
    <t>vesicle-associated membrane protein 4</t>
  </si>
  <si>
    <t>124001562;8394526</t>
  </si>
  <si>
    <t>vesicle-associated membrane protein 5</t>
  </si>
  <si>
    <t>33468929</t>
  </si>
  <si>
    <t>vesicle-associated membrane protein 7</t>
  </si>
  <si>
    <t>31980629</t>
  </si>
  <si>
    <t>vesicle-associated membrane protein 8</t>
  </si>
  <si>
    <t>260099697</t>
  </si>
  <si>
    <t xml:space="preserve">vang-like protein 1 </t>
  </si>
  <si>
    <t>260099699</t>
  </si>
  <si>
    <t xml:space="preserve">vang-like protein 1 isoform 2 </t>
  </si>
  <si>
    <t>94721328</t>
  </si>
  <si>
    <t xml:space="preserve">vesicle-associated membrane protein-associated protein A </t>
  </si>
  <si>
    <t>31543940</t>
  </si>
  <si>
    <t xml:space="preserve">vesicle-associated membrane protein-associated protein B </t>
  </si>
  <si>
    <t>255069795</t>
  </si>
  <si>
    <t>valine--tRNA ligase</t>
  </si>
  <si>
    <t>160333671</t>
  </si>
  <si>
    <t>valine--tRNA ligase, mitochondrial precursor</t>
  </si>
  <si>
    <t>31981693</t>
  </si>
  <si>
    <t>vasorin precursor</t>
  </si>
  <si>
    <t>530537260</t>
  </si>
  <si>
    <t>vasodilator-stimulated phosphoprotein isoform 2</t>
  </si>
  <si>
    <t>530537263</t>
  </si>
  <si>
    <t>vasodilator-stimulated phosphoprotein isoform 3</t>
  </si>
  <si>
    <t>160707909</t>
  </si>
  <si>
    <t>vasodilator-stimulated phosphoprotein isoform 1</t>
  </si>
  <si>
    <t>33859662</t>
  </si>
  <si>
    <t>synaptic vesicle membrane protein VAT-1 homolog</t>
  </si>
  <si>
    <t>6678555</t>
  </si>
  <si>
    <t xml:space="preserve">guanine nucleotide exchange factor VAV2 </t>
  </si>
  <si>
    <t>124248572</t>
  </si>
  <si>
    <t xml:space="preserve">prefoldin subunit 3 </t>
  </si>
  <si>
    <t>31543942</t>
  </si>
  <si>
    <t xml:space="preserve">vinculin </t>
  </si>
  <si>
    <t>225543319</t>
  </si>
  <si>
    <t>transitional endoplasmic reticulum ATPase</t>
  </si>
  <si>
    <t>70778826</t>
  </si>
  <si>
    <t xml:space="preserve">deubiquitinating protein VCIP135 </t>
  </si>
  <si>
    <t>98986329</t>
  </si>
  <si>
    <t xml:space="preserve">protein-lysine methyltransferase METTL21D </t>
  </si>
  <si>
    <t>6755963</t>
  </si>
  <si>
    <t xml:space="preserve">voltage-dependent anion-selective channel protein 1 </t>
  </si>
  <si>
    <t>6755965</t>
  </si>
  <si>
    <t xml:space="preserve">voltage-dependent anion-selective channel protein 2 </t>
  </si>
  <si>
    <t>312222784</t>
  </si>
  <si>
    <t xml:space="preserve">voltage-dependent anion-selective channel protein 3 isoform 1 </t>
  </si>
  <si>
    <t>6755967</t>
  </si>
  <si>
    <t xml:space="preserve">voltage-dependent anion-selective channel protein 3 isoform 2 </t>
  </si>
  <si>
    <t>240848537</t>
  </si>
  <si>
    <t>ventricular zone-expressed PH domain-containing protein 1</t>
  </si>
  <si>
    <t>6678567</t>
  </si>
  <si>
    <t xml:space="preserve">von Hippel-Lindau disease tumor suppressor </t>
  </si>
  <si>
    <t>190684696</t>
  </si>
  <si>
    <t xml:space="preserve">villin-1 </t>
  </si>
  <si>
    <t>257096031</t>
  </si>
  <si>
    <t>villin-like protein isoform 1</t>
  </si>
  <si>
    <t>257096033</t>
  </si>
  <si>
    <t>villin-like protein isoform 2</t>
  </si>
  <si>
    <t>31982755</t>
  </si>
  <si>
    <t xml:space="preserve">vimentin </t>
  </si>
  <si>
    <t>111119010</t>
  </si>
  <si>
    <t>selenoprotein S</t>
  </si>
  <si>
    <t>217035166</t>
  </si>
  <si>
    <t>spermatogenesis-defective protein 39 homolog isoform b</t>
  </si>
  <si>
    <t>217272818</t>
  </si>
  <si>
    <t>spermatogenesis-defective protein 39 homolog isoform a</t>
  </si>
  <si>
    <t>30519915</t>
  </si>
  <si>
    <t>vitamin K epoxide reductase complex subunit 1 precursor</t>
  </si>
  <si>
    <t>556503385</t>
  </si>
  <si>
    <t xml:space="preserve">vitamin K epoxide reductase complex subunit 1-like protein 1 isoform 3 </t>
  </si>
  <si>
    <t>47717109</t>
  </si>
  <si>
    <t xml:space="preserve">vitamin K epoxide reductase complex subunit 1-like protein 1 isoform 2 </t>
  </si>
  <si>
    <t>46309457</t>
  </si>
  <si>
    <t xml:space="preserve">vitamin K epoxide reductase complex subunit 1-like protein 1 isoform 1 </t>
  </si>
  <si>
    <t>238637303</t>
  </si>
  <si>
    <t xml:space="preserve">very low-density lipoprotein receptor isoform a precursor </t>
  </si>
  <si>
    <t>238637305</t>
  </si>
  <si>
    <t xml:space="preserve">very low-density lipoprotein receptor isoform b precursor </t>
  </si>
  <si>
    <t>124486867</t>
  </si>
  <si>
    <t xml:space="preserve">vacuolar ATPase assembly integral membrane protein VMA21 </t>
  </si>
  <si>
    <t>262050612</t>
  </si>
  <si>
    <t xml:space="preserve">vimentin-type intermediate filament-associated coiled-coil protein isoform 2 </t>
  </si>
  <si>
    <t>30725792</t>
  </si>
  <si>
    <t xml:space="preserve">vimentin-type intermediate filament-associated coiled-coil protein isoform 1 </t>
  </si>
  <si>
    <t>282847329</t>
  </si>
  <si>
    <t>vomeronasal 1 receptor, C3</t>
  </si>
  <si>
    <t>285026477</t>
  </si>
  <si>
    <t>vomernasal 1 receptor Vmn1r68</t>
  </si>
  <si>
    <t>22003898</t>
  </si>
  <si>
    <t>vomeronasal 1 receptor, E9</t>
  </si>
  <si>
    <t>27753991</t>
  </si>
  <si>
    <t>vacuole membrane protein 1</t>
  </si>
  <si>
    <t>82617569</t>
  </si>
  <si>
    <t>protein VPRBP</t>
  </si>
  <si>
    <t>58037259</t>
  </si>
  <si>
    <t>vacuolar protein sorting-associated protein 11 homolog</t>
  </si>
  <si>
    <t>66392160</t>
  </si>
  <si>
    <t xml:space="preserve">vacuolar protein sorting-associated protein 13A </t>
  </si>
  <si>
    <t>122114537</t>
  </si>
  <si>
    <t xml:space="preserve">vacuolar protein sorting-associated protein 13C </t>
  </si>
  <si>
    <t>451172096</t>
  </si>
  <si>
    <t xml:space="preserve">vacuolar protein sorting-associated protein 13D isoform 2 </t>
  </si>
  <si>
    <t>451805038</t>
  </si>
  <si>
    <t xml:space="preserve">vacuolar protein sorting-associated protein 13D isoform 1 </t>
  </si>
  <si>
    <t>254939640</t>
  </si>
  <si>
    <t>vacuolar protein sorting-associated protein 16 homolog</t>
  </si>
  <si>
    <t>254675217</t>
  </si>
  <si>
    <t>vacuolar protein sorting-associated protein 18 homolog</t>
  </si>
  <si>
    <t>548923764</t>
  </si>
  <si>
    <t>vacuolar protein-sorting-associated protein 25 isoform 1</t>
  </si>
  <si>
    <t>25092662</t>
  </si>
  <si>
    <t>vacuolar protein-sorting-associated protein 25 isoform 2</t>
  </si>
  <si>
    <t>164518904</t>
  </si>
  <si>
    <t xml:space="preserve">vacuolar protein sorting-associated protein 26A isoform b </t>
  </si>
  <si>
    <t>19526826</t>
  </si>
  <si>
    <t xml:space="preserve">vacuolar protein sorting-associated protein 26A isoform a </t>
  </si>
  <si>
    <t>29825827</t>
  </si>
  <si>
    <t xml:space="preserve">vacuolar protein sorting-associated protein 26B </t>
  </si>
  <si>
    <t>13385320</t>
  </si>
  <si>
    <t>vacuolar protein sorting-associated protein 28 homolog</t>
  </si>
  <si>
    <t>9790285</t>
  </si>
  <si>
    <t xml:space="preserve">vacuolar protein sorting-associated protein 29 </t>
  </si>
  <si>
    <t>254588041</t>
  </si>
  <si>
    <t xml:space="preserve">vacuolar protein sorting-associated protein 33A </t>
  </si>
  <si>
    <t>158937308</t>
  </si>
  <si>
    <t xml:space="preserve">vacuolar protein sorting-associated protein 33B </t>
  </si>
  <si>
    <t>13928670</t>
  </si>
  <si>
    <t xml:space="preserve">vacuolar protein sorting-associated protein 35 </t>
  </si>
  <si>
    <t>30794416</t>
  </si>
  <si>
    <t>vacuolar protein-sorting-associated protein 36</t>
  </si>
  <si>
    <t>29244484</t>
  </si>
  <si>
    <t xml:space="preserve">vacuolar protein sorting-associated protein 37B </t>
  </si>
  <si>
    <t>31088908</t>
  </si>
  <si>
    <t xml:space="preserve">vacuolar protein sorting-associated protein 37C </t>
  </si>
  <si>
    <t>22164794</t>
  </si>
  <si>
    <t>vam6/Vps39-like protein isoform 1</t>
  </si>
  <si>
    <t>30578384</t>
  </si>
  <si>
    <t>vam6/Vps39-like protein isoform 2</t>
  </si>
  <si>
    <t>7305631</t>
  </si>
  <si>
    <t xml:space="preserve">vacuolar protein sorting-associated protein 45 </t>
  </si>
  <si>
    <t>18699726</t>
  </si>
  <si>
    <t xml:space="preserve">vacuolar protein sorting-associated protein 4A </t>
  </si>
  <si>
    <t>164698506</t>
  </si>
  <si>
    <t xml:space="preserve">vacuolar protein sorting-associated protein 4B </t>
  </si>
  <si>
    <t>124486662</t>
  </si>
  <si>
    <t>vacuolar protein sorting-associated protein 51 homolog</t>
  </si>
  <si>
    <t>148747162</t>
  </si>
  <si>
    <t>vacuolar protein sorting-associated protein 52 homolog</t>
  </si>
  <si>
    <t>377833518</t>
  </si>
  <si>
    <t>PREDICTED: LOW QUALITY PROTEIN: vacuolar protein sorting-associated protein 52 homolog</t>
  </si>
  <si>
    <t>31980873</t>
  </si>
  <si>
    <t>vacuolar protein sorting-associated protein 53 homolog</t>
  </si>
  <si>
    <t>124486983</t>
  </si>
  <si>
    <t>vacuolar protein sorting-associated protein 8 homolog</t>
  </si>
  <si>
    <t>71067120</t>
  </si>
  <si>
    <t xml:space="preserve">serine/threonine-protein kinase VRK1 isoform c </t>
  </si>
  <si>
    <t>71067122</t>
  </si>
  <si>
    <t xml:space="preserve">serine/threonine-protein kinase VRK1 isoform b </t>
  </si>
  <si>
    <t>6755985</t>
  </si>
  <si>
    <t xml:space="preserve">serine/threonine-protein kinase VRK1 isoform a </t>
  </si>
  <si>
    <t>148664203</t>
  </si>
  <si>
    <t xml:space="preserve">V-set and immunoglobulin domain-containing protein 10 precursor </t>
  </si>
  <si>
    <t>27754140</t>
  </si>
  <si>
    <t>vacuolar protein sorting-associated protein VTA1 homolog</t>
  </si>
  <si>
    <t>13928668</t>
  </si>
  <si>
    <t>vesicle transport through interaction with t-SNAREs homolog 1A</t>
  </si>
  <si>
    <t>31980617</t>
  </si>
  <si>
    <t>vesicle transport through interaction with t-SNAREs homolog 1B</t>
  </si>
  <si>
    <t>225543183</t>
  </si>
  <si>
    <t xml:space="preserve">von Willebrand factor A domain-containing protein 5A </t>
  </si>
  <si>
    <t>226958579</t>
  </si>
  <si>
    <t>von Willebrand factor A domain-containing protein 8 isoform 1 precursor</t>
  </si>
  <si>
    <t>226958581</t>
  </si>
  <si>
    <t>von Willebrand factor A domain-containing protein 8 isoform 2 precursor</t>
  </si>
  <si>
    <t>117647251</t>
  </si>
  <si>
    <t>UPF0464 protein C15orf44 homolog</t>
  </si>
  <si>
    <t>226371681</t>
  </si>
  <si>
    <t>WW domain-containing adapter protein with coiled-coil isoform 2</t>
  </si>
  <si>
    <t>256818746</t>
  </si>
  <si>
    <t xml:space="preserve">tryptophan--tRNA ligase, cytoplasmic isoform 2 </t>
  </si>
  <si>
    <t>256818802</t>
  </si>
  <si>
    <t xml:space="preserve">tryptophan--tRNA ligase, cytoplasmic isoform 1 </t>
  </si>
  <si>
    <t>13994209</t>
  </si>
  <si>
    <t>wiskott-Aldrich syndrome protein family member 1</t>
  </si>
  <si>
    <t>23510313</t>
  </si>
  <si>
    <t>wiskott-Aldrich syndrome protein family member 2</t>
  </si>
  <si>
    <t>83649760</t>
  </si>
  <si>
    <t xml:space="preserve">WAS protein family homolog 1 </t>
  </si>
  <si>
    <t>268370040</t>
  </si>
  <si>
    <t>neural Wiskott-Aldrich syndrome protein isoform 1</t>
  </si>
  <si>
    <t>268370042</t>
  </si>
  <si>
    <t>neural Wiskott-Aldrich syndrome protein isoform 2</t>
  </si>
  <si>
    <t>267844920</t>
  </si>
  <si>
    <t>WW domain-binding protein 11</t>
  </si>
  <si>
    <t>295317409</t>
  </si>
  <si>
    <t>WW domain binding protein 1-like isoform 2 precursor</t>
  </si>
  <si>
    <t>295317411</t>
  </si>
  <si>
    <t>WW domain binding protein 1-like isoform 1 precursor</t>
  </si>
  <si>
    <t>295317413</t>
  </si>
  <si>
    <t xml:space="preserve">WW domain binding protein 1-like isoform 3 </t>
  </si>
  <si>
    <t>8394539</t>
  </si>
  <si>
    <t>WW domain-binding protein 2</t>
  </si>
  <si>
    <t>33468951</t>
  </si>
  <si>
    <t>WW domain-binding protein 5</t>
  </si>
  <si>
    <t>15809010</t>
  </si>
  <si>
    <t xml:space="preserve">Williams-Beuren syndrome chromosomal region 16 protein homolog </t>
  </si>
  <si>
    <t>125988405</t>
  </si>
  <si>
    <t xml:space="preserve">uncharacterized methyltransferase WBSCR22 </t>
  </si>
  <si>
    <t>50355999</t>
  </si>
  <si>
    <t>Williams-Beuren syndrome chromosomal region 27 protein</t>
  </si>
  <si>
    <t>34732713</t>
  </si>
  <si>
    <t xml:space="preserve">Williams-Beuren syndrome chromosomal region 28 protein homolog isoform a </t>
  </si>
  <si>
    <t>34732715</t>
  </si>
  <si>
    <t xml:space="preserve">Williams-Beuren syndrome chromosomal region 28 protein homolog isoform b </t>
  </si>
  <si>
    <t>162287109</t>
  </si>
  <si>
    <t xml:space="preserve">WD repeat and FYVE domain containing 1 isoform 1 </t>
  </si>
  <si>
    <t>254540214</t>
  </si>
  <si>
    <t xml:space="preserve">WD repeat and FYVE domain-containing protein 2 </t>
  </si>
  <si>
    <t>39930599</t>
  </si>
  <si>
    <t xml:space="preserve">WD repeat and FYVE domain-containing protein 3 </t>
  </si>
  <si>
    <t>40254224</t>
  </si>
  <si>
    <t xml:space="preserve">WD repeat and HMG-box DNA-binding protein 1 </t>
  </si>
  <si>
    <t>31981772</t>
  </si>
  <si>
    <t>WD repeat-containing and planar cell polarity effector protein fritz homolog</t>
  </si>
  <si>
    <t>6755995</t>
  </si>
  <si>
    <t>WD repeat-containing protein 1</t>
  </si>
  <si>
    <t>227908800</t>
  </si>
  <si>
    <t>WD repeat-containing protein 11</t>
  </si>
  <si>
    <t>10946614;312261271</t>
  </si>
  <si>
    <t>ribosome biogenesis protein WDR12</t>
  </si>
  <si>
    <t>312261271</t>
  </si>
  <si>
    <t>261878588</t>
  </si>
  <si>
    <t>WD repeat-containing protein 13 isoform 1</t>
  </si>
  <si>
    <t>83649741</t>
  </si>
  <si>
    <t>WD repeat-containing protein 18</t>
  </si>
  <si>
    <t>154240688</t>
  </si>
  <si>
    <t>WD repeat-containing protein 19</t>
  </si>
  <si>
    <t>61742804</t>
  </si>
  <si>
    <t>WD repeat domain 20</t>
  </si>
  <si>
    <t>21735451</t>
  </si>
  <si>
    <t>WD repeat-containing protein 20</t>
  </si>
  <si>
    <t>264681550</t>
  </si>
  <si>
    <t>WD repeat-containing protein 26</t>
  </si>
  <si>
    <t>30425338</t>
  </si>
  <si>
    <t>WD repeat-containing protein 3</t>
  </si>
  <si>
    <t>21362285</t>
  </si>
  <si>
    <t>pre-mRNA 3' end processing protein WDR33 isoform 1</t>
  </si>
  <si>
    <t>139948827</t>
  </si>
  <si>
    <t>WD repeat-containing protein 34</t>
  </si>
  <si>
    <t>226958501</t>
  </si>
  <si>
    <t>WD repeat-containing protein 35 isoform 1</t>
  </si>
  <si>
    <t>226958503</t>
  </si>
  <si>
    <t>WD repeat-containing protein 35 isoform 2</t>
  </si>
  <si>
    <t>31542010</t>
  </si>
  <si>
    <t>WD repeat domain 36 isoform 3</t>
  </si>
  <si>
    <t>158517940</t>
  </si>
  <si>
    <t>WD repeat domain 36 isoform 1</t>
  </si>
  <si>
    <t>158517942</t>
  </si>
  <si>
    <t>WD repeat domain 36 isoform 2</t>
  </si>
  <si>
    <t>27369593</t>
  </si>
  <si>
    <t>WD repeat-containing protein 37 isoform a</t>
  </si>
  <si>
    <t>86476061</t>
  </si>
  <si>
    <t>WD repeat-containing protein 37 isoform b</t>
  </si>
  <si>
    <t>255308863</t>
  </si>
  <si>
    <t>tRNA (guanine-N(7)-)-methyltransferase subunit WDR4</t>
  </si>
  <si>
    <t>123702001</t>
  </si>
  <si>
    <t>WD repeat-containing protein 41</t>
  </si>
  <si>
    <t>124249073</t>
  </si>
  <si>
    <t>WD repeat-containing protein 44</t>
  </si>
  <si>
    <t>27363472</t>
  </si>
  <si>
    <t>WD repeat domain phosphoinositide-interacting protein 4</t>
  </si>
  <si>
    <t>27229002</t>
  </si>
  <si>
    <t>WD repeat domain phosphoinositide-interacting protein 3</t>
  </si>
  <si>
    <t>10181122</t>
  </si>
  <si>
    <t>WD repeat-containing protein 46</t>
  </si>
  <si>
    <t>170172546</t>
  </si>
  <si>
    <t>WD repeat-containing protein 47</t>
  </si>
  <si>
    <t>33468987</t>
  </si>
  <si>
    <t>WD repeat-containing protein 48</t>
  </si>
  <si>
    <t>309264766</t>
  </si>
  <si>
    <t xml:space="preserve">PREDICTED: WD repeat-containing protein 49 </t>
  </si>
  <si>
    <t>407263036</t>
  </si>
  <si>
    <t>18252790</t>
  </si>
  <si>
    <t>WD repeat-containing protein 5</t>
  </si>
  <si>
    <t>256818776</t>
  </si>
  <si>
    <t>WD repeat-containing protein 52</t>
  </si>
  <si>
    <t>12963827</t>
  </si>
  <si>
    <t>WD repeat-containing protein 54</t>
  </si>
  <si>
    <t>13878227</t>
  </si>
  <si>
    <t>WD repeat-containing protein 6</t>
  </si>
  <si>
    <t>70778824</t>
  </si>
  <si>
    <t>WD repeat-containing protein 61 isoform b</t>
  </si>
  <si>
    <t>13277350;70778817</t>
  </si>
  <si>
    <t>WD repeat-containing protein 61 isoform a</t>
  </si>
  <si>
    <t>124487149</t>
  </si>
  <si>
    <t>WD repeat-containing protein 70</t>
  </si>
  <si>
    <t>148226059</t>
  </si>
  <si>
    <t>WD repeat domain 72</t>
  </si>
  <si>
    <t>254910981</t>
  </si>
  <si>
    <t>WD repeat-containing protein 73</t>
  </si>
  <si>
    <t>19527374</t>
  </si>
  <si>
    <t>WD repeat-containing protein 74</t>
  </si>
  <si>
    <t>124487321</t>
  </si>
  <si>
    <t>WD repeat-containing protein 76</t>
  </si>
  <si>
    <t>19263322</t>
  </si>
  <si>
    <t xml:space="preserve">methylosome protein 50 </t>
  </si>
  <si>
    <t>242118003</t>
  </si>
  <si>
    <t>WD repeat-containing protein 81</t>
  </si>
  <si>
    <t>148223079</t>
  </si>
  <si>
    <t>WD repeat-containing protein 82</t>
  </si>
  <si>
    <t>71067130</t>
  </si>
  <si>
    <t xml:space="preserve">WD repeat domain-containing protein 83 </t>
  </si>
  <si>
    <t>61656182</t>
  </si>
  <si>
    <t>WD repeat-containing protein 91</t>
  </si>
  <si>
    <t>30725770</t>
  </si>
  <si>
    <t>WD repeat-containing protein 92</t>
  </si>
  <si>
    <t>227452250</t>
  </si>
  <si>
    <t>WD repeat, SAM and U-box domain-containing protein 1 isoform 2</t>
  </si>
  <si>
    <t>58037281</t>
  </si>
  <si>
    <t>WD repeat, SAM and U-box domain-containing protein 1 isoform 1</t>
  </si>
  <si>
    <t>40556280</t>
  </si>
  <si>
    <t>WD and tetratricopeptide repeats protein 1</t>
  </si>
  <si>
    <t>58037459</t>
  </si>
  <si>
    <t>protein N-terminal glutamine amidohydrolase</t>
  </si>
  <si>
    <t>6755997</t>
  </si>
  <si>
    <t xml:space="preserve">wolframin </t>
  </si>
  <si>
    <t>358679337</t>
  </si>
  <si>
    <t xml:space="preserve">partner of Y14 and mago isoform 4 </t>
  </si>
  <si>
    <t>283945598</t>
  </si>
  <si>
    <t xml:space="preserve">partner of Y14 and mago isoform 1 </t>
  </si>
  <si>
    <t>283945600</t>
  </si>
  <si>
    <t xml:space="preserve">partner of Y14 and mago isoform 2 </t>
  </si>
  <si>
    <t>98986316</t>
  </si>
  <si>
    <t>protein wntless homolog precursor</t>
  </si>
  <si>
    <t>257900530</t>
  </si>
  <si>
    <t xml:space="preserve">serine/threonine-protein kinase WNK1 isoform 1 </t>
  </si>
  <si>
    <t>297206804</t>
  </si>
  <si>
    <t xml:space="preserve">serine/threonine-protein kinase WNK1 isoform 2 </t>
  </si>
  <si>
    <t>297206806</t>
  </si>
  <si>
    <t xml:space="preserve">serine/threonine-protein kinase WNK1 isoform 3 </t>
  </si>
  <si>
    <t>312283629</t>
  </si>
  <si>
    <t xml:space="preserve">serine/threonine-protein kinase WNK1 isoform 4 </t>
  </si>
  <si>
    <t>312283631</t>
  </si>
  <si>
    <t xml:space="preserve">serine/threonine-protein kinase WNK1 isoform 5 </t>
  </si>
  <si>
    <t>157057176</t>
  </si>
  <si>
    <t xml:space="preserve">serine/threonine-protein kinase WNK2 </t>
  </si>
  <si>
    <t>28316732</t>
  </si>
  <si>
    <t xml:space="preserve">serine/threonine-protein kinase WNK4 </t>
  </si>
  <si>
    <t>170763502</t>
  </si>
  <si>
    <t xml:space="preserve">Werner syndrome ATP-dependent helicase homolog </t>
  </si>
  <si>
    <t>407261615</t>
  </si>
  <si>
    <t>PREDICTED: Werner syndrome ATP-dependent helicase homolog</t>
  </si>
  <si>
    <t>254540120</t>
  </si>
  <si>
    <t>ATPase WRNIP1</t>
  </si>
  <si>
    <t>165377291</t>
  </si>
  <si>
    <t xml:space="preserve">pre-mRNA-splicing regulator WTAP isoform a </t>
  </si>
  <si>
    <t>82524278</t>
  </si>
  <si>
    <t>protein KIBRA</t>
  </si>
  <si>
    <t>46575912</t>
  </si>
  <si>
    <t>protein WWC2</t>
  </si>
  <si>
    <t>31980962</t>
  </si>
  <si>
    <t xml:space="preserve">WW domain-containing oxidoreductase </t>
  </si>
  <si>
    <t>112734836</t>
  </si>
  <si>
    <t xml:space="preserve">NEDD4-like E3 ubiquitin-protein ligase WWP1 </t>
  </si>
  <si>
    <t>443906717</t>
  </si>
  <si>
    <t xml:space="preserve">NEDD4-like E3 ubiquitin-protein ligase WWP1 isoform 2 </t>
  </si>
  <si>
    <t>13385304</t>
  </si>
  <si>
    <t xml:space="preserve">NEDD4-like E3 ubiquitin-protein ligase WWP2 </t>
  </si>
  <si>
    <t>13385660</t>
  </si>
  <si>
    <t xml:space="preserve">pre-mRNA-splicing factor SYF1 </t>
  </si>
  <si>
    <t>157951674</t>
  </si>
  <si>
    <t>E3 ubiquitin-protein ligase XIAP</t>
  </si>
  <si>
    <t>406855427</t>
  </si>
  <si>
    <t xml:space="preserve">xaa-Pro aminopeptidase 1 </t>
  </si>
  <si>
    <t>28893421</t>
  </si>
  <si>
    <t>probable Xaa-Pro aminopeptidase 3</t>
  </si>
  <si>
    <t>38604071</t>
  </si>
  <si>
    <t xml:space="preserve">exportin-1 </t>
  </si>
  <si>
    <t>10048438</t>
  </si>
  <si>
    <t xml:space="preserve">exportin-4 </t>
  </si>
  <si>
    <t>24429570</t>
  </si>
  <si>
    <t xml:space="preserve">exportin-5 </t>
  </si>
  <si>
    <t>12746422</t>
  </si>
  <si>
    <t xml:space="preserve">exportin-7 </t>
  </si>
  <si>
    <t>124486686</t>
  </si>
  <si>
    <t xml:space="preserve">exportin-T </t>
  </si>
  <si>
    <t>170295844</t>
  </si>
  <si>
    <t>DNA repair protein XRCC1</t>
  </si>
  <si>
    <t>160333605</t>
  </si>
  <si>
    <t xml:space="preserve">X-ray repair cross-complementing protein 5 </t>
  </si>
  <si>
    <t>145587104</t>
  </si>
  <si>
    <t xml:space="preserve">X-ray repair cross-complementing protein 6 </t>
  </si>
  <si>
    <t>227116360</t>
  </si>
  <si>
    <t>mitochondrial inner membrane protease ATP23 homolog isoform 1</t>
  </si>
  <si>
    <t>115495455</t>
  </si>
  <si>
    <t xml:space="preserve">5'-3' exoribonuclease 1 </t>
  </si>
  <si>
    <t>117606214</t>
  </si>
  <si>
    <t xml:space="preserve">5'-3' exoribonuclease 2 </t>
  </si>
  <si>
    <t>256000811</t>
  </si>
  <si>
    <t xml:space="preserve">X-ray radiation resistance-associated protein 1 </t>
  </si>
  <si>
    <t>313760620</t>
  </si>
  <si>
    <t>xylulose kinase isoform 2</t>
  </si>
  <si>
    <t>84794607</t>
  </si>
  <si>
    <t>xylulose kinase isoform 1</t>
  </si>
  <si>
    <t>40254385</t>
  </si>
  <si>
    <t xml:space="preserve">YY1-associated factor 2 </t>
  </si>
  <si>
    <t>283945493</t>
  </si>
  <si>
    <t>yorkie homolog isoform 1</t>
  </si>
  <si>
    <t>6678615</t>
  </si>
  <si>
    <t>yorkie homolog isoform 2</t>
  </si>
  <si>
    <t>411147387</t>
  </si>
  <si>
    <t xml:space="preserve">tyrosine--tRNA ligase, cytoplasmic </t>
  </si>
  <si>
    <t>39930579</t>
  </si>
  <si>
    <t xml:space="preserve">tyrosine--tRNA ligase, mitochondrial </t>
  </si>
  <si>
    <t>54607131</t>
  </si>
  <si>
    <t>rRNA maturation factor homolog</t>
  </si>
  <si>
    <t>113205059</t>
  </si>
  <si>
    <t>nuclease-sensitive element-binding protein 1</t>
  </si>
  <si>
    <t>117956377</t>
  </si>
  <si>
    <t xml:space="preserve">Y-box-binding protein 2 </t>
  </si>
  <si>
    <t>20806532</t>
  </si>
  <si>
    <t xml:space="preserve">Y-box-binding protein 3 short isoform </t>
  </si>
  <si>
    <t>47059495</t>
  </si>
  <si>
    <t xml:space="preserve">Y-box-binding protein 3 long isoform </t>
  </si>
  <si>
    <t>326806988</t>
  </si>
  <si>
    <t xml:space="preserve">tyrosine-protein kinase Yes </t>
  </si>
  <si>
    <t>25282409</t>
  </si>
  <si>
    <t>protein YIF1A</t>
  </si>
  <si>
    <t>158937258</t>
  </si>
  <si>
    <t>protein YIF1B isoform 1</t>
  </si>
  <si>
    <t>158937260</t>
  </si>
  <si>
    <t>protein YIF1B isoform 2</t>
  </si>
  <si>
    <t>247269773</t>
  </si>
  <si>
    <t>protein YIPF3</t>
  </si>
  <si>
    <t>28076889</t>
  </si>
  <si>
    <t>protein YIPF4</t>
  </si>
  <si>
    <t>12963631</t>
  </si>
  <si>
    <t>protein YIPF5</t>
  </si>
  <si>
    <t>46519049</t>
  </si>
  <si>
    <t>protein YIPF6</t>
  </si>
  <si>
    <t>31543971</t>
  </si>
  <si>
    <t xml:space="preserve">synaptobrevin homolog YKT6 </t>
  </si>
  <si>
    <t>7305635</t>
  </si>
  <si>
    <t>ATP-dependent zinc metalloprotease YME1L1</t>
  </si>
  <si>
    <t>47059139</t>
  </si>
  <si>
    <t xml:space="preserve">protein yippee-like 5 </t>
  </si>
  <si>
    <t>247494089</t>
  </si>
  <si>
    <t xml:space="preserve">yrdC domain-containing protein, mitochondrial precursor </t>
  </si>
  <si>
    <t>30424609</t>
  </si>
  <si>
    <t xml:space="preserve">YTH domain family protein 1 </t>
  </si>
  <si>
    <t>225543110</t>
  </si>
  <si>
    <t xml:space="preserve">YTH domain family protein 2 </t>
  </si>
  <si>
    <t>225543495</t>
  </si>
  <si>
    <t xml:space="preserve">YTH domain family protein 3 isoform 1 </t>
  </si>
  <si>
    <t>225543497</t>
  </si>
  <si>
    <t xml:space="preserve">YTH domain family protein 3 isoform 2 </t>
  </si>
  <si>
    <t>31543974</t>
  </si>
  <si>
    <t xml:space="preserve">14-3-3 protein beta/alpha </t>
  </si>
  <si>
    <t>226874906</t>
  </si>
  <si>
    <t xml:space="preserve">14-3-3 protein epsilon </t>
  </si>
  <si>
    <t>31543976</t>
  </si>
  <si>
    <t xml:space="preserve">14-3-3 protein gamma </t>
  </si>
  <si>
    <t>6756037</t>
  </si>
  <si>
    <t xml:space="preserve">14-3-3 protein eta </t>
  </si>
  <si>
    <t>6756039</t>
  </si>
  <si>
    <t xml:space="preserve">14-3-3 protein theta </t>
  </si>
  <si>
    <t>6756041;359385698</t>
  </si>
  <si>
    <t xml:space="preserve">14-3-3 protein zeta/delta isoform 1 </t>
  </si>
  <si>
    <t>359385696;359385698</t>
  </si>
  <si>
    <t>359385700</t>
  </si>
  <si>
    <t xml:space="preserve">14-3-3 protein zeta/delta isoform 2 </t>
  </si>
  <si>
    <t>31982421</t>
  </si>
  <si>
    <t>transcriptional repressor protein YY1</t>
  </si>
  <si>
    <t>31559926</t>
  </si>
  <si>
    <t>zinc-binding alcohol dehydrogenase domain-containing protein 2</t>
  </si>
  <si>
    <t>12746436</t>
  </si>
  <si>
    <t>mitogen-activated protein kinase kinase kinase MLT isoform 1</t>
  </si>
  <si>
    <t>256665241</t>
  </si>
  <si>
    <t xml:space="preserve">zonadhesin </t>
  </si>
  <si>
    <t>31088890</t>
  </si>
  <si>
    <t>zinc finger BED domain-containing protein 4</t>
  </si>
  <si>
    <t>258645088</t>
  </si>
  <si>
    <t xml:space="preserve">zinc finger and BTB domain containing 11 </t>
  </si>
  <si>
    <t>21746142</t>
  </si>
  <si>
    <t>protein archease</t>
  </si>
  <si>
    <t>27502351</t>
  </si>
  <si>
    <t>zinc finger C2HC domain-containing protein 1A</t>
  </si>
  <si>
    <t>115270986</t>
  </si>
  <si>
    <t>zinc finger CCCH domain-containing protein 11A</t>
  </si>
  <si>
    <t>231570586</t>
  </si>
  <si>
    <t>zinc finger CCCH domain-containing protein 14 isoform a</t>
  </si>
  <si>
    <t>34368584</t>
  </si>
  <si>
    <t>zinc finger CCCH domain-containing protein 15</t>
  </si>
  <si>
    <t>71725355</t>
  </si>
  <si>
    <t>zinc finger CCCH domain-containing protein 18 isoform b</t>
  </si>
  <si>
    <t>71979671</t>
  </si>
  <si>
    <t>zinc finger CCCH domain-containing protein 18 isoform a</t>
  </si>
  <si>
    <t>156717216</t>
  </si>
  <si>
    <t>zinc finger CCCH domain-containing protein 6</t>
  </si>
  <si>
    <t>226958485</t>
  </si>
  <si>
    <t xml:space="preserve">zinc finger CCCH-type containing 7A </t>
  </si>
  <si>
    <t>124486616</t>
  </si>
  <si>
    <t>zinc finger CCCH domain-containing protein 7B</t>
  </si>
  <si>
    <t>85719326</t>
  </si>
  <si>
    <t>zinc finger CCCH domain-containing protein 8</t>
  </si>
  <si>
    <t>21746169</t>
  </si>
  <si>
    <t>zinc finger CCCH-type antiviral protein 1 isoform 2</t>
  </si>
  <si>
    <t>227116322</t>
  </si>
  <si>
    <t>zinc finger CCCH-type antiviral protein 1 isoform 1</t>
  </si>
  <si>
    <t>27754058</t>
  </si>
  <si>
    <t>zinc finger CCHC domain-containing protein 10</t>
  </si>
  <si>
    <t>55925630</t>
  </si>
  <si>
    <t>zinc finger CCHC domain-containing protein 13</t>
  </si>
  <si>
    <t>23346607</t>
  </si>
  <si>
    <t xml:space="preserve">nucleolar protein of 40 kDa </t>
  </si>
  <si>
    <t>124249222</t>
  </si>
  <si>
    <t>zinc finger CCHC domain-containing protein 4</t>
  </si>
  <si>
    <t>254588108</t>
  </si>
  <si>
    <t xml:space="preserve">terminal uridylyltransferase 7 </t>
  </si>
  <si>
    <t>169808385</t>
  </si>
  <si>
    <t>zinc finger CCHC domain-containing protein 8</t>
  </si>
  <si>
    <t>21450253</t>
  </si>
  <si>
    <t>palmitoyltransferase ZDHHC5</t>
  </si>
  <si>
    <t>31542271</t>
  </si>
  <si>
    <t xml:space="preserve">protein zer-1 homolog </t>
  </si>
  <si>
    <t>31982674</t>
  </si>
  <si>
    <t xml:space="preserve">AN1-type zinc finger protein 1 </t>
  </si>
  <si>
    <t>229577434;229577442</t>
  </si>
  <si>
    <t xml:space="preserve">AN1-type zinc finger protein 2B </t>
  </si>
  <si>
    <t>22507321</t>
  </si>
  <si>
    <t xml:space="preserve">AN1-type zinc finger protein 3 </t>
  </si>
  <si>
    <t>6677605</t>
  </si>
  <si>
    <t xml:space="preserve">AN1-type zinc finger protein 5 </t>
  </si>
  <si>
    <t>15805026</t>
  </si>
  <si>
    <t xml:space="preserve">AN1-type zinc finger protein 6 </t>
  </si>
  <si>
    <t>90991706</t>
  </si>
  <si>
    <t xml:space="preserve">proline/serine-rich coiled-coil 2 </t>
  </si>
  <si>
    <t>110225364</t>
  </si>
  <si>
    <t xml:space="preserve">zinc finger homeobox protein 3 </t>
  </si>
  <si>
    <t>261823966</t>
  </si>
  <si>
    <t>zinc finger protein 638 isoform 1</t>
  </si>
  <si>
    <t>110626083</t>
  </si>
  <si>
    <t>zinc finger protein 142</t>
  </si>
  <si>
    <t>157823829</t>
  </si>
  <si>
    <t>zinc finger protein 185 isoform a</t>
  </si>
  <si>
    <t>157823865</t>
  </si>
  <si>
    <t>zinc finger protein 185 isoform b</t>
  </si>
  <si>
    <t>161760658</t>
  </si>
  <si>
    <t>zinc finger protein 189</t>
  </si>
  <si>
    <t>194328715</t>
  </si>
  <si>
    <t>zinc finger protein 207 isoform 1</t>
  </si>
  <si>
    <t>194328717</t>
  </si>
  <si>
    <t>zinc finger protein 207 isoform 2</t>
  </si>
  <si>
    <t>194328719</t>
  </si>
  <si>
    <t>zinc finger protein 207 isoform 3</t>
  </si>
  <si>
    <t>6756051</t>
  </si>
  <si>
    <t>zinc finger protein 207 isoform 4</t>
  </si>
  <si>
    <t>254939702</t>
  </si>
  <si>
    <t>zinc finger protein 236</t>
  </si>
  <si>
    <t>58037307</t>
  </si>
  <si>
    <t>zinc finger protein 248</t>
  </si>
  <si>
    <t>6756053</t>
  </si>
  <si>
    <t>zinc finger protein ZPR1</t>
  </si>
  <si>
    <t>169234810</t>
  </si>
  <si>
    <t>zinc finger protein 292</t>
  </si>
  <si>
    <t>56118256</t>
  </si>
  <si>
    <t>zinc finger protein 324A</t>
  </si>
  <si>
    <t>269784644</t>
  </si>
  <si>
    <t>DBIRD complex subunit ZNF326</t>
  </si>
  <si>
    <t>6754396</t>
  </si>
  <si>
    <t>zinc finger protein 346</t>
  </si>
  <si>
    <t>238018076</t>
  </si>
  <si>
    <t>zinc finger protein 428</t>
  </si>
  <si>
    <t>226437661</t>
  </si>
  <si>
    <t>zinc finger protein 511</t>
  </si>
  <si>
    <t>254553392</t>
  </si>
  <si>
    <t>zinc finger protein 512</t>
  </si>
  <si>
    <t>154759288</t>
  </si>
  <si>
    <t>zinc finger protein 593</t>
  </si>
  <si>
    <t>34147169</t>
  </si>
  <si>
    <t>zinc finger protein 598</t>
  </si>
  <si>
    <t>255683357</t>
  </si>
  <si>
    <t>zinc finger protein 605</t>
  </si>
  <si>
    <t>121247404</t>
  </si>
  <si>
    <t>zinc finger protein 61</t>
  </si>
  <si>
    <t>283837868</t>
  </si>
  <si>
    <t>zinc finger protein 612</t>
  </si>
  <si>
    <t>21362307</t>
  </si>
  <si>
    <t>zinc finger protein 622</t>
  </si>
  <si>
    <t>148276994</t>
  </si>
  <si>
    <t>zinc finger protein 628</t>
  </si>
  <si>
    <t>18875370</t>
  </si>
  <si>
    <t>zinc finger protein 704</t>
  </si>
  <si>
    <t>21312658</t>
  </si>
  <si>
    <t>zinc finger protein 706</t>
  </si>
  <si>
    <t>28893511</t>
  </si>
  <si>
    <t>zinc finger protein 771</t>
  </si>
  <si>
    <t>124430545</t>
  </si>
  <si>
    <t>zinc finger protein 804A</t>
  </si>
  <si>
    <t>253735674</t>
  </si>
  <si>
    <t>zinc finger protein 804B</t>
  </si>
  <si>
    <t>31560213</t>
  </si>
  <si>
    <t>zinc finger protein 830</t>
  </si>
  <si>
    <t>75677466</t>
  </si>
  <si>
    <t>zinc finger protein 865</t>
  </si>
  <si>
    <t>90669983</t>
  </si>
  <si>
    <t>E3 ubiquitin-protein ligase ZFP91</t>
  </si>
  <si>
    <t>13195658</t>
  </si>
  <si>
    <t>zinc finger protein-like 1</t>
  </si>
  <si>
    <t>168480106</t>
  </si>
  <si>
    <t>zinc finger RNA-binding protein</t>
  </si>
  <si>
    <t>110625853</t>
  </si>
  <si>
    <t>zinc finger FYVE domain-containing protein 1</t>
  </si>
  <si>
    <t>258679475</t>
  </si>
  <si>
    <t>zinc finger FYVE domain-containing protein 19 isoform 1</t>
  </si>
  <si>
    <t>258679477</t>
  </si>
  <si>
    <t>zinc finger FYVE domain-containing protein 19 isoform 2</t>
  </si>
  <si>
    <t>31541996</t>
  </si>
  <si>
    <t xml:space="preserve">rabenosyn-5 </t>
  </si>
  <si>
    <t>112818584</t>
  </si>
  <si>
    <t>zinc finger FYVE domain-containing protein 26</t>
  </si>
  <si>
    <t>40254321</t>
  </si>
  <si>
    <t>zinc fingers and homeoboxes protein 3</t>
  </si>
  <si>
    <t>41053864</t>
  </si>
  <si>
    <t>zinc finger MIZ domain-containing protein 1</t>
  </si>
  <si>
    <t>27370012</t>
  </si>
  <si>
    <t xml:space="preserve">CAAX prenyl protease 1 homolog </t>
  </si>
  <si>
    <t>37595742</t>
  </si>
  <si>
    <t xml:space="preserve">zinc finger MYM-type protein 2 </t>
  </si>
  <si>
    <t>359279940</t>
  </si>
  <si>
    <t xml:space="preserve">zinc finger MYM-type protein 5 </t>
  </si>
  <si>
    <t>124487311</t>
  </si>
  <si>
    <t xml:space="preserve">NFX1-type zinc finger-containing protein 1 </t>
  </si>
  <si>
    <t>124487366</t>
  </si>
  <si>
    <t xml:space="preserve">box C/D snoRNA protein 1 </t>
  </si>
  <si>
    <t>74315981</t>
  </si>
  <si>
    <t>zinc finger Ran-binding domain-containing protein 2</t>
  </si>
  <si>
    <t>124430705</t>
  </si>
  <si>
    <t>DNA annealing helicase and endonuclease ZRANB3</t>
  </si>
  <si>
    <t>124430709</t>
  </si>
  <si>
    <t>zinc finger SWIM domain-containing protein 8 isoform 1</t>
  </si>
  <si>
    <t>355390253</t>
  </si>
  <si>
    <t>zinc finger SWIM domain-containing protein 8 isoform 2</t>
  </si>
  <si>
    <t>355390255</t>
  </si>
  <si>
    <t>zinc finger SWIM domain-containing protein 8 isoform 3</t>
  </si>
  <si>
    <t>22165349</t>
  </si>
  <si>
    <t>centromere/kinetochore protein zw10 homolog</t>
  </si>
  <si>
    <t>257153357</t>
  </si>
  <si>
    <t xml:space="preserve">protein zwilch homolog </t>
  </si>
  <si>
    <t>21326440</t>
  </si>
  <si>
    <t>ZW10 interactor</t>
  </si>
  <si>
    <t>125490365</t>
  </si>
  <si>
    <t xml:space="preserve">zinc finger X-linked protein ZXDA/ZXDB </t>
  </si>
  <si>
    <t>158937319</t>
  </si>
  <si>
    <t>zinc finger protein ZXDC isoform 1</t>
  </si>
  <si>
    <t>27370506</t>
  </si>
  <si>
    <t>zinc finger protein ZXDC isoform 2</t>
  </si>
  <si>
    <t>6756085</t>
  </si>
  <si>
    <t xml:space="preserve">zyxin </t>
  </si>
  <si>
    <t>113865905</t>
  </si>
  <si>
    <t>zinc finger ZZ-type and EF-hand domain-containing protein 1</t>
  </si>
  <si>
    <t>126090572</t>
  </si>
  <si>
    <t>WASH complex subunit 7</t>
  </si>
  <si>
    <t>25072201</t>
  </si>
  <si>
    <t>uncharacterized protein C10orf118 homolog</t>
  </si>
  <si>
    <t>440546392</t>
  </si>
  <si>
    <t xml:space="preserve">expressed sequence AA414768 </t>
  </si>
  <si>
    <t>162417980</t>
  </si>
  <si>
    <t>specifically androgen-regulated gene protein</t>
  </si>
  <si>
    <t>10946822</t>
  </si>
  <si>
    <t xml:space="preserve">probable ergosterol biosynthetic protein 28 </t>
  </si>
  <si>
    <t>13384686</t>
  </si>
  <si>
    <t xml:space="preserve">uncharacterized protein LOC66050 </t>
  </si>
  <si>
    <t>13384692</t>
  </si>
  <si>
    <t xml:space="preserve">pre-mRNA branch site protein p14 </t>
  </si>
  <si>
    <t>117956375</t>
  </si>
  <si>
    <t xml:space="preserve">uncharacterized protein KIAA1841 </t>
  </si>
  <si>
    <t>21389318</t>
  </si>
  <si>
    <t>chromatin complexes subunit BAP18 isoform 4</t>
  </si>
  <si>
    <t>294862278</t>
  </si>
  <si>
    <t>chromatin complexes subunit BAP18 isoform 1</t>
  </si>
  <si>
    <t>294862282</t>
  </si>
  <si>
    <t>chromatin complexes subunit BAP18 isoform 3</t>
  </si>
  <si>
    <t>294862289</t>
  </si>
  <si>
    <t>chromatin complexes subunit BAP18 isoform 5</t>
  </si>
  <si>
    <t>294862292</t>
  </si>
  <si>
    <t>chromatin complexes subunit BAP18 isoform 6</t>
  </si>
  <si>
    <t>295054298</t>
  </si>
  <si>
    <t>chromatin complexes subunit BAP18 isoform 2</t>
  </si>
  <si>
    <t>58037115</t>
  </si>
  <si>
    <t>UPF0585 protein C16orf13 homolog</t>
  </si>
  <si>
    <t>9910458</t>
  </si>
  <si>
    <t>lysosomal protein NCU-G1 precursor</t>
  </si>
  <si>
    <t>21539639</t>
  </si>
  <si>
    <t>UPF0587 protein C1orf123 homolog</t>
  </si>
  <si>
    <t>294345426</t>
  </si>
  <si>
    <t xml:space="preserve">uncharacterized protein LOC68554 </t>
  </si>
  <si>
    <t>13384728</t>
  </si>
  <si>
    <t>UPF0562 protein C7orf55 homolog</t>
  </si>
  <si>
    <t>9790217</t>
  </si>
  <si>
    <t xml:space="preserve">small acidic protein </t>
  </si>
  <si>
    <t>21312030</t>
  </si>
  <si>
    <t xml:space="preserve">bcl10-interacting CARD protein </t>
  </si>
  <si>
    <t>13385630</t>
  </si>
  <si>
    <t>uncharacterized protein C20orf24 homolog</t>
  </si>
  <si>
    <t>227908787</t>
  </si>
  <si>
    <t>mitochondrial ribonuclease P protein 3 precursor</t>
  </si>
  <si>
    <t>21312070</t>
  </si>
  <si>
    <t>uncharacterized protein CXorf40 homolog</t>
  </si>
  <si>
    <t>268370114</t>
  </si>
  <si>
    <t>UPF0554 protein C2orf43 homolog isoform 2</t>
  </si>
  <si>
    <t>268370116</t>
  </si>
  <si>
    <t>UPF0554 protein C2orf43 homolog isoform 3</t>
  </si>
  <si>
    <t>269995975</t>
  </si>
  <si>
    <t>UPF0554 protein C2orf43 homolog isoform 1</t>
  </si>
  <si>
    <t>229577372</t>
  </si>
  <si>
    <t xml:space="preserve">UPF0369 protein C6orf57 homolog precursor </t>
  </si>
  <si>
    <t>21312338</t>
  </si>
  <si>
    <t xml:space="preserve">protein C19orf12 homolog </t>
  </si>
  <si>
    <t>253735769</t>
  </si>
  <si>
    <t xml:space="preserve">diamine oxidase-like protein 1 precursor </t>
  </si>
  <si>
    <t>124487358</t>
  </si>
  <si>
    <t xml:space="preserve">uncharacterized protein LOC75471 </t>
  </si>
  <si>
    <t>254675147</t>
  </si>
  <si>
    <t>uncharacterized protein C2orf61 homolog</t>
  </si>
  <si>
    <t>241982748</t>
  </si>
  <si>
    <t xml:space="preserve">uncharacterized protein LOC75444 </t>
  </si>
  <si>
    <t>21450635</t>
  </si>
  <si>
    <t>UPF0733 protein C2orf88 homolog</t>
  </si>
  <si>
    <t>268607534</t>
  </si>
  <si>
    <t>mage-g2 protein</t>
  </si>
  <si>
    <t>13385904</t>
  </si>
  <si>
    <t>uncharacterized protein C6orf203 homolog</t>
  </si>
  <si>
    <t>13385590</t>
  </si>
  <si>
    <t>UPF0687 protein C20orf27 homolog</t>
  </si>
  <si>
    <t>90093343</t>
  </si>
  <si>
    <t>UPF0364 protein C6orf211 homolog</t>
  </si>
  <si>
    <t>343098457</t>
  </si>
  <si>
    <t>aldehyde dehydrogenase 3 family, member B2-like</t>
  </si>
  <si>
    <t>85702063</t>
  </si>
  <si>
    <t xml:space="preserve">prohibitin-like </t>
  </si>
  <si>
    <t>227500514</t>
  </si>
  <si>
    <t xml:space="preserve">uncharacterized protein LOC73532 </t>
  </si>
  <si>
    <t>13384876</t>
  </si>
  <si>
    <t xml:space="preserve">uncharacterized protein LOC66276 </t>
  </si>
  <si>
    <t>21729757</t>
  </si>
  <si>
    <t>acetylserotonin O-methyltransferase-like</t>
  </si>
  <si>
    <t>153791234</t>
  </si>
  <si>
    <t>uncharacterized protein C8orf59 homolog</t>
  </si>
  <si>
    <t>30519953</t>
  </si>
  <si>
    <t>uncharacterized protein C19orf52 homolog</t>
  </si>
  <si>
    <t>21313570</t>
  </si>
  <si>
    <t>uncharacterized protein C4orf3 homolog</t>
  </si>
  <si>
    <t>74315955</t>
  </si>
  <si>
    <t xml:space="preserve">uncharacterized protein LOC112419 </t>
  </si>
  <si>
    <t>13385000</t>
  </si>
  <si>
    <t>UPF0693 protein C10orf32 homolog</t>
  </si>
  <si>
    <t>21312554</t>
  </si>
  <si>
    <t>6.8 kDa mitochondrial proteolipid</t>
  </si>
  <si>
    <t>21312460</t>
  </si>
  <si>
    <t>uncharacterized protein C10orf35 homolog</t>
  </si>
  <si>
    <t>254675126</t>
  </si>
  <si>
    <t xml:space="preserve">uncharacterized protein LOC72097 </t>
  </si>
  <si>
    <t>82918901</t>
  </si>
  <si>
    <t>PREDICTED: uncharacterized protein LOC113230 isoform 3</t>
  </si>
  <si>
    <t>39930441</t>
  </si>
  <si>
    <t>uncharacterized protein C12orf43 homolog</t>
  </si>
  <si>
    <t>229576965</t>
  </si>
  <si>
    <t>uncharacterized protein C2orf54 homolog</t>
  </si>
  <si>
    <t>21313500</t>
  </si>
  <si>
    <t>UPF0449 protein C19orf25 homolog</t>
  </si>
  <si>
    <t>13259376</t>
  </si>
  <si>
    <t>multiple myeloma tumor-associated protein 2 homolog</t>
  </si>
  <si>
    <t>170014744</t>
  </si>
  <si>
    <t xml:space="preserve">lisH domain and HEAT repeat-containing protein KIAA1468 isoform 1 </t>
  </si>
  <si>
    <t>170014746</t>
  </si>
  <si>
    <t xml:space="preserve">lisH domain and HEAT repeat-containing protein KIAA1468 isoform 2 </t>
  </si>
  <si>
    <t>85362708</t>
  </si>
  <si>
    <t>uncharacterized protein C19orf43 homolog</t>
  </si>
  <si>
    <t>13385462</t>
  </si>
  <si>
    <t>uncharacterized protein C6orf226 homolog</t>
  </si>
  <si>
    <t>120952555</t>
  </si>
  <si>
    <t>uncharacterized protein C17orf59 homolog</t>
  </si>
  <si>
    <t>262072980</t>
  </si>
  <si>
    <t xml:space="preserve">uncharacterized protein LOC668661 </t>
  </si>
  <si>
    <t>13384984</t>
  </si>
  <si>
    <t>UPF0690 protein C1orf52 homolog</t>
  </si>
  <si>
    <t>134053873</t>
  </si>
  <si>
    <t>SCAN domain containing 3</t>
  </si>
  <si>
    <t>407262392</t>
  </si>
  <si>
    <t xml:space="preserve">PREDICTED: UPF0586 protein C9orf41 homolog isoform 2 </t>
  </si>
  <si>
    <t>407262394</t>
  </si>
  <si>
    <t xml:space="preserve">PREDICTED: UPF0586 protein C9orf41 homolog isoform 3 </t>
  </si>
  <si>
    <t>407262390</t>
  </si>
  <si>
    <t xml:space="preserve">PREDICTED: UPF0586 protein C9orf41 homolog isoform 1 </t>
  </si>
  <si>
    <t>85701660</t>
  </si>
  <si>
    <t>UPF0545 protein C22orf39 homolog</t>
  </si>
  <si>
    <t>72384371</t>
  </si>
  <si>
    <t>KIF1-binding protein</t>
  </si>
  <si>
    <t>225543561</t>
  </si>
  <si>
    <t>uncharacterized protein KIAA2013 precursor</t>
  </si>
  <si>
    <t>160333472</t>
  </si>
  <si>
    <t xml:space="preserve">uncharacterized protein LOC70291 </t>
  </si>
  <si>
    <t>19526920</t>
  </si>
  <si>
    <t xml:space="preserve">serine/threonine-protein kinase MST4 </t>
  </si>
  <si>
    <t>47498088</t>
  </si>
  <si>
    <t>UPF0552 protein C15orf38 homolog</t>
  </si>
  <si>
    <t>198278498</t>
  </si>
  <si>
    <t>UPF0609 protein C4orf27 homolog</t>
  </si>
  <si>
    <t>295389569</t>
  </si>
  <si>
    <t>erythroid differentiation-related factor 1</t>
  </si>
  <si>
    <t>13386026</t>
  </si>
  <si>
    <t>UPF0568 protein C14orf166 homolog</t>
  </si>
  <si>
    <t>13386028</t>
  </si>
  <si>
    <t>UPF0711 protein C18orf21 homolog</t>
  </si>
  <si>
    <t>254540194</t>
  </si>
  <si>
    <t xml:space="preserve">uncharacterized protein LOC381820 isoform 3 </t>
  </si>
  <si>
    <t>409264588</t>
  </si>
  <si>
    <t xml:space="preserve">uncharacterized protein LOC381820 isoform 1 </t>
  </si>
  <si>
    <t>409264649</t>
  </si>
  <si>
    <t xml:space="preserve">uncharacterized protein LOC381820 isoform 2 </t>
  </si>
  <si>
    <t>76781489</t>
  </si>
  <si>
    <t>selenoprotein H</t>
  </si>
  <si>
    <t>62510085</t>
  </si>
  <si>
    <t xml:space="preserve">uncharacterized protein LOC381406 </t>
  </si>
  <si>
    <t>71773932</t>
  </si>
  <si>
    <t>PCNA-associated factor</t>
  </si>
  <si>
    <t>13385020</t>
  </si>
  <si>
    <t>uncharacterized protein C19orf60 homolog</t>
  </si>
  <si>
    <t>28077063</t>
  </si>
  <si>
    <t>uncharacterized protein C18orf8 homolog</t>
  </si>
  <si>
    <t>13385576</t>
  </si>
  <si>
    <t>UPF0235 protein C15orf40 homolog</t>
  </si>
  <si>
    <t>146134371</t>
  </si>
  <si>
    <t>uncharacterized protein C7orf50 homolog</t>
  </si>
  <si>
    <t>269914154</t>
  </si>
  <si>
    <t xml:space="preserve">uncharacterized protein LOC239673 </t>
  </si>
  <si>
    <t>34328303</t>
  </si>
  <si>
    <t xml:space="preserve">uncharacterized protein LOC70909 </t>
  </si>
  <si>
    <t>13385182</t>
  </si>
  <si>
    <t>UPF0547 protein C16orf87 homolog</t>
  </si>
  <si>
    <t>147905039</t>
  </si>
  <si>
    <t xml:space="preserve">centrosomal protein of 162 kDa </t>
  </si>
  <si>
    <t>197116351</t>
  </si>
  <si>
    <t xml:space="preserve">uncharacterized protein LOC74847 </t>
  </si>
  <si>
    <t>171906608</t>
  </si>
  <si>
    <t>uncharacterized protein C12orf29 homolog</t>
  </si>
  <si>
    <t>166851844</t>
  </si>
  <si>
    <t xml:space="preserve">shootin-1 isoform 1 </t>
  </si>
  <si>
    <t>30424776</t>
  </si>
  <si>
    <t xml:space="preserve">shootin-1 isoform 2 </t>
  </si>
  <si>
    <t>240120058</t>
  </si>
  <si>
    <t>ras homolog gene family, member A-like</t>
  </si>
  <si>
    <t>254692981</t>
  </si>
  <si>
    <t>uncharacterized protein C4orf46 homolog</t>
  </si>
  <si>
    <t>313747468</t>
  </si>
  <si>
    <t>ester hydrolase C11orf54 homolog</t>
  </si>
  <si>
    <t>282721066</t>
  </si>
  <si>
    <t>IQ and AAA domain-containing protein 1-like</t>
  </si>
  <si>
    <t>124487449</t>
  </si>
  <si>
    <t xml:space="preserve">uncharacterized protein LOC70989 </t>
  </si>
  <si>
    <t>237757320</t>
  </si>
  <si>
    <t xml:space="preserve">uncharacterized protein LOC240755 </t>
  </si>
  <si>
    <t>33859728</t>
  </si>
  <si>
    <t xml:space="preserve">uncharacterized protein KIAA0753 </t>
  </si>
  <si>
    <t>110625765</t>
  </si>
  <si>
    <t>protein Njmu-R1</t>
  </si>
  <si>
    <t>28076961</t>
  </si>
  <si>
    <t>uncharacterized protein C4orf32 homolog</t>
  </si>
  <si>
    <t>58037511</t>
  </si>
  <si>
    <t>UPF0489 protein C5orf22 homolog isoform b</t>
  </si>
  <si>
    <t>87196345</t>
  </si>
  <si>
    <t>uncharacterized protein C18orf25 homolog</t>
  </si>
  <si>
    <t>31560063</t>
  </si>
  <si>
    <t xml:space="preserve">uncharacterized protein KIAA1467 </t>
  </si>
  <si>
    <t>31981784</t>
  </si>
  <si>
    <t>UPF0317 protein C14orf159 homolog, mitochondrial precursor</t>
  </si>
  <si>
    <t>270047485</t>
  </si>
  <si>
    <t>UPF0505 protein C16orf62 homolog</t>
  </si>
  <si>
    <t>139947660</t>
  </si>
  <si>
    <t>UPF0668 protein C10orf76 homolog</t>
  </si>
  <si>
    <t>110625972</t>
  </si>
  <si>
    <t xml:space="preserve">UPF0577 protein KIAA1324-like homolog precursor </t>
  </si>
  <si>
    <t>145587094</t>
  </si>
  <si>
    <t>uncharacterized protein C2orf47 homolog, mitochondrial precursor</t>
  </si>
  <si>
    <t>21311929</t>
  </si>
  <si>
    <t xml:space="preserve">autophagy-related protein 101 </t>
  </si>
  <si>
    <t>242397485</t>
  </si>
  <si>
    <t xml:space="preserve">uncharacterized protein LOC77252 </t>
  </si>
  <si>
    <t>257467625</t>
  </si>
  <si>
    <t xml:space="preserve">Fc fragment of IgG binding protein-like precursor </t>
  </si>
  <si>
    <t>28892859</t>
  </si>
  <si>
    <t>fructose-2,6-bisphosphatase TIGAR</t>
  </si>
  <si>
    <t>257467641</t>
  </si>
  <si>
    <t xml:space="preserve">suppressor of glucose by autophagy </t>
  </si>
  <si>
    <t>295293085</t>
  </si>
  <si>
    <t xml:space="preserve">uncharacterized protein LOC240613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</si>
</sst>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61E96"/>
      <name val="Calibri"/>
      <family val="2"/>
      <scheme val="minor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4" fillId="0" borderId="0" xfId="1" applyAlignment="1">
      <alignment vertic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2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16"/>
  <sheetViews>
    <sheetView tabSelected="1" zoomScale="95" zoomScaleNormal="95" workbookViewId="0">
      <selection activeCell="J9" sqref="J9"/>
    </sheetView>
  </sheetViews>
  <sheetFormatPr defaultRowHeight="13.8" x14ac:dyDescent="0.25"/>
  <cols>
    <col min="1" max="1" width="9.26953125" customWidth="1"/>
    <col min="2" max="2" width="1.7265625" customWidth="1"/>
    <col min="3" max="3" width="12.08984375" bestFit="1" customWidth="1"/>
    <col min="4" max="4" width="10.26953125" customWidth="1"/>
    <col min="5" max="5" width="1.7265625" customWidth="1"/>
    <col min="6" max="6" width="12.1796875" style="7" customWidth="1"/>
    <col min="7" max="7" width="1.453125" customWidth="1"/>
    <col min="8" max="8" width="12.1796875" style="7" customWidth="1"/>
    <col min="9" max="9" width="1.6328125" customWidth="1"/>
    <col min="10" max="10" width="93.90625" bestFit="1" customWidth="1"/>
    <col min="11" max="11" width="1.7265625" customWidth="1"/>
    <col min="12" max="12" width="7.7265625" hidden="1" customWidth="1"/>
    <col min="14" max="14" width="14.08984375" customWidth="1"/>
    <col min="16" max="16" width="10" customWidth="1"/>
  </cols>
  <sheetData>
    <row r="1" spans="1:14" x14ac:dyDescent="0.25">
      <c r="H1" s="8"/>
      <c r="I1" s="5"/>
    </row>
    <row r="2" spans="1:14" x14ac:dyDescent="0.25">
      <c r="H2" s="8"/>
      <c r="I2" s="5"/>
    </row>
    <row r="3" spans="1:14" ht="15" customHeight="1" x14ac:dyDescent="0.3">
      <c r="A3" s="17"/>
      <c r="B3" s="18"/>
      <c r="C3" s="17"/>
      <c r="D3" s="17"/>
      <c r="E3" s="19"/>
      <c r="F3" s="20" t="s">
        <v>0</v>
      </c>
      <c r="G3" s="18"/>
      <c r="H3" s="21" t="s">
        <v>1</v>
      </c>
      <c r="I3" s="19"/>
      <c r="J3" s="17"/>
      <c r="K3" s="3"/>
      <c r="L3" s="1"/>
    </row>
    <row r="4" spans="1:14" ht="15" customHeight="1" x14ac:dyDescent="0.3">
      <c r="A4" s="14" t="s">
        <v>2</v>
      </c>
      <c r="B4" s="14"/>
      <c r="C4" s="14" t="s">
        <v>3</v>
      </c>
      <c r="D4" s="14" t="s">
        <v>4</v>
      </c>
      <c r="E4" s="15"/>
      <c r="F4" s="14" t="s">
        <v>5</v>
      </c>
      <c r="G4" s="14"/>
      <c r="H4" s="14" t="s">
        <v>5</v>
      </c>
      <c r="I4" s="14"/>
      <c r="J4" s="16" t="s">
        <v>6</v>
      </c>
      <c r="K4" s="4"/>
      <c r="L4" s="2" t="s">
        <v>4</v>
      </c>
    </row>
    <row r="5" spans="1:14" s="5" customFormat="1" ht="15" customHeight="1" x14ac:dyDescent="0.25">
      <c r="A5" s="9" t="s">
        <v>7</v>
      </c>
      <c r="C5" s="9" t="str">
        <f>HYPERLINK("http://www.ncbi.nlm.nih.gov/protein/124487289","A1cf")</f>
        <v>A1cf</v>
      </c>
      <c r="D5" s="10">
        <f t="shared" ref="D5:D68" si="0">L5</f>
        <v>4.0848441616196052</v>
      </c>
      <c r="F5" s="8" t="str">
        <f>HYPERLINK("https://esbl.nhlbi.nih.gov/Databases/mpkFractions/proteomic_fractions_log_files/Yang_log_img/124487289.jpg","show blot")</f>
        <v>show blot</v>
      </c>
      <c r="H5" s="8" t="str">
        <f>HYPERLINK("https://esbl.nhlbi.nih.gov/Databases/mpkFractions/proteomic_fractions_linear_files/Yang_linear_img/124487289.jpg","show blot")</f>
        <v>show blot</v>
      </c>
      <c r="J5" s="5" t="s">
        <v>8</v>
      </c>
      <c r="L5" s="11">
        <v>4.0848441616196052</v>
      </c>
      <c r="N5" s="12"/>
    </row>
    <row r="6" spans="1:14" s="5" customFormat="1" ht="15" customHeight="1" x14ac:dyDescent="0.25">
      <c r="A6" s="9" t="s">
        <v>9</v>
      </c>
      <c r="C6" s="9" t="str">
        <f>HYPERLINK("http://www.ncbi.nlm.nih.gov/protein/283483963","A4galt")</f>
        <v>A4galt</v>
      </c>
      <c r="D6" s="10">
        <f t="shared" si="0"/>
        <v>2.8869719379440459</v>
      </c>
      <c r="F6" s="8" t="str">
        <f>HYPERLINK("https://esbl.nhlbi.nih.gov/Databases/mpkFractions/proteomic_fractions_log_files/Yang_log_img/283483963.jpg","show blot")</f>
        <v>show blot</v>
      </c>
      <c r="H6" s="8" t="str">
        <f>HYPERLINK("https://esbl.nhlbi.nih.gov/Databases/mpkFractions/proteomic_fractions_linear_files/Yang_linear_img/283483963.jpg","show blot")</f>
        <v>show blot</v>
      </c>
      <c r="J6" s="5" t="s">
        <v>10</v>
      </c>
      <c r="L6" s="11">
        <v>2.8869719379440459</v>
      </c>
      <c r="N6" s="12"/>
    </row>
    <row r="7" spans="1:14" s="5" customFormat="1" ht="15" customHeight="1" x14ac:dyDescent="0.25">
      <c r="A7" s="9" t="s">
        <v>11</v>
      </c>
      <c r="C7" s="9" t="str">
        <f>HYPERLINK("http://www.ncbi.nlm.nih.gov/protein/241982696","Aaas")</f>
        <v>Aaas</v>
      </c>
      <c r="D7" s="10">
        <f t="shared" si="0"/>
        <v>3.956029766013764</v>
      </c>
      <c r="F7" s="8" t="str">
        <f>HYPERLINK("https://esbl.nhlbi.nih.gov/Databases/mpkFractions/proteomic_fractions_log_files/Yang_log_img/241982696.jpg","show blot")</f>
        <v>show blot</v>
      </c>
      <c r="H7" s="8" t="str">
        <f>HYPERLINK("https://esbl.nhlbi.nih.gov/Databases/mpkFractions/proteomic_fractions_linear_files/Yang_linear_img/241982696.jpg","show blot")</f>
        <v>show blot</v>
      </c>
      <c r="J7" s="5" t="s">
        <v>12</v>
      </c>
      <c r="L7" s="11">
        <v>3.956029766013764</v>
      </c>
      <c r="N7" s="12"/>
    </row>
    <row r="8" spans="1:14" s="5" customFormat="1" ht="15" customHeight="1" x14ac:dyDescent="0.25">
      <c r="A8" s="9" t="s">
        <v>13</v>
      </c>
      <c r="C8" s="9" t="str">
        <f>HYPERLINK("http://www.ncbi.nlm.nih.gov/protein/21313520","Aacs")</f>
        <v>Aacs</v>
      </c>
      <c r="D8" s="10">
        <f t="shared" si="0"/>
        <v>5.3800909791802631</v>
      </c>
      <c r="F8" s="8" t="str">
        <f>HYPERLINK("https://esbl.nhlbi.nih.gov/Databases/mpkFractions/proteomic_fractions_log_files/Yang_log_img/21313520.jpg","show blot")</f>
        <v>show blot</v>
      </c>
      <c r="H8" s="8" t="str">
        <f>HYPERLINK("https://esbl.nhlbi.nih.gov/Databases/mpkFractions/proteomic_fractions_linear_files/Yang_linear_img/21313520.jpg","show blot")</f>
        <v>show blot</v>
      </c>
      <c r="J8" s="5" t="s">
        <v>14</v>
      </c>
      <c r="L8" s="11">
        <v>5.3800909791802631</v>
      </c>
      <c r="N8" s="12"/>
    </row>
    <row r="9" spans="1:14" s="5" customFormat="1" ht="15" customHeight="1" x14ac:dyDescent="0.25">
      <c r="A9" s="9" t="s">
        <v>15</v>
      </c>
      <c r="C9" s="9" t="str">
        <f>HYPERLINK("http://www.ncbi.nlm.nih.gov/protein/110625673","Aagab")</f>
        <v>Aagab</v>
      </c>
      <c r="D9" s="10">
        <f t="shared" si="0"/>
        <v>3.823385371829005</v>
      </c>
      <c r="F9" s="8" t="str">
        <f>HYPERLINK("https://esbl.nhlbi.nih.gov/Databases/mpkFractions/proteomic_fractions_log_files/Yang_log_img/110625673.jpg","show blot")</f>
        <v>show blot</v>
      </c>
      <c r="H9" s="8" t="str">
        <f>HYPERLINK("https://esbl.nhlbi.nih.gov/Databases/mpkFractions/proteomic_fractions_linear_files/Yang_linear_img/110625673.jpg","show blot")</f>
        <v>show blot</v>
      </c>
      <c r="J9" s="5" t="s">
        <v>16</v>
      </c>
      <c r="L9" s="11">
        <v>3.823385371829005</v>
      </c>
      <c r="N9" s="12"/>
    </row>
    <row r="10" spans="1:14" s="5" customFormat="1" ht="15" customHeight="1" x14ac:dyDescent="0.25">
      <c r="A10" s="9" t="s">
        <v>17</v>
      </c>
      <c r="C10" s="9" t="str">
        <f>HYPERLINK("http://www.ncbi.nlm.nih.gov/protein/73695877","Aak1")</f>
        <v>Aak1</v>
      </c>
      <c r="D10" s="10">
        <f t="shared" si="0"/>
        <v>4.201654505003269</v>
      </c>
      <c r="F10" s="8" t="str">
        <f>HYPERLINK("https://esbl.nhlbi.nih.gov/Databases/mpkFractions/proteomic_fractions_log_files/Yang_log_img/73695877.jpg","show blot")</f>
        <v>show blot</v>
      </c>
      <c r="H10" s="8" t="str">
        <f>HYPERLINK("https://esbl.nhlbi.nih.gov/Databases/mpkFractions/proteomic_fractions_linear_files/Yang_linear_img/73695877.jpg","show blot")</f>
        <v>show blot</v>
      </c>
      <c r="J10" s="5" t="s">
        <v>18</v>
      </c>
      <c r="L10" s="11">
        <v>4.201654505003269</v>
      </c>
      <c r="N10" s="12"/>
    </row>
    <row r="11" spans="1:14" s="5" customFormat="1" ht="15" customHeight="1" x14ac:dyDescent="0.25">
      <c r="A11" s="9" t="s">
        <v>19</v>
      </c>
      <c r="C11" s="9" t="str">
        <f>HYPERLINK("http://www.ncbi.nlm.nih.gov/protein/91992157","Aak1")</f>
        <v>Aak1</v>
      </c>
      <c r="D11" s="10">
        <f t="shared" si="0"/>
        <v>4.201654505003269</v>
      </c>
      <c r="F11" s="8" t="str">
        <f>HYPERLINK("https://esbl.nhlbi.nih.gov/Databases/mpkFractions/proteomic_fractions_log_files/Yang_log_img/91992157.jpg","show blot")</f>
        <v>show blot</v>
      </c>
      <c r="H11" s="8" t="str">
        <f>HYPERLINK("https://esbl.nhlbi.nih.gov/Databases/mpkFractions/proteomic_fractions_linear_files/Yang_linear_img/91992157.jpg","show blot")</f>
        <v>show blot</v>
      </c>
      <c r="J11" s="5" t="s">
        <v>20</v>
      </c>
      <c r="L11" s="11">
        <v>4.201654505003269</v>
      </c>
      <c r="N11" s="12"/>
    </row>
    <row r="12" spans="1:14" s="5" customFormat="1" ht="15" customHeight="1" x14ac:dyDescent="0.25">
      <c r="A12" s="9" t="s">
        <v>21</v>
      </c>
      <c r="C12" s="9" t="str">
        <f>HYPERLINK("http://www.ncbi.nlm.nih.gov/protein/295789038","Aamdc")</f>
        <v>Aamdc</v>
      </c>
      <c r="D12" s="10">
        <f t="shared" si="0"/>
        <v>5.3199527540632854</v>
      </c>
      <c r="F12" s="8" t="str">
        <f>HYPERLINK("https://esbl.nhlbi.nih.gov/Databases/mpkFractions/proteomic_fractions_log_files/Yang_log_img/295789038.jpg","show blot")</f>
        <v>show blot</v>
      </c>
      <c r="H12" s="8" t="str">
        <f>HYPERLINK("https://esbl.nhlbi.nih.gov/Databases/mpkFractions/proteomic_fractions_linear_files/Yang_linear_img/295789038.jpg","show blot")</f>
        <v>show blot</v>
      </c>
      <c r="J12" s="5" t="s">
        <v>22</v>
      </c>
      <c r="L12" s="11">
        <v>5.3199527540632854</v>
      </c>
      <c r="N12" s="12"/>
    </row>
    <row r="13" spans="1:14" s="5" customFormat="1" ht="15" customHeight="1" x14ac:dyDescent="0.25">
      <c r="A13" s="9" t="s">
        <v>23</v>
      </c>
      <c r="C13" s="9" t="str">
        <f>HYPERLINK("http://www.ncbi.nlm.nih.gov/protein/295789042","Aamdc")</f>
        <v>Aamdc</v>
      </c>
      <c r="D13" s="10">
        <f t="shared" si="0"/>
        <v>5.3199527540632854</v>
      </c>
      <c r="F13" s="8" t="str">
        <f>HYPERLINK("https://esbl.nhlbi.nih.gov/Databases/mpkFractions/proteomic_fractions_log_files/Yang_log_img/295789042.jpg","show blot")</f>
        <v>show blot</v>
      </c>
      <c r="H13" s="8" t="str">
        <f>HYPERLINK("https://esbl.nhlbi.nih.gov/Databases/mpkFractions/proteomic_fractions_linear_files/Yang_linear_img/295789042.jpg","show blot")</f>
        <v>show blot</v>
      </c>
      <c r="J13" s="5" t="s">
        <v>24</v>
      </c>
      <c r="L13" s="11">
        <v>5.3199527540632854</v>
      </c>
      <c r="N13" s="12"/>
    </row>
    <row r="14" spans="1:14" s="5" customFormat="1" ht="15" customHeight="1" x14ac:dyDescent="0.25">
      <c r="A14" s="9" t="s">
        <v>25</v>
      </c>
      <c r="C14" s="9" t="str">
        <f>HYPERLINK("http://www.ncbi.nlm.nih.gov/protein/295789044","Aamdc")</f>
        <v>Aamdc</v>
      </c>
      <c r="D14" s="10">
        <f t="shared" si="0"/>
        <v>5.3199527540632854</v>
      </c>
      <c r="F14" s="8" t="str">
        <f>HYPERLINK("https://esbl.nhlbi.nih.gov/Databases/mpkFractions/proteomic_fractions_log_files/Yang_log_img/295789044.jpg","show blot")</f>
        <v>show blot</v>
      </c>
      <c r="H14" s="8" t="str">
        <f>HYPERLINK("https://esbl.nhlbi.nih.gov/Databases/mpkFractions/proteomic_fractions_linear_files/Yang_linear_img/295789044.jpg","show blot")</f>
        <v>show blot</v>
      </c>
      <c r="J14" s="5" t="s">
        <v>26</v>
      </c>
      <c r="L14" s="11">
        <v>5.3199527540632854</v>
      </c>
      <c r="N14" s="12"/>
    </row>
    <row r="15" spans="1:14" s="5" customFormat="1" ht="15" customHeight="1" x14ac:dyDescent="0.25">
      <c r="A15" s="9" t="s">
        <v>27</v>
      </c>
      <c r="C15" s="9" t="str">
        <f>HYPERLINK("http://www.ncbi.nlm.nih.gov/protein/40254393","Aamdc")</f>
        <v>Aamdc</v>
      </c>
      <c r="D15" s="10">
        <f t="shared" si="0"/>
        <v>5.3199527540632854</v>
      </c>
      <c r="F15" s="8" t="str">
        <f>HYPERLINK("https://esbl.nhlbi.nih.gov/Databases/mpkFractions/proteomic_fractions_log_files/Yang_log_img/40254393.jpg","show blot")</f>
        <v>show blot</v>
      </c>
      <c r="H15" s="8" t="str">
        <f>HYPERLINK("https://esbl.nhlbi.nih.gov/Databases/mpkFractions/proteomic_fractions_linear_files/Yang_linear_img/40254393.jpg","show blot")</f>
        <v>show blot</v>
      </c>
      <c r="J15" s="5" t="s">
        <v>28</v>
      </c>
      <c r="L15" s="11">
        <v>5.3199527540632854</v>
      </c>
      <c r="N15" s="12"/>
    </row>
    <row r="16" spans="1:14" s="5" customFormat="1" ht="15" customHeight="1" x14ac:dyDescent="0.25">
      <c r="A16" s="9" t="s">
        <v>29</v>
      </c>
      <c r="C16" s="9" t="str">
        <f>HYPERLINK("http://www.ncbi.nlm.nih.gov/protein/299473737","Aamp")</f>
        <v>Aamp</v>
      </c>
      <c r="D16" s="10">
        <f t="shared" si="0"/>
        <v>4.7508920113086139</v>
      </c>
      <c r="F16" s="8" t="str">
        <f>HYPERLINK("https://esbl.nhlbi.nih.gov/Databases/mpkFractions/proteomic_fractions_log_files/Yang_log_img/299473737.jpg","show blot")</f>
        <v>show blot</v>
      </c>
      <c r="H16" s="8" t="str">
        <f>HYPERLINK("https://esbl.nhlbi.nih.gov/Databases/mpkFractions/proteomic_fractions_linear_files/Yang_linear_img/299473737.jpg","show blot")</f>
        <v>show blot</v>
      </c>
      <c r="J16" s="5" t="s">
        <v>30</v>
      </c>
      <c r="L16" s="11">
        <v>4.7508920113086139</v>
      </c>
      <c r="N16" s="12"/>
    </row>
    <row r="17" spans="1:14" s="5" customFormat="1" ht="15" customHeight="1" x14ac:dyDescent="0.25">
      <c r="A17" s="9" t="s">
        <v>31</v>
      </c>
      <c r="C17" s="9" t="str">
        <f>HYPERLINK("http://www.ncbi.nlm.nih.gov/protein/82524294","Aamp")</f>
        <v>Aamp</v>
      </c>
      <c r="D17" s="10">
        <f t="shared" si="0"/>
        <v>4.7508920113086139</v>
      </c>
      <c r="F17" s="8" t="str">
        <f>HYPERLINK("https://esbl.nhlbi.nih.gov/Databases/mpkFractions/proteomic_fractions_log_files/Yang_log_img/82524294.jpg","show blot")</f>
        <v>show blot</v>
      </c>
      <c r="H17" s="8" t="str">
        <f>HYPERLINK("https://esbl.nhlbi.nih.gov/Databases/mpkFractions/proteomic_fractions_linear_files/Yang_linear_img/82524294.jpg","show blot")</f>
        <v>show blot</v>
      </c>
      <c r="J17" s="5" t="s">
        <v>32</v>
      </c>
      <c r="L17" s="11">
        <v>4.7508920113086139</v>
      </c>
      <c r="N17" s="12"/>
    </row>
    <row r="18" spans="1:14" s="5" customFormat="1" ht="15" customHeight="1" x14ac:dyDescent="0.25">
      <c r="A18" s="9" t="s">
        <v>33</v>
      </c>
      <c r="C18" s="9" t="str">
        <f>HYPERLINK("http://www.ncbi.nlm.nih.gov/protein/258679441","Aar2")</f>
        <v>Aar2</v>
      </c>
      <c r="D18" s="10">
        <f t="shared" si="0"/>
        <v>4.2024016962494866</v>
      </c>
      <c r="F18" s="8" t="str">
        <f>HYPERLINK("https://esbl.nhlbi.nih.gov/Databases/mpkFractions/proteomic_fractions_log_files/Yang_log_img/258679441.jpg","show blot")</f>
        <v>show blot</v>
      </c>
      <c r="H18" s="8" t="str">
        <f>HYPERLINK("https://esbl.nhlbi.nih.gov/Databases/mpkFractions/proteomic_fractions_linear_files/Yang_linear_img/258679441.jpg","show blot")</f>
        <v>show blot</v>
      </c>
      <c r="J18" s="5" t="s">
        <v>34</v>
      </c>
      <c r="L18" s="11">
        <v>4.2024016962494866</v>
      </c>
      <c r="N18" s="12"/>
    </row>
    <row r="19" spans="1:14" s="5" customFormat="1" ht="15" customHeight="1" x14ac:dyDescent="0.25">
      <c r="A19" s="9" t="s">
        <v>35</v>
      </c>
      <c r="C19" s="9" t="str">
        <f>HYPERLINK("http://www.ncbi.nlm.nih.gov/protein/34610207","Aars")</f>
        <v>Aars</v>
      </c>
      <c r="D19" s="10">
        <f t="shared" si="0"/>
        <v>5.8247121873022154</v>
      </c>
      <c r="F19" s="8" t="str">
        <f>HYPERLINK("https://esbl.nhlbi.nih.gov/Databases/mpkFractions/proteomic_fractions_log_files/Yang_log_img/34610207.jpg","show blot")</f>
        <v>show blot</v>
      </c>
      <c r="H19" s="8" t="str">
        <f>HYPERLINK("https://esbl.nhlbi.nih.gov/Databases/mpkFractions/proteomic_fractions_linear_files/Yang_linear_img/34610207.jpg","show blot")</f>
        <v>show blot</v>
      </c>
      <c r="J19" s="5" t="s">
        <v>36</v>
      </c>
      <c r="L19" s="11">
        <v>5.8247121873022154</v>
      </c>
      <c r="N19" s="12"/>
    </row>
    <row r="20" spans="1:14" s="5" customFormat="1" ht="15" customHeight="1" x14ac:dyDescent="0.25">
      <c r="A20" s="9" t="s">
        <v>37</v>
      </c>
      <c r="C20" s="9" t="str">
        <f>HYPERLINK("http://www.ncbi.nlm.nih.gov/protein/52630311","Aars2")</f>
        <v>Aars2</v>
      </c>
      <c r="D20" s="10">
        <f t="shared" si="0"/>
        <v>2.9036249746255018</v>
      </c>
      <c r="F20" s="8" t="str">
        <f>HYPERLINK("https://esbl.nhlbi.nih.gov/Databases/mpkFractions/proteomic_fractions_log_files/Yang_log_img/52630311.jpg","show blot")</f>
        <v>show blot</v>
      </c>
      <c r="H20" s="8" t="str">
        <f>HYPERLINK("https://esbl.nhlbi.nih.gov/Databases/mpkFractions/proteomic_fractions_linear_files/Yang_linear_img/52630311.jpg","show blot")</f>
        <v>show blot</v>
      </c>
      <c r="J20" s="5" t="s">
        <v>38</v>
      </c>
      <c r="L20" s="11">
        <v>2.9036249746255018</v>
      </c>
      <c r="N20" s="12"/>
    </row>
    <row r="21" spans="1:14" s="5" customFormat="1" ht="15" customHeight="1" x14ac:dyDescent="0.25">
      <c r="A21" s="9" t="s">
        <v>39</v>
      </c>
      <c r="C21" s="9" t="str">
        <f>HYPERLINK("http://www.ncbi.nlm.nih.gov/protein/21450213","Aarsd1")</f>
        <v>Aarsd1</v>
      </c>
      <c r="D21" s="10">
        <f t="shared" si="0"/>
        <v>5.4439856766534493</v>
      </c>
      <c r="F21" s="8" t="str">
        <f>HYPERLINK("https://esbl.nhlbi.nih.gov/Databases/mpkFractions/proteomic_fractions_log_files/Yang_log_img/21450213.jpg","show blot")</f>
        <v>show blot</v>
      </c>
      <c r="H21" s="8" t="str">
        <f>HYPERLINK("https://esbl.nhlbi.nih.gov/Databases/mpkFractions/proteomic_fractions_linear_files/Yang_linear_img/21450213.jpg","show blot")</f>
        <v>show blot</v>
      </c>
      <c r="J21" s="5" t="s">
        <v>40</v>
      </c>
      <c r="L21" s="11">
        <v>5.4439856766534493</v>
      </c>
      <c r="N21" s="12"/>
    </row>
    <row r="22" spans="1:14" s="5" customFormat="1" ht="15" customHeight="1" x14ac:dyDescent="0.25">
      <c r="A22" s="9" t="s">
        <v>41</v>
      </c>
      <c r="C22" s="9" t="str">
        <f>HYPERLINK("http://www.ncbi.nlm.nih.gov/protein/227496837","Aasdhppt")</f>
        <v>Aasdhppt</v>
      </c>
      <c r="D22" s="10">
        <f t="shared" si="0"/>
        <v>3.0877240394929228</v>
      </c>
      <c r="F22" s="8" t="str">
        <f>HYPERLINK("https://esbl.nhlbi.nih.gov/Databases/mpkFractions/proteomic_fractions_log_files/Yang_log_img/227496837.jpg","show blot")</f>
        <v>show blot</v>
      </c>
      <c r="H22" s="8" t="str">
        <f>HYPERLINK("https://esbl.nhlbi.nih.gov/Databases/mpkFractions/proteomic_fractions_linear_files/Yang_linear_img/227496837.jpg","show blot")</f>
        <v>show blot</v>
      </c>
      <c r="J22" s="5" t="s">
        <v>42</v>
      </c>
      <c r="L22" s="11">
        <v>3.0877240394929228</v>
      </c>
      <c r="N22" s="12"/>
    </row>
    <row r="23" spans="1:14" s="5" customFormat="1" ht="15" customHeight="1" x14ac:dyDescent="0.25">
      <c r="A23" s="9" t="s">
        <v>43</v>
      </c>
      <c r="C23" s="9" t="str">
        <f>HYPERLINK("http://www.ncbi.nlm.nih.gov/protein/9790013","Aatf")</f>
        <v>Aatf</v>
      </c>
      <c r="D23" s="10">
        <f t="shared" si="0"/>
        <v>3.300521770975966</v>
      </c>
      <c r="F23" s="8" t="str">
        <f>HYPERLINK("https://esbl.nhlbi.nih.gov/Databases/mpkFractions/proteomic_fractions_log_files/Yang_log_img/9790013.jpg","show blot")</f>
        <v>show blot</v>
      </c>
      <c r="H23" s="8" t="str">
        <f>HYPERLINK("https://esbl.nhlbi.nih.gov/Databases/mpkFractions/proteomic_fractions_linear_files/Yang_linear_img/9790013.jpg","show blot")</f>
        <v>show blot</v>
      </c>
      <c r="J23" s="5" t="s">
        <v>44</v>
      </c>
      <c r="L23" s="11">
        <v>3.300521770975966</v>
      </c>
      <c r="N23" s="12"/>
    </row>
    <row r="24" spans="1:14" s="5" customFormat="1" ht="15" customHeight="1" x14ac:dyDescent="0.25">
      <c r="A24" s="9" t="s">
        <v>45</v>
      </c>
      <c r="C24" s="9" t="str">
        <f>HYPERLINK("http://www.ncbi.nlm.nih.gov/protein/283483966","Abat")</f>
        <v>Abat</v>
      </c>
      <c r="D24" s="10">
        <f t="shared" si="0"/>
        <v>3.5932136939523081</v>
      </c>
      <c r="F24" s="8" t="str">
        <f>HYPERLINK("https://esbl.nhlbi.nih.gov/Databases/mpkFractions/proteomic_fractions_log_files/Yang_log_img/283483966.jpg","show blot")</f>
        <v>show blot</v>
      </c>
      <c r="H24" s="8" t="str">
        <f>HYPERLINK("https://esbl.nhlbi.nih.gov/Databases/mpkFractions/proteomic_fractions_linear_files/Yang_linear_img/283483966.jpg","show blot")</f>
        <v>show blot</v>
      </c>
      <c r="J24" s="5" t="s">
        <v>46</v>
      </c>
      <c r="L24" s="11">
        <v>3.5932136939523081</v>
      </c>
      <c r="N24" s="12"/>
    </row>
    <row r="25" spans="1:14" s="5" customFormat="1" ht="15" customHeight="1" x14ac:dyDescent="0.25">
      <c r="A25" s="9" t="s">
        <v>47</v>
      </c>
      <c r="C25" s="9" t="str">
        <f>HYPERLINK("http://www.ncbi.nlm.nih.gov/protein/37202121","Abat")</f>
        <v>Abat</v>
      </c>
      <c r="D25" s="10">
        <f t="shared" si="0"/>
        <v>3.5932136939523081</v>
      </c>
      <c r="F25" s="8" t="str">
        <f>HYPERLINK("https://esbl.nhlbi.nih.gov/Databases/mpkFractions/proteomic_fractions_log_files/Yang_log_img/37202121.jpg","show blot")</f>
        <v>show blot</v>
      </c>
      <c r="H25" s="8" t="str">
        <f>HYPERLINK("https://esbl.nhlbi.nih.gov/Databases/mpkFractions/proteomic_fractions_linear_files/Yang_linear_img/37202121.jpg","show blot")</f>
        <v>show blot</v>
      </c>
      <c r="J25" s="5" t="s">
        <v>48</v>
      </c>
      <c r="L25" s="11">
        <v>3.5932136939523081</v>
      </c>
      <c r="N25" s="12"/>
    </row>
    <row r="26" spans="1:14" s="5" customFormat="1" ht="15" customHeight="1" x14ac:dyDescent="0.25">
      <c r="A26" s="9" t="s">
        <v>49</v>
      </c>
      <c r="C26" s="9" t="str">
        <f>HYPERLINK("http://www.ncbi.nlm.nih.gov/protein/116292744","Abca13")</f>
        <v>Abca13</v>
      </c>
      <c r="D26" s="10">
        <f t="shared" si="0"/>
        <v>2.70188488339139</v>
      </c>
      <c r="F26" s="8" t="str">
        <f>HYPERLINK("https://esbl.nhlbi.nih.gov/Databases/mpkFractions/proteomic_fractions_log_files/Yang_log_img/116292744.jpg","show blot")</f>
        <v>show blot</v>
      </c>
      <c r="H26" s="8" t="str">
        <f>HYPERLINK("https://esbl.nhlbi.nih.gov/Databases/mpkFractions/proteomic_fractions_linear_files/Yang_linear_img/116292744.jpg","show blot")</f>
        <v>show blot</v>
      </c>
      <c r="J26" s="5" t="s">
        <v>50</v>
      </c>
      <c r="L26" s="11">
        <v>2.70188488339139</v>
      </c>
      <c r="N26" s="12"/>
    </row>
    <row r="27" spans="1:14" s="5" customFormat="1" ht="15" customHeight="1" x14ac:dyDescent="0.25">
      <c r="A27" s="9" t="s">
        <v>51</v>
      </c>
      <c r="C27" s="9" t="str">
        <f>HYPERLINK("http://www.ncbi.nlm.nih.gov/protein/110225379","Abca2")</f>
        <v>Abca2</v>
      </c>
      <c r="D27" s="10">
        <f t="shared" si="0"/>
        <v>1.9766216571491491</v>
      </c>
      <c r="F27" s="8" t="str">
        <f>HYPERLINK("https://esbl.nhlbi.nih.gov/Databases/mpkFractions/proteomic_fractions_log_files/Yang_log_img/110225379.jpg","show blot")</f>
        <v>show blot</v>
      </c>
      <c r="H27" s="8" t="str">
        <f>HYPERLINK("https://esbl.nhlbi.nih.gov/Databases/mpkFractions/proteomic_fractions_linear_files/Yang_linear_img/110225379.jpg","show blot")</f>
        <v>show blot</v>
      </c>
      <c r="J27" s="5" t="s">
        <v>52</v>
      </c>
      <c r="L27" s="11">
        <v>1.9766216571491491</v>
      </c>
      <c r="N27" s="12"/>
    </row>
    <row r="28" spans="1:14" s="5" customFormat="1" ht="15" customHeight="1" x14ac:dyDescent="0.25">
      <c r="A28" s="9" t="s">
        <v>53</v>
      </c>
      <c r="C28" s="9" t="str">
        <f>HYPERLINK("http://www.ncbi.nlm.nih.gov/protein/88759350","Abca3")</f>
        <v>Abca3</v>
      </c>
      <c r="D28" s="10">
        <f t="shared" si="0"/>
        <v>3.5220933137916361</v>
      </c>
      <c r="F28" s="8" t="str">
        <f>HYPERLINK("https://esbl.nhlbi.nih.gov/Databases/mpkFractions/proteomic_fractions_log_files/Yang_log_img/88759350.jpg","show blot")</f>
        <v>show blot</v>
      </c>
      <c r="H28" s="8" t="str">
        <f>HYPERLINK("https://esbl.nhlbi.nih.gov/Databases/mpkFractions/proteomic_fractions_linear_files/Yang_linear_img/88759350.jpg","show blot")</f>
        <v>show blot</v>
      </c>
      <c r="J28" s="5" t="s">
        <v>54</v>
      </c>
      <c r="L28" s="11">
        <v>3.5220933137916361</v>
      </c>
      <c r="N28" s="12"/>
    </row>
    <row r="29" spans="1:14" s="5" customFormat="1" ht="15" customHeight="1" x14ac:dyDescent="0.25">
      <c r="A29" s="9" t="s">
        <v>55</v>
      </c>
      <c r="C29" s="9" t="str">
        <f>HYPERLINK("http://www.ncbi.nlm.nih.gov/protein/6671495","Abca4")</f>
        <v>Abca4</v>
      </c>
      <c r="D29" s="10">
        <f t="shared" si="0"/>
        <v>2.337750996886705</v>
      </c>
      <c r="F29" s="8" t="str">
        <f>HYPERLINK("https://esbl.nhlbi.nih.gov/Databases/mpkFractions/proteomic_fractions_log_files/Yang_log_img/6671495.jpg","show blot")</f>
        <v>show blot</v>
      </c>
      <c r="H29" s="8" t="str">
        <f>HYPERLINK("https://esbl.nhlbi.nih.gov/Databases/mpkFractions/proteomic_fractions_linear_files/Yang_linear_img/6671495.jpg","show blot")</f>
        <v>show blot</v>
      </c>
      <c r="J29" s="5" t="s">
        <v>56</v>
      </c>
      <c r="L29" s="11">
        <v>2.337750996886705</v>
      </c>
      <c r="N29" s="12"/>
    </row>
    <row r="30" spans="1:14" s="5" customFormat="1" ht="15" customHeight="1" x14ac:dyDescent="0.25">
      <c r="A30" s="9" t="s">
        <v>57</v>
      </c>
      <c r="C30" s="9" t="str">
        <f>HYPERLINK("http://www.ncbi.nlm.nih.gov/protein/146134400","Abca5")</f>
        <v>Abca5</v>
      </c>
      <c r="D30" s="10">
        <f t="shared" si="0"/>
        <v>2.89568982063822</v>
      </c>
      <c r="F30" s="8" t="str">
        <f>HYPERLINK("https://esbl.nhlbi.nih.gov/Databases/mpkFractions/proteomic_fractions_log_files/Yang_log_img/146134400.jpg","show blot")</f>
        <v>show blot</v>
      </c>
      <c r="H30" s="8" t="str">
        <f>HYPERLINK("https://esbl.nhlbi.nih.gov/Databases/mpkFractions/proteomic_fractions_linear_files/Yang_linear_img/146134400.jpg","show blot")</f>
        <v>show blot</v>
      </c>
      <c r="J30" s="5" t="s">
        <v>58</v>
      </c>
      <c r="L30" s="11">
        <v>2.89568982063822</v>
      </c>
      <c r="N30" s="12"/>
    </row>
    <row r="31" spans="1:14" s="5" customFormat="1" ht="15" customHeight="1" x14ac:dyDescent="0.25">
      <c r="A31" s="9" t="s">
        <v>59</v>
      </c>
      <c r="C31" s="9" t="str">
        <f>HYPERLINK("http://www.ncbi.nlm.nih.gov/protein/15451840","Abca7")</f>
        <v>Abca7</v>
      </c>
      <c r="D31" s="10">
        <f t="shared" si="0"/>
        <v>1.0713511710577921</v>
      </c>
      <c r="F31" s="8" t="str">
        <f>HYPERLINK("https://esbl.nhlbi.nih.gov/Databases/mpkFractions/proteomic_fractions_log_files/Yang_log_img/15451840.jpg","show blot")</f>
        <v>show blot</v>
      </c>
      <c r="H31" s="8" t="str">
        <f>HYPERLINK("https://esbl.nhlbi.nih.gov/Databases/mpkFractions/proteomic_fractions_linear_files/Yang_linear_img/15451840.jpg","show blot")</f>
        <v>show blot</v>
      </c>
      <c r="J31" s="5" t="s">
        <v>60</v>
      </c>
      <c r="L31" s="11">
        <v>1.0713511710577921</v>
      </c>
      <c r="N31" s="12"/>
    </row>
    <row r="32" spans="1:14" s="5" customFormat="1" ht="15" customHeight="1" x14ac:dyDescent="0.25">
      <c r="A32" s="9" t="s">
        <v>61</v>
      </c>
      <c r="C32" s="9" t="str">
        <f>HYPERLINK("http://www.ncbi.nlm.nih.gov/protein/153792543","Abca9")</f>
        <v>Abca9</v>
      </c>
      <c r="D32" s="10">
        <f t="shared" si="0"/>
        <v>2.9670025898900869</v>
      </c>
      <c r="F32" s="8" t="str">
        <f>HYPERLINK("https://esbl.nhlbi.nih.gov/Databases/mpkFractions/proteomic_fractions_log_files/Yang_log_img/153792543.jpg","show blot")</f>
        <v>show blot</v>
      </c>
      <c r="H32" s="8" t="str">
        <f>HYPERLINK("https://esbl.nhlbi.nih.gov/Databases/mpkFractions/proteomic_fractions_linear_files/Yang_linear_img/153792543.jpg","show blot")</f>
        <v>show blot</v>
      </c>
      <c r="J32" s="5" t="s">
        <v>62</v>
      </c>
      <c r="L32" s="11">
        <v>2.9670025898900869</v>
      </c>
      <c r="N32" s="12"/>
    </row>
    <row r="33" spans="1:14" s="5" customFormat="1" ht="15" customHeight="1" x14ac:dyDescent="0.25">
      <c r="A33" s="9" t="s">
        <v>63</v>
      </c>
      <c r="C33" s="9" t="str">
        <f>HYPERLINK("http://www.ncbi.nlm.nih.gov/protein/9506367","Abcb10")</f>
        <v>Abcb10</v>
      </c>
      <c r="D33" s="10">
        <f t="shared" si="0"/>
        <v>3.161617511500348</v>
      </c>
      <c r="F33" s="8" t="str">
        <f>HYPERLINK("https://esbl.nhlbi.nih.gov/Databases/mpkFractions/proteomic_fractions_log_files/Yang_log_img/9506367.jpg","show blot")</f>
        <v>show blot</v>
      </c>
      <c r="H33" s="8" t="str">
        <f>HYPERLINK("https://esbl.nhlbi.nih.gov/Databases/mpkFractions/proteomic_fractions_linear_files/Yang_linear_img/9506367.jpg","show blot")</f>
        <v>show blot</v>
      </c>
      <c r="J33" s="5" t="s">
        <v>64</v>
      </c>
      <c r="L33" s="11">
        <v>3.161617511500348</v>
      </c>
      <c r="N33" s="12"/>
    </row>
    <row r="34" spans="1:14" s="5" customFormat="1" ht="15" customHeight="1" x14ac:dyDescent="0.25">
      <c r="A34" s="9" t="s">
        <v>65</v>
      </c>
      <c r="C34" s="9" t="str">
        <f>HYPERLINK("http://www.ncbi.nlm.nih.gov/protein/17647117","Abcb6")</f>
        <v>Abcb6</v>
      </c>
      <c r="D34" s="10">
        <f t="shared" si="0"/>
        <v>3.242293687029886</v>
      </c>
      <c r="F34" s="8" t="str">
        <f>HYPERLINK("https://esbl.nhlbi.nih.gov/Databases/mpkFractions/proteomic_fractions_log_files/Yang_log_img/17647117.jpg","show blot")</f>
        <v>show blot</v>
      </c>
      <c r="H34" s="8" t="str">
        <f>HYPERLINK("https://esbl.nhlbi.nih.gov/Databases/mpkFractions/proteomic_fractions_linear_files/Yang_linear_img/17647117.jpg","show blot")</f>
        <v>show blot</v>
      </c>
      <c r="J34" s="5" t="s">
        <v>66</v>
      </c>
      <c r="L34" s="11">
        <v>3.242293687029886</v>
      </c>
      <c r="N34" s="12"/>
    </row>
    <row r="35" spans="1:14" s="5" customFormat="1" ht="15" customHeight="1" x14ac:dyDescent="0.25">
      <c r="A35" s="9" t="s">
        <v>67</v>
      </c>
      <c r="C35" s="9" t="str">
        <f>HYPERLINK("http://www.ncbi.nlm.nih.gov/protein/169234938","Abcb7")</f>
        <v>Abcb7</v>
      </c>
      <c r="D35" s="10">
        <f t="shared" si="0"/>
        <v>2.952038842002493</v>
      </c>
      <c r="F35" s="8" t="str">
        <f>HYPERLINK("https://esbl.nhlbi.nih.gov/Databases/mpkFractions/proteomic_fractions_log_files/Yang_log_img/169234938.jpg","show blot")</f>
        <v>show blot</v>
      </c>
      <c r="H35" s="8" t="str">
        <f>HYPERLINK("https://esbl.nhlbi.nih.gov/Databases/mpkFractions/proteomic_fractions_linear_files/Yang_linear_img/169234938.jpg","show blot")</f>
        <v>show blot</v>
      </c>
      <c r="J35" s="5" t="s">
        <v>68</v>
      </c>
      <c r="L35" s="11">
        <v>2.952038842002493</v>
      </c>
      <c r="N35" s="12"/>
    </row>
    <row r="36" spans="1:14" s="5" customFormat="1" ht="15" customHeight="1" x14ac:dyDescent="0.25">
      <c r="A36" s="9" t="s">
        <v>69</v>
      </c>
      <c r="C36" s="9" t="str">
        <f>HYPERLINK("http://www.ncbi.nlm.nih.gov/protein/27753995","Abcb8")</f>
        <v>Abcb8</v>
      </c>
      <c r="D36" s="10">
        <f t="shared" si="0"/>
        <v>3.0858441589969989</v>
      </c>
      <c r="F36" s="8" t="str">
        <f>HYPERLINK("https://esbl.nhlbi.nih.gov/Databases/mpkFractions/proteomic_fractions_log_files/Yang_log_img/27753995.jpg","show blot")</f>
        <v>show blot</v>
      </c>
      <c r="H36" s="8" t="str">
        <f>HYPERLINK("https://esbl.nhlbi.nih.gov/Databases/mpkFractions/proteomic_fractions_linear_files/Yang_linear_img/27753995.jpg","show blot")</f>
        <v>show blot</v>
      </c>
      <c r="J36" s="5" t="s">
        <v>70</v>
      </c>
      <c r="L36" s="11">
        <v>3.0858441589969989</v>
      </c>
      <c r="N36" s="12"/>
    </row>
    <row r="37" spans="1:14" s="5" customFormat="1" ht="15" customHeight="1" x14ac:dyDescent="0.25">
      <c r="A37" s="9" t="s">
        <v>71</v>
      </c>
      <c r="C37" s="9" t="str">
        <f>HYPERLINK("http://www.ncbi.nlm.nih.gov/protein/6678848","Abcc1")</f>
        <v>Abcc1</v>
      </c>
      <c r="D37" s="10">
        <f t="shared" si="0"/>
        <v>4.0720234894408289</v>
      </c>
      <c r="F37" s="8" t="str">
        <f>HYPERLINK("https://esbl.nhlbi.nih.gov/Databases/mpkFractions/proteomic_fractions_log_files/Yang_log_img/6678848.jpg","show blot")</f>
        <v>show blot</v>
      </c>
      <c r="H37" s="8" t="str">
        <f>HYPERLINK("https://esbl.nhlbi.nih.gov/Databases/mpkFractions/proteomic_fractions_linear_files/Yang_linear_img/6678848.jpg","show blot")</f>
        <v>show blot</v>
      </c>
      <c r="J37" s="5" t="s">
        <v>72</v>
      </c>
      <c r="L37" s="11">
        <v>4.0720234894408289</v>
      </c>
      <c r="N37" s="12"/>
    </row>
    <row r="38" spans="1:14" s="5" customFormat="1" ht="15" customHeight="1" x14ac:dyDescent="0.25">
      <c r="A38" s="9" t="s">
        <v>73</v>
      </c>
      <c r="C38" s="9" t="str">
        <f>HYPERLINK("http://www.ncbi.nlm.nih.gov/protein/116063566","Abcc2")</f>
        <v>Abcc2</v>
      </c>
      <c r="D38" s="10">
        <f t="shared" si="0"/>
        <v>3.2490856052039621</v>
      </c>
      <c r="F38" s="8" t="str">
        <f>HYPERLINK("https://esbl.nhlbi.nih.gov/Databases/mpkFractions/proteomic_fractions_log_files/Yang_log_img/116063566.jpg","show blot")</f>
        <v>show blot</v>
      </c>
      <c r="H38" s="8" t="str">
        <f>HYPERLINK("https://esbl.nhlbi.nih.gov/Databases/mpkFractions/proteomic_fractions_linear_files/Yang_linear_img/116063566.jpg","show blot")</f>
        <v>show blot</v>
      </c>
      <c r="J38" s="5" t="s">
        <v>74</v>
      </c>
      <c r="L38" s="11">
        <v>3.2490856052039621</v>
      </c>
      <c r="N38" s="12"/>
    </row>
    <row r="39" spans="1:14" s="5" customFormat="1" ht="15" customHeight="1" x14ac:dyDescent="0.25">
      <c r="A39" s="9" t="s">
        <v>75</v>
      </c>
      <c r="C39" s="9" t="str">
        <f>HYPERLINK("http://www.ncbi.nlm.nih.gov/protein/90403595","Abcc3")</f>
        <v>Abcc3</v>
      </c>
      <c r="D39" s="10">
        <f t="shared" si="0"/>
        <v>2.7922291249221538</v>
      </c>
      <c r="F39" s="8" t="str">
        <f>HYPERLINK("https://esbl.nhlbi.nih.gov/Databases/mpkFractions/proteomic_fractions_log_files/Yang_log_img/90403595.jpg","show blot")</f>
        <v>show blot</v>
      </c>
      <c r="H39" s="8" t="str">
        <f>HYPERLINK("https://esbl.nhlbi.nih.gov/Databases/mpkFractions/proteomic_fractions_linear_files/Yang_linear_img/90403595.jpg","show blot")</f>
        <v>show blot</v>
      </c>
      <c r="J39" s="5" t="s">
        <v>76</v>
      </c>
      <c r="L39" s="11">
        <v>2.7922291249221538</v>
      </c>
      <c r="N39" s="12"/>
    </row>
    <row r="40" spans="1:14" s="5" customFormat="1" ht="15" customHeight="1" x14ac:dyDescent="0.25">
      <c r="A40" s="9" t="s">
        <v>77</v>
      </c>
      <c r="C40" s="9" t="str">
        <f>HYPERLINK("http://www.ncbi.nlm.nih.gov/protein/255683320","Abcc4")</f>
        <v>Abcc4</v>
      </c>
      <c r="D40" s="10">
        <f t="shared" si="0"/>
        <v>4.0603321622908082</v>
      </c>
      <c r="F40" s="8" t="str">
        <f>HYPERLINK("https://esbl.nhlbi.nih.gov/Databases/mpkFractions/proteomic_fractions_log_files/Yang_log_img/255683320.jpg","show blot")</f>
        <v>show blot</v>
      </c>
      <c r="H40" s="8" t="str">
        <f>HYPERLINK("https://esbl.nhlbi.nih.gov/Databases/mpkFractions/proteomic_fractions_linear_files/Yang_linear_img/255683320.jpg","show blot")</f>
        <v>show blot</v>
      </c>
      <c r="J40" s="5" t="s">
        <v>78</v>
      </c>
      <c r="L40" s="11">
        <v>4.0603321622908082</v>
      </c>
      <c r="N40" s="12"/>
    </row>
    <row r="41" spans="1:14" s="5" customFormat="1" ht="15" customHeight="1" x14ac:dyDescent="0.25">
      <c r="A41" s="9" t="s">
        <v>79</v>
      </c>
      <c r="C41" s="9" t="str">
        <f>HYPERLINK("http://www.ncbi.nlm.nih.gov/protein/255683324","Abcc4")</f>
        <v>Abcc4</v>
      </c>
      <c r="D41" s="10">
        <f t="shared" si="0"/>
        <v>4.0603321622908082</v>
      </c>
      <c r="F41" s="8" t="str">
        <f>HYPERLINK("https://esbl.nhlbi.nih.gov/Databases/mpkFractions/proteomic_fractions_log_files/Yang_log_img/255683324.jpg","show blot")</f>
        <v>show blot</v>
      </c>
      <c r="H41" s="8" t="str">
        <f>HYPERLINK("https://esbl.nhlbi.nih.gov/Databases/mpkFractions/proteomic_fractions_linear_files/Yang_linear_img/255683324.jpg","show blot")</f>
        <v>show blot</v>
      </c>
      <c r="J41" s="5" t="s">
        <v>80</v>
      </c>
      <c r="L41" s="11">
        <v>4.0603321622908082</v>
      </c>
      <c r="N41" s="12"/>
    </row>
    <row r="42" spans="1:14" s="5" customFormat="1" ht="15" customHeight="1" x14ac:dyDescent="0.25">
      <c r="A42" s="9" t="s">
        <v>81</v>
      </c>
      <c r="C42" s="9" t="str">
        <f>HYPERLINK("http://www.ncbi.nlm.nih.gov/protein/255683328","Abcc4")</f>
        <v>Abcc4</v>
      </c>
      <c r="D42" s="10">
        <f t="shared" si="0"/>
        <v>4.0603321622908082</v>
      </c>
      <c r="F42" s="8" t="str">
        <f>HYPERLINK("https://esbl.nhlbi.nih.gov/Databases/mpkFractions/proteomic_fractions_log_files/Yang_log_img/255683328.jpg","show blot")</f>
        <v>show blot</v>
      </c>
      <c r="H42" s="8" t="str">
        <f>HYPERLINK("https://esbl.nhlbi.nih.gov/Databases/mpkFractions/proteomic_fractions_linear_files/Yang_linear_img/255683328.jpg","show blot")</f>
        <v>show blot</v>
      </c>
      <c r="J42" s="5" t="s">
        <v>82</v>
      </c>
      <c r="L42" s="11">
        <v>4.0603321622908082</v>
      </c>
      <c r="N42" s="12"/>
    </row>
    <row r="43" spans="1:14" s="5" customFormat="1" ht="15" customHeight="1" x14ac:dyDescent="0.25">
      <c r="A43" s="9" t="s">
        <v>83</v>
      </c>
      <c r="C43" s="9" t="str">
        <f>HYPERLINK("http://www.ncbi.nlm.nih.gov/protein/6671497","Abcd1")</f>
        <v>Abcd1</v>
      </c>
      <c r="D43" s="10">
        <f t="shared" si="0"/>
        <v>3.2004750292042901</v>
      </c>
      <c r="F43" s="8" t="str">
        <f>HYPERLINK("https://esbl.nhlbi.nih.gov/Databases/mpkFractions/proteomic_fractions_log_files/Yang_log_img/6671497.jpg","show blot")</f>
        <v>show blot</v>
      </c>
      <c r="H43" s="8" t="str">
        <f>HYPERLINK("https://esbl.nhlbi.nih.gov/Databases/mpkFractions/proteomic_fractions_linear_files/Yang_linear_img/6671497.jpg","show blot")</f>
        <v>show blot</v>
      </c>
      <c r="J43" s="5" t="s">
        <v>84</v>
      </c>
      <c r="L43" s="11">
        <v>3.2004750292042901</v>
      </c>
      <c r="N43" s="12"/>
    </row>
    <row r="44" spans="1:14" s="5" customFormat="1" ht="15" customHeight="1" x14ac:dyDescent="0.25">
      <c r="A44" s="9" t="s">
        <v>85</v>
      </c>
      <c r="C44" s="9" t="str">
        <f>HYPERLINK("http://www.ncbi.nlm.nih.gov/protein/60218877","Abcd3")</f>
        <v>Abcd3</v>
      </c>
      <c r="D44" s="10">
        <f t="shared" si="0"/>
        <v>5.6929560142755689</v>
      </c>
      <c r="F44" s="8" t="str">
        <f>HYPERLINK("https://esbl.nhlbi.nih.gov/Databases/mpkFractions/proteomic_fractions_log_files/Yang_log_img/60218877.jpg","show blot")</f>
        <v>show blot</v>
      </c>
      <c r="H44" s="8" t="str">
        <f>HYPERLINK("https://esbl.nhlbi.nih.gov/Databases/mpkFractions/proteomic_fractions_linear_files/Yang_linear_img/60218877.jpg","show blot")</f>
        <v>show blot</v>
      </c>
      <c r="J44" s="5" t="s">
        <v>86</v>
      </c>
      <c r="L44" s="11">
        <v>5.6929560142755689</v>
      </c>
      <c r="N44" s="12"/>
    </row>
    <row r="45" spans="1:14" s="5" customFormat="1" ht="15" customHeight="1" x14ac:dyDescent="0.25">
      <c r="A45" s="9" t="s">
        <v>87</v>
      </c>
      <c r="C45" s="9" t="str">
        <f>HYPERLINK("http://www.ncbi.nlm.nih.gov/protein/226052788","Abcd4")</f>
        <v>Abcd4</v>
      </c>
      <c r="D45" s="10">
        <f t="shared" si="0"/>
        <v>2.7951032025225149</v>
      </c>
      <c r="F45" s="8" t="str">
        <f>HYPERLINK("https://esbl.nhlbi.nih.gov/Databases/mpkFractions/proteomic_fractions_log_files/Yang_log_img/226052788.jpg","show blot")</f>
        <v>show blot</v>
      </c>
      <c r="H45" s="8" t="str">
        <f>HYPERLINK("https://esbl.nhlbi.nih.gov/Databases/mpkFractions/proteomic_fractions_linear_files/Yang_linear_img/226052788.jpg","show blot")</f>
        <v>show blot</v>
      </c>
      <c r="J45" s="5" t="s">
        <v>88</v>
      </c>
      <c r="L45" s="11">
        <v>2.7951032025225149</v>
      </c>
      <c r="N45" s="12"/>
    </row>
    <row r="46" spans="1:14" s="5" customFormat="1" ht="15" customHeight="1" x14ac:dyDescent="0.25">
      <c r="A46" s="9" t="s">
        <v>89</v>
      </c>
      <c r="C46" s="9" t="str">
        <f>HYPERLINK("http://www.ncbi.nlm.nih.gov/protein/114205431","Abce1")</f>
        <v>Abce1</v>
      </c>
      <c r="D46" s="10">
        <f t="shared" si="0"/>
        <v>5.7994895265704534</v>
      </c>
      <c r="F46" s="8" t="str">
        <f>HYPERLINK("https://esbl.nhlbi.nih.gov/Databases/mpkFractions/proteomic_fractions_log_files/Yang_log_img/114205431.jpg","show blot")</f>
        <v>show blot</v>
      </c>
      <c r="H46" s="8" t="str">
        <f>HYPERLINK("https://esbl.nhlbi.nih.gov/Databases/mpkFractions/proteomic_fractions_linear_files/Yang_linear_img/114205431.jpg","show blot")</f>
        <v>show blot</v>
      </c>
      <c r="J46" s="5" t="s">
        <v>90</v>
      </c>
      <c r="L46" s="11">
        <v>5.7994895265704534</v>
      </c>
      <c r="N46" s="12"/>
    </row>
    <row r="47" spans="1:14" s="5" customFormat="1" ht="15" customHeight="1" x14ac:dyDescent="0.25">
      <c r="A47" s="9" t="s">
        <v>91</v>
      </c>
      <c r="C47" s="9" t="str">
        <f>HYPERLINK("http://www.ncbi.nlm.nih.gov/protein/39930335","Abcf1")</f>
        <v>Abcf1</v>
      </c>
      <c r="D47" s="10">
        <f t="shared" si="0"/>
        <v>5.4172430902761324</v>
      </c>
      <c r="F47" s="8" t="str">
        <f>HYPERLINK("https://esbl.nhlbi.nih.gov/Databases/mpkFractions/proteomic_fractions_log_files/Yang_log_img/39930335.jpg","show blot")</f>
        <v>show blot</v>
      </c>
      <c r="H47" s="8" t="str">
        <f>HYPERLINK("https://esbl.nhlbi.nih.gov/Databases/mpkFractions/proteomic_fractions_linear_files/Yang_linear_img/39930335.jpg","show blot")</f>
        <v>show blot</v>
      </c>
      <c r="J47" s="5" t="s">
        <v>92</v>
      </c>
      <c r="L47" s="11">
        <v>5.4172430902761324</v>
      </c>
      <c r="N47" s="12"/>
    </row>
    <row r="48" spans="1:14" s="5" customFormat="1" ht="15" customHeight="1" x14ac:dyDescent="0.25">
      <c r="A48" s="9" t="s">
        <v>93</v>
      </c>
      <c r="C48" s="9" t="str">
        <f>HYPERLINK("http://www.ncbi.nlm.nih.gov/protein/23956078","Abcf2")</f>
        <v>Abcf2</v>
      </c>
      <c r="D48" s="10">
        <f t="shared" si="0"/>
        <v>5.7300824960834946</v>
      </c>
      <c r="F48" s="8" t="str">
        <f>HYPERLINK("https://esbl.nhlbi.nih.gov/Databases/mpkFractions/proteomic_fractions_log_files/Yang_log_img/23956078.jpg","show blot")</f>
        <v>show blot</v>
      </c>
      <c r="H48" s="8" t="str">
        <f>HYPERLINK("https://esbl.nhlbi.nih.gov/Databases/mpkFractions/proteomic_fractions_linear_files/Yang_linear_img/23956078.jpg","show blot")</f>
        <v>show blot</v>
      </c>
      <c r="J48" s="5" t="s">
        <v>94</v>
      </c>
      <c r="L48" s="11">
        <v>5.7300824960834946</v>
      </c>
      <c r="N48" s="12"/>
    </row>
    <row r="49" spans="1:14" s="5" customFormat="1" ht="15" customHeight="1" x14ac:dyDescent="0.25">
      <c r="A49" s="9" t="s">
        <v>95</v>
      </c>
      <c r="C49" s="9" t="str">
        <f>HYPERLINK("http://www.ncbi.nlm.nih.gov/protein/299473734","Abcf2")</f>
        <v>Abcf2</v>
      </c>
      <c r="D49" s="10">
        <f t="shared" si="0"/>
        <v>5.7300824960834946</v>
      </c>
      <c r="F49" s="8" t="str">
        <f>HYPERLINK("https://esbl.nhlbi.nih.gov/Databases/mpkFractions/proteomic_fractions_log_files/Yang_log_img/299473734.jpg","show blot")</f>
        <v>show blot</v>
      </c>
      <c r="H49" s="8" t="str">
        <f>HYPERLINK("https://esbl.nhlbi.nih.gov/Databases/mpkFractions/proteomic_fractions_linear_files/Yang_linear_img/299473734.jpg","show blot")</f>
        <v>show blot</v>
      </c>
      <c r="J49" s="5" t="s">
        <v>96</v>
      </c>
      <c r="L49" s="11">
        <v>5.7300824960834946</v>
      </c>
      <c r="N49" s="12"/>
    </row>
    <row r="50" spans="1:14" s="5" customFormat="1" ht="15" customHeight="1" x14ac:dyDescent="0.25">
      <c r="A50" s="9" t="s">
        <v>97</v>
      </c>
      <c r="C50" s="9" t="str">
        <f>HYPERLINK("http://www.ncbi.nlm.nih.gov/protein/29789050","Abcf3")</f>
        <v>Abcf3</v>
      </c>
      <c r="D50" s="10">
        <f t="shared" si="0"/>
        <v>4.5199831505719184</v>
      </c>
      <c r="F50" s="8" t="str">
        <f>HYPERLINK("https://esbl.nhlbi.nih.gov/Databases/mpkFractions/proteomic_fractions_log_files/Yang_log_img/29789050.jpg","show blot")</f>
        <v>show blot</v>
      </c>
      <c r="H50" s="8" t="str">
        <f>HYPERLINK("https://esbl.nhlbi.nih.gov/Databases/mpkFractions/proteomic_fractions_linear_files/Yang_linear_img/29789050.jpg","show blot")</f>
        <v>show blot</v>
      </c>
      <c r="J50" s="5" t="s">
        <v>98</v>
      </c>
      <c r="L50" s="11">
        <v>4.5199831505719184</v>
      </c>
      <c r="N50" s="12"/>
    </row>
    <row r="51" spans="1:14" s="5" customFormat="1" ht="15" customHeight="1" x14ac:dyDescent="0.25">
      <c r="A51" s="9" t="s">
        <v>99</v>
      </c>
      <c r="C51" s="9" t="str">
        <f>HYPERLINK("http://www.ncbi.nlm.nih.gov/protein/6752944","Abcg2")</f>
        <v>Abcg2</v>
      </c>
      <c r="D51" s="10">
        <f t="shared" si="0"/>
        <v>4.0334724440918848</v>
      </c>
      <c r="F51" s="8" t="str">
        <f>HYPERLINK("https://esbl.nhlbi.nih.gov/Databases/mpkFractions/proteomic_fractions_log_files/Yang_log_img/6752944.jpg","show blot")</f>
        <v>show blot</v>
      </c>
      <c r="H51" s="8" t="str">
        <f>HYPERLINK("https://esbl.nhlbi.nih.gov/Databases/mpkFractions/proteomic_fractions_linear_files/Yang_linear_img/6752944.jpg","show blot")</f>
        <v>show blot</v>
      </c>
      <c r="J51" s="5" t="s">
        <v>100</v>
      </c>
      <c r="L51" s="11">
        <v>4.0334724440918848</v>
      </c>
      <c r="N51" s="12"/>
    </row>
    <row r="52" spans="1:14" s="5" customFormat="1" ht="15" customHeight="1" x14ac:dyDescent="0.25">
      <c r="A52" s="9" t="s">
        <v>101</v>
      </c>
      <c r="C52" s="9" t="str">
        <f>HYPERLINK("http://www.ncbi.nlm.nih.gov/protein/269784760","Abhd10")</f>
        <v>Abhd10</v>
      </c>
      <c r="D52" s="10">
        <f t="shared" si="0"/>
        <v>3.989837984987187</v>
      </c>
      <c r="F52" s="8" t="str">
        <f>HYPERLINK("https://esbl.nhlbi.nih.gov/Databases/mpkFractions/proteomic_fractions_log_files/Yang_log_img/269784760.jpg","show blot")</f>
        <v>show blot</v>
      </c>
      <c r="H52" s="8" t="str">
        <f>HYPERLINK("https://esbl.nhlbi.nih.gov/Databases/mpkFractions/proteomic_fractions_linear_files/Yang_linear_img/269784760.jpg","show blot")</f>
        <v>show blot</v>
      </c>
      <c r="J52" s="5" t="s">
        <v>102</v>
      </c>
      <c r="L52" s="11">
        <v>3.989837984987187</v>
      </c>
      <c r="N52" s="12"/>
    </row>
    <row r="53" spans="1:14" s="5" customFormat="1" ht="15" customHeight="1" x14ac:dyDescent="0.25">
      <c r="A53" s="9" t="s">
        <v>103</v>
      </c>
      <c r="C53" s="9" t="str">
        <f>HYPERLINK("http://www.ncbi.nlm.nih.gov/protein/440918693","Abhd10")</f>
        <v>Abhd10</v>
      </c>
      <c r="D53" s="10">
        <f t="shared" si="0"/>
        <v>3.989837984987187</v>
      </c>
      <c r="F53" s="8" t="str">
        <f>HYPERLINK("https://esbl.nhlbi.nih.gov/Databases/mpkFractions/proteomic_fractions_log_files/Yang_log_img/440918693.jpg","show blot")</f>
        <v>show blot</v>
      </c>
      <c r="H53" s="8" t="str">
        <f>HYPERLINK("https://esbl.nhlbi.nih.gov/Databases/mpkFractions/proteomic_fractions_linear_files/Yang_linear_img/440918693.jpg","show blot")</f>
        <v>show blot</v>
      </c>
      <c r="J53" s="5" t="s">
        <v>104</v>
      </c>
      <c r="L53" s="11">
        <v>3.989837984987187</v>
      </c>
      <c r="N53" s="12"/>
    </row>
    <row r="54" spans="1:14" s="5" customFormat="1" ht="15" customHeight="1" x14ac:dyDescent="0.25">
      <c r="A54" s="9" t="s">
        <v>105</v>
      </c>
      <c r="C54" s="9" t="str">
        <f>HYPERLINK("http://www.ncbi.nlm.nih.gov/protein/159110817","Abhd12")</f>
        <v>Abhd12</v>
      </c>
      <c r="D54" s="10">
        <f t="shared" si="0"/>
        <v>5.0446318227020512</v>
      </c>
      <c r="F54" s="8" t="str">
        <f>HYPERLINK("https://esbl.nhlbi.nih.gov/Databases/mpkFractions/proteomic_fractions_log_files/Yang_log_img/159110817.jpg","show blot")</f>
        <v>show blot</v>
      </c>
      <c r="H54" s="8" t="str">
        <f>HYPERLINK("https://esbl.nhlbi.nih.gov/Databases/mpkFractions/proteomic_fractions_linear_files/Yang_linear_img/159110817.jpg","show blot")</f>
        <v>show blot</v>
      </c>
      <c r="J54" s="5" t="s">
        <v>106</v>
      </c>
      <c r="L54" s="11">
        <v>5.0446318227020512</v>
      </c>
      <c r="N54" s="12"/>
    </row>
    <row r="55" spans="1:14" s="5" customFormat="1" ht="15" customHeight="1" x14ac:dyDescent="0.25">
      <c r="A55" s="9" t="s">
        <v>107</v>
      </c>
      <c r="C55" s="9" t="str">
        <f>HYPERLINK("http://www.ncbi.nlm.nih.gov/protein/124487441","Abhd13")</f>
        <v>Abhd13</v>
      </c>
      <c r="D55" s="10">
        <f t="shared" si="0"/>
        <v>3.108200999890923</v>
      </c>
      <c r="F55" s="8" t="str">
        <f>HYPERLINK("https://esbl.nhlbi.nih.gov/Databases/mpkFractions/proteomic_fractions_log_files/Yang_log_img/124487441.jpg","show blot")</f>
        <v>show blot</v>
      </c>
      <c r="H55" s="8" t="str">
        <f>HYPERLINK("https://esbl.nhlbi.nih.gov/Databases/mpkFractions/proteomic_fractions_linear_files/Yang_linear_img/124487441.jpg","show blot")</f>
        <v>show blot</v>
      </c>
      <c r="J55" s="5" t="s">
        <v>108</v>
      </c>
      <c r="L55" s="11">
        <v>3.108200999890923</v>
      </c>
      <c r="N55" s="12"/>
    </row>
    <row r="56" spans="1:14" s="5" customFormat="1" ht="15" customHeight="1" x14ac:dyDescent="0.25">
      <c r="A56" s="9" t="s">
        <v>109</v>
      </c>
      <c r="C56" s="9" t="str">
        <f>HYPERLINK("http://www.ncbi.nlm.nih.gov/protein/171460960","Abhd14b")</f>
        <v>Abhd14b</v>
      </c>
      <c r="D56" s="10">
        <f t="shared" si="0"/>
        <v>6.3480229859092354</v>
      </c>
      <c r="F56" s="8" t="str">
        <f>HYPERLINK("https://esbl.nhlbi.nih.gov/Databases/mpkFractions/proteomic_fractions_log_files/Yang_log_img/171460960.jpg","show blot")</f>
        <v>show blot</v>
      </c>
      <c r="H56" s="8" t="str">
        <f>HYPERLINK("https://esbl.nhlbi.nih.gov/Databases/mpkFractions/proteomic_fractions_linear_files/Yang_linear_img/171460960.jpg","show blot")</f>
        <v>show blot</v>
      </c>
      <c r="J56" s="5" t="s">
        <v>110</v>
      </c>
      <c r="L56" s="11">
        <v>6.3480229859092354</v>
      </c>
      <c r="N56" s="12"/>
    </row>
    <row r="57" spans="1:14" s="5" customFormat="1" ht="15" customHeight="1" x14ac:dyDescent="0.25">
      <c r="A57" s="9" t="s">
        <v>111</v>
      </c>
      <c r="C57" s="9" t="str">
        <f>HYPERLINK("http://www.ncbi.nlm.nih.gov/protein/30519896","Abhd16a")</f>
        <v>Abhd16a</v>
      </c>
      <c r="D57" s="10">
        <f t="shared" si="0"/>
        <v>4.0434394474462794</v>
      </c>
      <c r="F57" s="8" t="str">
        <f>HYPERLINK("https://esbl.nhlbi.nih.gov/Databases/mpkFractions/proteomic_fractions_log_files/Yang_log_img/30519896.jpg","show blot")</f>
        <v>show blot</v>
      </c>
      <c r="H57" s="8" t="str">
        <f>HYPERLINK("https://esbl.nhlbi.nih.gov/Databases/mpkFractions/proteomic_fractions_linear_files/Yang_linear_img/30519896.jpg","show blot")</f>
        <v>show blot</v>
      </c>
      <c r="J57" s="5" t="s">
        <v>112</v>
      </c>
      <c r="L57" s="11">
        <v>4.0434394474462794</v>
      </c>
      <c r="N57" s="12"/>
    </row>
    <row r="58" spans="1:14" s="5" customFormat="1" ht="15" customHeight="1" x14ac:dyDescent="0.25">
      <c r="A58" s="9" t="s">
        <v>113</v>
      </c>
      <c r="C58" s="9" t="str">
        <f>HYPERLINK("http://www.ncbi.nlm.nih.gov/protein/38142456","Abhd17b")</f>
        <v>Abhd17b</v>
      </c>
      <c r="D58" s="10">
        <f t="shared" si="0"/>
        <v>2.6546577546495249</v>
      </c>
      <c r="F58" s="8" t="str">
        <f>HYPERLINK("https://esbl.nhlbi.nih.gov/Databases/mpkFractions/proteomic_fractions_log_files/Yang_log_img/38142456.jpg","show blot")</f>
        <v>show blot</v>
      </c>
      <c r="H58" s="8" t="str">
        <f>HYPERLINK("https://esbl.nhlbi.nih.gov/Databases/mpkFractions/proteomic_fractions_linear_files/Yang_linear_img/38142456.jpg","show blot")</f>
        <v>show blot</v>
      </c>
      <c r="J58" s="5" t="s">
        <v>114</v>
      </c>
      <c r="L58" s="11">
        <v>2.6546577546495249</v>
      </c>
      <c r="N58" s="12"/>
    </row>
    <row r="59" spans="1:14" s="5" customFormat="1" ht="15" customHeight="1" x14ac:dyDescent="0.25">
      <c r="A59" s="9" t="s">
        <v>115</v>
      </c>
      <c r="C59" s="9" t="str">
        <f>HYPERLINK("http://www.ncbi.nlm.nih.gov/protein/326937491","Abhd4")</f>
        <v>Abhd4</v>
      </c>
      <c r="D59" s="10">
        <f t="shared" si="0"/>
        <v>4.7256204722199664</v>
      </c>
      <c r="F59" s="8" t="str">
        <f>HYPERLINK("https://esbl.nhlbi.nih.gov/Databases/mpkFractions/proteomic_fractions_log_files/Yang_log_img/326937491.jpg","show blot")</f>
        <v>show blot</v>
      </c>
      <c r="H59" s="8" t="str">
        <f>HYPERLINK("https://esbl.nhlbi.nih.gov/Databases/mpkFractions/proteomic_fractions_linear_files/Yang_linear_img/326937491.jpg","show blot")</f>
        <v>show blot</v>
      </c>
      <c r="J59" s="5" t="s">
        <v>116</v>
      </c>
      <c r="L59" s="11">
        <v>4.7256204722199664</v>
      </c>
      <c r="N59" s="12"/>
    </row>
    <row r="60" spans="1:14" s="5" customFormat="1" ht="15" customHeight="1" x14ac:dyDescent="0.25">
      <c r="A60" s="9" t="s">
        <v>117</v>
      </c>
      <c r="C60" s="9" t="str">
        <f>HYPERLINK("http://www.ncbi.nlm.nih.gov/protein/326937494","Abhd4")</f>
        <v>Abhd4</v>
      </c>
      <c r="D60" s="10">
        <f t="shared" si="0"/>
        <v>4.7256204722199664</v>
      </c>
      <c r="F60" s="8" t="str">
        <f>HYPERLINK("https://esbl.nhlbi.nih.gov/Databases/mpkFractions/proteomic_fractions_log_files/Yang_log_img/326937494.jpg","show blot")</f>
        <v>show blot</v>
      </c>
      <c r="H60" s="8" t="str">
        <f>HYPERLINK("https://esbl.nhlbi.nih.gov/Databases/mpkFractions/proteomic_fractions_linear_files/Yang_linear_img/326937494.jpg","show blot")</f>
        <v>show blot</v>
      </c>
      <c r="J60" s="5" t="s">
        <v>118</v>
      </c>
      <c r="L60" s="11">
        <v>4.7256204722199664</v>
      </c>
      <c r="N60" s="12"/>
    </row>
    <row r="61" spans="1:14" s="5" customFormat="1" ht="15" customHeight="1" x14ac:dyDescent="0.25">
      <c r="A61" s="9" t="s">
        <v>119</v>
      </c>
      <c r="C61" s="9" t="str">
        <f>HYPERLINK("http://www.ncbi.nlm.nih.gov/protein/13385690","Abhd5")</f>
        <v>Abhd5</v>
      </c>
      <c r="D61" s="10">
        <f t="shared" si="0"/>
        <v>4.2507160424848136</v>
      </c>
      <c r="F61" s="8" t="str">
        <f>HYPERLINK("https://esbl.nhlbi.nih.gov/Databases/mpkFractions/proteomic_fractions_log_files/Yang_log_img/13385690.jpg","show blot")</f>
        <v>show blot</v>
      </c>
      <c r="H61" s="8" t="str">
        <f>HYPERLINK("https://esbl.nhlbi.nih.gov/Databases/mpkFractions/proteomic_fractions_linear_files/Yang_linear_img/13385690.jpg","show blot")</f>
        <v>show blot</v>
      </c>
      <c r="J61" s="5" t="s">
        <v>120</v>
      </c>
      <c r="L61" s="11">
        <v>4.2507160424848136</v>
      </c>
      <c r="N61" s="12"/>
    </row>
    <row r="62" spans="1:14" s="5" customFormat="1" ht="15" customHeight="1" x14ac:dyDescent="0.25">
      <c r="A62" s="9" t="s">
        <v>121</v>
      </c>
      <c r="C62" s="9" t="str">
        <f>HYPERLINK("http://www.ncbi.nlm.nih.gov/protein/31560264","Abhd6")</f>
        <v>Abhd6</v>
      </c>
      <c r="D62" s="10">
        <f t="shared" si="0"/>
        <v>4.6439918956249491</v>
      </c>
      <c r="F62" s="8" t="str">
        <f>HYPERLINK("https://esbl.nhlbi.nih.gov/Databases/mpkFractions/proteomic_fractions_log_files/Yang_log_img/31560264.jpg","show blot")</f>
        <v>show blot</v>
      </c>
      <c r="H62" s="8" t="str">
        <f>HYPERLINK("https://esbl.nhlbi.nih.gov/Databases/mpkFractions/proteomic_fractions_linear_files/Yang_linear_img/31560264.jpg","show blot")</f>
        <v>show blot</v>
      </c>
      <c r="J62" s="5" t="s">
        <v>122</v>
      </c>
      <c r="L62" s="11">
        <v>4.6439918956249491</v>
      </c>
      <c r="N62" s="12"/>
    </row>
    <row r="63" spans="1:14" s="5" customFormat="1" ht="15" customHeight="1" x14ac:dyDescent="0.25">
      <c r="A63" s="9" t="s">
        <v>123</v>
      </c>
      <c r="C63" s="9" t="str">
        <f>HYPERLINK("http://www.ncbi.nlm.nih.gov/protein/116089341","Abi1")</f>
        <v>Abi1</v>
      </c>
      <c r="D63" s="10">
        <f t="shared" si="0"/>
        <v>4.7423629963917158</v>
      </c>
      <c r="F63" s="8" t="str">
        <f>HYPERLINK("https://esbl.nhlbi.nih.gov/Databases/mpkFractions/proteomic_fractions_log_files/Yang_log_img/116089341.jpg","show blot")</f>
        <v>show blot</v>
      </c>
      <c r="H63" s="8" t="str">
        <f>HYPERLINK("https://esbl.nhlbi.nih.gov/Databases/mpkFractions/proteomic_fractions_linear_files/Yang_linear_img/116089341.jpg","show blot")</f>
        <v>show blot</v>
      </c>
      <c r="J63" s="5" t="s">
        <v>124</v>
      </c>
      <c r="L63" s="11">
        <v>4.7423629963917158</v>
      </c>
      <c r="N63" s="12"/>
    </row>
    <row r="64" spans="1:14" s="5" customFormat="1" ht="15" customHeight="1" x14ac:dyDescent="0.25">
      <c r="A64" s="9" t="s">
        <v>125</v>
      </c>
      <c r="C64" s="9" t="str">
        <f>HYPERLINK("http://www.ncbi.nlm.nih.gov/protein/116089343","Abi1")</f>
        <v>Abi1</v>
      </c>
      <c r="D64" s="10">
        <f t="shared" si="0"/>
        <v>4.7423629963917158</v>
      </c>
      <c r="F64" s="8" t="str">
        <f>HYPERLINK("https://esbl.nhlbi.nih.gov/Databases/mpkFractions/proteomic_fractions_log_files/Yang_log_img/116089343.jpg","show blot")</f>
        <v>show blot</v>
      </c>
      <c r="H64" s="8" t="str">
        <f>HYPERLINK("https://esbl.nhlbi.nih.gov/Databases/mpkFractions/proteomic_fractions_linear_files/Yang_linear_img/116089343.jpg","show blot")</f>
        <v>show blot</v>
      </c>
      <c r="J64" s="5" t="s">
        <v>126</v>
      </c>
      <c r="L64" s="11">
        <v>4.7423629963917158</v>
      </c>
      <c r="N64" s="12"/>
    </row>
    <row r="65" spans="1:14" s="5" customFormat="1" ht="15" customHeight="1" x14ac:dyDescent="0.25">
      <c r="A65" s="9" t="s">
        <v>127</v>
      </c>
      <c r="C65" s="9" t="str">
        <f>HYPERLINK("http://www.ncbi.nlm.nih.gov/protein/116089345","Abi1")</f>
        <v>Abi1</v>
      </c>
      <c r="D65" s="10">
        <f t="shared" si="0"/>
        <v>4.7423629963917158</v>
      </c>
      <c r="F65" s="8" t="str">
        <f>HYPERLINK("https://esbl.nhlbi.nih.gov/Databases/mpkFractions/proteomic_fractions_log_files/Yang_log_img/116089345.jpg","show blot")</f>
        <v>show blot</v>
      </c>
      <c r="H65" s="8" t="str">
        <f>HYPERLINK("https://esbl.nhlbi.nih.gov/Databases/mpkFractions/proteomic_fractions_linear_files/Yang_linear_img/116089345.jpg","show blot")</f>
        <v>show blot</v>
      </c>
      <c r="J65" s="5" t="s">
        <v>128</v>
      </c>
      <c r="L65" s="11">
        <v>4.7423629963917158</v>
      </c>
      <c r="N65" s="12"/>
    </row>
    <row r="66" spans="1:14" s="5" customFormat="1" ht="15" customHeight="1" x14ac:dyDescent="0.25">
      <c r="A66" s="9" t="s">
        <v>129</v>
      </c>
      <c r="C66" s="9" t="str">
        <f>HYPERLINK("http://www.ncbi.nlm.nih.gov/protein/116089347","Abi1")</f>
        <v>Abi1</v>
      </c>
      <c r="D66" s="10">
        <f t="shared" si="0"/>
        <v>4.7423629963917158</v>
      </c>
      <c r="F66" s="8" t="str">
        <f>HYPERLINK("https://esbl.nhlbi.nih.gov/Databases/mpkFractions/proteomic_fractions_log_files/Yang_log_img/116089347.jpg","show blot")</f>
        <v>show blot</v>
      </c>
      <c r="H66" s="8" t="str">
        <f>HYPERLINK("https://esbl.nhlbi.nih.gov/Databases/mpkFractions/proteomic_fractions_linear_files/Yang_linear_img/116089347.jpg","show blot")</f>
        <v>show blot</v>
      </c>
      <c r="J66" s="5" t="s">
        <v>130</v>
      </c>
      <c r="L66" s="11">
        <v>4.7423629963917158</v>
      </c>
      <c r="N66" s="12"/>
    </row>
    <row r="67" spans="1:14" s="5" customFormat="1" ht="15" customHeight="1" x14ac:dyDescent="0.25">
      <c r="A67" s="9" t="s">
        <v>131</v>
      </c>
      <c r="C67" s="9" t="str">
        <f>HYPERLINK("http://www.ncbi.nlm.nih.gov/protein/116089351","Abi1")</f>
        <v>Abi1</v>
      </c>
      <c r="D67" s="10">
        <f t="shared" si="0"/>
        <v>4.7423629963917158</v>
      </c>
      <c r="F67" s="8" t="str">
        <f>HYPERLINK("https://esbl.nhlbi.nih.gov/Databases/mpkFractions/proteomic_fractions_log_files/Yang_log_img/116089351.jpg","show blot")</f>
        <v>show blot</v>
      </c>
      <c r="H67" s="8" t="str">
        <f>HYPERLINK("https://esbl.nhlbi.nih.gov/Databases/mpkFractions/proteomic_fractions_linear_files/Yang_linear_img/116089351.jpg","show blot")</f>
        <v>show blot</v>
      </c>
      <c r="J67" s="5" t="s">
        <v>132</v>
      </c>
      <c r="L67" s="11">
        <v>4.7423629963917158</v>
      </c>
      <c r="N67" s="12"/>
    </row>
    <row r="68" spans="1:14" s="5" customFormat="1" ht="15" customHeight="1" x14ac:dyDescent="0.25">
      <c r="A68" s="9" t="s">
        <v>133</v>
      </c>
      <c r="C68" s="9" t="str">
        <f>HYPERLINK("http://www.ncbi.nlm.nih.gov/protein/162951865","Abl1")</f>
        <v>Abl1</v>
      </c>
      <c r="D68" s="10">
        <f t="shared" si="0"/>
        <v>0.38866138415444551</v>
      </c>
      <c r="F68" s="8" t="str">
        <f>HYPERLINK("https://esbl.nhlbi.nih.gov/Databases/mpkFractions/proteomic_fractions_log_files/Yang_log_img/162951865.jpg","show blot")</f>
        <v>show blot</v>
      </c>
      <c r="H68" s="8" t="str">
        <f>HYPERLINK("https://esbl.nhlbi.nih.gov/Databases/mpkFractions/proteomic_fractions_linear_files/Yang_linear_img/162951865.jpg","show blot")</f>
        <v>show blot</v>
      </c>
      <c r="J68" s="5" t="s">
        <v>134</v>
      </c>
      <c r="L68" s="11">
        <v>0.38866138415444551</v>
      </c>
      <c r="N68" s="12"/>
    </row>
    <row r="69" spans="1:14" s="5" customFormat="1" ht="15" customHeight="1" x14ac:dyDescent="0.25">
      <c r="A69" s="9" t="s">
        <v>135</v>
      </c>
      <c r="C69" s="9" t="str">
        <f>HYPERLINK("http://www.ncbi.nlm.nih.gov/protein/162951870","Abl1")</f>
        <v>Abl1</v>
      </c>
      <c r="D69" s="10">
        <f t="shared" ref="D69:D132" si="1">L69</f>
        <v>0.38866138415444551</v>
      </c>
      <c r="F69" s="8" t="str">
        <f>HYPERLINK("https://esbl.nhlbi.nih.gov/Databases/mpkFractions/proteomic_fractions_log_files/Yang_log_img/162951870.jpg","show blot")</f>
        <v>show blot</v>
      </c>
      <c r="H69" s="8" t="str">
        <f>HYPERLINK("https://esbl.nhlbi.nih.gov/Databases/mpkFractions/proteomic_fractions_linear_files/Yang_linear_img/162951870.jpg","show blot")</f>
        <v>show blot</v>
      </c>
      <c r="J69" s="5" t="s">
        <v>136</v>
      </c>
      <c r="L69" s="11">
        <v>0.38866138415444551</v>
      </c>
      <c r="N69" s="12"/>
    </row>
    <row r="70" spans="1:14" s="5" customFormat="1" ht="15" customHeight="1" x14ac:dyDescent="0.25">
      <c r="A70" s="9" t="s">
        <v>137</v>
      </c>
      <c r="C70" s="9" t="str">
        <f>HYPERLINK("http://www.ncbi.nlm.nih.gov/protein/157057145","Ablim1")</f>
        <v>Ablim1</v>
      </c>
      <c r="D70" s="10">
        <f t="shared" si="1"/>
        <v>3.6233965387329978</v>
      </c>
      <c r="F70" s="8" t="str">
        <f>HYPERLINK("https://esbl.nhlbi.nih.gov/Databases/mpkFractions/proteomic_fractions_log_files/Yang_log_img/157057145.jpg","show blot")</f>
        <v>show blot</v>
      </c>
      <c r="H70" s="8" t="str">
        <f>HYPERLINK("https://esbl.nhlbi.nih.gov/Databases/mpkFractions/proteomic_fractions_linear_files/Yang_linear_img/157057145.jpg","show blot")</f>
        <v>show blot</v>
      </c>
      <c r="J70" s="5" t="s">
        <v>138</v>
      </c>
      <c r="L70" s="11">
        <v>3.6233965387329978</v>
      </c>
      <c r="N70" s="12"/>
    </row>
    <row r="71" spans="1:14" s="5" customFormat="1" ht="15" customHeight="1" x14ac:dyDescent="0.25">
      <c r="A71" s="9" t="s">
        <v>139</v>
      </c>
      <c r="C71" s="9" t="str">
        <f>HYPERLINK("http://www.ncbi.nlm.nih.gov/protein/157057174","Ablim1")</f>
        <v>Ablim1</v>
      </c>
      <c r="D71" s="10">
        <f t="shared" si="1"/>
        <v>3.6233965387329978</v>
      </c>
      <c r="F71" s="8" t="str">
        <f>HYPERLINK("https://esbl.nhlbi.nih.gov/Databases/mpkFractions/proteomic_fractions_log_files/Yang_log_img/157057174.jpg","show blot")</f>
        <v>show blot</v>
      </c>
      <c r="H71" s="8" t="str">
        <f>HYPERLINK("https://esbl.nhlbi.nih.gov/Databases/mpkFractions/proteomic_fractions_linear_files/Yang_linear_img/157057174.jpg","show blot")</f>
        <v>show blot</v>
      </c>
      <c r="J71" s="5" t="s">
        <v>140</v>
      </c>
      <c r="L71" s="11">
        <v>3.6233965387329978</v>
      </c>
      <c r="N71" s="12"/>
    </row>
    <row r="72" spans="1:14" s="5" customFormat="1" ht="15" customHeight="1" x14ac:dyDescent="0.25">
      <c r="A72" s="9" t="s">
        <v>141</v>
      </c>
      <c r="C72" s="9" t="str">
        <f>HYPERLINK("http://www.ncbi.nlm.nih.gov/protein/157057554","Ablim1")</f>
        <v>Ablim1</v>
      </c>
      <c r="D72" s="10">
        <f t="shared" si="1"/>
        <v>3.6233965387329978</v>
      </c>
      <c r="F72" s="8" t="str">
        <f>HYPERLINK("https://esbl.nhlbi.nih.gov/Databases/mpkFractions/proteomic_fractions_log_files/Yang_log_img/157057554.jpg","show blot")</f>
        <v>show blot</v>
      </c>
      <c r="H72" s="8" t="str">
        <f>HYPERLINK("https://esbl.nhlbi.nih.gov/Databases/mpkFractions/proteomic_fractions_linear_files/Yang_linear_img/157057554.jpg","show blot")</f>
        <v>show blot</v>
      </c>
      <c r="J72" s="5" t="s">
        <v>142</v>
      </c>
      <c r="L72" s="11">
        <v>3.6233965387329978</v>
      </c>
      <c r="N72" s="12"/>
    </row>
    <row r="73" spans="1:14" s="5" customFormat="1" ht="15" customHeight="1" x14ac:dyDescent="0.25">
      <c r="A73" s="9" t="s">
        <v>143</v>
      </c>
      <c r="C73" s="9" t="str">
        <f>HYPERLINK("http://www.ncbi.nlm.nih.gov/protein/37574113","Abr")</f>
        <v>Abr</v>
      </c>
      <c r="D73" s="10">
        <f t="shared" si="1"/>
        <v>1.95713552649567</v>
      </c>
      <c r="F73" s="8" t="str">
        <f>HYPERLINK("https://esbl.nhlbi.nih.gov/Databases/mpkFractions/proteomic_fractions_log_files/Yang_log_img/37574113.jpg","show blot")</f>
        <v>show blot</v>
      </c>
      <c r="H73" s="8" t="str">
        <f>HYPERLINK("https://esbl.nhlbi.nih.gov/Databases/mpkFractions/proteomic_fractions_linear_files/Yang_linear_img/37574113.jpg","show blot")</f>
        <v>show blot</v>
      </c>
      <c r="J73" s="5" t="s">
        <v>144</v>
      </c>
      <c r="L73" s="11">
        <v>1.95713552649567</v>
      </c>
      <c r="N73" s="12"/>
    </row>
    <row r="74" spans="1:14" s="5" customFormat="1" ht="15" customHeight="1" x14ac:dyDescent="0.25">
      <c r="A74" s="9" t="s">
        <v>145</v>
      </c>
      <c r="C74" s="9" t="str">
        <f>HYPERLINK("http://www.ncbi.nlm.nih.gov/protein/38683820","Abr")</f>
        <v>Abr</v>
      </c>
      <c r="D74" s="10">
        <f t="shared" si="1"/>
        <v>1.95713552649567</v>
      </c>
      <c r="F74" s="8" t="str">
        <f>HYPERLINK("https://esbl.nhlbi.nih.gov/Databases/mpkFractions/proteomic_fractions_log_files/Yang_log_img/38683820.jpg","show blot")</f>
        <v>show blot</v>
      </c>
      <c r="H74" s="8" t="str">
        <f>HYPERLINK("https://esbl.nhlbi.nih.gov/Databases/mpkFractions/proteomic_fractions_linear_files/Yang_linear_img/38683820.jpg","show blot")</f>
        <v>show blot</v>
      </c>
      <c r="J74" s="5" t="s">
        <v>146</v>
      </c>
      <c r="L74" s="11">
        <v>1.95713552649567</v>
      </c>
      <c r="N74" s="12"/>
    </row>
    <row r="75" spans="1:14" s="5" customFormat="1" ht="15" customHeight="1" x14ac:dyDescent="0.25">
      <c r="A75" s="9" t="s">
        <v>147</v>
      </c>
      <c r="C75" s="9" t="str">
        <f>HYPERLINK("http://www.ncbi.nlm.nih.gov/protein/38683822","Abr")</f>
        <v>Abr</v>
      </c>
      <c r="D75" s="10">
        <f t="shared" si="1"/>
        <v>1.95713552649567</v>
      </c>
      <c r="F75" s="8" t="str">
        <f>HYPERLINK("https://esbl.nhlbi.nih.gov/Databases/mpkFractions/proteomic_fractions_log_files/Yang_log_img/38683822.jpg","show blot")</f>
        <v>show blot</v>
      </c>
      <c r="H75" s="8" t="str">
        <f>HYPERLINK("https://esbl.nhlbi.nih.gov/Databases/mpkFractions/proteomic_fractions_linear_files/Yang_linear_img/38683822.jpg","show blot")</f>
        <v>show blot</v>
      </c>
      <c r="J75" s="5" t="s">
        <v>148</v>
      </c>
      <c r="L75" s="11">
        <v>1.95713552649567</v>
      </c>
      <c r="N75" s="12"/>
    </row>
    <row r="76" spans="1:14" s="5" customFormat="1" ht="15" customHeight="1" x14ac:dyDescent="0.25">
      <c r="A76" s="9" t="s">
        <v>149</v>
      </c>
      <c r="C76" s="9" t="str">
        <f>HYPERLINK("http://www.ncbi.nlm.nih.gov/protein/153791468","Abracl")</f>
        <v>Abracl</v>
      </c>
      <c r="D76" s="10">
        <f t="shared" si="1"/>
        <v>5.3367592315040948</v>
      </c>
      <c r="F76" s="8" t="str">
        <f>HYPERLINK("https://esbl.nhlbi.nih.gov/Databases/mpkFractions/proteomic_fractions_log_files/Yang_log_img/153791468.jpg","show blot")</f>
        <v>show blot</v>
      </c>
      <c r="H76" s="8" t="str">
        <f>HYPERLINK("https://esbl.nhlbi.nih.gov/Databases/mpkFractions/proteomic_fractions_linear_files/Yang_linear_img/153791468.jpg","show blot")</f>
        <v>show blot</v>
      </c>
      <c r="J76" s="5" t="s">
        <v>150</v>
      </c>
      <c r="L76" s="11">
        <v>5.3367592315040948</v>
      </c>
      <c r="N76" s="12"/>
    </row>
    <row r="77" spans="1:14" s="5" customFormat="1" ht="15" customHeight="1" x14ac:dyDescent="0.25">
      <c r="A77" s="9" t="s">
        <v>151</v>
      </c>
      <c r="C77" s="9" t="str">
        <f>HYPERLINK("http://www.ncbi.nlm.nih.gov/protein/49402267","Abtb2")</f>
        <v>Abtb2</v>
      </c>
      <c r="D77" s="10">
        <f t="shared" si="1"/>
        <v>2.477405231801078</v>
      </c>
      <c r="F77" s="8" t="str">
        <f>HYPERLINK("https://esbl.nhlbi.nih.gov/Databases/mpkFractions/proteomic_fractions_log_files/Yang_log_img/49402267.jpg","show blot")</f>
        <v>show blot</v>
      </c>
      <c r="H77" s="8" t="str">
        <f>HYPERLINK("https://esbl.nhlbi.nih.gov/Databases/mpkFractions/proteomic_fractions_linear_files/Yang_linear_img/49402267.jpg","show blot")</f>
        <v>show blot</v>
      </c>
      <c r="J77" s="5" t="s">
        <v>152</v>
      </c>
      <c r="L77" s="11">
        <v>2.477405231801078</v>
      </c>
      <c r="N77" s="12"/>
    </row>
    <row r="78" spans="1:14" s="5" customFormat="1" ht="15" customHeight="1" x14ac:dyDescent="0.25">
      <c r="A78" s="9" t="s">
        <v>153</v>
      </c>
      <c r="C78" s="9" t="str">
        <f>HYPERLINK("http://www.ncbi.nlm.nih.gov/protein/18700004","Acaa1a")</f>
        <v>Acaa1a</v>
      </c>
      <c r="D78" s="10">
        <f t="shared" si="1"/>
        <v>5.7699534338714367</v>
      </c>
      <c r="F78" s="8" t="str">
        <f>HYPERLINK("https://esbl.nhlbi.nih.gov/Databases/mpkFractions/proteomic_fractions_log_files/Yang_log_img/18700004.jpg","show blot")</f>
        <v>show blot</v>
      </c>
      <c r="H78" s="8" t="str">
        <f>HYPERLINK("https://esbl.nhlbi.nih.gov/Databases/mpkFractions/proteomic_fractions_linear_files/Yang_linear_img/18700004.jpg","show blot")</f>
        <v>show blot</v>
      </c>
      <c r="J78" s="5" t="s">
        <v>154</v>
      </c>
      <c r="L78" s="11">
        <v>5.7699534338714367</v>
      </c>
      <c r="N78" s="12"/>
    </row>
    <row r="79" spans="1:14" s="5" customFormat="1" ht="15" customHeight="1" x14ac:dyDescent="0.25">
      <c r="A79" s="9" t="s">
        <v>155</v>
      </c>
      <c r="C79" s="9" t="str">
        <f>HYPERLINK("http://www.ncbi.nlm.nih.gov/protein/22122797","Acaa1b")</f>
        <v>Acaa1b</v>
      </c>
      <c r="D79" s="10">
        <f t="shared" si="1"/>
        <v>5.4540185221982904</v>
      </c>
      <c r="F79" s="8" t="str">
        <f>HYPERLINK("https://esbl.nhlbi.nih.gov/Databases/mpkFractions/proteomic_fractions_log_files/Yang_log_img/22122797.jpg","show blot")</f>
        <v>show blot</v>
      </c>
      <c r="H79" s="8" t="str">
        <f>HYPERLINK("https://esbl.nhlbi.nih.gov/Databases/mpkFractions/proteomic_fractions_linear_files/Yang_linear_img/22122797.jpg","show blot")</f>
        <v>show blot</v>
      </c>
      <c r="J79" s="5" t="s">
        <v>156</v>
      </c>
      <c r="L79" s="11">
        <v>5.4540185221982904</v>
      </c>
      <c r="N79" s="12"/>
    </row>
    <row r="80" spans="1:14" s="5" customFormat="1" ht="15" customHeight="1" x14ac:dyDescent="0.25">
      <c r="A80" s="9" t="s">
        <v>157</v>
      </c>
      <c r="C80" s="9" t="str">
        <f>HYPERLINK("http://www.ncbi.nlm.nih.gov/protein/29126205","Acaa2")</f>
        <v>Acaa2</v>
      </c>
      <c r="D80" s="10">
        <f t="shared" si="1"/>
        <v>6.6723085852537993</v>
      </c>
      <c r="F80" s="8" t="str">
        <f>HYPERLINK("https://esbl.nhlbi.nih.gov/Databases/mpkFractions/proteomic_fractions_log_files/Yang_log_img/29126205.jpg","show blot")</f>
        <v>show blot</v>
      </c>
      <c r="H80" s="8" t="str">
        <f>HYPERLINK("https://esbl.nhlbi.nih.gov/Databases/mpkFractions/proteomic_fractions_linear_files/Yang_linear_img/29126205.jpg","show blot")</f>
        <v>show blot</v>
      </c>
      <c r="J80" s="5" t="s">
        <v>158</v>
      </c>
      <c r="L80" s="11">
        <v>6.6723085852537993</v>
      </c>
      <c r="N80" s="12"/>
    </row>
    <row r="81" spans="1:14" s="5" customFormat="1" ht="15" customHeight="1" x14ac:dyDescent="0.25">
      <c r="A81" s="9" t="s">
        <v>159</v>
      </c>
      <c r="C81" s="9" t="str">
        <f>HYPERLINK("http://www.ncbi.nlm.nih.gov/protein/125656173","Acaca")</f>
        <v>Acaca</v>
      </c>
      <c r="D81" s="10">
        <f t="shared" si="1"/>
        <v>4.5858718158949738</v>
      </c>
      <c r="F81" s="8" t="str">
        <f>HYPERLINK("https://esbl.nhlbi.nih.gov/Databases/mpkFractions/proteomic_fractions_log_files/Yang_log_img/125656173.jpg","show blot")</f>
        <v>show blot</v>
      </c>
      <c r="H81" s="8" t="str">
        <f>HYPERLINK("https://esbl.nhlbi.nih.gov/Databases/mpkFractions/proteomic_fractions_linear_files/Yang_linear_img/125656173.jpg","show blot")</f>
        <v>show blot</v>
      </c>
      <c r="J81" s="5" t="s">
        <v>160</v>
      </c>
      <c r="L81" s="11">
        <v>4.5858718158949738</v>
      </c>
      <c r="N81" s="12"/>
    </row>
    <row r="82" spans="1:14" s="5" customFormat="1" ht="15" customHeight="1" x14ac:dyDescent="0.25">
      <c r="A82" s="9" t="s">
        <v>161</v>
      </c>
      <c r="C82" s="9" t="str">
        <f>HYPERLINK("http://www.ncbi.nlm.nih.gov/protein/157042798","Acacb")</f>
        <v>Acacb</v>
      </c>
      <c r="D82" s="10">
        <f t="shared" si="1"/>
        <v>4.01405398661218</v>
      </c>
      <c r="F82" s="8" t="str">
        <f>HYPERLINK("https://esbl.nhlbi.nih.gov/Databases/mpkFractions/proteomic_fractions_log_files/Yang_log_img/157042798.jpg","show blot")</f>
        <v>show blot</v>
      </c>
      <c r="H82" s="8" t="str">
        <f>HYPERLINK("https://esbl.nhlbi.nih.gov/Databases/mpkFractions/proteomic_fractions_linear_files/Yang_linear_img/157042798.jpg","show blot")</f>
        <v>show blot</v>
      </c>
      <c r="J82" s="5" t="s">
        <v>162</v>
      </c>
      <c r="L82" s="11">
        <v>4.01405398661218</v>
      </c>
      <c r="N82" s="12"/>
    </row>
    <row r="83" spans="1:14" s="5" customFormat="1" ht="15" customHeight="1" x14ac:dyDescent="0.25">
      <c r="A83" s="9" t="s">
        <v>163</v>
      </c>
      <c r="C83" s="9" t="str">
        <f>HYPERLINK("http://www.ncbi.nlm.nih.gov/protein/156255157","Acad10")</f>
        <v>Acad10</v>
      </c>
      <c r="D83" s="10">
        <f t="shared" si="1"/>
        <v>3.891191145603949</v>
      </c>
      <c r="F83" s="8" t="str">
        <f>HYPERLINK("https://esbl.nhlbi.nih.gov/Databases/mpkFractions/proteomic_fractions_log_files/Yang_log_img/156255157.jpg","show blot")</f>
        <v>show blot</v>
      </c>
      <c r="H83" s="8" t="str">
        <f>HYPERLINK("https://esbl.nhlbi.nih.gov/Databases/mpkFractions/proteomic_fractions_linear_files/Yang_linear_img/156255157.jpg","show blot")</f>
        <v>show blot</v>
      </c>
      <c r="J83" s="5" t="s">
        <v>164</v>
      </c>
      <c r="L83" s="11">
        <v>3.891191145603949</v>
      </c>
      <c r="N83" s="12"/>
    </row>
    <row r="84" spans="1:14" s="5" customFormat="1" ht="15" customHeight="1" x14ac:dyDescent="0.25">
      <c r="A84" s="9" t="s">
        <v>165</v>
      </c>
      <c r="C84" s="9" t="str">
        <f>HYPERLINK("http://www.ncbi.nlm.nih.gov/protein/74271799","Acad11")</f>
        <v>Acad11</v>
      </c>
      <c r="D84" s="10">
        <f t="shared" si="1"/>
        <v>4.7024644358251857</v>
      </c>
      <c r="F84" s="8" t="str">
        <f>HYPERLINK("https://esbl.nhlbi.nih.gov/Databases/mpkFractions/proteomic_fractions_log_files/Yang_log_img/74271799.jpg","show blot")</f>
        <v>show blot</v>
      </c>
      <c r="H84" s="8" t="str">
        <f>HYPERLINK("https://esbl.nhlbi.nih.gov/Databases/mpkFractions/proteomic_fractions_linear_files/Yang_linear_img/74271799.jpg","show blot")</f>
        <v>show blot</v>
      </c>
      <c r="J84" s="5" t="s">
        <v>166</v>
      </c>
      <c r="L84" s="11">
        <v>4.7024644358251857</v>
      </c>
      <c r="N84" s="12"/>
    </row>
    <row r="85" spans="1:14" s="5" customFormat="1" ht="15" customHeight="1" x14ac:dyDescent="0.25">
      <c r="A85" s="9" t="s">
        <v>167</v>
      </c>
      <c r="C85" s="9" t="str">
        <f>HYPERLINK("http://www.ncbi.nlm.nih.gov/protein/257467675","Acad12")</f>
        <v>Acad12</v>
      </c>
      <c r="D85" s="10">
        <f t="shared" si="1"/>
        <v>4.1168061387551882</v>
      </c>
      <c r="F85" s="8" t="str">
        <f>HYPERLINK("https://esbl.nhlbi.nih.gov/Databases/mpkFractions/proteomic_fractions_log_files/Yang_log_img/257467675.jpg","show blot")</f>
        <v>show blot</v>
      </c>
      <c r="H85" s="8" t="str">
        <f>HYPERLINK("https://esbl.nhlbi.nih.gov/Databases/mpkFractions/proteomic_fractions_linear_files/Yang_linear_img/257467675.jpg","show blot")</f>
        <v>show blot</v>
      </c>
      <c r="J85" s="5" t="s">
        <v>168</v>
      </c>
      <c r="L85" s="11">
        <v>4.1168061387551882</v>
      </c>
      <c r="N85" s="12"/>
    </row>
    <row r="86" spans="1:14" s="5" customFormat="1" ht="15" customHeight="1" x14ac:dyDescent="0.25">
      <c r="A86" s="9" t="s">
        <v>169</v>
      </c>
      <c r="C86" s="9" t="str">
        <f>HYPERLINK("http://www.ncbi.nlm.nih.gov/protein/118403322","Acad8")</f>
        <v>Acad8</v>
      </c>
      <c r="D86" s="10">
        <f t="shared" si="1"/>
        <v>4.4065071718464406</v>
      </c>
      <c r="F86" s="8" t="str">
        <f>HYPERLINK("https://esbl.nhlbi.nih.gov/Databases/mpkFractions/proteomic_fractions_log_files/Yang_log_img/118403322.jpg","show blot")</f>
        <v>show blot</v>
      </c>
      <c r="H86" s="8" t="str">
        <f>HYPERLINK("https://esbl.nhlbi.nih.gov/Databases/mpkFractions/proteomic_fractions_linear_files/Yang_linear_img/118403322.jpg","show blot")</f>
        <v>show blot</v>
      </c>
      <c r="J86" s="5" t="s">
        <v>170</v>
      </c>
      <c r="L86" s="11">
        <v>4.4065071718464406</v>
      </c>
      <c r="N86" s="12"/>
    </row>
    <row r="87" spans="1:14" s="5" customFormat="1" ht="15" customHeight="1" x14ac:dyDescent="0.25">
      <c r="A87" s="9" t="s">
        <v>171</v>
      </c>
      <c r="C87" s="9" t="str">
        <f>HYPERLINK("http://www.ncbi.nlm.nih.gov/protein/100817933","Acad9")</f>
        <v>Acad9</v>
      </c>
      <c r="D87" s="10">
        <f t="shared" si="1"/>
        <v>5.2617371694136663</v>
      </c>
      <c r="F87" s="8" t="str">
        <f>HYPERLINK("https://esbl.nhlbi.nih.gov/Databases/mpkFractions/proteomic_fractions_log_files/Yang_log_img/100817933.jpg","show blot")</f>
        <v>show blot</v>
      </c>
      <c r="H87" s="8" t="str">
        <f>HYPERLINK("https://esbl.nhlbi.nih.gov/Databases/mpkFractions/proteomic_fractions_linear_files/Yang_linear_img/100817933.jpg","show blot")</f>
        <v>show blot</v>
      </c>
      <c r="J87" s="5" t="s">
        <v>172</v>
      </c>
      <c r="L87" s="11">
        <v>5.2617371694136663</v>
      </c>
      <c r="N87" s="12"/>
    </row>
    <row r="88" spans="1:14" s="5" customFormat="1" ht="15" customHeight="1" x14ac:dyDescent="0.25">
      <c r="A88" s="9" t="s">
        <v>173</v>
      </c>
      <c r="C88" s="9" t="str">
        <f>HYPERLINK("http://www.ncbi.nlm.nih.gov/protein/31982520","Acadl")</f>
        <v>Acadl</v>
      </c>
      <c r="D88" s="10">
        <f t="shared" si="1"/>
        <v>6.2878850498438066</v>
      </c>
      <c r="F88" s="8" t="str">
        <f>HYPERLINK("https://esbl.nhlbi.nih.gov/Databases/mpkFractions/proteomic_fractions_log_files/Yang_log_img/31982520.jpg","show blot")</f>
        <v>show blot</v>
      </c>
      <c r="H88" s="8" t="str">
        <f>HYPERLINK("https://esbl.nhlbi.nih.gov/Databases/mpkFractions/proteomic_fractions_linear_files/Yang_linear_img/31982520.jpg","show blot")</f>
        <v>show blot</v>
      </c>
      <c r="J88" s="5" t="s">
        <v>174</v>
      </c>
      <c r="L88" s="11">
        <v>6.2878850498438066</v>
      </c>
      <c r="N88" s="12"/>
    </row>
    <row r="89" spans="1:14" s="5" customFormat="1" ht="15" customHeight="1" x14ac:dyDescent="0.25">
      <c r="A89" s="9" t="s">
        <v>175</v>
      </c>
      <c r="C89" s="9" t="str">
        <f>HYPERLINK("http://www.ncbi.nlm.nih.gov/protein/6680618","Acadm")</f>
        <v>Acadm</v>
      </c>
      <c r="D89" s="10">
        <f t="shared" si="1"/>
        <v>6.0470089042384254</v>
      </c>
      <c r="F89" s="8" t="str">
        <f>HYPERLINK("https://esbl.nhlbi.nih.gov/Databases/mpkFractions/proteomic_fractions_log_files/Yang_log_img/6680618.jpg","show blot")</f>
        <v>show blot</v>
      </c>
      <c r="H89" s="8" t="str">
        <f>HYPERLINK("https://esbl.nhlbi.nih.gov/Databases/mpkFractions/proteomic_fractions_linear_files/Yang_linear_img/6680618.jpg","show blot")</f>
        <v>show blot</v>
      </c>
      <c r="J89" s="5" t="s">
        <v>176</v>
      </c>
      <c r="L89" s="11">
        <v>6.0470089042384254</v>
      </c>
      <c r="N89" s="12"/>
    </row>
    <row r="90" spans="1:14" s="5" customFormat="1" ht="15" customHeight="1" x14ac:dyDescent="0.25">
      <c r="A90" s="9" t="s">
        <v>177</v>
      </c>
      <c r="C90" s="9" t="str">
        <f>HYPERLINK("http://www.ncbi.nlm.nih.gov/protein/31982522","Acads")</f>
        <v>Acads</v>
      </c>
      <c r="D90" s="10">
        <f t="shared" si="1"/>
        <v>5.489764510850053</v>
      </c>
      <c r="F90" s="8" t="str">
        <f>HYPERLINK("https://esbl.nhlbi.nih.gov/Databases/mpkFractions/proteomic_fractions_log_files/Yang_log_img/31982522.jpg","show blot")</f>
        <v>show blot</v>
      </c>
      <c r="H90" s="8" t="str">
        <f>HYPERLINK("https://esbl.nhlbi.nih.gov/Databases/mpkFractions/proteomic_fractions_linear_files/Yang_linear_img/31982522.jpg","show blot")</f>
        <v>show blot</v>
      </c>
      <c r="J90" s="5" t="s">
        <v>178</v>
      </c>
      <c r="L90" s="11">
        <v>5.489764510850053</v>
      </c>
      <c r="N90" s="12"/>
    </row>
    <row r="91" spans="1:14" s="5" customFormat="1" ht="15" customHeight="1" x14ac:dyDescent="0.25">
      <c r="A91" s="9" t="s">
        <v>179</v>
      </c>
      <c r="C91" s="9" t="str">
        <f>HYPERLINK("http://www.ncbi.nlm.nih.gov/protein/17647119","Acadsb")</f>
        <v>Acadsb</v>
      </c>
      <c r="D91" s="10">
        <f t="shared" si="1"/>
        <v>3.6991977899619521</v>
      </c>
      <c r="F91" s="8" t="str">
        <f>HYPERLINK("https://esbl.nhlbi.nih.gov/Databases/mpkFractions/proteomic_fractions_log_files/Yang_log_img/17647119.jpg","show blot")</f>
        <v>show blot</v>
      </c>
      <c r="H91" s="8" t="str">
        <f>HYPERLINK("https://esbl.nhlbi.nih.gov/Databases/mpkFractions/proteomic_fractions_linear_files/Yang_linear_img/17647119.jpg","show blot")</f>
        <v>show blot</v>
      </c>
      <c r="J91" s="5" t="s">
        <v>180</v>
      </c>
      <c r="L91" s="11">
        <v>3.6991977899619521</v>
      </c>
      <c r="N91" s="12"/>
    </row>
    <row r="92" spans="1:14" s="5" customFormat="1" ht="15" customHeight="1" x14ac:dyDescent="0.25">
      <c r="A92" s="9" t="s">
        <v>181</v>
      </c>
      <c r="C92" s="9" t="str">
        <f>HYPERLINK("http://www.ncbi.nlm.nih.gov/protein/23956084","Acadvl")</f>
        <v>Acadvl</v>
      </c>
      <c r="D92" s="10">
        <f t="shared" si="1"/>
        <v>5.6328003420356332</v>
      </c>
      <c r="F92" s="8" t="str">
        <f>HYPERLINK("https://esbl.nhlbi.nih.gov/Databases/mpkFractions/proteomic_fractions_log_files/Yang_log_img/23956084.jpg","show blot")</f>
        <v>show blot</v>
      </c>
      <c r="H92" s="8" t="str">
        <f>HYPERLINK("https://esbl.nhlbi.nih.gov/Databases/mpkFractions/proteomic_fractions_linear_files/Yang_linear_img/23956084.jpg","show blot")</f>
        <v>show blot</v>
      </c>
      <c r="J92" s="5" t="s">
        <v>182</v>
      </c>
      <c r="L92" s="11">
        <v>5.6328003420356332</v>
      </c>
      <c r="N92" s="12"/>
    </row>
    <row r="93" spans="1:14" s="5" customFormat="1" ht="15" customHeight="1" x14ac:dyDescent="0.25">
      <c r="A93" s="9" t="s">
        <v>183</v>
      </c>
      <c r="C93" s="9" t="str">
        <f>HYPERLINK("http://www.ncbi.nlm.nih.gov/protein/62079289","Acap2")</f>
        <v>Acap2</v>
      </c>
      <c r="D93" s="10">
        <f t="shared" si="1"/>
        <v>4.6361437223433288</v>
      </c>
      <c r="F93" s="8" t="str">
        <f>HYPERLINK("https://esbl.nhlbi.nih.gov/Databases/mpkFractions/proteomic_fractions_log_files/Yang_log_img/62079289.jpg","show blot")</f>
        <v>show blot</v>
      </c>
      <c r="H93" s="8" t="str">
        <f>HYPERLINK("https://esbl.nhlbi.nih.gov/Databases/mpkFractions/proteomic_fractions_linear_files/Yang_linear_img/62079289.jpg","show blot")</f>
        <v>show blot</v>
      </c>
      <c r="J93" s="5" t="s">
        <v>184</v>
      </c>
      <c r="L93" s="11">
        <v>4.6361437223433288</v>
      </c>
      <c r="N93" s="12"/>
    </row>
    <row r="94" spans="1:14" s="5" customFormat="1" ht="15" customHeight="1" x14ac:dyDescent="0.25">
      <c r="A94" s="9" t="s">
        <v>185</v>
      </c>
      <c r="C94" s="9" t="str">
        <f>HYPERLINK("http://www.ncbi.nlm.nih.gov/protein/21450129","Acat1")</f>
        <v>Acat1</v>
      </c>
      <c r="D94" s="10">
        <f t="shared" si="1"/>
        <v>5.7870171155868517</v>
      </c>
      <c r="F94" s="8" t="str">
        <f>HYPERLINK("https://esbl.nhlbi.nih.gov/Databases/mpkFractions/proteomic_fractions_log_files/Yang_log_img/21450129.jpg","show blot")</f>
        <v>show blot</v>
      </c>
      <c r="H94" s="8" t="str">
        <f>HYPERLINK("https://esbl.nhlbi.nih.gov/Databases/mpkFractions/proteomic_fractions_linear_files/Yang_linear_img/21450129.jpg","show blot")</f>
        <v>show blot</v>
      </c>
      <c r="J94" s="5" t="s">
        <v>186</v>
      </c>
      <c r="L94" s="11">
        <v>5.7870171155868517</v>
      </c>
      <c r="N94" s="12"/>
    </row>
    <row r="95" spans="1:14" s="5" customFormat="1" ht="15" customHeight="1" x14ac:dyDescent="0.25">
      <c r="A95" s="9" t="s">
        <v>187</v>
      </c>
      <c r="C95" s="9" t="str">
        <f>HYPERLINK("http://www.ncbi.nlm.nih.gov/protein/148747461","Acat2")</f>
        <v>Acat2</v>
      </c>
      <c r="D95" s="10">
        <f t="shared" si="1"/>
        <v>5.5778991106358857</v>
      </c>
      <c r="F95" s="8" t="str">
        <f>HYPERLINK("https://esbl.nhlbi.nih.gov/Databases/mpkFractions/proteomic_fractions_log_files/Yang_log_img/148747461.jpg","show blot")</f>
        <v>show blot</v>
      </c>
      <c r="H95" s="8" t="str">
        <f>HYPERLINK("https://esbl.nhlbi.nih.gov/Databases/mpkFractions/proteomic_fractions_linear_files/Yang_linear_img/148747461.jpg","show blot")</f>
        <v>show blot</v>
      </c>
      <c r="J95" s="5" t="s">
        <v>188</v>
      </c>
      <c r="L95" s="11">
        <v>5.5778991106358857</v>
      </c>
      <c r="N95" s="12"/>
    </row>
    <row r="96" spans="1:14" s="5" customFormat="1" ht="15" customHeight="1" x14ac:dyDescent="0.25">
      <c r="A96" s="9" t="s">
        <v>189</v>
      </c>
      <c r="C96" s="9" t="str">
        <f>HYPERLINK("http://www.ncbi.nlm.nih.gov/protein/110625948","Acat3")</f>
        <v>Acat3</v>
      </c>
      <c r="D96" s="10">
        <f t="shared" si="1"/>
        <v>5.3319078685868542</v>
      </c>
      <c r="F96" s="8" t="str">
        <f>HYPERLINK("https://esbl.nhlbi.nih.gov/Databases/mpkFractions/proteomic_fractions_log_files/Yang_log_img/110625948.jpg","show blot")</f>
        <v>show blot</v>
      </c>
      <c r="H96" s="8" t="str">
        <f>HYPERLINK("https://esbl.nhlbi.nih.gov/Databases/mpkFractions/proteomic_fractions_linear_files/Yang_linear_img/110625948.jpg","show blot")</f>
        <v>show blot</v>
      </c>
      <c r="J96" s="5" t="s">
        <v>190</v>
      </c>
      <c r="L96" s="11">
        <v>5.3319078685868542</v>
      </c>
      <c r="N96" s="12"/>
    </row>
    <row r="97" spans="1:14" s="5" customFormat="1" ht="15" customHeight="1" x14ac:dyDescent="0.25">
      <c r="A97" s="9" t="s">
        <v>191</v>
      </c>
      <c r="C97" s="9" t="str">
        <f>HYPERLINK("http://www.ncbi.nlm.nih.gov/protein/229608928","Acbd3")</f>
        <v>Acbd3</v>
      </c>
      <c r="D97" s="10">
        <f t="shared" si="1"/>
        <v>4.7851983338849484</v>
      </c>
      <c r="F97" s="8" t="str">
        <f>HYPERLINK("https://esbl.nhlbi.nih.gov/Databases/mpkFractions/proteomic_fractions_log_files/Yang_log_img/229608928.jpg","show blot")</f>
        <v>show blot</v>
      </c>
      <c r="H97" s="8" t="str">
        <f>HYPERLINK("https://esbl.nhlbi.nih.gov/Databases/mpkFractions/proteomic_fractions_linear_files/Yang_linear_img/229608928.jpg","show blot")</f>
        <v>show blot</v>
      </c>
      <c r="J97" s="5" t="s">
        <v>192</v>
      </c>
      <c r="L97" s="11">
        <v>4.7851983338849484</v>
      </c>
      <c r="N97" s="12"/>
    </row>
    <row r="98" spans="1:14" s="5" customFormat="1" ht="15" customHeight="1" x14ac:dyDescent="0.25">
      <c r="A98" s="9" t="s">
        <v>193</v>
      </c>
      <c r="C98" s="9" t="str">
        <f>HYPERLINK("http://www.ncbi.nlm.nih.gov/protein/156255161","Acbd5")</f>
        <v>Acbd5</v>
      </c>
      <c r="D98" s="10">
        <f t="shared" si="1"/>
        <v>4.3148458117113151</v>
      </c>
      <c r="F98" s="8" t="str">
        <f>HYPERLINK("https://esbl.nhlbi.nih.gov/Databases/mpkFractions/proteomic_fractions_log_files/Yang_log_img/156255161.jpg","show blot")</f>
        <v>show blot</v>
      </c>
      <c r="H98" s="8" t="str">
        <f>HYPERLINK("https://esbl.nhlbi.nih.gov/Databases/mpkFractions/proteomic_fractions_linear_files/Yang_linear_img/156255161.jpg","show blot")</f>
        <v>show blot</v>
      </c>
      <c r="J98" s="5" t="s">
        <v>194</v>
      </c>
      <c r="L98" s="11">
        <v>4.3148458117113151</v>
      </c>
      <c r="N98" s="12"/>
    </row>
    <row r="99" spans="1:14" s="5" customFormat="1" ht="15" customHeight="1" x14ac:dyDescent="0.25">
      <c r="A99" s="9" t="s">
        <v>195</v>
      </c>
      <c r="C99" s="9" t="str">
        <f>HYPERLINK("http://www.ncbi.nlm.nih.gov/protein/156255163","Acbd5")</f>
        <v>Acbd5</v>
      </c>
      <c r="D99" s="10">
        <f t="shared" si="1"/>
        <v>4.3148458117113151</v>
      </c>
      <c r="F99" s="8" t="str">
        <f>HYPERLINK("https://esbl.nhlbi.nih.gov/Databases/mpkFractions/proteomic_fractions_log_files/Yang_log_img/156255163.jpg","show blot")</f>
        <v>show blot</v>
      </c>
      <c r="H99" s="8" t="str">
        <f>HYPERLINK("https://esbl.nhlbi.nih.gov/Databases/mpkFractions/proteomic_fractions_linear_files/Yang_linear_img/156255163.jpg","show blot")</f>
        <v>show blot</v>
      </c>
      <c r="J99" s="5" t="s">
        <v>196</v>
      </c>
      <c r="L99" s="11">
        <v>4.3148458117113151</v>
      </c>
      <c r="N99" s="12"/>
    </row>
    <row r="100" spans="1:14" s="5" customFormat="1" ht="15" customHeight="1" x14ac:dyDescent="0.25">
      <c r="A100" s="9" t="s">
        <v>197</v>
      </c>
      <c r="C100" s="9" t="str">
        <f>HYPERLINK("http://www.ncbi.nlm.nih.gov/protein/156255165","Acbd5")</f>
        <v>Acbd5</v>
      </c>
      <c r="D100" s="10">
        <f t="shared" si="1"/>
        <v>4.3148458117113151</v>
      </c>
      <c r="F100" s="8" t="str">
        <f>HYPERLINK("https://esbl.nhlbi.nih.gov/Databases/mpkFractions/proteomic_fractions_log_files/Yang_log_img/156255165.jpg","show blot")</f>
        <v>show blot</v>
      </c>
      <c r="H100" s="8" t="str">
        <f>HYPERLINK("https://esbl.nhlbi.nih.gov/Databases/mpkFractions/proteomic_fractions_linear_files/Yang_linear_img/156255165.jpg","show blot")</f>
        <v>show blot</v>
      </c>
      <c r="J100" s="5" t="s">
        <v>198</v>
      </c>
      <c r="L100" s="11">
        <v>4.3148458117113151</v>
      </c>
      <c r="N100" s="12"/>
    </row>
    <row r="101" spans="1:14" s="5" customFormat="1" ht="15" customHeight="1" x14ac:dyDescent="0.25">
      <c r="A101" s="9" t="s">
        <v>199</v>
      </c>
      <c r="C101" s="9" t="str">
        <f>HYPERLINK("http://www.ncbi.nlm.nih.gov/protein/27229192","Acbd5")</f>
        <v>Acbd5</v>
      </c>
      <c r="D101" s="10">
        <f t="shared" si="1"/>
        <v>4.3148458117113151</v>
      </c>
      <c r="F101" s="8" t="str">
        <f>HYPERLINK("https://esbl.nhlbi.nih.gov/Databases/mpkFractions/proteomic_fractions_log_files/Yang_log_img/27229192.jpg","show blot")</f>
        <v>show blot</v>
      </c>
      <c r="H101" s="8" t="str">
        <f>HYPERLINK("https://esbl.nhlbi.nih.gov/Databases/mpkFractions/proteomic_fractions_linear_files/Yang_linear_img/27229192.jpg","show blot")</f>
        <v>show blot</v>
      </c>
      <c r="J101" s="5" t="s">
        <v>200</v>
      </c>
      <c r="L101" s="11">
        <v>4.3148458117113151</v>
      </c>
      <c r="N101" s="12"/>
    </row>
    <row r="102" spans="1:14" s="5" customFormat="1" ht="15" customHeight="1" x14ac:dyDescent="0.25">
      <c r="A102" s="9" t="s">
        <v>201</v>
      </c>
      <c r="C102" s="9" t="str">
        <f>HYPERLINK("http://www.ncbi.nlm.nih.gov/protein/224809391","Acbd6")</f>
        <v>Acbd6</v>
      </c>
      <c r="D102" s="10">
        <f t="shared" si="1"/>
        <v>4.3142464432783694</v>
      </c>
      <c r="F102" s="8" t="str">
        <f>HYPERLINK("https://esbl.nhlbi.nih.gov/Databases/mpkFractions/proteomic_fractions_log_files/Yang_log_img/224809391.jpg","show blot")</f>
        <v>show blot</v>
      </c>
      <c r="H102" s="8" t="str">
        <f>HYPERLINK("https://esbl.nhlbi.nih.gov/Databases/mpkFractions/proteomic_fractions_linear_files/Yang_linear_img/224809391.jpg","show blot")</f>
        <v>show blot</v>
      </c>
      <c r="J102" s="5" t="s">
        <v>202</v>
      </c>
      <c r="L102" s="11">
        <v>4.3142464432783694</v>
      </c>
      <c r="N102" s="12"/>
    </row>
    <row r="103" spans="1:14" s="5" customFormat="1" ht="15" customHeight="1" x14ac:dyDescent="0.25">
      <c r="A103" s="9" t="s">
        <v>203</v>
      </c>
      <c r="C103" s="9" t="str">
        <f>HYPERLINK("http://www.ncbi.nlm.nih.gov/protein/224809393","Acbd6")</f>
        <v>Acbd6</v>
      </c>
      <c r="D103" s="10">
        <f t="shared" si="1"/>
        <v>4.3142464432783694</v>
      </c>
      <c r="F103" s="8" t="str">
        <f>HYPERLINK("https://esbl.nhlbi.nih.gov/Databases/mpkFractions/proteomic_fractions_log_files/Yang_log_img/224809393.jpg","show blot")</f>
        <v>show blot</v>
      </c>
      <c r="H103" s="8" t="str">
        <f>HYPERLINK("https://esbl.nhlbi.nih.gov/Databases/mpkFractions/proteomic_fractions_linear_files/Yang_linear_img/224809393.jpg","show blot")</f>
        <v>show blot</v>
      </c>
      <c r="J103" s="5" t="s">
        <v>204</v>
      </c>
      <c r="L103" s="11">
        <v>4.3142464432783694</v>
      </c>
      <c r="N103" s="12"/>
    </row>
    <row r="104" spans="1:14" s="5" customFormat="1" ht="15" customHeight="1" x14ac:dyDescent="0.25">
      <c r="A104" s="9" t="s">
        <v>205</v>
      </c>
      <c r="C104" s="9" t="str">
        <f>HYPERLINK("http://www.ncbi.nlm.nih.gov/protein/224809389","Acbd6")</f>
        <v>Acbd6</v>
      </c>
      <c r="D104" s="10">
        <f t="shared" si="1"/>
        <v>4.3142464432783694</v>
      </c>
      <c r="F104" s="8" t="str">
        <f>HYPERLINK("https://esbl.nhlbi.nih.gov/Databases/mpkFractions/proteomic_fractions_log_files/Yang_log_img/224809389.jpg","show blot")</f>
        <v>show blot</v>
      </c>
      <c r="H104" s="8" t="str">
        <f>HYPERLINK("https://esbl.nhlbi.nih.gov/Databases/mpkFractions/proteomic_fractions_linear_files/Yang_linear_img/224809389.jpg","show blot")</f>
        <v>show blot</v>
      </c>
      <c r="J104" s="5" t="s">
        <v>206</v>
      </c>
      <c r="L104" s="11">
        <v>4.3142464432783694</v>
      </c>
      <c r="N104" s="12"/>
    </row>
    <row r="105" spans="1:14" s="5" customFormat="1" ht="15" customHeight="1" x14ac:dyDescent="0.25">
      <c r="A105" s="9" t="s">
        <v>207</v>
      </c>
      <c r="C105" s="9" t="str">
        <f>HYPERLINK("http://www.ncbi.nlm.nih.gov/protein/60593059","Acd")</f>
        <v>Acd</v>
      </c>
      <c r="D105" s="10">
        <f t="shared" si="1"/>
        <v>3.4914001409103208</v>
      </c>
      <c r="F105" s="8" t="str">
        <f>HYPERLINK("https://esbl.nhlbi.nih.gov/Databases/mpkFractions/proteomic_fractions_log_files/Yang_log_img/60593059.jpg","show blot")</f>
        <v>show blot</v>
      </c>
      <c r="H105" s="8" t="str">
        <f>HYPERLINK("https://esbl.nhlbi.nih.gov/Databases/mpkFractions/proteomic_fractions_linear_files/Yang_linear_img/60593059.jpg","show blot")</f>
        <v>show blot</v>
      </c>
      <c r="J105" s="5" t="s">
        <v>208</v>
      </c>
      <c r="L105" s="11">
        <v>3.4914001409103208</v>
      </c>
      <c r="N105" s="12"/>
    </row>
    <row r="106" spans="1:14" s="5" customFormat="1" ht="15" customHeight="1" x14ac:dyDescent="0.25">
      <c r="A106" s="9" t="s">
        <v>209</v>
      </c>
      <c r="C106" s="9" t="str">
        <f>HYPERLINK("http://www.ncbi.nlm.nih.gov/protein/194394192","Acin1")</f>
        <v>Acin1</v>
      </c>
      <c r="D106" s="10">
        <f t="shared" si="1"/>
        <v>4.9974503312269682</v>
      </c>
      <c r="F106" s="8" t="str">
        <f>HYPERLINK("https://esbl.nhlbi.nih.gov/Databases/mpkFractions/proteomic_fractions_log_files/Yang_log_img/194394192.jpg","show blot")</f>
        <v>show blot</v>
      </c>
      <c r="H106" s="8" t="str">
        <f>HYPERLINK("https://esbl.nhlbi.nih.gov/Databases/mpkFractions/proteomic_fractions_linear_files/Yang_linear_img/194394192.jpg","show blot")</f>
        <v>show blot</v>
      </c>
      <c r="J106" s="5" t="s">
        <v>210</v>
      </c>
      <c r="L106" s="11">
        <v>4.9974503312269682</v>
      </c>
      <c r="N106" s="12"/>
    </row>
    <row r="107" spans="1:14" s="5" customFormat="1" ht="15" customHeight="1" x14ac:dyDescent="0.25">
      <c r="A107" s="9" t="s">
        <v>211</v>
      </c>
      <c r="C107" s="9" t="str">
        <f>HYPERLINK("http://www.ncbi.nlm.nih.gov/protein/194394195","Acin1")</f>
        <v>Acin1</v>
      </c>
      <c r="D107" s="10">
        <f t="shared" si="1"/>
        <v>4.9974503312269682</v>
      </c>
      <c r="F107" s="8" t="str">
        <f>HYPERLINK("https://esbl.nhlbi.nih.gov/Databases/mpkFractions/proteomic_fractions_log_files/Yang_log_img/194394195.jpg","show blot")</f>
        <v>show blot</v>
      </c>
      <c r="H107" s="8" t="str">
        <f>HYPERLINK("https://esbl.nhlbi.nih.gov/Databases/mpkFractions/proteomic_fractions_linear_files/Yang_linear_img/194394195.jpg","show blot")</f>
        <v>show blot</v>
      </c>
      <c r="J107" s="5" t="s">
        <v>212</v>
      </c>
      <c r="L107" s="11">
        <v>4.9974503312269682</v>
      </c>
      <c r="N107" s="12"/>
    </row>
    <row r="108" spans="1:14" s="5" customFormat="1" ht="15" customHeight="1" x14ac:dyDescent="0.25">
      <c r="A108" s="9" t="s">
        <v>213</v>
      </c>
      <c r="C108" s="9" t="str">
        <f>HYPERLINK("http://www.ncbi.nlm.nih.gov/protein/336176080","Acin1")</f>
        <v>Acin1</v>
      </c>
      <c r="D108" s="10">
        <f t="shared" si="1"/>
        <v>4.9974503312269682</v>
      </c>
      <c r="F108" s="8" t="str">
        <f>HYPERLINK("https://esbl.nhlbi.nih.gov/Databases/mpkFractions/proteomic_fractions_log_files/Yang_log_img/336176080.jpg","show blot")</f>
        <v>show blot</v>
      </c>
      <c r="H108" s="8" t="str">
        <f>HYPERLINK("https://esbl.nhlbi.nih.gov/Databases/mpkFractions/proteomic_fractions_linear_files/Yang_linear_img/336176080.jpg","show blot")</f>
        <v>show blot</v>
      </c>
      <c r="J108" s="5" t="s">
        <v>214</v>
      </c>
      <c r="L108" s="11">
        <v>4.9974503312269682</v>
      </c>
      <c r="N108" s="12"/>
    </row>
    <row r="109" spans="1:14" s="5" customFormat="1" ht="15" customHeight="1" x14ac:dyDescent="0.25">
      <c r="A109" s="9" t="s">
        <v>215</v>
      </c>
      <c r="C109" s="9" t="str">
        <f>HYPERLINK("http://www.ncbi.nlm.nih.gov/protein/336176082","Acin1")</f>
        <v>Acin1</v>
      </c>
      <c r="D109" s="10">
        <f t="shared" si="1"/>
        <v>4.9974503312269682</v>
      </c>
      <c r="F109" s="8" t="str">
        <f>HYPERLINK("https://esbl.nhlbi.nih.gov/Databases/mpkFractions/proteomic_fractions_log_files/Yang_log_img/336176082.jpg","show blot")</f>
        <v>show blot</v>
      </c>
      <c r="H109" s="8" t="str">
        <f>HYPERLINK("https://esbl.nhlbi.nih.gov/Databases/mpkFractions/proteomic_fractions_linear_files/Yang_linear_img/336176082.jpg","show blot")</f>
        <v>show blot</v>
      </c>
      <c r="J109" s="5" t="s">
        <v>216</v>
      </c>
      <c r="L109" s="11">
        <v>4.9974503312269682</v>
      </c>
      <c r="N109" s="12"/>
    </row>
    <row r="110" spans="1:14" s="5" customFormat="1" ht="15" customHeight="1" x14ac:dyDescent="0.25">
      <c r="A110" s="9" t="s">
        <v>217</v>
      </c>
      <c r="C110" s="9" t="str">
        <f>HYPERLINK("http://www.ncbi.nlm.nih.gov/protein/146231985","Acin1")</f>
        <v>Acin1</v>
      </c>
      <c r="D110" s="10">
        <f t="shared" si="1"/>
        <v>4.9974503312269682</v>
      </c>
      <c r="F110" s="8" t="str">
        <f>HYPERLINK("https://esbl.nhlbi.nih.gov/Databases/mpkFractions/proteomic_fractions_log_files/Yang_log_img/146231985.jpg","show blot")</f>
        <v>show blot</v>
      </c>
      <c r="H110" s="8" t="str">
        <f>HYPERLINK("https://esbl.nhlbi.nih.gov/Databases/mpkFractions/proteomic_fractions_linear_files/Yang_linear_img/146231985.jpg","show blot")</f>
        <v>show blot</v>
      </c>
      <c r="J110" s="5" t="s">
        <v>218</v>
      </c>
      <c r="L110" s="11">
        <v>4.9974503312269682</v>
      </c>
      <c r="N110" s="12"/>
    </row>
    <row r="111" spans="1:14" s="5" customFormat="1" ht="15" customHeight="1" x14ac:dyDescent="0.25">
      <c r="A111" s="9" t="s">
        <v>219</v>
      </c>
      <c r="C111" s="9" t="str">
        <f>HYPERLINK("http://www.ncbi.nlm.nih.gov/protein/194394197","Acin1")</f>
        <v>Acin1</v>
      </c>
      <c r="D111" s="10">
        <f t="shared" si="1"/>
        <v>4.9974503312269682</v>
      </c>
      <c r="F111" s="8" t="str">
        <f>HYPERLINK("https://esbl.nhlbi.nih.gov/Databases/mpkFractions/proteomic_fractions_log_files/Yang_log_img/194394197.jpg","show blot")</f>
        <v>show blot</v>
      </c>
      <c r="H111" s="8" t="str">
        <f>HYPERLINK("https://esbl.nhlbi.nih.gov/Databases/mpkFractions/proteomic_fractions_linear_files/Yang_linear_img/194394197.jpg","show blot")</f>
        <v>show blot</v>
      </c>
      <c r="J111" s="5" t="s">
        <v>220</v>
      </c>
      <c r="L111" s="11">
        <v>4.9974503312269682</v>
      </c>
      <c r="N111" s="12"/>
    </row>
    <row r="112" spans="1:14" s="5" customFormat="1" ht="15" customHeight="1" x14ac:dyDescent="0.25">
      <c r="A112" s="9" t="s">
        <v>221</v>
      </c>
      <c r="C112" s="9" t="str">
        <f>HYPERLINK("http://www.ncbi.nlm.nih.gov/protein/29293809","Acly")</f>
        <v>Acly</v>
      </c>
      <c r="D112" s="10">
        <f t="shared" si="1"/>
        <v>6.1351442054235559</v>
      </c>
      <c r="F112" s="8" t="str">
        <f>HYPERLINK("https://esbl.nhlbi.nih.gov/Databases/mpkFractions/proteomic_fractions_log_files/Yang_log_img/29293809.jpg","show blot")</f>
        <v>show blot</v>
      </c>
      <c r="H112" s="8" t="str">
        <f>HYPERLINK("https://esbl.nhlbi.nih.gov/Databases/mpkFractions/proteomic_fractions_linear_files/Yang_linear_img/29293809.jpg","show blot")</f>
        <v>show blot</v>
      </c>
      <c r="J112" s="5" t="s">
        <v>222</v>
      </c>
      <c r="L112" s="11">
        <v>6.1351442054235559</v>
      </c>
      <c r="N112" s="12"/>
    </row>
    <row r="113" spans="1:14" s="5" customFormat="1" ht="15" customHeight="1" x14ac:dyDescent="0.25">
      <c r="A113" s="9" t="s">
        <v>223</v>
      </c>
      <c r="C113" s="9" t="str">
        <f>HYPERLINK("http://www.ncbi.nlm.nih.gov/protein/313151222","Acly")</f>
        <v>Acly</v>
      </c>
      <c r="D113" s="10">
        <f t="shared" si="1"/>
        <v>6.1351442054235559</v>
      </c>
      <c r="F113" s="8" t="str">
        <f>HYPERLINK("https://esbl.nhlbi.nih.gov/Databases/mpkFractions/proteomic_fractions_log_files/Yang_log_img/313151222.jpg","show blot")</f>
        <v>show blot</v>
      </c>
      <c r="H113" s="8" t="str">
        <f>HYPERLINK("https://esbl.nhlbi.nih.gov/Databases/mpkFractions/proteomic_fractions_linear_files/Yang_linear_img/313151222.jpg","show blot")</f>
        <v>show blot</v>
      </c>
      <c r="J113" s="5" t="s">
        <v>224</v>
      </c>
      <c r="L113" s="11">
        <v>6.1351442054235559</v>
      </c>
      <c r="N113" s="12"/>
    </row>
    <row r="114" spans="1:14" s="5" customFormat="1" ht="15" customHeight="1" x14ac:dyDescent="0.25">
      <c r="A114" s="9" t="s">
        <v>225</v>
      </c>
      <c r="C114" s="9" t="str">
        <f>HYPERLINK("http://www.ncbi.nlm.nih.gov/protein/110347487","Aco1")</f>
        <v>Aco1</v>
      </c>
      <c r="D114" s="10">
        <f t="shared" si="1"/>
        <v>5.2925553257002456</v>
      </c>
      <c r="F114" s="8" t="str">
        <f>HYPERLINK("https://esbl.nhlbi.nih.gov/Databases/mpkFractions/proteomic_fractions_log_files/Yang_log_img/110347487.jpg","show blot")</f>
        <v>show blot</v>
      </c>
      <c r="H114" s="8" t="str">
        <f>HYPERLINK("https://esbl.nhlbi.nih.gov/Databases/mpkFractions/proteomic_fractions_linear_files/Yang_linear_img/110347487.jpg","show blot")</f>
        <v>show blot</v>
      </c>
      <c r="J114" s="5" t="s">
        <v>226</v>
      </c>
      <c r="L114" s="11">
        <v>5.2925553257002456</v>
      </c>
      <c r="N114" s="12"/>
    </row>
    <row r="115" spans="1:14" s="5" customFormat="1" ht="15" customHeight="1" x14ac:dyDescent="0.25">
      <c r="A115" s="9" t="s">
        <v>227</v>
      </c>
      <c r="C115" s="9" t="str">
        <f>HYPERLINK("http://www.ncbi.nlm.nih.gov/protein/18079339","Aco2")</f>
        <v>Aco2</v>
      </c>
      <c r="D115" s="10">
        <f t="shared" si="1"/>
        <v>6.5546307102681869</v>
      </c>
      <c r="F115" s="8" t="str">
        <f>HYPERLINK("https://esbl.nhlbi.nih.gov/Databases/mpkFractions/proteomic_fractions_log_files/Yang_log_img/18079339.jpg","show blot")</f>
        <v>show blot</v>
      </c>
      <c r="H115" s="8" t="str">
        <f>HYPERLINK("https://esbl.nhlbi.nih.gov/Databases/mpkFractions/proteomic_fractions_linear_files/Yang_linear_img/18079339.jpg","show blot")</f>
        <v>show blot</v>
      </c>
      <c r="J115" s="5" t="s">
        <v>228</v>
      </c>
      <c r="L115" s="11">
        <v>6.5546307102681869</v>
      </c>
      <c r="N115" s="12"/>
    </row>
    <row r="116" spans="1:14" s="5" customFormat="1" ht="15" customHeight="1" x14ac:dyDescent="0.25">
      <c r="A116" s="9" t="s">
        <v>229</v>
      </c>
      <c r="C116" s="9" t="str">
        <f>HYPERLINK("http://www.ncbi.nlm.nih.gov/protein/6753550","Acot1")</f>
        <v>Acot1</v>
      </c>
      <c r="D116" s="10">
        <f t="shared" si="1"/>
        <v>5.8957596342852234</v>
      </c>
      <c r="F116" s="8" t="str">
        <f>HYPERLINK("https://esbl.nhlbi.nih.gov/Databases/mpkFractions/proteomic_fractions_log_files/Yang_log_img/6753550.jpg","show blot")</f>
        <v>show blot</v>
      </c>
      <c r="H116" s="8" t="str">
        <f>HYPERLINK("https://esbl.nhlbi.nih.gov/Databases/mpkFractions/proteomic_fractions_linear_files/Yang_linear_img/6753550.jpg","show blot")</f>
        <v>show blot</v>
      </c>
      <c r="J116" s="5" t="s">
        <v>230</v>
      </c>
      <c r="L116" s="11">
        <v>5.8957596342852234</v>
      </c>
      <c r="N116" s="12"/>
    </row>
    <row r="117" spans="1:14" s="5" customFormat="1" ht="15" customHeight="1" x14ac:dyDescent="0.25">
      <c r="A117" s="9" t="s">
        <v>231</v>
      </c>
      <c r="C117" s="9" t="str">
        <f>HYPERLINK("http://www.ncbi.nlm.nih.gov/protein/154426268","Acot10")</f>
        <v>Acot10</v>
      </c>
      <c r="D117" s="10">
        <f t="shared" si="1"/>
        <v>4.2010583080610511</v>
      </c>
      <c r="F117" s="8" t="str">
        <f>HYPERLINK("https://esbl.nhlbi.nih.gov/Databases/mpkFractions/proteomic_fractions_log_files/Yang_log_img/154426268.jpg","show blot")</f>
        <v>show blot</v>
      </c>
      <c r="H117" s="8" t="str">
        <f>HYPERLINK("https://esbl.nhlbi.nih.gov/Databases/mpkFractions/proteomic_fractions_linear_files/Yang_linear_img/154426268.jpg","show blot")</f>
        <v>show blot</v>
      </c>
      <c r="J117" s="5" t="s">
        <v>232</v>
      </c>
      <c r="L117" s="11">
        <v>4.2010583080610511</v>
      </c>
      <c r="N117" s="12"/>
    </row>
    <row r="118" spans="1:14" s="5" customFormat="1" ht="15" customHeight="1" x14ac:dyDescent="0.25">
      <c r="A118" s="9" t="s">
        <v>233</v>
      </c>
      <c r="C118" s="9" t="str">
        <f>HYPERLINK("http://www.ncbi.nlm.nih.gov/protein/18482377","Acot12")</f>
        <v>Acot12</v>
      </c>
      <c r="D118" s="10">
        <f t="shared" si="1"/>
        <v>2.732559497186283</v>
      </c>
      <c r="F118" s="8" t="str">
        <f>HYPERLINK("https://esbl.nhlbi.nih.gov/Databases/mpkFractions/proteomic_fractions_log_files/Yang_log_img/18482377.jpg","show blot")</f>
        <v>show blot</v>
      </c>
      <c r="H118" s="8" t="str">
        <f>HYPERLINK("https://esbl.nhlbi.nih.gov/Databases/mpkFractions/proteomic_fractions_linear_files/Yang_linear_img/18482377.jpg","show blot")</f>
        <v>show blot</v>
      </c>
      <c r="J118" s="5" t="s">
        <v>234</v>
      </c>
      <c r="L118" s="11">
        <v>2.732559497186283</v>
      </c>
      <c r="N118" s="12"/>
    </row>
    <row r="119" spans="1:14" s="5" customFormat="1" ht="15" customHeight="1" x14ac:dyDescent="0.25">
      <c r="A119" s="9" t="s">
        <v>235</v>
      </c>
      <c r="C119" s="9" t="str">
        <f>HYPERLINK("http://www.ncbi.nlm.nih.gov/protein/13385260","Acot13")</f>
        <v>Acot13</v>
      </c>
      <c r="D119" s="10">
        <f t="shared" si="1"/>
        <v>5.2873564729031521</v>
      </c>
      <c r="F119" s="8" t="str">
        <f>HYPERLINK("https://esbl.nhlbi.nih.gov/Databases/mpkFractions/proteomic_fractions_log_files/Yang_log_img/13385260.jpg","show blot")</f>
        <v>show blot</v>
      </c>
      <c r="H119" s="8" t="str">
        <f>HYPERLINK("https://esbl.nhlbi.nih.gov/Databases/mpkFractions/proteomic_fractions_linear_files/Yang_linear_img/13385260.jpg","show blot")</f>
        <v>show blot</v>
      </c>
      <c r="J119" s="5" t="s">
        <v>236</v>
      </c>
      <c r="L119" s="11">
        <v>5.2873564729031521</v>
      </c>
      <c r="N119" s="12"/>
    </row>
    <row r="120" spans="1:14" s="5" customFormat="1" ht="15" customHeight="1" x14ac:dyDescent="0.25">
      <c r="A120" s="9" t="s">
        <v>237</v>
      </c>
      <c r="C120" s="9" t="str">
        <f>HYPERLINK("http://www.ncbi.nlm.nih.gov/protein/238624114","Acot2")</f>
        <v>Acot2</v>
      </c>
      <c r="D120" s="10">
        <f t="shared" si="1"/>
        <v>6.0614605004775868</v>
      </c>
      <c r="F120" s="8" t="str">
        <f>HYPERLINK("https://esbl.nhlbi.nih.gov/Databases/mpkFractions/proteomic_fractions_log_files/Yang_log_img/238624114.jpg","show blot")</f>
        <v>show blot</v>
      </c>
      <c r="H120" s="8" t="str">
        <f>HYPERLINK("https://esbl.nhlbi.nih.gov/Databases/mpkFractions/proteomic_fractions_linear_files/Yang_linear_img/238624114.jpg","show blot")</f>
        <v>show blot</v>
      </c>
      <c r="J120" s="5" t="s">
        <v>238</v>
      </c>
      <c r="L120" s="11">
        <v>6.0614605004775868</v>
      </c>
      <c r="N120" s="12"/>
    </row>
    <row r="121" spans="1:14" s="5" customFormat="1" ht="15" customHeight="1" x14ac:dyDescent="0.25">
      <c r="A121" s="9" t="s">
        <v>239</v>
      </c>
      <c r="C121" s="9" t="str">
        <f>HYPERLINK("http://www.ncbi.nlm.nih.gov/protein/19527406","Acot3")</f>
        <v>Acot3</v>
      </c>
      <c r="D121" s="10">
        <f t="shared" si="1"/>
        <v>4.0841984507417637</v>
      </c>
      <c r="F121" s="8" t="str">
        <f>HYPERLINK("https://esbl.nhlbi.nih.gov/Databases/mpkFractions/proteomic_fractions_log_files/Yang_log_img/19527406.jpg","show blot")</f>
        <v>show blot</v>
      </c>
      <c r="H121" s="8" t="str">
        <f>HYPERLINK("https://esbl.nhlbi.nih.gov/Databases/mpkFractions/proteomic_fractions_linear_files/Yang_linear_img/19527406.jpg","show blot")</f>
        <v>show blot</v>
      </c>
      <c r="J121" s="5" t="s">
        <v>240</v>
      </c>
      <c r="L121" s="11">
        <v>4.0841984507417637</v>
      </c>
      <c r="N121" s="12"/>
    </row>
    <row r="122" spans="1:14" s="5" customFormat="1" ht="15" customHeight="1" x14ac:dyDescent="0.25">
      <c r="A122" s="9" t="s">
        <v>241</v>
      </c>
      <c r="C122" s="9" t="str">
        <f>HYPERLINK("http://www.ncbi.nlm.nih.gov/protein/269308227","Acot4")</f>
        <v>Acot4</v>
      </c>
      <c r="D122" s="10">
        <f t="shared" si="1"/>
        <v>5.4609928928895677</v>
      </c>
      <c r="F122" s="8" t="str">
        <f>HYPERLINK("https://esbl.nhlbi.nih.gov/Databases/mpkFractions/proteomic_fractions_log_files/Yang_log_img/269308227.jpg","show blot")</f>
        <v>show blot</v>
      </c>
      <c r="H122" s="8" t="str">
        <f>HYPERLINK("https://esbl.nhlbi.nih.gov/Databases/mpkFractions/proteomic_fractions_linear_files/Yang_linear_img/269308227.jpg","show blot")</f>
        <v>show blot</v>
      </c>
      <c r="J122" s="5" t="s">
        <v>242</v>
      </c>
      <c r="L122" s="11">
        <v>5.4609928928895677</v>
      </c>
      <c r="N122" s="12"/>
    </row>
    <row r="123" spans="1:14" s="5" customFormat="1" ht="15" customHeight="1" x14ac:dyDescent="0.25">
      <c r="A123" s="9" t="s">
        <v>243</v>
      </c>
      <c r="C123" s="9" t="str">
        <f>HYPERLINK("http://www.ncbi.nlm.nih.gov/protein/238550185","Acot5")</f>
        <v>Acot5</v>
      </c>
      <c r="D123" s="10">
        <f t="shared" si="1"/>
        <v>4.0935384769959073</v>
      </c>
      <c r="F123" s="8" t="str">
        <f>HYPERLINK("https://esbl.nhlbi.nih.gov/Databases/mpkFractions/proteomic_fractions_log_files/Yang_log_img/238550185.jpg","show blot")</f>
        <v>show blot</v>
      </c>
      <c r="H123" s="8" t="str">
        <f>HYPERLINK("https://esbl.nhlbi.nih.gov/Databases/mpkFractions/proteomic_fractions_linear_files/Yang_linear_img/238550185.jpg","show blot")</f>
        <v>show blot</v>
      </c>
      <c r="J123" s="5" t="s">
        <v>244</v>
      </c>
      <c r="L123" s="11">
        <v>4.0935384769959073</v>
      </c>
      <c r="N123" s="12"/>
    </row>
    <row r="124" spans="1:14" s="5" customFormat="1" ht="15" customHeight="1" x14ac:dyDescent="0.25">
      <c r="A124" s="9" t="s">
        <v>245</v>
      </c>
      <c r="C124" s="9" t="str">
        <f>HYPERLINK("http://www.ncbi.nlm.nih.gov/protein/110626167","Acot6")</f>
        <v>Acot6</v>
      </c>
      <c r="D124" s="10">
        <f t="shared" si="1"/>
        <v>5.4516528666354249</v>
      </c>
      <c r="F124" s="8" t="str">
        <f>HYPERLINK("https://esbl.nhlbi.nih.gov/Databases/mpkFractions/proteomic_fractions_log_files/Yang_log_img/110626167.jpg","show blot")</f>
        <v>show blot</v>
      </c>
      <c r="H124" s="8" t="str">
        <f>HYPERLINK("https://esbl.nhlbi.nih.gov/Databases/mpkFractions/proteomic_fractions_linear_files/Yang_linear_img/110626167.jpg","show blot")</f>
        <v>show blot</v>
      </c>
      <c r="J124" s="5" t="s">
        <v>246</v>
      </c>
      <c r="L124" s="11">
        <v>5.4516528666354249</v>
      </c>
      <c r="N124" s="12"/>
    </row>
    <row r="125" spans="1:14" s="5" customFormat="1" ht="15" customHeight="1" x14ac:dyDescent="0.25">
      <c r="A125" s="9" t="s">
        <v>247</v>
      </c>
      <c r="C125" s="9" t="str">
        <f>HYPERLINK("http://www.ncbi.nlm.nih.gov/protein/225690614","Acot7")</f>
        <v>Acot7</v>
      </c>
      <c r="D125" s="10">
        <f t="shared" si="1"/>
        <v>5.084776556663579</v>
      </c>
      <c r="F125" s="8" t="str">
        <f>HYPERLINK("https://esbl.nhlbi.nih.gov/Databases/mpkFractions/proteomic_fractions_log_files/Yang_log_img/225690614.jpg","show blot")</f>
        <v>show blot</v>
      </c>
      <c r="H125" s="8" t="str">
        <f>HYPERLINK("https://esbl.nhlbi.nih.gov/Databases/mpkFractions/proteomic_fractions_linear_files/Yang_linear_img/225690614.jpg","show blot")</f>
        <v>show blot</v>
      </c>
      <c r="J125" s="5" t="s">
        <v>248</v>
      </c>
      <c r="L125" s="11">
        <v>5.084776556663579</v>
      </c>
      <c r="N125" s="12"/>
    </row>
    <row r="126" spans="1:14" s="5" customFormat="1" ht="15" customHeight="1" x14ac:dyDescent="0.25">
      <c r="A126" s="9" t="s">
        <v>249</v>
      </c>
      <c r="C126" s="9" t="str">
        <f>HYPERLINK("http://www.ncbi.nlm.nih.gov/protein/225690616","Acot7")</f>
        <v>Acot7</v>
      </c>
      <c r="D126" s="10">
        <f t="shared" si="1"/>
        <v>5.084776556663579</v>
      </c>
      <c r="F126" s="8" t="str">
        <f>HYPERLINK("https://esbl.nhlbi.nih.gov/Databases/mpkFractions/proteomic_fractions_log_files/Yang_log_img/225690616.jpg","show blot")</f>
        <v>show blot</v>
      </c>
      <c r="H126" s="8" t="str">
        <f>HYPERLINK("https://esbl.nhlbi.nih.gov/Databases/mpkFractions/proteomic_fractions_linear_files/Yang_linear_img/225690616.jpg","show blot")</f>
        <v>show blot</v>
      </c>
      <c r="J126" s="5" t="s">
        <v>250</v>
      </c>
      <c r="L126" s="11">
        <v>5.084776556663579</v>
      </c>
      <c r="N126" s="12"/>
    </row>
    <row r="127" spans="1:14" s="5" customFormat="1" ht="15" customHeight="1" x14ac:dyDescent="0.25">
      <c r="A127" s="9" t="s">
        <v>251</v>
      </c>
      <c r="C127" s="9" t="str">
        <f>HYPERLINK("http://www.ncbi.nlm.nih.gov/protein/225690618","Acot7")</f>
        <v>Acot7</v>
      </c>
      <c r="D127" s="10">
        <f t="shared" si="1"/>
        <v>5.084776556663579</v>
      </c>
      <c r="F127" s="8" t="str">
        <f>HYPERLINK("https://esbl.nhlbi.nih.gov/Databases/mpkFractions/proteomic_fractions_log_files/Yang_log_img/225690618.jpg","show blot")</f>
        <v>show blot</v>
      </c>
      <c r="H127" s="8" t="str">
        <f>HYPERLINK("https://esbl.nhlbi.nih.gov/Databases/mpkFractions/proteomic_fractions_linear_files/Yang_linear_img/225690618.jpg","show blot")</f>
        <v>show blot</v>
      </c>
      <c r="J127" s="5" t="s">
        <v>252</v>
      </c>
      <c r="L127" s="11">
        <v>5.084776556663579</v>
      </c>
      <c r="N127" s="12"/>
    </row>
    <row r="128" spans="1:14" s="5" customFormat="1" ht="15" customHeight="1" x14ac:dyDescent="0.25">
      <c r="A128" s="9" t="s">
        <v>253</v>
      </c>
      <c r="C128" s="9" t="str">
        <f>HYPERLINK("http://www.ncbi.nlm.nih.gov/protein/254587964","Acot8")</f>
        <v>Acot8</v>
      </c>
      <c r="D128" s="10">
        <f t="shared" si="1"/>
        <v>4.8110001738366819</v>
      </c>
      <c r="F128" s="8" t="str">
        <f>HYPERLINK("https://esbl.nhlbi.nih.gov/Databases/mpkFractions/proteomic_fractions_log_files/Yang_log_img/254587964.jpg","show blot")</f>
        <v>show blot</v>
      </c>
      <c r="H128" s="8" t="str">
        <f>HYPERLINK("https://esbl.nhlbi.nih.gov/Databases/mpkFractions/proteomic_fractions_linear_files/Yang_linear_img/254587964.jpg","show blot")</f>
        <v>show blot</v>
      </c>
      <c r="J128" s="5" t="s">
        <v>254</v>
      </c>
      <c r="L128" s="11">
        <v>4.8110001738366819</v>
      </c>
      <c r="N128" s="12"/>
    </row>
    <row r="129" spans="1:14" s="5" customFormat="1" ht="15" customHeight="1" x14ac:dyDescent="0.25">
      <c r="A129" s="9" t="s">
        <v>255</v>
      </c>
      <c r="C129" s="9" t="str">
        <f>HYPERLINK("http://www.ncbi.nlm.nih.gov/protein/31980998","Acot9")</f>
        <v>Acot9</v>
      </c>
      <c r="D129" s="10">
        <f t="shared" si="1"/>
        <v>4.7319898815422459</v>
      </c>
      <c r="F129" s="8" t="str">
        <f>HYPERLINK("https://esbl.nhlbi.nih.gov/Databases/mpkFractions/proteomic_fractions_log_files/Yang_log_img/31980998.jpg","show blot")</f>
        <v>show blot</v>
      </c>
      <c r="H129" s="8" t="str">
        <f>HYPERLINK("https://esbl.nhlbi.nih.gov/Databases/mpkFractions/proteomic_fractions_linear_files/Yang_linear_img/31980998.jpg","show blot")</f>
        <v>show blot</v>
      </c>
      <c r="J129" s="5" t="s">
        <v>256</v>
      </c>
      <c r="L129" s="11">
        <v>4.7319898815422459</v>
      </c>
      <c r="N129" s="12"/>
    </row>
    <row r="130" spans="1:14" s="5" customFormat="1" ht="15" customHeight="1" x14ac:dyDescent="0.25">
      <c r="A130" s="9" t="s">
        <v>257</v>
      </c>
      <c r="C130" s="9" t="str">
        <f>HYPERLINK("http://www.ncbi.nlm.nih.gov/protein/429484484","Acox1")</f>
        <v>Acox1</v>
      </c>
      <c r="D130" s="10">
        <f t="shared" si="1"/>
        <v>5.281444783759448</v>
      </c>
      <c r="F130" s="8" t="str">
        <f>HYPERLINK("https://esbl.nhlbi.nih.gov/Databases/mpkFractions/proteomic_fractions_log_files/Yang_log_img/429484484.jpg","show blot")</f>
        <v>show blot</v>
      </c>
      <c r="H130" s="8" t="str">
        <f>HYPERLINK("https://esbl.nhlbi.nih.gov/Databases/mpkFractions/proteomic_fractions_linear_files/Yang_linear_img/429484484.jpg","show blot")</f>
        <v>show blot</v>
      </c>
      <c r="J130" s="5" t="s">
        <v>258</v>
      </c>
      <c r="L130" s="11">
        <v>5.281444783759448</v>
      </c>
      <c r="N130" s="12"/>
    </row>
    <row r="131" spans="1:14" s="5" customFormat="1" ht="15" customHeight="1" x14ac:dyDescent="0.25">
      <c r="A131" s="9" t="s">
        <v>259</v>
      </c>
      <c r="C131" s="9" t="str">
        <f>HYPERLINK("http://www.ncbi.nlm.nih.gov/protein/66793429","Acox1")</f>
        <v>Acox1</v>
      </c>
      <c r="D131" s="10">
        <f t="shared" si="1"/>
        <v>5.281444783759448</v>
      </c>
      <c r="F131" s="8" t="str">
        <f>HYPERLINK("https://esbl.nhlbi.nih.gov/Databases/mpkFractions/proteomic_fractions_log_files/Yang_log_img/66793429.jpg","show blot")</f>
        <v>show blot</v>
      </c>
      <c r="H131" s="8" t="str">
        <f>HYPERLINK("https://esbl.nhlbi.nih.gov/Databases/mpkFractions/proteomic_fractions_linear_files/Yang_linear_img/66793429.jpg","show blot")</f>
        <v>show blot</v>
      </c>
      <c r="J131" s="5" t="s">
        <v>260</v>
      </c>
      <c r="L131" s="11">
        <v>5.281444783759448</v>
      </c>
      <c r="N131" s="12"/>
    </row>
    <row r="132" spans="1:14" s="5" customFormat="1" ht="15" customHeight="1" x14ac:dyDescent="0.25">
      <c r="A132" s="9" t="s">
        <v>261</v>
      </c>
      <c r="C132" s="9" t="str">
        <f>HYPERLINK("http://www.ncbi.nlm.nih.gov/protein/34328334","Acox3")</f>
        <v>Acox3</v>
      </c>
      <c r="D132" s="10">
        <f t="shared" si="1"/>
        <v>3.8321485730733991</v>
      </c>
      <c r="F132" s="8" t="str">
        <f>HYPERLINK("https://esbl.nhlbi.nih.gov/Databases/mpkFractions/proteomic_fractions_log_files/Yang_log_img/34328334.jpg","show blot")</f>
        <v>show blot</v>
      </c>
      <c r="H132" s="8" t="str">
        <f>HYPERLINK("https://esbl.nhlbi.nih.gov/Databases/mpkFractions/proteomic_fractions_linear_files/Yang_linear_img/34328334.jpg","show blot")</f>
        <v>show blot</v>
      </c>
      <c r="J132" s="5" t="s">
        <v>262</v>
      </c>
      <c r="L132" s="11">
        <v>3.8321485730733991</v>
      </c>
      <c r="N132" s="12"/>
    </row>
    <row r="133" spans="1:14" s="5" customFormat="1" ht="15" customHeight="1" x14ac:dyDescent="0.25">
      <c r="A133" s="9" t="s">
        <v>263</v>
      </c>
      <c r="C133" s="9" t="str">
        <f>HYPERLINK("http://www.ncbi.nlm.nih.gov/protein/159032062","Acp1")</f>
        <v>Acp1</v>
      </c>
      <c r="D133" s="10">
        <f t="shared" ref="D133:D196" si="2">L133</f>
        <v>5.9235997610755069</v>
      </c>
      <c r="F133" s="8" t="str">
        <f>HYPERLINK("https://esbl.nhlbi.nih.gov/Databases/mpkFractions/proteomic_fractions_log_files/Yang_log_img/159032062.jpg","show blot")</f>
        <v>show blot</v>
      </c>
      <c r="H133" s="8" t="str">
        <f>HYPERLINK("https://esbl.nhlbi.nih.gov/Databases/mpkFractions/proteomic_fractions_linear_files/Yang_linear_img/159032062.jpg","show blot")</f>
        <v>show blot</v>
      </c>
      <c r="J133" s="5" t="s">
        <v>264</v>
      </c>
      <c r="L133" s="11">
        <v>5.9235997610755069</v>
      </c>
      <c r="N133" s="12"/>
    </row>
    <row r="134" spans="1:14" s="5" customFormat="1" ht="15" customHeight="1" x14ac:dyDescent="0.25">
      <c r="A134" s="9" t="s">
        <v>265</v>
      </c>
      <c r="C134" s="9" t="str">
        <f>HYPERLINK("http://www.ncbi.nlm.nih.gov/protein/29150253","Acp2")</f>
        <v>Acp2</v>
      </c>
      <c r="D134" s="10">
        <f t="shared" si="2"/>
        <v>4.9941622271294079</v>
      </c>
      <c r="F134" s="8" t="str">
        <f>HYPERLINK("https://esbl.nhlbi.nih.gov/Databases/mpkFractions/proteomic_fractions_log_files/Yang_log_img/29150253.jpg","show blot")</f>
        <v>show blot</v>
      </c>
      <c r="H134" s="8" t="str">
        <f>HYPERLINK("https://esbl.nhlbi.nih.gov/Databases/mpkFractions/proteomic_fractions_linear_files/Yang_linear_img/29150253.jpg","show blot")</f>
        <v>show blot</v>
      </c>
      <c r="J134" s="5" t="s">
        <v>266</v>
      </c>
      <c r="L134" s="11">
        <v>4.9941622271294079</v>
      </c>
      <c r="N134" s="12"/>
    </row>
    <row r="135" spans="1:14" s="5" customFormat="1" ht="15" customHeight="1" x14ac:dyDescent="0.25">
      <c r="A135" s="9" t="s">
        <v>267</v>
      </c>
      <c r="C135" s="9" t="str">
        <f>HYPERLINK("http://www.ncbi.nlm.nih.gov/protein/66773165","Acp6")</f>
        <v>Acp6</v>
      </c>
      <c r="D135" s="10">
        <f t="shared" si="2"/>
        <v>4.5932364182792016</v>
      </c>
      <c r="F135" s="8" t="str">
        <f>HYPERLINK("https://esbl.nhlbi.nih.gov/Databases/mpkFractions/proteomic_fractions_log_files/Yang_log_img/66773165.jpg","show blot")</f>
        <v>show blot</v>
      </c>
      <c r="H135" s="8" t="str">
        <f>HYPERLINK("https://esbl.nhlbi.nih.gov/Databases/mpkFractions/proteomic_fractions_linear_files/Yang_linear_img/66773165.jpg","show blot")</f>
        <v>show blot</v>
      </c>
      <c r="J135" s="5" t="s">
        <v>268</v>
      </c>
      <c r="L135" s="11">
        <v>4.5932364182792016</v>
      </c>
      <c r="N135" s="12"/>
    </row>
    <row r="136" spans="1:14" s="5" customFormat="1" ht="15" customHeight="1" x14ac:dyDescent="0.25">
      <c r="A136" s="9" t="s">
        <v>269</v>
      </c>
      <c r="C136" s="9" t="str">
        <f>HYPERLINK("http://www.ncbi.nlm.nih.gov/protein/24418933","Acsf2")</f>
        <v>Acsf2</v>
      </c>
      <c r="D136" s="10">
        <f t="shared" si="2"/>
        <v>5.038266109733863</v>
      </c>
      <c r="F136" s="8" t="str">
        <f>HYPERLINK("https://esbl.nhlbi.nih.gov/Databases/mpkFractions/proteomic_fractions_log_files/Yang_log_img/24418933.jpg","show blot")</f>
        <v>show blot</v>
      </c>
      <c r="H136" s="8" t="str">
        <f>HYPERLINK("https://esbl.nhlbi.nih.gov/Databases/mpkFractions/proteomic_fractions_linear_files/Yang_linear_img/24418933.jpg","show blot")</f>
        <v>show blot</v>
      </c>
      <c r="J136" s="5" t="s">
        <v>270</v>
      </c>
      <c r="L136" s="11">
        <v>5.038266109733863</v>
      </c>
      <c r="N136" s="12"/>
    </row>
    <row r="137" spans="1:14" s="5" customFormat="1" ht="15" customHeight="1" x14ac:dyDescent="0.25">
      <c r="A137" s="9" t="s">
        <v>271</v>
      </c>
      <c r="C137" s="9" t="str">
        <f>HYPERLINK("http://www.ncbi.nlm.nih.gov/protein/113199775","Acsf3")</f>
        <v>Acsf3</v>
      </c>
      <c r="D137" s="10">
        <f t="shared" si="2"/>
        <v>3.9303988713159641</v>
      </c>
      <c r="F137" s="8" t="str">
        <f>HYPERLINK("https://esbl.nhlbi.nih.gov/Databases/mpkFractions/proteomic_fractions_log_files/Yang_log_img/113199775.jpg","show blot")</f>
        <v>show blot</v>
      </c>
      <c r="H137" s="8" t="str">
        <f>HYPERLINK("https://esbl.nhlbi.nih.gov/Databases/mpkFractions/proteomic_fractions_linear_files/Yang_linear_img/113199775.jpg","show blot")</f>
        <v>show blot</v>
      </c>
      <c r="J137" s="5" t="s">
        <v>272</v>
      </c>
      <c r="L137" s="11">
        <v>3.9303988713159641</v>
      </c>
      <c r="N137" s="12"/>
    </row>
    <row r="138" spans="1:14" s="5" customFormat="1" ht="15" customHeight="1" x14ac:dyDescent="0.25">
      <c r="A138" s="9" t="s">
        <v>273</v>
      </c>
      <c r="C138" s="9" t="str">
        <f>HYPERLINK("http://www.ncbi.nlm.nih.gov/protein/31560705","Acsl1")</f>
        <v>Acsl1</v>
      </c>
      <c r="D138" s="10">
        <f t="shared" si="2"/>
        <v>4.4205569273243537</v>
      </c>
      <c r="F138" s="8" t="str">
        <f>HYPERLINK("https://esbl.nhlbi.nih.gov/Databases/mpkFractions/proteomic_fractions_log_files/Yang_log_img/31560705.jpg","show blot")</f>
        <v>show blot</v>
      </c>
      <c r="H138" s="8" t="str">
        <f>HYPERLINK("https://esbl.nhlbi.nih.gov/Databases/mpkFractions/proteomic_fractions_linear_files/Yang_linear_img/31560705.jpg","show blot")</f>
        <v>show blot</v>
      </c>
      <c r="J138" s="5" t="s">
        <v>274</v>
      </c>
      <c r="L138" s="11">
        <v>4.4205569273243537</v>
      </c>
      <c r="N138" s="12"/>
    </row>
    <row r="139" spans="1:14" s="5" customFormat="1" ht="15" customHeight="1" x14ac:dyDescent="0.25">
      <c r="A139" s="9" t="s">
        <v>275</v>
      </c>
      <c r="C139" s="9" t="str">
        <f>HYPERLINK("http://www.ncbi.nlm.nih.gov/protein/209977076","Acsl3")</f>
        <v>Acsl3</v>
      </c>
      <c r="D139" s="10">
        <f t="shared" si="2"/>
        <v>4.8149716205499153</v>
      </c>
      <c r="F139" s="8" t="str">
        <f>HYPERLINK("https://esbl.nhlbi.nih.gov/Databases/mpkFractions/proteomic_fractions_log_files/Yang_log_img/209977076.jpg","show blot")</f>
        <v>show blot</v>
      </c>
      <c r="H139" s="8" t="str">
        <f>HYPERLINK("https://esbl.nhlbi.nih.gov/Databases/mpkFractions/proteomic_fractions_linear_files/Yang_linear_img/209977076.jpg","show blot")</f>
        <v>show blot</v>
      </c>
      <c r="J139" s="5" t="s">
        <v>276</v>
      </c>
      <c r="L139" s="11">
        <v>4.8149716205499153</v>
      </c>
      <c r="N139" s="12"/>
    </row>
    <row r="140" spans="1:14" s="5" customFormat="1" ht="15" customHeight="1" x14ac:dyDescent="0.25">
      <c r="A140" s="9" t="s">
        <v>277</v>
      </c>
      <c r="C140" s="9" t="str">
        <f>HYPERLINK("http://www.ncbi.nlm.nih.gov/protein/75992920","Acsl3")</f>
        <v>Acsl3</v>
      </c>
      <c r="D140" s="10">
        <f t="shared" si="2"/>
        <v>4.8149716205499153</v>
      </c>
      <c r="F140" s="8" t="str">
        <f>HYPERLINK("https://esbl.nhlbi.nih.gov/Databases/mpkFractions/proteomic_fractions_log_files/Yang_log_img/75992920.jpg","show blot")</f>
        <v>show blot</v>
      </c>
      <c r="H140" s="8" t="str">
        <f>HYPERLINK("https://esbl.nhlbi.nih.gov/Databases/mpkFractions/proteomic_fractions_linear_files/Yang_linear_img/75992920.jpg","show blot")</f>
        <v>show blot</v>
      </c>
      <c r="J140" s="5" t="s">
        <v>278</v>
      </c>
      <c r="L140" s="11">
        <v>4.8149716205499153</v>
      </c>
      <c r="N140" s="12"/>
    </row>
    <row r="141" spans="1:14" s="5" customFormat="1" ht="15" customHeight="1" x14ac:dyDescent="0.25">
      <c r="A141" s="9" t="s">
        <v>279</v>
      </c>
      <c r="C141" s="9" t="str">
        <f>HYPERLINK("http://www.ncbi.nlm.nih.gov/protein/46518528","Acsl4")</f>
        <v>Acsl4</v>
      </c>
      <c r="D141" s="10">
        <f t="shared" si="2"/>
        <v>4.7752603321566678</v>
      </c>
      <c r="F141" s="8" t="str">
        <f>HYPERLINK("https://esbl.nhlbi.nih.gov/Databases/mpkFractions/proteomic_fractions_log_files/Yang_log_img/46518528.jpg","show blot")</f>
        <v>show blot</v>
      </c>
      <c r="H141" s="8" t="str">
        <f>HYPERLINK("https://esbl.nhlbi.nih.gov/Databases/mpkFractions/proteomic_fractions_linear_files/Yang_linear_img/46518528.jpg","show blot")</f>
        <v>show blot</v>
      </c>
      <c r="J141" s="5" t="s">
        <v>280</v>
      </c>
      <c r="L141" s="11">
        <v>4.7752603321566678</v>
      </c>
      <c r="N141" s="12"/>
    </row>
    <row r="142" spans="1:14" s="5" customFormat="1" ht="15" customHeight="1" x14ac:dyDescent="0.25">
      <c r="A142" s="9" t="s">
        <v>281</v>
      </c>
      <c r="C142" s="9" t="str">
        <f>HYPERLINK("http://www.ncbi.nlm.nih.gov/protein/75992925","Acsl4")</f>
        <v>Acsl4</v>
      </c>
      <c r="D142" s="10">
        <f t="shared" si="2"/>
        <v>4.7752603321566678</v>
      </c>
      <c r="F142" s="8" t="str">
        <f>HYPERLINK("https://esbl.nhlbi.nih.gov/Databases/mpkFractions/proteomic_fractions_log_files/Yang_log_img/75992925.jpg","show blot")</f>
        <v>show blot</v>
      </c>
      <c r="H142" s="8" t="str">
        <f>HYPERLINK("https://esbl.nhlbi.nih.gov/Databases/mpkFractions/proteomic_fractions_linear_files/Yang_linear_img/75992925.jpg","show blot")</f>
        <v>show blot</v>
      </c>
      <c r="J142" s="5" t="s">
        <v>282</v>
      </c>
      <c r="L142" s="11">
        <v>4.7752603321566678</v>
      </c>
      <c r="N142" s="12"/>
    </row>
    <row r="143" spans="1:14" s="5" customFormat="1" ht="15" customHeight="1" x14ac:dyDescent="0.25">
      <c r="A143" s="9" t="s">
        <v>283</v>
      </c>
      <c r="C143" s="9" t="str">
        <f>HYPERLINK("http://www.ncbi.nlm.nih.gov/protein/58218988","Acsl5")</f>
        <v>Acsl5</v>
      </c>
      <c r="D143" s="10">
        <f t="shared" si="2"/>
        <v>4.8238353878032783</v>
      </c>
      <c r="F143" s="8" t="str">
        <f>HYPERLINK("https://esbl.nhlbi.nih.gov/Databases/mpkFractions/proteomic_fractions_log_files/Yang_log_img/58218988.jpg","show blot")</f>
        <v>show blot</v>
      </c>
      <c r="H143" s="8" t="str">
        <f>HYPERLINK("https://esbl.nhlbi.nih.gov/Databases/mpkFractions/proteomic_fractions_linear_files/Yang_linear_img/58218988.jpg","show blot")</f>
        <v>show blot</v>
      </c>
      <c r="J143" s="5" t="s">
        <v>284</v>
      </c>
      <c r="L143" s="11">
        <v>4.8238353878032783</v>
      </c>
      <c r="N143" s="12"/>
    </row>
    <row r="144" spans="1:14" s="5" customFormat="1" ht="15" customHeight="1" x14ac:dyDescent="0.25">
      <c r="A144" s="9" t="s">
        <v>285</v>
      </c>
      <c r="C144" s="9" t="str">
        <f>HYPERLINK("http://www.ncbi.nlm.nih.gov/protein/31980996","Acss2")</f>
        <v>Acss2</v>
      </c>
      <c r="D144" s="10">
        <f t="shared" si="2"/>
        <v>3.7218312574790322</v>
      </c>
      <c r="F144" s="8" t="str">
        <f>HYPERLINK("https://esbl.nhlbi.nih.gov/Databases/mpkFractions/proteomic_fractions_log_files/Yang_log_img/31980996.jpg","show blot")</f>
        <v>show blot</v>
      </c>
      <c r="H144" s="8" t="str">
        <f>HYPERLINK("https://esbl.nhlbi.nih.gov/Databases/mpkFractions/proteomic_fractions_linear_files/Yang_linear_img/31980996.jpg","show blot")</f>
        <v>show blot</v>
      </c>
      <c r="J144" s="5" t="s">
        <v>286</v>
      </c>
      <c r="L144" s="11">
        <v>3.7218312574790322</v>
      </c>
      <c r="N144" s="12"/>
    </row>
    <row r="145" spans="1:14" s="5" customFormat="1" ht="15" customHeight="1" x14ac:dyDescent="0.25">
      <c r="A145" s="9" t="s">
        <v>287</v>
      </c>
      <c r="C145" s="9" t="str">
        <f>HYPERLINK("http://www.ncbi.nlm.nih.gov/protein/33563240","Acta1")</f>
        <v>Acta1</v>
      </c>
      <c r="D145" s="10">
        <f t="shared" si="2"/>
        <v>7.769374145720751</v>
      </c>
      <c r="F145" s="8" t="str">
        <f>HYPERLINK("https://esbl.nhlbi.nih.gov/Databases/mpkFractions/proteomic_fractions_log_files/Yang_log_img/33563240.jpg","show blot")</f>
        <v>show blot</v>
      </c>
      <c r="H145" s="8" t="str">
        <f>HYPERLINK("https://esbl.nhlbi.nih.gov/Databases/mpkFractions/proteomic_fractions_linear_files/Yang_linear_img/33563240.jpg","show blot")</f>
        <v>show blot</v>
      </c>
      <c r="J145" s="5" t="s">
        <v>288</v>
      </c>
      <c r="L145" s="11">
        <v>7.769374145720751</v>
      </c>
      <c r="N145" s="12"/>
    </row>
    <row r="146" spans="1:14" s="5" customFormat="1" ht="15" customHeight="1" x14ac:dyDescent="0.25">
      <c r="A146" s="9" t="s">
        <v>289</v>
      </c>
      <c r="C146" s="9" t="str">
        <f>HYPERLINK("http://www.ncbi.nlm.nih.gov/protein/6671507","Acta2")</f>
        <v>Acta2</v>
      </c>
      <c r="D146" s="10">
        <f t="shared" si="2"/>
        <v>7.7294998124214933</v>
      </c>
      <c r="F146" s="8" t="str">
        <f>HYPERLINK("https://esbl.nhlbi.nih.gov/Databases/mpkFractions/proteomic_fractions_log_files/Yang_log_img/6671507.jpg","show blot")</f>
        <v>show blot</v>
      </c>
      <c r="H146" s="8" t="str">
        <f>HYPERLINK("https://esbl.nhlbi.nih.gov/Databases/mpkFractions/proteomic_fractions_linear_files/Yang_linear_img/6671507.jpg","show blot")</f>
        <v>show blot</v>
      </c>
      <c r="J146" s="5" t="s">
        <v>290</v>
      </c>
      <c r="L146" s="11">
        <v>7.7294998124214933</v>
      </c>
      <c r="N146" s="12"/>
    </row>
    <row r="147" spans="1:14" s="5" customFormat="1" ht="15" customHeight="1" x14ac:dyDescent="0.25">
      <c r="A147" s="9" t="s">
        <v>291</v>
      </c>
      <c r="C147" s="9" t="str">
        <f>HYPERLINK("http://www.ncbi.nlm.nih.gov/protein/6671509","Actb")</f>
        <v>Actb</v>
      </c>
      <c r="D147" s="10">
        <f t="shared" si="2"/>
        <v>7.9943449994447597</v>
      </c>
      <c r="F147" s="8" t="str">
        <f>HYPERLINK("https://esbl.nhlbi.nih.gov/Databases/mpkFractions/proteomic_fractions_log_files/Yang_log_img/6671509.jpg","show blot")</f>
        <v>show blot</v>
      </c>
      <c r="H147" s="8" t="str">
        <f>HYPERLINK("https://esbl.nhlbi.nih.gov/Databases/mpkFractions/proteomic_fractions_linear_files/Yang_linear_img/6671509.jpg","show blot")</f>
        <v>show blot</v>
      </c>
      <c r="J147" s="5" t="s">
        <v>292</v>
      </c>
      <c r="L147" s="11">
        <v>7.9943449994447597</v>
      </c>
      <c r="N147" s="12"/>
    </row>
    <row r="148" spans="1:14" s="5" customFormat="1" ht="15" customHeight="1" x14ac:dyDescent="0.25">
      <c r="A148" s="9" t="s">
        <v>293</v>
      </c>
      <c r="C148" s="9" t="str">
        <f>HYPERLINK("http://www.ncbi.nlm.nih.gov/protein/30425250","Actbl2")</f>
        <v>Actbl2</v>
      </c>
      <c r="D148" s="10">
        <f t="shared" si="2"/>
        <v>7.5060441939514266</v>
      </c>
      <c r="F148" s="8" t="str">
        <f>HYPERLINK("https://esbl.nhlbi.nih.gov/Databases/mpkFractions/proteomic_fractions_log_files/Yang_log_img/30425250.jpg","show blot")</f>
        <v>show blot</v>
      </c>
      <c r="H148" s="8" t="str">
        <f>HYPERLINK("https://esbl.nhlbi.nih.gov/Databases/mpkFractions/proteomic_fractions_linear_files/Yang_linear_img/30425250.jpg","show blot")</f>
        <v>show blot</v>
      </c>
      <c r="J148" s="5" t="s">
        <v>294</v>
      </c>
      <c r="L148" s="11">
        <v>7.5060441939514266</v>
      </c>
      <c r="N148" s="12"/>
    </row>
    <row r="149" spans="1:14" s="5" customFormat="1" ht="15" customHeight="1" x14ac:dyDescent="0.25">
      <c r="A149" s="9" t="s">
        <v>295</v>
      </c>
      <c r="C149" s="9" t="str">
        <f>HYPERLINK("http://www.ncbi.nlm.nih.gov/protein/14192922","Actc1")</f>
        <v>Actc1</v>
      </c>
      <c r="D149" s="10">
        <f t="shared" si="2"/>
        <v>7.7668435503039994</v>
      </c>
      <c r="F149" s="8" t="str">
        <f>HYPERLINK("https://esbl.nhlbi.nih.gov/Databases/mpkFractions/proteomic_fractions_log_files/Yang_log_img/14192922.jpg","show blot")</f>
        <v>show blot</v>
      </c>
      <c r="H149" s="8" t="str">
        <f>HYPERLINK("https://esbl.nhlbi.nih.gov/Databases/mpkFractions/proteomic_fractions_linear_files/Yang_linear_img/14192922.jpg","show blot")</f>
        <v>show blot</v>
      </c>
      <c r="J149" s="5" t="s">
        <v>296</v>
      </c>
      <c r="L149" s="11">
        <v>7.7668435503039994</v>
      </c>
      <c r="N149" s="12"/>
    </row>
    <row r="150" spans="1:14" s="5" customFormat="1" ht="15" customHeight="1" x14ac:dyDescent="0.25">
      <c r="A150" s="9" t="s">
        <v>297</v>
      </c>
      <c r="C150" s="9" t="str">
        <f>HYPERLINK("http://www.ncbi.nlm.nih.gov/protein/6752954","Actg1")</f>
        <v>Actg1</v>
      </c>
      <c r="D150" s="10">
        <f t="shared" si="2"/>
        <v>7.9892905470123594</v>
      </c>
      <c r="F150" s="8" t="str">
        <f>HYPERLINK("https://esbl.nhlbi.nih.gov/Databases/mpkFractions/proteomic_fractions_log_files/Yang_log_img/6752954.jpg","show blot")</f>
        <v>show blot</v>
      </c>
      <c r="H150" s="8" t="str">
        <f>HYPERLINK("https://esbl.nhlbi.nih.gov/Databases/mpkFractions/proteomic_fractions_linear_files/Yang_linear_img/6752954.jpg","show blot")</f>
        <v>show blot</v>
      </c>
      <c r="J150" s="5" t="s">
        <v>298</v>
      </c>
      <c r="L150" s="11">
        <v>7.9892905470123594</v>
      </c>
      <c r="N150" s="12"/>
    </row>
    <row r="151" spans="1:14" s="5" customFormat="1" ht="15" customHeight="1" x14ac:dyDescent="0.25">
      <c r="A151" s="9" t="s">
        <v>299</v>
      </c>
      <c r="C151" s="9" t="str">
        <f>HYPERLINK("http://www.ncbi.nlm.nih.gov/protein/157823889","Actg2")</f>
        <v>Actg2</v>
      </c>
      <c r="D151" s="10">
        <f t="shared" si="2"/>
        <v>7.6997415015712471</v>
      </c>
      <c r="F151" s="8" t="str">
        <f>HYPERLINK("https://esbl.nhlbi.nih.gov/Databases/mpkFractions/proteomic_fractions_log_files/Yang_log_img/157823889.jpg","show blot")</f>
        <v>show blot</v>
      </c>
      <c r="H151" s="8" t="str">
        <f>HYPERLINK("https://esbl.nhlbi.nih.gov/Databases/mpkFractions/proteomic_fractions_linear_files/Yang_linear_img/157823889.jpg","show blot")</f>
        <v>show blot</v>
      </c>
      <c r="J151" s="5" t="s">
        <v>300</v>
      </c>
      <c r="L151" s="11">
        <v>7.6997415015712471</v>
      </c>
      <c r="N151" s="12"/>
    </row>
    <row r="152" spans="1:14" s="5" customFormat="1" ht="15" customHeight="1" x14ac:dyDescent="0.25">
      <c r="A152" s="9" t="s">
        <v>301</v>
      </c>
      <c r="C152" s="9" t="str">
        <f>HYPERLINK("http://www.ncbi.nlm.nih.gov/protein/189181668","Actl6a")</f>
        <v>Actl6a</v>
      </c>
      <c r="D152" s="10">
        <f t="shared" si="2"/>
        <v>5.5447901165039664</v>
      </c>
      <c r="F152" s="8" t="str">
        <f>HYPERLINK("https://esbl.nhlbi.nih.gov/Databases/mpkFractions/proteomic_fractions_log_files/Yang_log_img/189181668.jpg","show blot")</f>
        <v>show blot</v>
      </c>
      <c r="H152" s="8" t="str">
        <f>HYPERLINK("https://esbl.nhlbi.nih.gov/Databases/mpkFractions/proteomic_fractions_linear_files/Yang_linear_img/189181668.jpg","show blot")</f>
        <v>show blot</v>
      </c>
      <c r="J152" s="5" t="s">
        <v>302</v>
      </c>
      <c r="L152" s="11">
        <v>5.5447901165039664</v>
      </c>
      <c r="N152" s="12"/>
    </row>
    <row r="153" spans="1:14" s="5" customFormat="1" ht="15" customHeight="1" x14ac:dyDescent="0.25">
      <c r="A153" s="9" t="s">
        <v>303</v>
      </c>
      <c r="C153" s="9" t="str">
        <f>HYPERLINK("http://www.ncbi.nlm.nih.gov/protein/13937393","Actl6b")</f>
        <v>Actl6b</v>
      </c>
      <c r="D153" s="10">
        <f t="shared" si="2"/>
        <v>4.9623612231040539</v>
      </c>
      <c r="F153" s="8" t="str">
        <f>HYPERLINK("https://esbl.nhlbi.nih.gov/Databases/mpkFractions/proteomic_fractions_log_files/Yang_log_img/13937393.jpg","show blot")</f>
        <v>show blot</v>
      </c>
      <c r="H153" s="8" t="str">
        <f>HYPERLINK("https://esbl.nhlbi.nih.gov/Databases/mpkFractions/proteomic_fractions_linear_files/Yang_linear_img/13937393.jpg","show blot")</f>
        <v>show blot</v>
      </c>
      <c r="J153" s="5" t="s">
        <v>304</v>
      </c>
      <c r="L153" s="11">
        <v>4.9623612231040539</v>
      </c>
      <c r="N153" s="12"/>
    </row>
    <row r="154" spans="1:14" s="5" customFormat="1" ht="15" customHeight="1" x14ac:dyDescent="0.25">
      <c r="A154" s="9" t="s">
        <v>305</v>
      </c>
      <c r="C154" s="9" t="str">
        <f>HYPERLINK("http://www.ncbi.nlm.nih.gov/protein/61097906","Actn1")</f>
        <v>Actn1</v>
      </c>
      <c r="D154" s="10">
        <f t="shared" si="2"/>
        <v>6.6876901318035333</v>
      </c>
      <c r="F154" s="8" t="str">
        <f>HYPERLINK("https://esbl.nhlbi.nih.gov/Databases/mpkFractions/proteomic_fractions_log_files/Yang_log_img/61097906.jpg","show blot")</f>
        <v>show blot</v>
      </c>
      <c r="H154" s="8" t="str">
        <f>HYPERLINK("https://esbl.nhlbi.nih.gov/Databases/mpkFractions/proteomic_fractions_linear_files/Yang_linear_img/61097906.jpg","show blot")</f>
        <v>show blot</v>
      </c>
      <c r="J154" s="5" t="s">
        <v>306</v>
      </c>
      <c r="L154" s="11">
        <v>6.6876901318035333</v>
      </c>
      <c r="N154" s="12"/>
    </row>
    <row r="155" spans="1:14" s="5" customFormat="1" ht="15" customHeight="1" x14ac:dyDescent="0.25">
      <c r="A155" s="9" t="s">
        <v>307</v>
      </c>
      <c r="C155" s="9" t="str">
        <f>HYPERLINK("http://www.ncbi.nlm.nih.gov/protein/157951643","Actn2")</f>
        <v>Actn2</v>
      </c>
      <c r="D155" s="10">
        <f t="shared" si="2"/>
        <v>6.0724630868888614</v>
      </c>
      <c r="F155" s="8" t="str">
        <f>HYPERLINK("https://esbl.nhlbi.nih.gov/Databases/mpkFractions/proteomic_fractions_log_files/Yang_log_img/157951643.jpg","show blot")</f>
        <v>show blot</v>
      </c>
      <c r="H155" s="8" t="str">
        <f>HYPERLINK("https://esbl.nhlbi.nih.gov/Databases/mpkFractions/proteomic_fractions_linear_files/Yang_linear_img/157951643.jpg","show blot")</f>
        <v>show blot</v>
      </c>
      <c r="J155" s="5" t="s">
        <v>308</v>
      </c>
      <c r="L155" s="11">
        <v>6.0724630868888614</v>
      </c>
      <c r="N155" s="12"/>
    </row>
    <row r="156" spans="1:14" s="5" customFormat="1" ht="15" customHeight="1" x14ac:dyDescent="0.25">
      <c r="A156" s="9" t="s">
        <v>309</v>
      </c>
      <c r="C156" s="9" t="str">
        <f>HYPERLINK("http://www.ncbi.nlm.nih.gov/protein/7304855","Actn3")</f>
        <v>Actn3</v>
      </c>
      <c r="D156" s="10">
        <f t="shared" si="2"/>
        <v>6.0200924128581716</v>
      </c>
      <c r="F156" s="8" t="str">
        <f>HYPERLINK("https://esbl.nhlbi.nih.gov/Databases/mpkFractions/proteomic_fractions_log_files/Yang_log_img/7304855.jpg","show blot")</f>
        <v>show blot</v>
      </c>
      <c r="H156" s="8" t="str">
        <f>HYPERLINK("https://esbl.nhlbi.nih.gov/Databases/mpkFractions/proteomic_fractions_linear_files/Yang_linear_img/7304855.jpg","show blot")</f>
        <v>show blot</v>
      </c>
      <c r="J156" s="5" t="s">
        <v>310</v>
      </c>
      <c r="L156" s="11">
        <v>6.0200924128581716</v>
      </c>
      <c r="N156" s="12"/>
    </row>
    <row r="157" spans="1:14" s="5" customFormat="1" ht="15" customHeight="1" x14ac:dyDescent="0.25">
      <c r="A157" s="9" t="s">
        <v>311</v>
      </c>
      <c r="C157" s="9" t="str">
        <f>HYPERLINK("http://www.ncbi.nlm.nih.gov/protein/11230802","Actn4")</f>
        <v>Actn4</v>
      </c>
      <c r="D157" s="10">
        <f t="shared" si="2"/>
        <v>6.570617547352068</v>
      </c>
      <c r="F157" s="8" t="str">
        <f>HYPERLINK("https://esbl.nhlbi.nih.gov/Databases/mpkFractions/proteomic_fractions_log_files/Yang_log_img/11230802.jpg","show blot")</f>
        <v>show blot</v>
      </c>
      <c r="H157" s="8" t="str">
        <f>HYPERLINK("https://esbl.nhlbi.nih.gov/Databases/mpkFractions/proteomic_fractions_linear_files/Yang_linear_img/11230802.jpg","show blot")</f>
        <v>show blot</v>
      </c>
      <c r="J157" s="5" t="s">
        <v>312</v>
      </c>
      <c r="L157" s="11">
        <v>6.570617547352068</v>
      </c>
      <c r="N157" s="12"/>
    </row>
    <row r="158" spans="1:14" s="5" customFormat="1" ht="15" customHeight="1" x14ac:dyDescent="0.25">
      <c r="A158" s="9" t="s">
        <v>313</v>
      </c>
      <c r="C158" s="9" t="str">
        <f>HYPERLINK("http://www.ncbi.nlm.nih.gov/protein/226246593","Actr10")</f>
        <v>Actr10</v>
      </c>
      <c r="D158" s="10">
        <f t="shared" si="2"/>
        <v>5.1075975324104119</v>
      </c>
      <c r="F158" s="8" t="str">
        <f>HYPERLINK("https://esbl.nhlbi.nih.gov/Databases/mpkFractions/proteomic_fractions_log_files/Yang_log_img/226246593.jpg","show blot")</f>
        <v>show blot</v>
      </c>
      <c r="H158" s="8" t="str">
        <f>HYPERLINK("https://esbl.nhlbi.nih.gov/Databases/mpkFractions/proteomic_fractions_linear_files/Yang_linear_img/226246593.jpg","show blot")</f>
        <v>show blot</v>
      </c>
      <c r="J158" s="5" t="s">
        <v>314</v>
      </c>
      <c r="L158" s="11">
        <v>5.1075975324104119</v>
      </c>
      <c r="N158" s="12"/>
    </row>
    <row r="159" spans="1:14" s="5" customFormat="1" ht="15" customHeight="1" x14ac:dyDescent="0.25">
      <c r="A159" s="9" t="s">
        <v>315</v>
      </c>
      <c r="C159" s="9" t="str">
        <f>HYPERLINK("http://www.ncbi.nlm.nih.gov/protein/8392847","Actr1a")</f>
        <v>Actr1a</v>
      </c>
      <c r="D159" s="10">
        <f t="shared" si="2"/>
        <v>6.2473126088563973</v>
      </c>
      <c r="F159" s="8" t="str">
        <f>HYPERLINK("https://esbl.nhlbi.nih.gov/Databases/mpkFractions/proteomic_fractions_log_files/Yang_log_img/8392847.jpg","show blot")</f>
        <v>show blot</v>
      </c>
      <c r="H159" s="8" t="str">
        <f>HYPERLINK("https://esbl.nhlbi.nih.gov/Databases/mpkFractions/proteomic_fractions_linear_files/Yang_linear_img/8392847.jpg","show blot")</f>
        <v>show blot</v>
      </c>
      <c r="J159" s="5" t="s">
        <v>316</v>
      </c>
      <c r="L159" s="11">
        <v>6.2473126088563973</v>
      </c>
      <c r="N159" s="12"/>
    </row>
    <row r="160" spans="1:14" s="5" customFormat="1" ht="15" customHeight="1" x14ac:dyDescent="0.25">
      <c r="A160" s="9" t="s">
        <v>317</v>
      </c>
      <c r="C160" s="9" t="str">
        <f>HYPERLINK("http://www.ncbi.nlm.nih.gov/protein/22122615","Actr1b")</f>
        <v>Actr1b</v>
      </c>
      <c r="D160" s="10">
        <f t="shared" si="2"/>
        <v>6.2187213835808066</v>
      </c>
      <c r="F160" s="8" t="str">
        <f>HYPERLINK("https://esbl.nhlbi.nih.gov/Databases/mpkFractions/proteomic_fractions_log_files/Yang_log_img/22122615.jpg","show blot")</f>
        <v>show blot</v>
      </c>
      <c r="H160" s="8" t="str">
        <f>HYPERLINK("https://esbl.nhlbi.nih.gov/Databases/mpkFractions/proteomic_fractions_linear_files/Yang_linear_img/22122615.jpg","show blot")</f>
        <v>show blot</v>
      </c>
      <c r="J160" s="5" t="s">
        <v>318</v>
      </c>
      <c r="L160" s="11">
        <v>6.2187213835808066</v>
      </c>
      <c r="N160" s="12"/>
    </row>
    <row r="161" spans="1:14" s="5" customFormat="1" ht="15" customHeight="1" x14ac:dyDescent="0.25">
      <c r="A161" s="9" t="s">
        <v>319</v>
      </c>
      <c r="C161" s="9" t="str">
        <f>HYPERLINK("http://www.ncbi.nlm.nih.gov/protein/22122825","Actr2")</f>
        <v>Actr2</v>
      </c>
      <c r="D161" s="10">
        <f t="shared" si="2"/>
        <v>6.5116320864897341</v>
      </c>
      <c r="F161" s="8" t="str">
        <f>HYPERLINK("https://esbl.nhlbi.nih.gov/Databases/mpkFractions/proteomic_fractions_log_files/Yang_log_img/22122825.jpg","show blot")</f>
        <v>show blot</v>
      </c>
      <c r="H161" s="8" t="str">
        <f>HYPERLINK("https://esbl.nhlbi.nih.gov/Databases/mpkFractions/proteomic_fractions_linear_files/Yang_linear_img/22122825.jpg","show blot")</f>
        <v>show blot</v>
      </c>
      <c r="J161" s="5" t="s">
        <v>320</v>
      </c>
      <c r="L161" s="11">
        <v>6.5116320864897341</v>
      </c>
      <c r="N161" s="12"/>
    </row>
    <row r="162" spans="1:14" s="5" customFormat="1" ht="15" customHeight="1" x14ac:dyDescent="0.25">
      <c r="A162" s="9" t="s">
        <v>321</v>
      </c>
      <c r="C162" s="9" t="str">
        <f>HYPERLINK("http://www.ncbi.nlm.nih.gov/protein/329664963","Actr3")</f>
        <v>Actr3</v>
      </c>
      <c r="D162" s="10">
        <f t="shared" si="2"/>
        <v>6.2892499335008667</v>
      </c>
      <c r="F162" s="8" t="str">
        <f>HYPERLINK("https://esbl.nhlbi.nih.gov/Databases/mpkFractions/proteomic_fractions_log_files/Yang_log_img/329664963.jpg","show blot")</f>
        <v>show blot</v>
      </c>
      <c r="H162" s="8" t="str">
        <f>HYPERLINK("https://esbl.nhlbi.nih.gov/Databases/mpkFractions/proteomic_fractions_linear_files/Yang_linear_img/329664963.jpg","show blot")</f>
        <v>show blot</v>
      </c>
      <c r="J162" s="5" t="s">
        <v>322</v>
      </c>
      <c r="L162" s="11">
        <v>6.2892499335008667</v>
      </c>
      <c r="N162" s="12"/>
    </row>
    <row r="163" spans="1:14" s="5" customFormat="1" ht="15" customHeight="1" x14ac:dyDescent="0.25">
      <c r="A163" s="9" t="s">
        <v>323</v>
      </c>
      <c r="C163" s="9" t="str">
        <f>HYPERLINK("http://www.ncbi.nlm.nih.gov/protein/52345394","Actr3b")</f>
        <v>Actr3b</v>
      </c>
      <c r="D163" s="10">
        <f t="shared" si="2"/>
        <v>5.394820613455316</v>
      </c>
      <c r="F163" s="8" t="str">
        <f>HYPERLINK("https://esbl.nhlbi.nih.gov/Databases/mpkFractions/proteomic_fractions_log_files/Yang_log_img/52345394.jpg","show blot")</f>
        <v>show blot</v>
      </c>
      <c r="H163" s="8" t="str">
        <f>HYPERLINK("https://esbl.nhlbi.nih.gov/Databases/mpkFractions/proteomic_fractions_linear_files/Yang_linear_img/52345394.jpg","show blot")</f>
        <v>show blot</v>
      </c>
      <c r="J163" s="5" t="s">
        <v>324</v>
      </c>
      <c r="L163" s="11">
        <v>5.394820613455316</v>
      </c>
      <c r="N163" s="12"/>
    </row>
    <row r="164" spans="1:14" s="5" customFormat="1" ht="15" customHeight="1" x14ac:dyDescent="0.25">
      <c r="A164" s="9" t="s">
        <v>325</v>
      </c>
      <c r="C164" s="9" t="str">
        <f>HYPERLINK("http://www.ncbi.nlm.nih.gov/protein/13384746","Acy1")</f>
        <v>Acy1</v>
      </c>
      <c r="D164" s="10">
        <f t="shared" si="2"/>
        <v>4.8406847261055743</v>
      </c>
      <c r="F164" s="8" t="str">
        <f>HYPERLINK("https://esbl.nhlbi.nih.gov/Databases/mpkFractions/proteomic_fractions_log_files/Yang_log_img/13384746.jpg","show blot")</f>
        <v>show blot</v>
      </c>
      <c r="H164" s="8" t="str">
        <f>HYPERLINK("https://esbl.nhlbi.nih.gov/Databases/mpkFractions/proteomic_fractions_linear_files/Yang_linear_img/13384746.jpg","show blot")</f>
        <v>show blot</v>
      </c>
      <c r="J164" s="5" t="s">
        <v>326</v>
      </c>
      <c r="L164" s="11">
        <v>4.8406847261055743</v>
      </c>
      <c r="N164" s="12"/>
    </row>
    <row r="165" spans="1:14" s="5" customFormat="1" ht="15" customHeight="1" x14ac:dyDescent="0.25">
      <c r="A165" s="9" t="s">
        <v>327</v>
      </c>
      <c r="C165" s="9" t="str">
        <f>HYPERLINK("http://www.ncbi.nlm.nih.gov/protein/31982632","Acy3")</f>
        <v>Acy3</v>
      </c>
      <c r="D165" s="10">
        <f t="shared" si="2"/>
        <v>5.1942548933153043</v>
      </c>
      <c r="F165" s="8" t="str">
        <f>HYPERLINK("https://esbl.nhlbi.nih.gov/Databases/mpkFractions/proteomic_fractions_log_files/Yang_log_img/31982632.jpg","show blot")</f>
        <v>show blot</v>
      </c>
      <c r="H165" s="8" t="str">
        <f>HYPERLINK("https://esbl.nhlbi.nih.gov/Databases/mpkFractions/proteomic_fractions_linear_files/Yang_linear_img/31982632.jpg","show blot")</f>
        <v>show blot</v>
      </c>
      <c r="J165" s="5" t="s">
        <v>328</v>
      </c>
      <c r="L165" s="11">
        <v>5.1942548933153043</v>
      </c>
      <c r="N165" s="12"/>
    </row>
    <row r="166" spans="1:14" s="5" customFormat="1" ht="15" customHeight="1" x14ac:dyDescent="0.25">
      <c r="A166" s="9" t="s">
        <v>329</v>
      </c>
      <c r="C166" s="9" t="str">
        <f>HYPERLINK("http://www.ncbi.nlm.nih.gov/protein/13384810","Acyp1")</f>
        <v>Acyp1</v>
      </c>
      <c r="D166" s="10">
        <f t="shared" si="2"/>
        <v>5.9495953621413564</v>
      </c>
      <c r="F166" s="8" t="str">
        <f>HYPERLINK("https://esbl.nhlbi.nih.gov/Databases/mpkFractions/proteomic_fractions_log_files/Yang_log_img/13384810.jpg","show blot")</f>
        <v>show blot</v>
      </c>
      <c r="H166" s="8" t="str">
        <f>HYPERLINK("https://esbl.nhlbi.nih.gov/Databases/mpkFractions/proteomic_fractions_linear_files/Yang_linear_img/13384810.jpg","show blot")</f>
        <v>show blot</v>
      </c>
      <c r="J166" s="5" t="s">
        <v>330</v>
      </c>
      <c r="L166" s="11">
        <v>5.9495953621413564</v>
      </c>
      <c r="N166" s="12"/>
    </row>
    <row r="167" spans="1:14" s="5" customFormat="1" ht="15" customHeight="1" x14ac:dyDescent="0.25">
      <c r="A167" s="9" t="s">
        <v>331</v>
      </c>
      <c r="C167" s="9" t="str">
        <f>HYPERLINK("http://www.ncbi.nlm.nih.gov/protein/150378458","Adam10")</f>
        <v>Adam10</v>
      </c>
      <c r="D167" s="10">
        <f t="shared" si="2"/>
        <v>4.9374440136110769</v>
      </c>
      <c r="F167" s="8" t="str">
        <f>HYPERLINK("https://esbl.nhlbi.nih.gov/Databases/mpkFractions/proteomic_fractions_log_files/Yang_log_img/150378458.jpg","show blot")</f>
        <v>show blot</v>
      </c>
      <c r="H167" s="8" t="str">
        <f>HYPERLINK("https://esbl.nhlbi.nih.gov/Databases/mpkFractions/proteomic_fractions_linear_files/Yang_linear_img/150378458.jpg","show blot")</f>
        <v>show blot</v>
      </c>
      <c r="J167" s="5" t="s">
        <v>332</v>
      </c>
      <c r="L167" s="11">
        <v>4.9374440136110769</v>
      </c>
      <c r="N167" s="12"/>
    </row>
    <row r="168" spans="1:14" s="5" customFormat="1" ht="15" customHeight="1" x14ac:dyDescent="0.25">
      <c r="A168" s="9" t="s">
        <v>333</v>
      </c>
      <c r="C168" s="9" t="str">
        <f>HYPERLINK("http://www.ncbi.nlm.nih.gov/protein/471270257","Adam17")</f>
        <v>Adam17</v>
      </c>
      <c r="D168" s="10">
        <f t="shared" si="2"/>
        <v>3.328778537010618</v>
      </c>
      <c r="F168" s="8" t="str">
        <f>HYPERLINK("https://esbl.nhlbi.nih.gov/Databases/mpkFractions/proteomic_fractions_log_files/Yang_log_img/471270257.jpg","show blot")</f>
        <v>show blot</v>
      </c>
      <c r="H168" s="8" t="str">
        <f>HYPERLINK("https://esbl.nhlbi.nih.gov/Databases/mpkFractions/proteomic_fractions_linear_files/Yang_linear_img/471270257.jpg","show blot")</f>
        <v>show blot</v>
      </c>
      <c r="J168" s="5" t="s">
        <v>334</v>
      </c>
      <c r="L168" s="11">
        <v>3.328778537010618</v>
      </c>
      <c r="N168" s="12"/>
    </row>
    <row r="169" spans="1:14" s="5" customFormat="1" ht="15" customHeight="1" x14ac:dyDescent="0.25">
      <c r="A169" s="9" t="s">
        <v>335</v>
      </c>
      <c r="C169" s="9" t="str">
        <f>HYPERLINK("http://www.ncbi.nlm.nih.gov/protein/110347485","Adam17")</f>
        <v>Adam17</v>
      </c>
      <c r="D169" s="10">
        <f t="shared" si="2"/>
        <v>3.328778537010618</v>
      </c>
      <c r="F169" s="8" t="str">
        <f>HYPERLINK("https://esbl.nhlbi.nih.gov/Databases/mpkFractions/proteomic_fractions_log_files/Yang_log_img/110347485.jpg","show blot")</f>
        <v>show blot</v>
      </c>
      <c r="H169" s="8" t="str">
        <f>HYPERLINK("https://esbl.nhlbi.nih.gov/Databases/mpkFractions/proteomic_fractions_linear_files/Yang_linear_img/110347485.jpg","show blot")</f>
        <v>show blot</v>
      </c>
      <c r="J169" s="5" t="s">
        <v>336</v>
      </c>
      <c r="L169" s="11">
        <v>3.328778537010618</v>
      </c>
      <c r="N169" s="12"/>
    </row>
    <row r="170" spans="1:14" s="5" customFormat="1" ht="15" customHeight="1" x14ac:dyDescent="0.25">
      <c r="A170" s="9" t="s">
        <v>337</v>
      </c>
      <c r="C170" s="9" t="str">
        <f>HYPERLINK("http://www.ncbi.nlm.nih.gov/protein/160358787","Adam9")</f>
        <v>Adam9</v>
      </c>
      <c r="D170" s="10">
        <f t="shared" si="2"/>
        <v>4.1929870599777663</v>
      </c>
      <c r="F170" s="8" t="str">
        <f>HYPERLINK("https://esbl.nhlbi.nih.gov/Databases/mpkFractions/proteomic_fractions_log_files/Yang_log_img/160358787.jpg","show blot")</f>
        <v>show blot</v>
      </c>
      <c r="H170" s="8" t="str">
        <f>HYPERLINK("https://esbl.nhlbi.nih.gov/Databases/mpkFractions/proteomic_fractions_linear_files/Yang_linear_img/160358787.jpg","show blot")</f>
        <v>show blot</v>
      </c>
      <c r="J170" s="5" t="s">
        <v>338</v>
      </c>
      <c r="L170" s="11">
        <v>4.1929870599777663</v>
      </c>
      <c r="N170" s="12"/>
    </row>
    <row r="171" spans="1:14" s="5" customFormat="1" ht="15" customHeight="1" x14ac:dyDescent="0.25">
      <c r="A171" s="9" t="s">
        <v>339</v>
      </c>
      <c r="C171" s="9" t="str">
        <f>HYPERLINK("http://www.ncbi.nlm.nih.gov/protein/401782598","Adam9")</f>
        <v>Adam9</v>
      </c>
      <c r="D171" s="10">
        <f t="shared" si="2"/>
        <v>4.1929870599777663</v>
      </c>
      <c r="F171" s="8" t="str">
        <f>HYPERLINK("https://esbl.nhlbi.nih.gov/Databases/mpkFractions/proteomic_fractions_log_files/Yang_log_img/401782598.jpg","show blot")</f>
        <v>show blot</v>
      </c>
      <c r="H171" s="8" t="str">
        <f>HYPERLINK("https://esbl.nhlbi.nih.gov/Databases/mpkFractions/proteomic_fractions_linear_files/Yang_linear_img/401782598.jpg","show blot")</f>
        <v>show blot</v>
      </c>
      <c r="J171" s="5" t="s">
        <v>340</v>
      </c>
      <c r="L171" s="11">
        <v>4.1929870599777663</v>
      </c>
      <c r="N171" s="12"/>
    </row>
    <row r="172" spans="1:14" s="5" customFormat="1" ht="15" customHeight="1" x14ac:dyDescent="0.25">
      <c r="A172" s="9" t="s">
        <v>341</v>
      </c>
      <c r="C172" s="9" t="str">
        <f>HYPERLINK("http://www.ncbi.nlm.nih.gov/protein/148529020","Adamts17")</f>
        <v>Adamts17</v>
      </c>
      <c r="D172" s="10">
        <f t="shared" si="2"/>
        <v>5.3729582455519624</v>
      </c>
      <c r="F172" s="8" t="str">
        <f>HYPERLINK("https://esbl.nhlbi.nih.gov/Databases/mpkFractions/proteomic_fractions_log_files/Yang_log_img/148529020.jpg","show blot")</f>
        <v>show blot</v>
      </c>
      <c r="H172" s="8" t="str">
        <f>HYPERLINK("https://esbl.nhlbi.nih.gov/Databases/mpkFractions/proteomic_fractions_linear_files/Yang_linear_img/148529020.jpg","show blot")</f>
        <v>show blot</v>
      </c>
      <c r="J172" s="5" t="s">
        <v>342</v>
      </c>
      <c r="L172" s="11">
        <v>5.3729582455519624</v>
      </c>
      <c r="N172" s="12"/>
    </row>
    <row r="173" spans="1:14" s="5" customFormat="1" ht="15" customHeight="1" x14ac:dyDescent="0.25">
      <c r="A173" s="9" t="s">
        <v>343</v>
      </c>
      <c r="C173" s="9" t="str">
        <f>HYPERLINK("http://www.ncbi.nlm.nih.gov/protein/165905595","Adamtsl5")</f>
        <v>Adamtsl5</v>
      </c>
      <c r="D173" s="10">
        <f t="shared" si="2"/>
        <v>3.4391696495672841</v>
      </c>
      <c r="F173" s="8" t="str">
        <f>HYPERLINK("https://esbl.nhlbi.nih.gov/Databases/mpkFractions/proteomic_fractions_log_files/Yang_log_img/165905595.jpg","show blot")</f>
        <v>show blot</v>
      </c>
      <c r="H173" s="8" t="str">
        <f>HYPERLINK("https://esbl.nhlbi.nih.gov/Databases/mpkFractions/proteomic_fractions_linear_files/Yang_linear_img/165905595.jpg","show blot")</f>
        <v>show blot</v>
      </c>
      <c r="J173" s="5" t="s">
        <v>344</v>
      </c>
      <c r="L173" s="11">
        <v>3.4391696495672841</v>
      </c>
      <c r="N173" s="12"/>
    </row>
    <row r="174" spans="1:14" s="5" customFormat="1" ht="15" customHeight="1" x14ac:dyDescent="0.25">
      <c r="A174" s="9" t="s">
        <v>345</v>
      </c>
      <c r="C174" s="9" t="str">
        <f>HYPERLINK("http://www.ncbi.nlm.nih.gov/protein/148368976","Adap1")</f>
        <v>Adap1</v>
      </c>
      <c r="D174" s="10">
        <f t="shared" si="2"/>
        <v>4.3017048464125098</v>
      </c>
      <c r="F174" s="8" t="str">
        <f>HYPERLINK("https://esbl.nhlbi.nih.gov/Databases/mpkFractions/proteomic_fractions_log_files/Yang_log_img/148368976.jpg","show blot")</f>
        <v>show blot</v>
      </c>
      <c r="H174" s="8" t="str">
        <f>HYPERLINK("https://esbl.nhlbi.nih.gov/Databases/mpkFractions/proteomic_fractions_linear_files/Yang_linear_img/148368976.jpg","show blot")</f>
        <v>show blot</v>
      </c>
      <c r="J174" s="5" t="s">
        <v>346</v>
      </c>
      <c r="L174" s="11">
        <v>4.3017048464125098</v>
      </c>
      <c r="N174" s="12"/>
    </row>
    <row r="175" spans="1:14" s="5" customFormat="1" ht="15" customHeight="1" x14ac:dyDescent="0.25">
      <c r="A175" s="9" t="s">
        <v>347</v>
      </c>
      <c r="C175" s="9" t="str">
        <f>HYPERLINK("http://www.ncbi.nlm.nih.gov/protein/26006859","Adap2")</f>
        <v>Adap2</v>
      </c>
      <c r="D175" s="10">
        <f t="shared" si="2"/>
        <v>3.021763162843961</v>
      </c>
      <c r="F175" s="8" t="str">
        <f>HYPERLINK("https://esbl.nhlbi.nih.gov/Databases/mpkFractions/proteomic_fractions_log_files/Yang_log_img/26006859.jpg","show blot")</f>
        <v>show blot</v>
      </c>
      <c r="H175" s="8" t="str">
        <f>HYPERLINK("https://esbl.nhlbi.nih.gov/Databases/mpkFractions/proteomic_fractions_linear_files/Yang_linear_img/26006859.jpg","show blot")</f>
        <v>show blot</v>
      </c>
      <c r="J175" s="5" t="s">
        <v>348</v>
      </c>
      <c r="L175" s="11">
        <v>3.021763162843961</v>
      </c>
      <c r="N175" s="12"/>
    </row>
    <row r="176" spans="1:14" s="5" customFormat="1" ht="15" customHeight="1" x14ac:dyDescent="0.25">
      <c r="A176" s="9" t="s">
        <v>349</v>
      </c>
      <c r="C176" s="9" t="str">
        <f>HYPERLINK("http://www.ncbi.nlm.nih.gov/protein/226371677","Adar")</f>
        <v>Adar</v>
      </c>
      <c r="D176" s="10">
        <f t="shared" si="2"/>
        <v>3.3069230608914761</v>
      </c>
      <c r="F176" s="8" t="str">
        <f>HYPERLINK("https://esbl.nhlbi.nih.gov/Databases/mpkFractions/proteomic_fractions_log_files/Yang_log_img/226371677.jpg","show blot")</f>
        <v>show blot</v>
      </c>
      <c r="H176" s="8" t="str">
        <f>HYPERLINK("https://esbl.nhlbi.nih.gov/Databases/mpkFractions/proteomic_fractions_linear_files/Yang_linear_img/226371677.jpg","show blot")</f>
        <v>show blot</v>
      </c>
      <c r="J176" s="5" t="s">
        <v>350</v>
      </c>
      <c r="L176" s="11">
        <v>3.3069230608914761</v>
      </c>
      <c r="N176" s="12"/>
    </row>
    <row r="177" spans="1:14" s="5" customFormat="1" ht="15" customHeight="1" x14ac:dyDescent="0.25">
      <c r="A177" s="9" t="s">
        <v>351</v>
      </c>
      <c r="C177" s="9" t="str">
        <f>HYPERLINK("http://www.ncbi.nlm.nih.gov/protein/226371679","Adar")</f>
        <v>Adar</v>
      </c>
      <c r="D177" s="10">
        <f t="shared" si="2"/>
        <v>3.3069230608914761</v>
      </c>
      <c r="F177" s="8" t="str">
        <f>HYPERLINK("https://esbl.nhlbi.nih.gov/Databases/mpkFractions/proteomic_fractions_log_files/Yang_log_img/226371679.jpg","show blot")</f>
        <v>show blot</v>
      </c>
      <c r="H177" s="8" t="str">
        <f>HYPERLINK("https://esbl.nhlbi.nih.gov/Databases/mpkFractions/proteomic_fractions_linear_files/Yang_linear_img/226371679.jpg","show blot")</f>
        <v>show blot</v>
      </c>
      <c r="J177" s="5" t="s">
        <v>352</v>
      </c>
      <c r="L177" s="11">
        <v>3.3069230608914761</v>
      </c>
      <c r="N177" s="12"/>
    </row>
    <row r="178" spans="1:14" s="5" customFormat="1" ht="15" customHeight="1" x14ac:dyDescent="0.25">
      <c r="A178" s="9" t="s">
        <v>353</v>
      </c>
      <c r="C178" s="9" t="str">
        <f>HYPERLINK("http://www.ncbi.nlm.nih.gov/protein/226371684","Adar")</f>
        <v>Adar</v>
      </c>
      <c r="D178" s="10">
        <f t="shared" si="2"/>
        <v>3.3069230608914761</v>
      </c>
      <c r="F178" s="8" t="str">
        <f>HYPERLINK("https://esbl.nhlbi.nih.gov/Databases/mpkFractions/proteomic_fractions_log_files/Yang_log_img/226371684.jpg","show blot")</f>
        <v>show blot</v>
      </c>
      <c r="H178" s="8" t="str">
        <f>HYPERLINK("https://esbl.nhlbi.nih.gov/Databases/mpkFractions/proteomic_fractions_linear_files/Yang_linear_img/226371684.jpg","show blot")</f>
        <v>show blot</v>
      </c>
      <c r="J178" s="5" t="s">
        <v>354</v>
      </c>
      <c r="L178" s="11">
        <v>3.3069230608914761</v>
      </c>
      <c r="N178" s="12"/>
    </row>
    <row r="179" spans="1:14" s="5" customFormat="1" ht="15" customHeight="1" x14ac:dyDescent="0.25">
      <c r="A179" s="9" t="s">
        <v>355</v>
      </c>
      <c r="C179" s="9" t="str">
        <f>HYPERLINK("http://www.ncbi.nlm.nih.gov/protein/7304859","Adat1")</f>
        <v>Adat1</v>
      </c>
      <c r="D179" s="10">
        <f t="shared" si="2"/>
        <v>3.792965553272277</v>
      </c>
      <c r="F179" s="8" t="str">
        <f>HYPERLINK("https://esbl.nhlbi.nih.gov/Databases/mpkFractions/proteomic_fractions_log_files/Yang_log_img/7304859.jpg","show blot")</f>
        <v>show blot</v>
      </c>
      <c r="H179" s="8" t="str">
        <f>HYPERLINK("https://esbl.nhlbi.nih.gov/Databases/mpkFractions/proteomic_fractions_linear_files/Yang_linear_img/7304859.jpg","show blot")</f>
        <v>show blot</v>
      </c>
      <c r="J179" s="5" t="s">
        <v>356</v>
      </c>
      <c r="L179" s="11">
        <v>3.792965553272277</v>
      </c>
      <c r="N179" s="12"/>
    </row>
    <row r="180" spans="1:14" s="5" customFormat="1" ht="15" customHeight="1" x14ac:dyDescent="0.25">
      <c r="A180" s="9" t="s">
        <v>357</v>
      </c>
      <c r="C180" s="9" t="str">
        <f>HYPERLINK("http://www.ncbi.nlm.nih.gov/protein/61098160","Adat2")</f>
        <v>Adat2</v>
      </c>
      <c r="D180" s="10">
        <f t="shared" si="2"/>
        <v>4.9382827594148564</v>
      </c>
      <c r="F180" s="8" t="str">
        <f>HYPERLINK("https://esbl.nhlbi.nih.gov/Databases/mpkFractions/proteomic_fractions_log_files/Yang_log_img/61098160.jpg","show blot")</f>
        <v>show blot</v>
      </c>
      <c r="H180" s="8" t="str">
        <f>HYPERLINK("https://esbl.nhlbi.nih.gov/Databases/mpkFractions/proteomic_fractions_linear_files/Yang_linear_img/61098160.jpg","show blot")</f>
        <v>show blot</v>
      </c>
      <c r="J180" s="5" t="s">
        <v>358</v>
      </c>
      <c r="L180" s="11">
        <v>4.9382827594148564</v>
      </c>
      <c r="N180" s="12"/>
    </row>
    <row r="181" spans="1:14" s="5" customFormat="1" ht="15" customHeight="1" x14ac:dyDescent="0.25">
      <c r="A181" s="9" t="s">
        <v>359</v>
      </c>
      <c r="C181" s="9" t="str">
        <f>HYPERLINK("http://www.ncbi.nlm.nih.gov/protein/154759286","Adat3")</f>
        <v>Adat3</v>
      </c>
      <c r="D181" s="10">
        <f t="shared" si="2"/>
        <v>4.2250439288485957</v>
      </c>
      <c r="F181" s="8" t="str">
        <f>HYPERLINK("https://esbl.nhlbi.nih.gov/Databases/mpkFractions/proteomic_fractions_log_files/Yang_log_img/154759286.jpg","show blot")</f>
        <v>show blot</v>
      </c>
      <c r="H181" s="8" t="str">
        <f>HYPERLINK("https://esbl.nhlbi.nih.gov/Databases/mpkFractions/proteomic_fractions_linear_files/Yang_linear_img/154759286.jpg","show blot")</f>
        <v>show blot</v>
      </c>
      <c r="J181" s="5" t="s">
        <v>360</v>
      </c>
      <c r="L181" s="11">
        <v>4.2250439288485957</v>
      </c>
      <c r="N181" s="12"/>
    </row>
    <row r="182" spans="1:14" s="5" customFormat="1" ht="15" customHeight="1" x14ac:dyDescent="0.25">
      <c r="A182" s="9" t="s">
        <v>361</v>
      </c>
      <c r="C182" s="9" t="str">
        <f>HYPERLINK("http://www.ncbi.nlm.nih.gov/protein/21312430","Adck1")</f>
        <v>Adck1</v>
      </c>
      <c r="D182" s="10">
        <f t="shared" si="2"/>
        <v>3.5994028761306751</v>
      </c>
      <c r="F182" s="8" t="str">
        <f>HYPERLINK("https://esbl.nhlbi.nih.gov/Databases/mpkFractions/proteomic_fractions_log_files/Yang_log_img/21312430.jpg","show blot")</f>
        <v>show blot</v>
      </c>
      <c r="H182" s="8" t="str">
        <f>HYPERLINK("https://esbl.nhlbi.nih.gov/Databases/mpkFractions/proteomic_fractions_linear_files/Yang_linear_img/21312430.jpg","show blot")</f>
        <v>show blot</v>
      </c>
      <c r="J182" s="5" t="s">
        <v>362</v>
      </c>
      <c r="L182" s="11">
        <v>3.5994028761306751</v>
      </c>
      <c r="N182" s="12"/>
    </row>
    <row r="183" spans="1:14" s="5" customFormat="1" ht="15" customHeight="1" x14ac:dyDescent="0.25">
      <c r="A183" s="9" t="s">
        <v>363</v>
      </c>
      <c r="C183" s="9" t="str">
        <f>HYPERLINK("http://www.ncbi.nlm.nih.gov/protein/169234776","Adck5")</f>
        <v>Adck5</v>
      </c>
      <c r="D183" s="10">
        <f t="shared" si="2"/>
        <v>2.9240530769489941</v>
      </c>
      <c r="F183" s="8" t="str">
        <f>HYPERLINK("https://esbl.nhlbi.nih.gov/Databases/mpkFractions/proteomic_fractions_log_files/Yang_log_img/169234776.jpg","show blot")</f>
        <v>show blot</v>
      </c>
      <c r="H183" s="8" t="str">
        <f>HYPERLINK("https://esbl.nhlbi.nih.gov/Databases/mpkFractions/proteomic_fractions_linear_files/Yang_linear_img/169234776.jpg","show blot")</f>
        <v>show blot</v>
      </c>
      <c r="J183" s="5" t="s">
        <v>364</v>
      </c>
      <c r="L183" s="11">
        <v>2.9240530769489941</v>
      </c>
      <c r="N183" s="12"/>
    </row>
    <row r="184" spans="1:14" s="5" customFormat="1" ht="15" customHeight="1" x14ac:dyDescent="0.25">
      <c r="A184" s="9" t="s">
        <v>365</v>
      </c>
      <c r="C184" s="9" t="str">
        <f>HYPERLINK("http://www.ncbi.nlm.nih.gov/protein/148747309","Adcy5")</f>
        <v>Adcy5</v>
      </c>
      <c r="D184" s="10">
        <f t="shared" si="2"/>
        <v>1.867030612382004</v>
      </c>
      <c r="F184" s="8" t="str">
        <f>HYPERLINK("https://esbl.nhlbi.nih.gov/Databases/mpkFractions/proteomic_fractions_log_files/Yang_log_img/148747309.jpg","show blot")</f>
        <v>show blot</v>
      </c>
      <c r="H184" s="8" t="str">
        <f>HYPERLINK("https://esbl.nhlbi.nih.gov/Databases/mpkFractions/proteomic_fractions_linear_files/Yang_linear_img/148747309.jpg","show blot")</f>
        <v>show blot</v>
      </c>
      <c r="J184" s="5" t="s">
        <v>366</v>
      </c>
      <c r="L184" s="11">
        <v>1.867030612382004</v>
      </c>
      <c r="N184" s="12"/>
    </row>
    <row r="185" spans="1:14" s="5" customFormat="1" ht="15" customHeight="1" x14ac:dyDescent="0.25">
      <c r="A185" s="9" t="s">
        <v>367</v>
      </c>
      <c r="C185" s="9" t="str">
        <f>HYPERLINK("http://www.ncbi.nlm.nih.gov/protein/86604721","Adcy6")</f>
        <v>Adcy6</v>
      </c>
      <c r="D185" s="10">
        <f t="shared" si="2"/>
        <v>2.5977728416916119</v>
      </c>
      <c r="F185" s="8" t="str">
        <f>HYPERLINK("https://esbl.nhlbi.nih.gov/Databases/mpkFractions/proteomic_fractions_log_files/Yang_log_img/86604721.jpg","show blot")</f>
        <v>show blot</v>
      </c>
      <c r="H185" s="8" t="str">
        <f>HYPERLINK("https://esbl.nhlbi.nih.gov/Databases/mpkFractions/proteomic_fractions_linear_files/Yang_linear_img/86604721.jpg","show blot")</f>
        <v>show blot</v>
      </c>
      <c r="J185" s="5" t="s">
        <v>368</v>
      </c>
      <c r="L185" s="11">
        <v>2.5977728416916119</v>
      </c>
      <c r="N185" s="12"/>
    </row>
    <row r="186" spans="1:14" s="5" customFormat="1" ht="15" customHeight="1" x14ac:dyDescent="0.25">
      <c r="A186" s="9" t="s">
        <v>369</v>
      </c>
      <c r="C186" s="9" t="str">
        <f>HYPERLINK("http://www.ncbi.nlm.nih.gov/protein/156255171","Add1")</f>
        <v>Add1</v>
      </c>
      <c r="D186" s="10">
        <f t="shared" si="2"/>
        <v>4.2186625393380126</v>
      </c>
      <c r="F186" s="8" t="str">
        <f>HYPERLINK("https://esbl.nhlbi.nih.gov/Databases/mpkFractions/proteomic_fractions_log_files/Yang_log_img/156255171.jpg","show blot")</f>
        <v>show blot</v>
      </c>
      <c r="H186" s="8" t="str">
        <f>HYPERLINK("https://esbl.nhlbi.nih.gov/Databases/mpkFractions/proteomic_fractions_linear_files/Yang_linear_img/156255171.jpg","show blot")</f>
        <v>show blot</v>
      </c>
      <c r="J186" s="5" t="s">
        <v>370</v>
      </c>
      <c r="L186" s="11">
        <v>4.2186625393380126</v>
      </c>
      <c r="N186" s="12"/>
    </row>
    <row r="187" spans="1:14" s="5" customFormat="1" ht="15" customHeight="1" x14ac:dyDescent="0.25">
      <c r="A187" s="9" t="s">
        <v>371</v>
      </c>
      <c r="C187" s="9" t="str">
        <f>HYPERLINK("http://www.ncbi.nlm.nih.gov/protein/156255173","Add1")</f>
        <v>Add1</v>
      </c>
      <c r="D187" s="10">
        <f t="shared" si="2"/>
        <v>4.2186625393380126</v>
      </c>
      <c r="F187" s="8" t="str">
        <f>HYPERLINK("https://esbl.nhlbi.nih.gov/Databases/mpkFractions/proteomic_fractions_log_files/Yang_log_img/156255173.jpg","show blot")</f>
        <v>show blot</v>
      </c>
      <c r="H187" s="8" t="str">
        <f>HYPERLINK("https://esbl.nhlbi.nih.gov/Databases/mpkFractions/proteomic_fractions_linear_files/Yang_linear_img/156255173.jpg","show blot")</f>
        <v>show blot</v>
      </c>
      <c r="J187" s="5" t="s">
        <v>372</v>
      </c>
      <c r="L187" s="11">
        <v>4.2186625393380126</v>
      </c>
      <c r="N187" s="12"/>
    </row>
    <row r="188" spans="1:14" s="5" customFormat="1" ht="15" customHeight="1" x14ac:dyDescent="0.25">
      <c r="A188" s="9" t="s">
        <v>373</v>
      </c>
      <c r="C188" s="9" t="str">
        <f>HYPERLINK("http://www.ncbi.nlm.nih.gov/protein/7304861","Add1")</f>
        <v>Add1</v>
      </c>
      <c r="D188" s="10">
        <f t="shared" si="2"/>
        <v>4.2186625393380126</v>
      </c>
      <c r="F188" s="8" t="str">
        <f>HYPERLINK("https://esbl.nhlbi.nih.gov/Databases/mpkFractions/proteomic_fractions_log_files/Yang_log_img/7304861.jpg","show blot")</f>
        <v>show blot</v>
      </c>
      <c r="H188" s="8" t="str">
        <f>HYPERLINK("https://esbl.nhlbi.nih.gov/Databases/mpkFractions/proteomic_fractions_linear_files/Yang_linear_img/7304861.jpg","show blot")</f>
        <v>show blot</v>
      </c>
      <c r="J188" s="5" t="s">
        <v>374</v>
      </c>
      <c r="L188" s="11">
        <v>4.2186625393380126</v>
      </c>
      <c r="N188" s="12"/>
    </row>
    <row r="189" spans="1:14" s="5" customFormat="1" ht="15" customHeight="1" x14ac:dyDescent="0.25">
      <c r="A189" s="9" t="s">
        <v>375</v>
      </c>
      <c r="C189" s="9" t="str">
        <f>HYPERLINK("http://www.ncbi.nlm.nih.gov/protein/427918090","Add2")</f>
        <v>Add2</v>
      </c>
      <c r="D189" s="10">
        <f t="shared" si="2"/>
        <v>3.4441489307901501</v>
      </c>
      <c r="F189" s="8" t="str">
        <f>HYPERLINK("https://esbl.nhlbi.nih.gov/Databases/mpkFractions/proteomic_fractions_log_files/Yang_log_img/427918090.jpg","show blot")</f>
        <v>show blot</v>
      </c>
      <c r="H189" s="8" t="str">
        <f>HYPERLINK("https://esbl.nhlbi.nih.gov/Databases/mpkFractions/proteomic_fractions_linear_files/Yang_linear_img/427918090.jpg","show blot")</f>
        <v>show blot</v>
      </c>
      <c r="J189" s="5" t="s">
        <v>376</v>
      </c>
      <c r="L189" s="11">
        <v>3.4441489307901501</v>
      </c>
      <c r="N189" s="12"/>
    </row>
    <row r="190" spans="1:14" s="5" customFormat="1" ht="15" customHeight="1" x14ac:dyDescent="0.25">
      <c r="A190" s="9" t="s">
        <v>377</v>
      </c>
      <c r="C190" s="9" t="str">
        <f>HYPERLINK("http://www.ncbi.nlm.nih.gov/protein/427918097","Add2")</f>
        <v>Add2</v>
      </c>
      <c r="D190" s="10">
        <f t="shared" si="2"/>
        <v>3.4441489307901501</v>
      </c>
      <c r="F190" s="8" t="str">
        <f>HYPERLINK("https://esbl.nhlbi.nih.gov/Databases/mpkFractions/proteomic_fractions_log_files/Yang_log_img/427918097.jpg","show blot")</f>
        <v>show blot</v>
      </c>
      <c r="H190" s="8" t="str">
        <f>HYPERLINK("https://esbl.nhlbi.nih.gov/Databases/mpkFractions/proteomic_fractions_linear_files/Yang_linear_img/427918097.jpg","show blot")</f>
        <v>show blot</v>
      </c>
      <c r="J190" s="5" t="s">
        <v>378</v>
      </c>
      <c r="L190" s="11">
        <v>3.4441489307901501</v>
      </c>
      <c r="N190" s="12"/>
    </row>
    <row r="191" spans="1:14" s="5" customFormat="1" ht="15" customHeight="1" x14ac:dyDescent="0.25">
      <c r="A191" s="9" t="s">
        <v>379</v>
      </c>
      <c r="C191" s="9" t="str">
        <f>HYPERLINK("http://www.ncbi.nlm.nih.gov/protein/6724311","Adh1")</f>
        <v>Adh1</v>
      </c>
      <c r="D191" s="10">
        <f t="shared" si="2"/>
        <v>4.8829024870647579</v>
      </c>
      <c r="F191" s="8" t="str">
        <f>HYPERLINK("https://esbl.nhlbi.nih.gov/Databases/mpkFractions/proteomic_fractions_log_files/Yang_log_img/6724311.jpg","show blot")</f>
        <v>show blot</v>
      </c>
      <c r="H191" s="8" t="str">
        <f>HYPERLINK("https://esbl.nhlbi.nih.gov/Databases/mpkFractions/proteomic_fractions_linear_files/Yang_linear_img/6724311.jpg","show blot")</f>
        <v>show blot</v>
      </c>
      <c r="J191" s="5" t="s">
        <v>380</v>
      </c>
      <c r="L191" s="11">
        <v>4.8829024870647579</v>
      </c>
      <c r="N191" s="12"/>
    </row>
    <row r="192" spans="1:14" s="5" customFormat="1" ht="15" customHeight="1" x14ac:dyDescent="0.25">
      <c r="A192" s="9" t="s">
        <v>381</v>
      </c>
      <c r="C192" s="9" t="str">
        <f>HYPERLINK("http://www.ncbi.nlm.nih.gov/protein/31982511","Adh5")</f>
        <v>Adh5</v>
      </c>
      <c r="D192" s="10">
        <f t="shared" si="2"/>
        <v>6.3253429147211149</v>
      </c>
      <c r="F192" s="8" t="str">
        <f>HYPERLINK("https://esbl.nhlbi.nih.gov/Databases/mpkFractions/proteomic_fractions_log_files/Yang_log_img/31982511.jpg","show blot")</f>
        <v>show blot</v>
      </c>
      <c r="H192" s="8" t="str">
        <f>HYPERLINK("https://esbl.nhlbi.nih.gov/Databases/mpkFractions/proteomic_fractions_linear_files/Yang_linear_img/31982511.jpg","show blot")</f>
        <v>show blot</v>
      </c>
      <c r="J192" s="5" t="s">
        <v>382</v>
      </c>
      <c r="L192" s="11">
        <v>6.3253429147211149</v>
      </c>
      <c r="N192" s="12"/>
    </row>
    <row r="193" spans="1:14" s="5" customFormat="1" ht="15" customHeight="1" x14ac:dyDescent="0.25">
      <c r="A193" s="9" t="s">
        <v>383</v>
      </c>
      <c r="C193" s="9" t="str">
        <f>HYPERLINK("http://www.ncbi.nlm.nih.gov/protein/31560625","Adh7")</f>
        <v>Adh7</v>
      </c>
      <c r="D193" s="10">
        <f t="shared" si="2"/>
        <v>5.942926352586996</v>
      </c>
      <c r="F193" s="8" t="str">
        <f>HYPERLINK("https://esbl.nhlbi.nih.gov/Databases/mpkFractions/proteomic_fractions_log_files/Yang_log_img/31560625.jpg","show blot")</f>
        <v>show blot</v>
      </c>
      <c r="H193" s="8" t="str">
        <f>HYPERLINK("https://esbl.nhlbi.nih.gov/Databases/mpkFractions/proteomic_fractions_linear_files/Yang_linear_img/31560625.jpg","show blot")</f>
        <v>show blot</v>
      </c>
      <c r="J193" s="5" t="s">
        <v>384</v>
      </c>
      <c r="L193" s="11">
        <v>5.942926352586996</v>
      </c>
      <c r="N193" s="12"/>
    </row>
    <row r="194" spans="1:14" s="5" customFormat="1" ht="15" customHeight="1" x14ac:dyDescent="0.25">
      <c r="A194" s="9" t="s">
        <v>385</v>
      </c>
      <c r="C194" s="9" t="str">
        <f>HYPERLINK("http://www.ncbi.nlm.nih.gov/protein/19527270","Adi1")</f>
        <v>Adi1</v>
      </c>
      <c r="D194" s="10">
        <f t="shared" si="2"/>
        <v>5.2527296816380131</v>
      </c>
      <c r="F194" s="8" t="str">
        <f>HYPERLINK("https://esbl.nhlbi.nih.gov/Databases/mpkFractions/proteomic_fractions_log_files/Yang_log_img/19527270.jpg","show blot")</f>
        <v>show blot</v>
      </c>
      <c r="H194" s="8" t="str">
        <f>HYPERLINK("https://esbl.nhlbi.nih.gov/Databases/mpkFractions/proteomic_fractions_linear_files/Yang_linear_img/19527270.jpg","show blot")</f>
        <v>show blot</v>
      </c>
      <c r="J194" s="5" t="s">
        <v>386</v>
      </c>
      <c r="L194" s="11">
        <v>5.2527296816380131</v>
      </c>
      <c r="N194" s="12"/>
    </row>
    <row r="195" spans="1:14" s="5" customFormat="1" ht="15" customHeight="1" x14ac:dyDescent="0.25">
      <c r="A195" s="9" t="s">
        <v>387</v>
      </c>
      <c r="C195" s="9" t="str">
        <f>HYPERLINK("http://www.ncbi.nlm.nih.gov/protein/38259186","Adipor1")</f>
        <v>Adipor1</v>
      </c>
      <c r="D195" s="10" t="str">
        <f t="shared" si="2"/>
        <v>-</v>
      </c>
      <c r="F195" s="8" t="str">
        <f>HYPERLINK("https://esbl.nhlbi.nih.gov/Databases/mpkFractions/proteomic_fractions_log_files/Yang_log_img/38259186.jpg","show blot")</f>
        <v>show blot</v>
      </c>
      <c r="H195" s="8" t="str">
        <f>HYPERLINK("https://esbl.nhlbi.nih.gov/Databases/mpkFractions/proteomic_fractions_linear_files/Yang_linear_img/38259186.jpg","show blot")</f>
        <v>show blot</v>
      </c>
      <c r="J195" s="5" t="s">
        <v>388</v>
      </c>
      <c r="L195" s="13" t="s">
        <v>389</v>
      </c>
      <c r="N195" s="12"/>
    </row>
    <row r="196" spans="1:14" s="5" customFormat="1" ht="15" customHeight="1" x14ac:dyDescent="0.25">
      <c r="A196" s="9" t="s">
        <v>390</v>
      </c>
      <c r="C196" s="9" t="str">
        <f>HYPERLINK("http://www.ncbi.nlm.nih.gov/protein/19527306","Adk")</f>
        <v>Adk</v>
      </c>
      <c r="D196" s="10">
        <f t="shared" si="2"/>
        <v>5.8172625602675474</v>
      </c>
      <c r="F196" s="8" t="str">
        <f>HYPERLINK("https://esbl.nhlbi.nih.gov/Databases/mpkFractions/proteomic_fractions_log_files/Yang_log_img/19527306.jpg","show blot")</f>
        <v>show blot</v>
      </c>
      <c r="H196" s="8" t="str">
        <f>HYPERLINK("https://esbl.nhlbi.nih.gov/Databases/mpkFractions/proteomic_fractions_linear_files/Yang_linear_img/19527306.jpg","show blot")</f>
        <v>show blot</v>
      </c>
      <c r="J196" s="5" t="s">
        <v>391</v>
      </c>
      <c r="L196" s="11">
        <v>5.8172625602675474</v>
      </c>
      <c r="N196" s="12"/>
    </row>
    <row r="197" spans="1:14" s="5" customFormat="1" ht="15" customHeight="1" x14ac:dyDescent="0.25">
      <c r="A197" s="9" t="s">
        <v>392</v>
      </c>
      <c r="C197" s="9" t="str">
        <f>HYPERLINK("http://www.ncbi.nlm.nih.gov/protein/339895909","Adk")</f>
        <v>Adk</v>
      </c>
      <c r="D197" s="10">
        <f t="shared" ref="D197:D260" si="3">L197</f>
        <v>5.8172625602675474</v>
      </c>
      <c r="F197" s="8" t="str">
        <f>HYPERLINK("https://esbl.nhlbi.nih.gov/Databases/mpkFractions/proteomic_fractions_log_files/Yang_log_img/339895909.jpg","show blot")</f>
        <v>show blot</v>
      </c>
      <c r="H197" s="8" t="str">
        <f>HYPERLINK("https://esbl.nhlbi.nih.gov/Databases/mpkFractions/proteomic_fractions_linear_files/Yang_linear_img/339895909.jpg","show blot")</f>
        <v>show blot</v>
      </c>
      <c r="J197" s="5" t="s">
        <v>393</v>
      </c>
      <c r="L197" s="11">
        <v>5.8172625602675474</v>
      </c>
      <c r="N197" s="12"/>
    </row>
    <row r="198" spans="1:14" s="5" customFormat="1" ht="15" customHeight="1" x14ac:dyDescent="0.25">
      <c r="A198" s="9" t="s">
        <v>394</v>
      </c>
      <c r="C198" s="9" t="str">
        <f>HYPERLINK("http://www.ncbi.nlm.nih.gov/protein/90093349","Adnp")</f>
        <v>Adnp</v>
      </c>
      <c r="D198" s="10">
        <f t="shared" si="3"/>
        <v>3.2227620054348529</v>
      </c>
      <c r="F198" s="8" t="str">
        <f>HYPERLINK("https://esbl.nhlbi.nih.gov/Databases/mpkFractions/proteomic_fractions_log_files/Yang_log_img/90093349.jpg","show blot")</f>
        <v>show blot</v>
      </c>
      <c r="H198" s="8" t="str">
        <f>HYPERLINK("https://esbl.nhlbi.nih.gov/Databases/mpkFractions/proteomic_fractions_linear_files/Yang_linear_img/90093349.jpg","show blot")</f>
        <v>show blot</v>
      </c>
      <c r="J198" s="5" t="s">
        <v>395</v>
      </c>
      <c r="L198" s="11">
        <v>3.2227620054348529</v>
      </c>
      <c r="N198" s="12"/>
    </row>
    <row r="199" spans="1:14" s="5" customFormat="1" ht="15" customHeight="1" x14ac:dyDescent="0.25">
      <c r="A199" s="9" t="s">
        <v>396</v>
      </c>
      <c r="C199" s="9" t="str">
        <f>HYPERLINK("http://www.ncbi.nlm.nih.gov/protein/225703118","Ado")</f>
        <v>Ado</v>
      </c>
      <c r="D199" s="10">
        <f t="shared" si="3"/>
        <v>4.4146449796265239</v>
      </c>
      <c r="F199" s="8" t="str">
        <f>HYPERLINK("https://esbl.nhlbi.nih.gov/Databases/mpkFractions/proteomic_fractions_log_files/Yang_log_img/225703118.jpg","show blot")</f>
        <v>show blot</v>
      </c>
      <c r="H199" s="8" t="str">
        <f>HYPERLINK("https://esbl.nhlbi.nih.gov/Databases/mpkFractions/proteomic_fractions_linear_files/Yang_linear_img/225703118.jpg","show blot")</f>
        <v>show blot</v>
      </c>
      <c r="J199" s="5" t="s">
        <v>397</v>
      </c>
      <c r="L199" s="11">
        <v>4.4146449796265239</v>
      </c>
      <c r="N199" s="12"/>
    </row>
    <row r="200" spans="1:14" s="5" customFormat="1" ht="15" customHeight="1" x14ac:dyDescent="0.25">
      <c r="A200" s="9" t="s">
        <v>398</v>
      </c>
      <c r="C200" s="9" t="str">
        <f>HYPERLINK("http://www.ncbi.nlm.nih.gov/protein/21312406","Adpgk")</f>
        <v>Adpgk</v>
      </c>
      <c r="D200" s="10">
        <f t="shared" si="3"/>
        <v>3.7682978755498411</v>
      </c>
      <c r="F200" s="8" t="str">
        <f>HYPERLINK("https://esbl.nhlbi.nih.gov/Databases/mpkFractions/proteomic_fractions_log_files/Yang_log_img/21312406.jpg","show blot")</f>
        <v>show blot</v>
      </c>
      <c r="H200" s="8" t="str">
        <f>HYPERLINK("https://esbl.nhlbi.nih.gov/Databases/mpkFractions/proteomic_fractions_linear_files/Yang_linear_img/21312406.jpg","show blot")</f>
        <v>show blot</v>
      </c>
      <c r="J200" s="5" t="s">
        <v>399</v>
      </c>
      <c r="L200" s="11">
        <v>3.7682978755498411</v>
      </c>
      <c r="N200" s="12"/>
    </row>
    <row r="201" spans="1:14" s="5" customFormat="1" ht="15" customHeight="1" x14ac:dyDescent="0.25">
      <c r="A201" s="9" t="s">
        <v>400</v>
      </c>
      <c r="C201" s="9" t="str">
        <f>HYPERLINK("http://www.ncbi.nlm.nih.gov/protein/6680658","Adprh")</f>
        <v>Adprh</v>
      </c>
      <c r="D201" s="10">
        <f t="shared" si="3"/>
        <v>4.255129221722294</v>
      </c>
      <c r="F201" s="8" t="str">
        <f>HYPERLINK("https://esbl.nhlbi.nih.gov/Databases/mpkFractions/proteomic_fractions_log_files/Yang_log_img/6680658.jpg","show blot")</f>
        <v>show blot</v>
      </c>
      <c r="H201" s="8" t="str">
        <f>HYPERLINK("https://esbl.nhlbi.nih.gov/Databases/mpkFractions/proteomic_fractions_linear_files/Yang_linear_img/6680658.jpg","show blot")</f>
        <v>show blot</v>
      </c>
      <c r="J201" s="5" t="s">
        <v>401</v>
      </c>
      <c r="L201" s="11">
        <v>4.255129221722294</v>
      </c>
      <c r="N201" s="12"/>
    </row>
    <row r="202" spans="1:14" s="5" customFormat="1" ht="15" customHeight="1" x14ac:dyDescent="0.25">
      <c r="A202" s="9" t="s">
        <v>402</v>
      </c>
      <c r="C202" s="9" t="str">
        <f>HYPERLINK("http://www.ncbi.nlm.nih.gov/protein/28916671","Adprhl2")</f>
        <v>Adprhl2</v>
      </c>
      <c r="D202" s="10">
        <f t="shared" si="3"/>
        <v>5.4829550895512549</v>
      </c>
      <c r="F202" s="8" t="str">
        <f>HYPERLINK("https://esbl.nhlbi.nih.gov/Databases/mpkFractions/proteomic_fractions_log_files/Yang_log_img/28916671.jpg","show blot")</f>
        <v>show blot</v>
      </c>
      <c r="H202" s="8" t="str">
        <f>HYPERLINK("https://esbl.nhlbi.nih.gov/Databases/mpkFractions/proteomic_fractions_linear_files/Yang_linear_img/28916671.jpg","show blot")</f>
        <v>show blot</v>
      </c>
      <c r="J202" s="5" t="s">
        <v>403</v>
      </c>
      <c r="L202" s="11">
        <v>5.4829550895512549</v>
      </c>
      <c r="N202" s="12"/>
    </row>
    <row r="203" spans="1:14" s="5" customFormat="1" ht="15" customHeight="1" x14ac:dyDescent="0.25">
      <c r="A203" s="9" t="s">
        <v>404</v>
      </c>
      <c r="C203" s="9" t="str">
        <f>HYPERLINK("http://www.ncbi.nlm.nih.gov/protein/33859769","Adrbk1")</f>
        <v>Adrbk1</v>
      </c>
      <c r="D203" s="10">
        <f t="shared" si="3"/>
        <v>4.3459818612910226</v>
      </c>
      <c r="F203" s="8" t="str">
        <f>HYPERLINK("https://esbl.nhlbi.nih.gov/Databases/mpkFractions/proteomic_fractions_log_files/Yang_log_img/33859769.jpg","show blot")</f>
        <v>show blot</v>
      </c>
      <c r="H203" s="8" t="str">
        <f>HYPERLINK("https://esbl.nhlbi.nih.gov/Databases/mpkFractions/proteomic_fractions_linear_files/Yang_linear_img/33859769.jpg","show blot")</f>
        <v>show blot</v>
      </c>
      <c r="J203" s="5" t="s">
        <v>405</v>
      </c>
      <c r="L203" s="11">
        <v>4.3459818612910226</v>
      </c>
      <c r="N203" s="12"/>
    </row>
    <row r="204" spans="1:14" s="5" customFormat="1" ht="15" customHeight="1" x14ac:dyDescent="0.25">
      <c r="A204" s="9" t="s">
        <v>406</v>
      </c>
      <c r="C204" s="9" t="str">
        <f>HYPERLINK("http://www.ncbi.nlm.nih.gov/protein/78711830","Adrbk2")</f>
        <v>Adrbk2</v>
      </c>
      <c r="D204" s="10">
        <f t="shared" si="3"/>
        <v>3.9209639841621491</v>
      </c>
      <c r="F204" s="8" t="str">
        <f>HYPERLINK("https://esbl.nhlbi.nih.gov/Databases/mpkFractions/proteomic_fractions_log_files/Yang_log_img/78711830.jpg","show blot")</f>
        <v>show blot</v>
      </c>
      <c r="H204" s="8" t="str">
        <f>HYPERLINK("https://esbl.nhlbi.nih.gov/Databases/mpkFractions/proteomic_fractions_linear_files/Yang_linear_img/78711830.jpg","show blot")</f>
        <v>show blot</v>
      </c>
      <c r="J204" s="5" t="s">
        <v>407</v>
      </c>
      <c r="L204" s="11">
        <v>3.9209639841621491</v>
      </c>
      <c r="N204" s="12"/>
    </row>
    <row r="205" spans="1:14" s="5" customFormat="1" ht="15" customHeight="1" x14ac:dyDescent="0.25">
      <c r="A205" s="9" t="s">
        <v>408</v>
      </c>
      <c r="C205" s="9" t="str">
        <f>HYPERLINK("http://www.ncbi.nlm.nih.gov/protein/31981027","Adrm1")</f>
        <v>Adrm1</v>
      </c>
      <c r="D205" s="10">
        <f t="shared" si="3"/>
        <v>4.8008975598250379</v>
      </c>
      <c r="F205" s="8" t="str">
        <f>HYPERLINK("https://esbl.nhlbi.nih.gov/Databases/mpkFractions/proteomic_fractions_log_files/Yang_log_img/31981027.jpg","show blot")</f>
        <v>show blot</v>
      </c>
      <c r="H205" s="8" t="str">
        <f>HYPERLINK("https://esbl.nhlbi.nih.gov/Databases/mpkFractions/proteomic_fractions_linear_files/Yang_linear_img/31981027.jpg","show blot")</f>
        <v>show blot</v>
      </c>
      <c r="J205" s="5" t="s">
        <v>409</v>
      </c>
      <c r="L205" s="11">
        <v>4.8008975598250379</v>
      </c>
      <c r="N205" s="12"/>
    </row>
    <row r="206" spans="1:14" s="5" customFormat="1" ht="15" customHeight="1" x14ac:dyDescent="0.25">
      <c r="A206" s="9" t="s">
        <v>410</v>
      </c>
      <c r="C206" s="9" t="str">
        <f>HYPERLINK("http://www.ncbi.nlm.nih.gov/protein/29788764","Adsl")</f>
        <v>Adsl</v>
      </c>
      <c r="D206" s="10">
        <f t="shared" si="3"/>
        <v>5.7736274439919617</v>
      </c>
      <c r="F206" s="8" t="str">
        <f>HYPERLINK("https://esbl.nhlbi.nih.gov/Databases/mpkFractions/proteomic_fractions_log_files/Yang_log_img/29788764.jpg","show blot")</f>
        <v>show blot</v>
      </c>
      <c r="H206" s="8" t="str">
        <f>HYPERLINK("https://esbl.nhlbi.nih.gov/Databases/mpkFractions/proteomic_fractions_linear_files/Yang_linear_img/29788764.jpg","show blot")</f>
        <v>show blot</v>
      </c>
      <c r="J206" s="5" t="s">
        <v>411</v>
      </c>
      <c r="L206" s="11">
        <v>5.7736274439919617</v>
      </c>
      <c r="N206" s="12"/>
    </row>
    <row r="207" spans="1:14" s="5" customFormat="1" ht="15" customHeight="1" x14ac:dyDescent="0.25">
      <c r="A207" s="9" t="s">
        <v>412</v>
      </c>
      <c r="C207" s="9" t="str">
        <f>HYPERLINK("http://www.ncbi.nlm.nih.gov/protein/31560737","Adss")</f>
        <v>Adss</v>
      </c>
      <c r="D207" s="10">
        <f t="shared" si="3"/>
        <v>5.9444659054437778</v>
      </c>
      <c r="F207" s="8" t="str">
        <f>HYPERLINK("https://esbl.nhlbi.nih.gov/Databases/mpkFractions/proteomic_fractions_log_files/Yang_log_img/31560737.jpg","show blot")</f>
        <v>show blot</v>
      </c>
      <c r="H207" s="8" t="str">
        <f>HYPERLINK("https://esbl.nhlbi.nih.gov/Databases/mpkFractions/proteomic_fractions_linear_files/Yang_linear_img/31560737.jpg","show blot")</f>
        <v>show blot</v>
      </c>
      <c r="J207" s="5" t="s">
        <v>413</v>
      </c>
      <c r="L207" s="11">
        <v>5.9444659054437778</v>
      </c>
      <c r="N207" s="12"/>
    </row>
    <row r="208" spans="1:14" s="5" customFormat="1" ht="15" customHeight="1" x14ac:dyDescent="0.25">
      <c r="A208" s="9" t="s">
        <v>414</v>
      </c>
      <c r="C208" s="9" t="str">
        <f>HYPERLINK("http://www.ncbi.nlm.nih.gov/protein/6671519","Adssl1")</f>
        <v>Adssl1</v>
      </c>
      <c r="D208" s="10">
        <f t="shared" si="3"/>
        <v>5.4186167063493267</v>
      </c>
      <c r="F208" s="8" t="str">
        <f>HYPERLINK("https://esbl.nhlbi.nih.gov/Databases/mpkFractions/proteomic_fractions_log_files/Yang_log_img/6671519.jpg","show blot")</f>
        <v>show blot</v>
      </c>
      <c r="H208" s="8" t="str">
        <f>HYPERLINK("https://esbl.nhlbi.nih.gov/Databases/mpkFractions/proteomic_fractions_linear_files/Yang_linear_img/6671519.jpg","show blot")</f>
        <v>show blot</v>
      </c>
      <c r="J208" s="5" t="s">
        <v>415</v>
      </c>
      <c r="L208" s="11">
        <v>5.4186167063493267</v>
      </c>
      <c r="N208" s="12"/>
    </row>
    <row r="209" spans="1:14" s="5" customFormat="1" ht="15" customHeight="1" x14ac:dyDescent="0.25">
      <c r="A209" s="9" t="s">
        <v>416</v>
      </c>
      <c r="C209" s="9" t="str">
        <f>HYPERLINK("http://www.ncbi.nlm.nih.gov/protein/33859696","Afap1")</f>
        <v>Afap1</v>
      </c>
      <c r="D209" s="10">
        <f t="shared" si="3"/>
        <v>2.6758470537194632</v>
      </c>
      <c r="F209" s="8" t="str">
        <f>HYPERLINK("https://esbl.nhlbi.nih.gov/Databases/mpkFractions/proteomic_fractions_log_files/Yang_log_img/33859696.jpg","show blot")</f>
        <v>show blot</v>
      </c>
      <c r="H209" s="8" t="str">
        <f>HYPERLINK("https://esbl.nhlbi.nih.gov/Databases/mpkFractions/proteomic_fractions_linear_files/Yang_linear_img/33859696.jpg","show blot")</f>
        <v>show blot</v>
      </c>
      <c r="J209" s="5" t="s">
        <v>417</v>
      </c>
      <c r="L209" s="11">
        <v>2.6758470537194632</v>
      </c>
      <c r="N209" s="12"/>
    </row>
    <row r="210" spans="1:14" s="5" customFormat="1" ht="15" customHeight="1" x14ac:dyDescent="0.25">
      <c r="A210" s="9" t="s">
        <v>418</v>
      </c>
      <c r="C210" s="9" t="str">
        <f>HYPERLINK("http://www.ncbi.nlm.nih.gov/protein/22122607","Afap1l2")</f>
        <v>Afap1l2</v>
      </c>
      <c r="D210" s="10">
        <f t="shared" si="3"/>
        <v>2.437905327038524</v>
      </c>
      <c r="F210" s="8" t="str">
        <f>HYPERLINK("https://esbl.nhlbi.nih.gov/Databases/mpkFractions/proteomic_fractions_log_files/Yang_log_img/22122607.jpg","show blot")</f>
        <v>show blot</v>
      </c>
      <c r="H210" s="8" t="str">
        <f>HYPERLINK("https://esbl.nhlbi.nih.gov/Databases/mpkFractions/proteomic_fractions_linear_files/Yang_linear_img/22122607.jpg","show blot")</f>
        <v>show blot</v>
      </c>
      <c r="J210" s="5" t="s">
        <v>419</v>
      </c>
      <c r="L210" s="11">
        <v>2.437905327038524</v>
      </c>
      <c r="N210" s="12"/>
    </row>
    <row r="211" spans="1:14" s="5" customFormat="1" ht="15" customHeight="1" x14ac:dyDescent="0.25">
      <c r="A211" s="9" t="s">
        <v>420</v>
      </c>
      <c r="C211" s="9" t="str">
        <f>HYPERLINK("http://www.ncbi.nlm.nih.gov/protein/295317357","Afap1l2")</f>
        <v>Afap1l2</v>
      </c>
      <c r="D211" s="10">
        <f t="shared" si="3"/>
        <v>2.437905327038524</v>
      </c>
      <c r="F211" s="8" t="str">
        <f>HYPERLINK("https://esbl.nhlbi.nih.gov/Databases/mpkFractions/proteomic_fractions_log_files/Yang_log_img/295317357.jpg","show blot")</f>
        <v>show blot</v>
      </c>
      <c r="H211" s="8" t="str">
        <f>HYPERLINK("https://esbl.nhlbi.nih.gov/Databases/mpkFractions/proteomic_fractions_linear_files/Yang_linear_img/295317357.jpg","show blot")</f>
        <v>show blot</v>
      </c>
      <c r="J211" s="5" t="s">
        <v>421</v>
      </c>
      <c r="L211" s="11">
        <v>2.437905327038524</v>
      </c>
      <c r="N211" s="12"/>
    </row>
    <row r="212" spans="1:14" s="5" customFormat="1" ht="15" customHeight="1" x14ac:dyDescent="0.25">
      <c r="A212" s="9" t="s">
        <v>422</v>
      </c>
      <c r="C212" s="9" t="str">
        <f>HYPERLINK("http://www.ncbi.nlm.nih.gov/protein/295317359","Afap1l2")</f>
        <v>Afap1l2</v>
      </c>
      <c r="D212" s="10">
        <f t="shared" si="3"/>
        <v>2.437905327038524</v>
      </c>
      <c r="F212" s="8" t="str">
        <f>HYPERLINK("https://esbl.nhlbi.nih.gov/Databases/mpkFractions/proteomic_fractions_log_files/Yang_log_img/295317359.jpg","show blot")</f>
        <v>show blot</v>
      </c>
      <c r="H212" s="8" t="str">
        <f>HYPERLINK("https://esbl.nhlbi.nih.gov/Databases/mpkFractions/proteomic_fractions_linear_files/Yang_linear_img/295317359.jpg","show blot")</f>
        <v>show blot</v>
      </c>
      <c r="J212" s="5" t="s">
        <v>423</v>
      </c>
      <c r="L212" s="11">
        <v>2.437905327038524</v>
      </c>
      <c r="N212" s="12"/>
    </row>
    <row r="213" spans="1:14" s="5" customFormat="1" ht="15" customHeight="1" x14ac:dyDescent="0.25">
      <c r="A213" s="9" t="s">
        <v>424</v>
      </c>
      <c r="C213" s="9" t="str">
        <f>HYPERLINK("http://www.ncbi.nlm.nih.gov/protein/17298672","Aff4")</f>
        <v>Aff4</v>
      </c>
      <c r="D213" s="10">
        <f t="shared" si="3"/>
        <v>1.9762108943803189</v>
      </c>
      <c r="F213" s="8" t="str">
        <f>HYPERLINK("https://esbl.nhlbi.nih.gov/Databases/mpkFractions/proteomic_fractions_log_files/Yang_log_img/17298672.jpg","show blot")</f>
        <v>show blot</v>
      </c>
      <c r="H213" s="8" t="str">
        <f>HYPERLINK("https://esbl.nhlbi.nih.gov/Databases/mpkFractions/proteomic_fractions_linear_files/Yang_linear_img/17298672.jpg","show blot")</f>
        <v>show blot</v>
      </c>
      <c r="J213" s="5" t="s">
        <v>425</v>
      </c>
      <c r="L213" s="11">
        <v>1.9762108943803189</v>
      </c>
      <c r="N213" s="12"/>
    </row>
    <row r="214" spans="1:14" s="5" customFormat="1" ht="15" customHeight="1" x14ac:dyDescent="0.25">
      <c r="A214" s="9" t="s">
        <v>426</v>
      </c>
      <c r="C214" s="9" t="str">
        <f>HYPERLINK("http://www.ncbi.nlm.nih.gov/protein/66792806","Afg3l1")</f>
        <v>Afg3l1</v>
      </c>
      <c r="D214" s="10">
        <f t="shared" si="3"/>
        <v>3.6012858529877101</v>
      </c>
      <c r="F214" s="8" t="str">
        <f>HYPERLINK("https://esbl.nhlbi.nih.gov/Databases/mpkFractions/proteomic_fractions_log_files/Yang_log_img/66792806.jpg","show blot")</f>
        <v>show blot</v>
      </c>
      <c r="H214" s="8" t="str">
        <f>HYPERLINK("https://esbl.nhlbi.nih.gov/Databases/mpkFractions/proteomic_fractions_linear_files/Yang_linear_img/66792806.jpg","show blot")</f>
        <v>show blot</v>
      </c>
      <c r="J214" s="5" t="s">
        <v>427</v>
      </c>
      <c r="L214" s="11">
        <v>3.6012858529877101</v>
      </c>
      <c r="N214" s="12"/>
    </row>
    <row r="215" spans="1:14" s="5" customFormat="1" ht="15" customHeight="1" x14ac:dyDescent="0.25">
      <c r="A215" s="9" t="s">
        <v>428</v>
      </c>
      <c r="C215" s="9" t="str">
        <f>HYPERLINK("http://www.ncbi.nlm.nih.gov/protein/110625761","Afg3l2")</f>
        <v>Afg3l2</v>
      </c>
      <c r="D215" s="10">
        <f t="shared" si="3"/>
        <v>3.596051322609874</v>
      </c>
      <c r="F215" s="8" t="str">
        <f>HYPERLINK("https://esbl.nhlbi.nih.gov/Databases/mpkFractions/proteomic_fractions_log_files/Yang_log_img/110625761.jpg","show blot")</f>
        <v>show blot</v>
      </c>
      <c r="H215" s="8" t="str">
        <f>HYPERLINK("https://esbl.nhlbi.nih.gov/Databases/mpkFractions/proteomic_fractions_linear_files/Yang_linear_img/110625761.jpg","show blot")</f>
        <v>show blot</v>
      </c>
      <c r="J215" s="5" t="s">
        <v>429</v>
      </c>
      <c r="L215" s="11">
        <v>3.596051322609874</v>
      </c>
      <c r="N215" s="12"/>
    </row>
    <row r="216" spans="1:14" s="5" customFormat="1" ht="15" customHeight="1" x14ac:dyDescent="0.25">
      <c r="A216" s="9" t="s">
        <v>430</v>
      </c>
      <c r="C216" s="9" t="str">
        <f>HYPERLINK("http://www.ncbi.nlm.nih.gov/protein/21746157","Afmid")</f>
        <v>Afmid</v>
      </c>
      <c r="D216" s="10">
        <f t="shared" si="3"/>
        <v>2.288638882273637</v>
      </c>
      <c r="F216" s="8" t="str">
        <f>HYPERLINK("https://esbl.nhlbi.nih.gov/Databases/mpkFractions/proteomic_fractions_log_files/Yang_log_img/21746157.jpg","show blot")</f>
        <v>show blot</v>
      </c>
      <c r="H216" s="8" t="str">
        <f>HYPERLINK("https://esbl.nhlbi.nih.gov/Databases/mpkFractions/proteomic_fractions_linear_files/Yang_linear_img/21746157.jpg","show blot")</f>
        <v>show blot</v>
      </c>
      <c r="J216" s="5" t="s">
        <v>431</v>
      </c>
      <c r="L216" s="11">
        <v>2.288638882273637</v>
      </c>
      <c r="N216" s="12"/>
    </row>
    <row r="217" spans="1:14" s="5" customFormat="1" ht="15" customHeight="1" x14ac:dyDescent="0.25">
      <c r="A217" s="9" t="s">
        <v>432</v>
      </c>
      <c r="C217" s="9" t="str">
        <f>HYPERLINK("http://www.ncbi.nlm.nih.gov/protein/31088896","Aftph")</f>
        <v>Aftph</v>
      </c>
      <c r="D217" s="10">
        <f t="shared" si="3"/>
        <v>4.0336983895068226</v>
      </c>
      <c r="F217" s="8" t="str">
        <f>HYPERLINK("https://esbl.nhlbi.nih.gov/Databases/mpkFractions/proteomic_fractions_log_files/Yang_log_img/31088896.jpg","show blot")</f>
        <v>show blot</v>
      </c>
      <c r="H217" s="8" t="str">
        <f>HYPERLINK("https://esbl.nhlbi.nih.gov/Databases/mpkFractions/proteomic_fractions_linear_files/Yang_linear_img/31088896.jpg","show blot")</f>
        <v>show blot</v>
      </c>
      <c r="J217" s="5" t="s">
        <v>433</v>
      </c>
      <c r="L217" s="11">
        <v>4.0336983895068226</v>
      </c>
      <c r="N217" s="12"/>
    </row>
    <row r="218" spans="1:14" s="5" customFormat="1" ht="15" customHeight="1" x14ac:dyDescent="0.25">
      <c r="A218" s="9" t="s">
        <v>434</v>
      </c>
      <c r="C218" s="9" t="str">
        <f>HYPERLINK("http://www.ncbi.nlm.nih.gov/protein/357394879","Aftph")</f>
        <v>Aftph</v>
      </c>
      <c r="D218" s="10">
        <f t="shared" si="3"/>
        <v>4.0336983895068226</v>
      </c>
      <c r="F218" s="8" t="str">
        <f>HYPERLINK("https://esbl.nhlbi.nih.gov/Databases/mpkFractions/proteomic_fractions_log_files/Yang_log_img/357394879.jpg","show blot")</f>
        <v>show blot</v>
      </c>
      <c r="H218" s="8" t="str">
        <f>HYPERLINK("https://esbl.nhlbi.nih.gov/Databases/mpkFractions/proteomic_fractions_linear_files/Yang_linear_img/357394879.jpg","show blot")</f>
        <v>show blot</v>
      </c>
      <c r="J218" s="5" t="s">
        <v>435</v>
      </c>
      <c r="L218" s="11">
        <v>4.0336983895068226</v>
      </c>
      <c r="N218" s="12"/>
    </row>
    <row r="219" spans="1:14" s="5" customFormat="1" ht="15" customHeight="1" x14ac:dyDescent="0.25">
      <c r="A219" s="9" t="s">
        <v>436</v>
      </c>
      <c r="C219" s="9" t="str">
        <f>HYPERLINK("http://www.ncbi.nlm.nih.gov/protein/326439050","Aga")</f>
        <v>Aga</v>
      </c>
      <c r="D219" s="10">
        <f t="shared" si="3"/>
        <v>5.3614638723832311</v>
      </c>
      <c r="F219" s="8" t="str">
        <f>HYPERLINK("https://esbl.nhlbi.nih.gov/Databases/mpkFractions/proteomic_fractions_log_files/Yang_log_img/326439050.jpg","show blot")</f>
        <v>show blot</v>
      </c>
      <c r="H219" s="8" t="str">
        <f>HYPERLINK("https://esbl.nhlbi.nih.gov/Databases/mpkFractions/proteomic_fractions_linear_files/Yang_linear_img/326439050.jpg","show blot")</f>
        <v>show blot</v>
      </c>
      <c r="J219" s="5" t="s">
        <v>437</v>
      </c>
      <c r="L219" s="11">
        <v>5.3614638723832311</v>
      </c>
      <c r="N219" s="12"/>
    </row>
    <row r="220" spans="1:14" s="5" customFormat="1" ht="15" customHeight="1" x14ac:dyDescent="0.25">
      <c r="A220" s="9" t="s">
        <v>438</v>
      </c>
      <c r="C220" s="9" t="str">
        <f>HYPERLINK("http://www.ncbi.nlm.nih.gov/protein/54292135","Aga")</f>
        <v>Aga</v>
      </c>
      <c r="D220" s="10">
        <f t="shared" si="3"/>
        <v>5.3614638723832311</v>
      </c>
      <c r="F220" s="8" t="str">
        <f>HYPERLINK("https://esbl.nhlbi.nih.gov/Databases/mpkFractions/proteomic_fractions_log_files/Yang_log_img/54292135.jpg","show blot")</f>
        <v>show blot</v>
      </c>
      <c r="H220" s="8" t="str">
        <f>HYPERLINK("https://esbl.nhlbi.nih.gov/Databases/mpkFractions/proteomic_fractions_linear_files/Yang_linear_img/54292135.jpg","show blot")</f>
        <v>show blot</v>
      </c>
      <c r="J220" s="5" t="s">
        <v>439</v>
      </c>
      <c r="L220" s="11">
        <v>5.3614638723832311</v>
      </c>
      <c r="N220" s="12"/>
    </row>
    <row r="221" spans="1:14" s="5" customFormat="1" ht="15" customHeight="1" x14ac:dyDescent="0.25">
      <c r="A221" s="9" t="s">
        <v>440</v>
      </c>
      <c r="C221" s="9" t="str">
        <f>HYPERLINK("http://www.ncbi.nlm.nih.gov/protein/312839828","Agbl1")</f>
        <v>Agbl1</v>
      </c>
      <c r="D221" s="10">
        <f t="shared" si="3"/>
        <v>4.4652405926403089</v>
      </c>
      <c r="F221" s="8" t="str">
        <f>HYPERLINK("https://esbl.nhlbi.nih.gov/Databases/mpkFractions/proteomic_fractions_log_files/Yang_log_img/312839828.jpg","show blot")</f>
        <v>show blot</v>
      </c>
      <c r="H221" s="8" t="str">
        <f>HYPERLINK("https://esbl.nhlbi.nih.gov/Databases/mpkFractions/proteomic_fractions_linear_files/Yang_linear_img/312839828.jpg","show blot")</f>
        <v>show blot</v>
      </c>
      <c r="J221" s="5" t="s">
        <v>441</v>
      </c>
      <c r="L221" s="11">
        <v>4.4652405926403089</v>
      </c>
      <c r="N221" s="12"/>
    </row>
    <row r="222" spans="1:14" s="5" customFormat="1" ht="15" customHeight="1" x14ac:dyDescent="0.25">
      <c r="A222" s="9" t="s">
        <v>442</v>
      </c>
      <c r="C222" s="9" t="str">
        <f>HYPERLINK("http://www.ncbi.nlm.nih.gov/protein/33563260","Agfg1")</f>
        <v>Agfg1</v>
      </c>
      <c r="D222" s="10">
        <f t="shared" si="3"/>
        <v>3.6867785206811599</v>
      </c>
      <c r="F222" s="8" t="str">
        <f>HYPERLINK("https://esbl.nhlbi.nih.gov/Databases/mpkFractions/proteomic_fractions_log_files/Yang_log_img/33563260.jpg","show blot")</f>
        <v>show blot</v>
      </c>
      <c r="H222" s="8" t="str">
        <f>HYPERLINK("https://esbl.nhlbi.nih.gov/Databases/mpkFractions/proteomic_fractions_linear_files/Yang_linear_img/33563260.jpg","show blot")</f>
        <v>show blot</v>
      </c>
      <c r="J222" s="5" t="s">
        <v>443</v>
      </c>
      <c r="L222" s="11">
        <v>3.6867785206811599</v>
      </c>
      <c r="N222" s="12"/>
    </row>
    <row r="223" spans="1:14" s="5" customFormat="1" ht="15" customHeight="1" x14ac:dyDescent="0.25">
      <c r="A223" s="9" t="s">
        <v>444</v>
      </c>
      <c r="C223" s="9" t="str">
        <f>HYPERLINK("http://www.ncbi.nlm.nih.gov/protein/21704138","Agfg2")</f>
        <v>Agfg2</v>
      </c>
      <c r="D223" s="10">
        <f t="shared" si="3"/>
        <v>4.5769443263618532</v>
      </c>
      <c r="F223" s="8" t="str">
        <f>HYPERLINK("https://esbl.nhlbi.nih.gov/Databases/mpkFractions/proteomic_fractions_log_files/Yang_log_img/21704138.jpg","show blot")</f>
        <v>show blot</v>
      </c>
      <c r="H223" s="8" t="str">
        <f>HYPERLINK("https://esbl.nhlbi.nih.gov/Databases/mpkFractions/proteomic_fractions_linear_files/Yang_linear_img/21704138.jpg","show blot")</f>
        <v>show blot</v>
      </c>
      <c r="J223" s="5" t="s">
        <v>445</v>
      </c>
      <c r="L223" s="11">
        <v>4.5769443263618532</v>
      </c>
      <c r="N223" s="12"/>
    </row>
    <row r="224" spans="1:14" s="5" customFormat="1" ht="15" customHeight="1" x14ac:dyDescent="0.25">
      <c r="A224" s="9" t="s">
        <v>446</v>
      </c>
      <c r="C224" s="9" t="str">
        <f>HYPERLINK("http://www.ncbi.nlm.nih.gov/protein/30039690","Agfg2")</f>
        <v>Agfg2</v>
      </c>
      <c r="D224" s="10">
        <f t="shared" si="3"/>
        <v>4.5769443263618532</v>
      </c>
      <c r="F224" s="8" t="str">
        <f>HYPERLINK("https://esbl.nhlbi.nih.gov/Databases/mpkFractions/proteomic_fractions_log_files/Yang_log_img/30039690.jpg","show blot")</f>
        <v>show blot</v>
      </c>
      <c r="H224" s="8" t="str">
        <f>HYPERLINK("https://esbl.nhlbi.nih.gov/Databases/mpkFractions/proteomic_fractions_linear_files/Yang_linear_img/30039690.jpg","show blot")</f>
        <v>show blot</v>
      </c>
      <c r="J224" s="5" t="s">
        <v>447</v>
      </c>
      <c r="L224" s="11">
        <v>4.5769443263618532</v>
      </c>
      <c r="N224" s="12"/>
    </row>
    <row r="225" spans="1:14" s="5" customFormat="1" ht="15" customHeight="1" x14ac:dyDescent="0.25">
      <c r="A225" s="9" t="s">
        <v>448</v>
      </c>
      <c r="C225" s="9" t="str">
        <f>HYPERLINK("http://www.ncbi.nlm.nih.gov/protein/37537518","Agk")</f>
        <v>Agk</v>
      </c>
      <c r="D225" s="10">
        <f t="shared" si="3"/>
        <v>3.9073366500267421</v>
      </c>
      <c r="F225" s="8" t="str">
        <f>HYPERLINK("https://esbl.nhlbi.nih.gov/Databases/mpkFractions/proteomic_fractions_log_files/Yang_log_img/37537518.jpg","show blot")</f>
        <v>show blot</v>
      </c>
      <c r="H225" s="8" t="str">
        <f>HYPERLINK("https://esbl.nhlbi.nih.gov/Databases/mpkFractions/proteomic_fractions_linear_files/Yang_linear_img/37537518.jpg","show blot")</f>
        <v>show blot</v>
      </c>
      <c r="J225" s="5" t="s">
        <v>449</v>
      </c>
      <c r="L225" s="11">
        <v>3.9073366500267421</v>
      </c>
      <c r="N225" s="12"/>
    </row>
    <row r="226" spans="1:14" s="5" customFormat="1" ht="15" customHeight="1" x14ac:dyDescent="0.25">
      <c r="A226" s="9" t="s">
        <v>450</v>
      </c>
      <c r="C226" s="9" t="str">
        <f>HYPERLINK("http://www.ncbi.nlm.nih.gov/protein/124486747","Agl")</f>
        <v>Agl</v>
      </c>
      <c r="D226" s="10">
        <f t="shared" si="3"/>
        <v>3.4986466434093662</v>
      </c>
      <c r="F226" s="8" t="str">
        <f>HYPERLINK("https://esbl.nhlbi.nih.gov/Databases/mpkFractions/proteomic_fractions_log_files/Yang_log_img/124486747.jpg","show blot")</f>
        <v>show blot</v>
      </c>
      <c r="H226" s="8" t="str">
        <f>HYPERLINK("https://esbl.nhlbi.nih.gov/Databases/mpkFractions/proteomic_fractions_linear_files/Yang_linear_img/124486747.jpg","show blot")</f>
        <v>show blot</v>
      </c>
      <c r="J226" s="5" t="s">
        <v>451</v>
      </c>
      <c r="L226" s="11">
        <v>3.4986466434093662</v>
      </c>
      <c r="N226" s="12"/>
    </row>
    <row r="227" spans="1:14" s="5" customFormat="1" ht="15" customHeight="1" x14ac:dyDescent="0.25">
      <c r="A227" s="9" t="s">
        <v>452</v>
      </c>
      <c r="C227" s="9" t="str">
        <f>HYPERLINK("http://www.ncbi.nlm.nih.gov/protein/251823852","Ago1")</f>
        <v>Ago1</v>
      </c>
      <c r="D227" s="10">
        <f t="shared" si="3"/>
        <v>4.7403243932196686</v>
      </c>
      <c r="F227" s="8" t="str">
        <f>HYPERLINK("https://esbl.nhlbi.nih.gov/Databases/mpkFractions/proteomic_fractions_log_files/Yang_log_img/251823852.jpg","show blot")</f>
        <v>show blot</v>
      </c>
      <c r="H227" s="8" t="str">
        <f>HYPERLINK("https://esbl.nhlbi.nih.gov/Databases/mpkFractions/proteomic_fractions_linear_files/Yang_linear_img/251823852.jpg","show blot")</f>
        <v>show blot</v>
      </c>
      <c r="J227" s="5" t="s">
        <v>453</v>
      </c>
      <c r="L227" s="11">
        <v>4.7403243932196686</v>
      </c>
      <c r="N227" s="12"/>
    </row>
    <row r="228" spans="1:14" s="5" customFormat="1" ht="15" customHeight="1" x14ac:dyDescent="0.25">
      <c r="A228" s="9" t="s">
        <v>454</v>
      </c>
      <c r="C228" s="9" t="str">
        <f>HYPERLINK("http://www.ncbi.nlm.nih.gov/protein/219842353","Ago2")</f>
        <v>Ago2</v>
      </c>
      <c r="D228" s="10">
        <f t="shared" si="3"/>
        <v>5.2917442348003796</v>
      </c>
      <c r="F228" s="8" t="str">
        <f>HYPERLINK("https://esbl.nhlbi.nih.gov/Databases/mpkFractions/proteomic_fractions_log_files/Yang_log_img/219842353.jpg","show blot")</f>
        <v>show blot</v>
      </c>
      <c r="H228" s="8" t="str">
        <f>HYPERLINK("https://esbl.nhlbi.nih.gov/Databases/mpkFractions/proteomic_fractions_linear_files/Yang_linear_img/219842353.jpg","show blot")</f>
        <v>show blot</v>
      </c>
      <c r="J228" s="5" t="s">
        <v>455</v>
      </c>
      <c r="L228" s="11">
        <v>5.2917442348003796</v>
      </c>
      <c r="N228" s="12"/>
    </row>
    <row r="229" spans="1:14" s="5" customFormat="1" ht="15" customHeight="1" x14ac:dyDescent="0.25">
      <c r="A229" s="9" t="s">
        <v>456</v>
      </c>
      <c r="C229" s="9" t="str">
        <f>HYPERLINK("http://www.ncbi.nlm.nih.gov/protein/240120065","Ago3")</f>
        <v>Ago3</v>
      </c>
      <c r="D229" s="10">
        <f t="shared" si="3"/>
        <v>4.6780640868331096</v>
      </c>
      <c r="F229" s="8" t="str">
        <f>HYPERLINK("https://esbl.nhlbi.nih.gov/Databases/mpkFractions/proteomic_fractions_log_files/Yang_log_img/240120065.jpg","show blot")</f>
        <v>show blot</v>
      </c>
      <c r="H229" s="8" t="str">
        <f>HYPERLINK("https://esbl.nhlbi.nih.gov/Databases/mpkFractions/proteomic_fractions_linear_files/Yang_linear_img/240120065.jpg","show blot")</f>
        <v>show blot</v>
      </c>
      <c r="J229" s="5" t="s">
        <v>457</v>
      </c>
      <c r="L229" s="11">
        <v>4.6780640868331096</v>
      </c>
      <c r="N229" s="12"/>
    </row>
    <row r="230" spans="1:14" s="5" customFormat="1" ht="15" customHeight="1" x14ac:dyDescent="0.25">
      <c r="A230" s="9" t="s">
        <v>458</v>
      </c>
      <c r="C230" s="9" t="str">
        <f>HYPERLINK("http://www.ncbi.nlm.nih.gov/protein/68448547","Ago4")</f>
        <v>Ago4</v>
      </c>
      <c r="D230" s="10">
        <f t="shared" si="3"/>
        <v>4.4114430446518931</v>
      </c>
      <c r="F230" s="8" t="str">
        <f>HYPERLINK("https://esbl.nhlbi.nih.gov/Databases/mpkFractions/proteomic_fractions_log_files/Yang_log_img/68448547.jpg","show blot")</f>
        <v>show blot</v>
      </c>
      <c r="H230" s="8" t="str">
        <f>HYPERLINK("https://esbl.nhlbi.nih.gov/Databases/mpkFractions/proteomic_fractions_linear_files/Yang_linear_img/68448547.jpg","show blot")</f>
        <v>show blot</v>
      </c>
      <c r="J230" s="5" t="s">
        <v>459</v>
      </c>
      <c r="L230" s="11">
        <v>4.4114430446518931</v>
      </c>
      <c r="N230" s="12"/>
    </row>
    <row r="231" spans="1:14" s="5" customFormat="1" ht="15" customHeight="1" x14ac:dyDescent="0.25">
      <c r="A231" s="9" t="s">
        <v>460</v>
      </c>
      <c r="C231" s="9" t="str">
        <f>HYPERLINK("http://www.ncbi.nlm.nih.gov/protein/23956162","Agpat2")</f>
        <v>Agpat2</v>
      </c>
      <c r="D231" s="10">
        <f t="shared" si="3"/>
        <v>4.0670090667581631</v>
      </c>
      <c r="F231" s="8" t="str">
        <f>HYPERLINK("https://esbl.nhlbi.nih.gov/Databases/mpkFractions/proteomic_fractions_log_files/Yang_log_img/23956162.jpg","show blot")</f>
        <v>show blot</v>
      </c>
      <c r="H231" s="8" t="str">
        <f>HYPERLINK("https://esbl.nhlbi.nih.gov/Databases/mpkFractions/proteomic_fractions_linear_files/Yang_linear_img/23956162.jpg","show blot")</f>
        <v>show blot</v>
      </c>
      <c r="J231" s="5" t="s">
        <v>461</v>
      </c>
      <c r="L231" s="11">
        <v>4.0670090667581631</v>
      </c>
      <c r="N231" s="12"/>
    </row>
    <row r="232" spans="1:14" s="5" customFormat="1" ht="15" customHeight="1" x14ac:dyDescent="0.25">
      <c r="A232" s="9" t="s">
        <v>462</v>
      </c>
      <c r="C232" s="9" t="str">
        <f>HYPERLINK("http://www.ncbi.nlm.nih.gov/protein/27229278","Agpat3")</f>
        <v>Agpat3</v>
      </c>
      <c r="D232" s="10">
        <f t="shared" si="3"/>
        <v>4.8514993464206304</v>
      </c>
      <c r="F232" s="8" t="str">
        <f>HYPERLINK("https://esbl.nhlbi.nih.gov/Databases/mpkFractions/proteomic_fractions_log_files/Yang_log_img/27229278.jpg","show blot")</f>
        <v>show blot</v>
      </c>
      <c r="H232" s="8" t="str">
        <f>HYPERLINK("https://esbl.nhlbi.nih.gov/Databases/mpkFractions/proteomic_fractions_linear_files/Yang_linear_img/27229278.jpg","show blot")</f>
        <v>show blot</v>
      </c>
      <c r="J232" s="5" t="s">
        <v>463</v>
      </c>
      <c r="L232" s="11">
        <v>4.8514993464206304</v>
      </c>
      <c r="N232" s="12"/>
    </row>
    <row r="233" spans="1:14" s="5" customFormat="1" ht="15" customHeight="1" x14ac:dyDescent="0.25">
      <c r="A233" s="9" t="s">
        <v>464</v>
      </c>
      <c r="C233" s="9" t="str">
        <f>HYPERLINK("http://www.ncbi.nlm.nih.gov/protein/27229064","Agpat4")</f>
        <v>Agpat4</v>
      </c>
      <c r="D233" s="10">
        <f t="shared" si="3"/>
        <v>2.0392338017635812</v>
      </c>
      <c r="F233" s="8" t="str">
        <f>HYPERLINK("https://esbl.nhlbi.nih.gov/Databases/mpkFractions/proteomic_fractions_log_files/Yang_log_img/27229064.jpg","show blot")</f>
        <v>show blot</v>
      </c>
      <c r="H233" s="8" t="str">
        <f>HYPERLINK("https://esbl.nhlbi.nih.gov/Databases/mpkFractions/proteomic_fractions_linear_files/Yang_linear_img/27229064.jpg","show blot")</f>
        <v>show blot</v>
      </c>
      <c r="J233" s="5" t="s">
        <v>465</v>
      </c>
      <c r="L233" s="11">
        <v>2.0392338017635812</v>
      </c>
      <c r="N233" s="12"/>
    </row>
    <row r="234" spans="1:14" s="5" customFormat="1" ht="15" customHeight="1" x14ac:dyDescent="0.25">
      <c r="A234" s="9" t="s">
        <v>466</v>
      </c>
      <c r="C234" s="9" t="str">
        <f>HYPERLINK("http://www.ncbi.nlm.nih.gov/protein/27229077","Agpat5")</f>
        <v>Agpat5</v>
      </c>
      <c r="D234" s="10">
        <f t="shared" si="3"/>
        <v>3.915403173964024</v>
      </c>
      <c r="F234" s="8" t="str">
        <f>HYPERLINK("https://esbl.nhlbi.nih.gov/Databases/mpkFractions/proteomic_fractions_log_files/Yang_log_img/27229077.jpg","show blot")</f>
        <v>show blot</v>
      </c>
      <c r="H234" s="8" t="str">
        <f>HYPERLINK("https://esbl.nhlbi.nih.gov/Databases/mpkFractions/proteomic_fractions_linear_files/Yang_linear_img/27229077.jpg","show blot")</f>
        <v>show blot</v>
      </c>
      <c r="J234" s="5" t="s">
        <v>467</v>
      </c>
      <c r="L234" s="11">
        <v>3.915403173964024</v>
      </c>
      <c r="N234" s="12"/>
    </row>
    <row r="235" spans="1:14" s="5" customFormat="1" ht="15" customHeight="1" x14ac:dyDescent="0.25">
      <c r="A235" s="9" t="s">
        <v>468</v>
      </c>
      <c r="C235" s="9" t="str">
        <f>HYPERLINK("http://www.ncbi.nlm.nih.gov/protein/295444834","Agps")</f>
        <v>Agps</v>
      </c>
      <c r="D235" s="10">
        <f t="shared" si="3"/>
        <v>5.0029823781988503</v>
      </c>
      <c r="F235" s="8" t="str">
        <f>HYPERLINK("https://esbl.nhlbi.nih.gov/Databases/mpkFractions/proteomic_fractions_log_files/Yang_log_img/295444834.jpg","show blot")</f>
        <v>show blot</v>
      </c>
      <c r="H235" s="8" t="str">
        <f>HYPERLINK("https://esbl.nhlbi.nih.gov/Databases/mpkFractions/proteomic_fractions_linear_files/Yang_linear_img/295444834.jpg","show blot")</f>
        <v>show blot</v>
      </c>
      <c r="J235" s="5" t="s">
        <v>469</v>
      </c>
      <c r="L235" s="11">
        <v>5.0029823781988503</v>
      </c>
      <c r="N235" s="12"/>
    </row>
    <row r="236" spans="1:14" s="5" customFormat="1" ht="15" customHeight="1" x14ac:dyDescent="0.25">
      <c r="A236" s="9" t="s">
        <v>470</v>
      </c>
      <c r="C236" s="9" t="str">
        <f>HYPERLINK("http://www.ncbi.nlm.nih.gov/protein/344217723","Agrn")</f>
        <v>Agrn</v>
      </c>
      <c r="D236" s="10">
        <f t="shared" si="3"/>
        <v>2.1266393244421771</v>
      </c>
      <c r="F236" s="8" t="str">
        <f>HYPERLINK("https://esbl.nhlbi.nih.gov/Databases/mpkFractions/proteomic_fractions_log_files/Yang_log_img/344217723.jpg","show blot")</f>
        <v>show blot</v>
      </c>
      <c r="H236" s="8" t="str">
        <f>HYPERLINK("https://esbl.nhlbi.nih.gov/Databases/mpkFractions/proteomic_fractions_linear_files/Yang_linear_img/344217723.jpg","show blot")</f>
        <v>show blot</v>
      </c>
      <c r="J236" s="5" t="s">
        <v>471</v>
      </c>
      <c r="L236" s="11">
        <v>2.1266393244421771</v>
      </c>
      <c r="N236" s="12"/>
    </row>
    <row r="237" spans="1:14" s="5" customFormat="1" ht="15" customHeight="1" x14ac:dyDescent="0.25">
      <c r="A237" s="9" t="s">
        <v>472</v>
      </c>
      <c r="C237" s="9" t="str">
        <f>HYPERLINK("http://www.ncbi.nlm.nih.gov/protein/262263372","Ahcy")</f>
        <v>Ahcy</v>
      </c>
      <c r="D237" s="10">
        <f t="shared" si="3"/>
        <v>6.6476982762610497</v>
      </c>
      <c r="F237" s="8" t="str">
        <f>HYPERLINK("https://esbl.nhlbi.nih.gov/Databases/mpkFractions/proteomic_fractions_log_files/Yang_log_img/262263372.jpg","show blot")</f>
        <v>show blot</v>
      </c>
      <c r="H237" s="8" t="str">
        <f>HYPERLINK("https://esbl.nhlbi.nih.gov/Databases/mpkFractions/proteomic_fractions_linear_files/Yang_linear_img/262263372.jpg","show blot")</f>
        <v>show blot</v>
      </c>
      <c r="J237" s="5" t="s">
        <v>473</v>
      </c>
      <c r="L237" s="11">
        <v>6.6476982762610497</v>
      </c>
      <c r="N237" s="12"/>
    </row>
    <row r="238" spans="1:14" s="5" customFormat="1" ht="15" customHeight="1" x14ac:dyDescent="0.25">
      <c r="A238" s="9" t="s">
        <v>474</v>
      </c>
      <c r="C238" s="9" t="str">
        <f>HYPERLINK("http://www.ncbi.nlm.nih.gov/protein/27734986","Ahcyl1")</f>
        <v>Ahcyl1</v>
      </c>
      <c r="D238" s="10">
        <f t="shared" si="3"/>
        <v>5.2319137617922378</v>
      </c>
      <c r="F238" s="8" t="str">
        <f>HYPERLINK("https://esbl.nhlbi.nih.gov/Databases/mpkFractions/proteomic_fractions_log_files/Yang_log_img/27734986.jpg","show blot")</f>
        <v>show blot</v>
      </c>
      <c r="H238" s="8" t="str">
        <f>HYPERLINK("https://esbl.nhlbi.nih.gov/Databases/mpkFractions/proteomic_fractions_linear_files/Yang_linear_img/27734986.jpg","show blot")</f>
        <v>show blot</v>
      </c>
      <c r="J238" s="5" t="s">
        <v>475</v>
      </c>
      <c r="L238" s="11">
        <v>5.2319137617922378</v>
      </c>
      <c r="N238" s="12"/>
    </row>
    <row r="239" spans="1:14" s="5" customFormat="1" ht="15" customHeight="1" x14ac:dyDescent="0.25">
      <c r="A239" s="9" t="s">
        <v>476</v>
      </c>
      <c r="C239" s="9" t="str">
        <f>HYPERLINK("http://www.ncbi.nlm.nih.gov/protein/283837832","Ahcyl2")</f>
        <v>Ahcyl2</v>
      </c>
      <c r="D239" s="10">
        <f t="shared" si="3"/>
        <v>5.0713651684340997</v>
      </c>
      <c r="F239" s="8" t="str">
        <f>HYPERLINK("https://esbl.nhlbi.nih.gov/Databases/mpkFractions/proteomic_fractions_log_files/Yang_log_img/283837832.jpg","show blot")</f>
        <v>show blot</v>
      </c>
      <c r="H239" s="8" t="str">
        <f>HYPERLINK("https://esbl.nhlbi.nih.gov/Databases/mpkFractions/proteomic_fractions_linear_files/Yang_linear_img/283837832.jpg","show blot")</f>
        <v>show blot</v>
      </c>
      <c r="J239" s="5" t="s">
        <v>477</v>
      </c>
      <c r="L239" s="11">
        <v>5.0713651684340997</v>
      </c>
      <c r="N239" s="12"/>
    </row>
    <row r="240" spans="1:14" s="5" customFormat="1" ht="15" customHeight="1" x14ac:dyDescent="0.25">
      <c r="A240" s="9" t="s">
        <v>478</v>
      </c>
      <c r="C240" s="9" t="str">
        <f>HYPERLINK("http://www.ncbi.nlm.nih.gov/protein/342307099","Ahcyl2")</f>
        <v>Ahcyl2</v>
      </c>
      <c r="D240" s="10">
        <f t="shared" si="3"/>
        <v>5.0713651684340997</v>
      </c>
      <c r="F240" s="8" t="str">
        <f>HYPERLINK("https://esbl.nhlbi.nih.gov/Databases/mpkFractions/proteomic_fractions_log_files/Yang_log_img/342307099.jpg","show blot")</f>
        <v>show blot</v>
      </c>
      <c r="H240" s="8" t="str">
        <f>HYPERLINK("https://esbl.nhlbi.nih.gov/Databases/mpkFractions/proteomic_fractions_linear_files/Yang_linear_img/342307099.jpg","show blot")</f>
        <v>show blot</v>
      </c>
      <c r="J240" s="5" t="s">
        <v>479</v>
      </c>
      <c r="L240" s="11">
        <v>5.0713651684340997</v>
      </c>
      <c r="N240" s="12"/>
    </row>
    <row r="241" spans="1:14" s="5" customFormat="1" ht="15" customHeight="1" x14ac:dyDescent="0.25">
      <c r="A241" s="9" t="s">
        <v>480</v>
      </c>
      <c r="C241" s="9" t="str">
        <f>HYPERLINK("http://www.ncbi.nlm.nih.gov/protein/342307101","Ahcyl2")</f>
        <v>Ahcyl2</v>
      </c>
      <c r="D241" s="10">
        <f t="shared" si="3"/>
        <v>5.0713651684340997</v>
      </c>
      <c r="F241" s="8" t="str">
        <f>HYPERLINK("https://esbl.nhlbi.nih.gov/Databases/mpkFractions/proteomic_fractions_log_files/Yang_log_img/342307101.jpg","show blot")</f>
        <v>show blot</v>
      </c>
      <c r="H241" s="8" t="str">
        <f>HYPERLINK("https://esbl.nhlbi.nih.gov/Databases/mpkFractions/proteomic_fractions_linear_files/Yang_linear_img/342307101.jpg","show blot")</f>
        <v>show blot</v>
      </c>
      <c r="J241" s="5" t="s">
        <v>481</v>
      </c>
      <c r="L241" s="11">
        <v>5.0713651684340997</v>
      </c>
      <c r="N241" s="12"/>
    </row>
    <row r="242" spans="1:14" s="5" customFormat="1" ht="15" customHeight="1" x14ac:dyDescent="0.25">
      <c r="A242" s="9" t="s">
        <v>482</v>
      </c>
      <c r="C242" s="9" t="str">
        <f>HYPERLINK("http://www.ncbi.nlm.nih.gov/protein/90403607","Ahnak")</f>
        <v>Ahnak</v>
      </c>
      <c r="D242" s="10">
        <f t="shared" si="3"/>
        <v>7.2161110368556161</v>
      </c>
      <c r="F242" s="8" t="str">
        <f>HYPERLINK("https://esbl.nhlbi.nih.gov/Databases/mpkFractions/proteomic_fractions_log_files/Yang_log_img/90403607.jpg","show blot")</f>
        <v>show blot</v>
      </c>
      <c r="H242" s="8" t="str">
        <f>HYPERLINK("https://esbl.nhlbi.nih.gov/Databases/mpkFractions/proteomic_fractions_linear_files/Yang_linear_img/90403607.jpg","show blot")</f>
        <v>show blot</v>
      </c>
      <c r="J242" s="5" t="s">
        <v>483</v>
      </c>
      <c r="L242" s="11">
        <v>7.2161110368556161</v>
      </c>
      <c r="N242" s="12"/>
    </row>
    <row r="243" spans="1:14" s="5" customFormat="1" ht="15" customHeight="1" x14ac:dyDescent="0.25">
      <c r="A243" s="9" t="s">
        <v>484</v>
      </c>
      <c r="C243" s="9" t="str">
        <f>HYPERLINK("http://www.ncbi.nlm.nih.gov/protein/61743961","Ahnak")</f>
        <v>Ahnak</v>
      </c>
      <c r="D243" s="10">
        <f t="shared" si="3"/>
        <v>7.2161110368556161</v>
      </c>
      <c r="F243" s="8" t="str">
        <f>HYPERLINK("https://esbl.nhlbi.nih.gov/Databases/mpkFractions/proteomic_fractions_log_files/Yang_log_img/61743961.jpg","show blot")</f>
        <v>show blot</v>
      </c>
      <c r="H243" s="8" t="str">
        <f>HYPERLINK("https://esbl.nhlbi.nih.gov/Databases/mpkFractions/proteomic_fractions_linear_files/Yang_linear_img/61743961.jpg","show blot")</f>
        <v>show blot</v>
      </c>
      <c r="J243" s="5" t="s">
        <v>485</v>
      </c>
      <c r="L243" s="11">
        <v>7.2161110368556161</v>
      </c>
      <c r="N243" s="12"/>
    </row>
    <row r="244" spans="1:14" s="5" customFormat="1" ht="15" customHeight="1" x14ac:dyDescent="0.25">
      <c r="A244" s="9" t="s">
        <v>486</v>
      </c>
      <c r="C244" s="9" t="str">
        <f>HYPERLINK("http://www.ncbi.nlm.nih.gov/protein/309262791","Ahnak2")</f>
        <v>Ahnak2</v>
      </c>
      <c r="D244" s="10">
        <f t="shared" si="3"/>
        <v>0.86051839888175063</v>
      </c>
      <c r="F244" s="8" t="str">
        <f>HYPERLINK("https://esbl.nhlbi.nih.gov/Databases/mpkFractions/proteomic_fractions_log_files/Yang_log_img/309262791.jpg","show blot")</f>
        <v>show blot</v>
      </c>
      <c r="H244" s="8" t="str">
        <f>HYPERLINK("https://esbl.nhlbi.nih.gov/Databases/mpkFractions/proteomic_fractions_linear_files/Yang_linear_img/309262791.jpg","show blot")</f>
        <v>show blot</v>
      </c>
      <c r="J244" s="5" t="s">
        <v>487</v>
      </c>
      <c r="L244" s="11">
        <v>0.86051839888175063</v>
      </c>
      <c r="N244" s="12"/>
    </row>
    <row r="245" spans="1:14" s="5" customFormat="1" ht="15" customHeight="1" x14ac:dyDescent="0.25">
      <c r="A245" s="9" t="s">
        <v>488</v>
      </c>
      <c r="C245" s="9" t="str">
        <f>HYPERLINK("http://www.ncbi.nlm.nih.gov/protein/22122515","Ahsa1")</f>
        <v>Ahsa1</v>
      </c>
      <c r="D245" s="10">
        <f t="shared" si="3"/>
        <v>5.8929637958146586</v>
      </c>
      <c r="F245" s="8" t="str">
        <f>HYPERLINK("https://esbl.nhlbi.nih.gov/Databases/mpkFractions/proteomic_fractions_log_files/Yang_log_img/22122515.jpg","show blot")</f>
        <v>show blot</v>
      </c>
      <c r="H245" s="8" t="str">
        <f>HYPERLINK("https://esbl.nhlbi.nih.gov/Databases/mpkFractions/proteomic_fractions_linear_files/Yang_linear_img/22122515.jpg","show blot")</f>
        <v>show blot</v>
      </c>
      <c r="J245" s="5" t="s">
        <v>489</v>
      </c>
      <c r="L245" s="11">
        <v>5.8929637958146586</v>
      </c>
      <c r="N245" s="12"/>
    </row>
    <row r="246" spans="1:14" s="5" customFormat="1" ht="15" customHeight="1" x14ac:dyDescent="0.25">
      <c r="A246" s="9" t="s">
        <v>490</v>
      </c>
      <c r="C246" s="9" t="str">
        <f>HYPERLINK("http://www.ncbi.nlm.nih.gov/protein/62530188","Ahsa2")</f>
        <v>Ahsa2</v>
      </c>
      <c r="D246" s="10">
        <f t="shared" si="3"/>
        <v>3.849572778654168</v>
      </c>
      <c r="F246" s="8" t="str">
        <f>HYPERLINK("https://esbl.nhlbi.nih.gov/Databases/mpkFractions/proteomic_fractions_log_files/Yang_log_img/62530188.jpg","show blot")</f>
        <v>show blot</v>
      </c>
      <c r="H246" s="8" t="str">
        <f>HYPERLINK("https://esbl.nhlbi.nih.gov/Databases/mpkFractions/proteomic_fractions_linear_files/Yang_linear_img/62530188.jpg","show blot")</f>
        <v>show blot</v>
      </c>
      <c r="J246" s="5" t="s">
        <v>491</v>
      </c>
      <c r="L246" s="11">
        <v>3.849572778654168</v>
      </c>
      <c r="N246" s="12"/>
    </row>
    <row r="247" spans="1:14" s="5" customFormat="1" ht="15" customHeight="1" x14ac:dyDescent="0.25">
      <c r="A247" s="9" t="s">
        <v>492</v>
      </c>
      <c r="C247" s="9" t="str">
        <f>HYPERLINK("http://www.ncbi.nlm.nih.gov/protein/37718970","AI314180")</f>
        <v>AI314180</v>
      </c>
      <c r="D247" s="10">
        <f t="shared" si="3"/>
        <v>5.1397917071660899</v>
      </c>
      <c r="F247" s="8" t="str">
        <f>HYPERLINK("https://esbl.nhlbi.nih.gov/Databases/mpkFractions/proteomic_fractions_log_files/Yang_log_img/37718970.jpg","show blot")</f>
        <v>show blot</v>
      </c>
      <c r="H247" s="8" t="str">
        <f>HYPERLINK("https://esbl.nhlbi.nih.gov/Databases/mpkFractions/proteomic_fractions_linear_files/Yang_linear_img/37718970.jpg","show blot")</f>
        <v>show blot</v>
      </c>
      <c r="J247" s="5" t="s">
        <v>493</v>
      </c>
      <c r="L247" s="11">
        <v>5.1397917071660899</v>
      </c>
      <c r="N247" s="12"/>
    </row>
    <row r="248" spans="1:14" s="5" customFormat="1" ht="15" customHeight="1" x14ac:dyDescent="0.25">
      <c r="A248" s="9" t="s">
        <v>494</v>
      </c>
      <c r="C248" s="9" t="str">
        <f>HYPERLINK("http://www.ncbi.nlm.nih.gov/protein/237858808","AI462493")</f>
        <v>AI462493</v>
      </c>
      <c r="D248" s="10">
        <f t="shared" si="3"/>
        <v>4.4905778064343398</v>
      </c>
      <c r="F248" s="8" t="str">
        <f>HYPERLINK("https://esbl.nhlbi.nih.gov/Databases/mpkFractions/proteomic_fractions_log_files/Yang_log_img/237858808.jpg","show blot")</f>
        <v>show blot</v>
      </c>
      <c r="H248" s="8" t="str">
        <f>HYPERLINK("https://esbl.nhlbi.nih.gov/Databases/mpkFractions/proteomic_fractions_linear_files/Yang_linear_img/237858808.jpg","show blot")</f>
        <v>show blot</v>
      </c>
      <c r="J248" s="5" t="s">
        <v>495</v>
      </c>
      <c r="L248" s="11">
        <v>4.4905778064343398</v>
      </c>
      <c r="N248" s="12"/>
    </row>
    <row r="249" spans="1:14" s="5" customFormat="1" ht="15" customHeight="1" x14ac:dyDescent="0.25">
      <c r="A249" s="9" t="s">
        <v>496</v>
      </c>
      <c r="C249" s="9" t="str">
        <f>HYPERLINK("http://www.ncbi.nlm.nih.gov/protein/61557491","AI597468")</f>
        <v>AI597468</v>
      </c>
      <c r="D249" s="10">
        <f t="shared" si="3"/>
        <v>5.1938360126034073</v>
      </c>
      <c r="F249" s="8" t="str">
        <f>HYPERLINK("https://esbl.nhlbi.nih.gov/Databases/mpkFractions/proteomic_fractions_log_files/Yang_log_img/61557491.jpg","show blot")</f>
        <v>show blot</v>
      </c>
      <c r="H249" s="8" t="str">
        <f>HYPERLINK("https://esbl.nhlbi.nih.gov/Databases/mpkFractions/proteomic_fractions_linear_files/Yang_linear_img/61557491.jpg","show blot")</f>
        <v>show blot</v>
      </c>
      <c r="J249" s="5" t="s">
        <v>497</v>
      </c>
      <c r="L249" s="11">
        <v>5.1938360126034073</v>
      </c>
      <c r="N249" s="12"/>
    </row>
    <row r="250" spans="1:14" s="5" customFormat="1" ht="15" customHeight="1" x14ac:dyDescent="0.25">
      <c r="A250" s="9" t="s">
        <v>498</v>
      </c>
      <c r="C250" s="9" t="str">
        <f>HYPERLINK("http://www.ncbi.nlm.nih.gov/protein/161484644","AI661453")</f>
        <v>AI661453</v>
      </c>
      <c r="D250" s="10">
        <f t="shared" si="3"/>
        <v>4.2936943252210567</v>
      </c>
      <c r="F250" s="8" t="str">
        <f>HYPERLINK("https://esbl.nhlbi.nih.gov/Databases/mpkFractions/proteomic_fractions_log_files/Yang_log_img/161484644.jpg","show blot")</f>
        <v>show blot</v>
      </c>
      <c r="H250" s="8" t="str">
        <f>HYPERLINK("https://esbl.nhlbi.nih.gov/Databases/mpkFractions/proteomic_fractions_linear_files/Yang_linear_img/161484644.jpg","show blot")</f>
        <v>show blot</v>
      </c>
      <c r="J250" s="5" t="s">
        <v>499</v>
      </c>
      <c r="L250" s="11">
        <v>4.2936943252210567</v>
      </c>
      <c r="N250" s="12"/>
    </row>
    <row r="251" spans="1:14" s="5" customFormat="1" ht="15" customHeight="1" x14ac:dyDescent="0.25">
      <c r="A251" s="9" t="s">
        <v>500</v>
      </c>
      <c r="C251" s="9" t="str">
        <f>HYPERLINK("http://www.ncbi.nlm.nih.gov/protein/208431789","AI837181")</f>
        <v>AI837181</v>
      </c>
      <c r="D251" s="10">
        <f t="shared" si="3"/>
        <v>4.9552912017926607</v>
      </c>
      <c r="F251" s="8" t="str">
        <f>HYPERLINK("https://esbl.nhlbi.nih.gov/Databases/mpkFractions/proteomic_fractions_log_files/Yang_log_img/208431789.jpg","show blot")</f>
        <v>show blot</v>
      </c>
      <c r="H251" s="8" t="str">
        <f>HYPERLINK("https://esbl.nhlbi.nih.gov/Databases/mpkFractions/proteomic_fractions_linear_files/Yang_linear_img/208431789.jpg","show blot")</f>
        <v>show blot</v>
      </c>
      <c r="J251" s="5" t="s">
        <v>501</v>
      </c>
      <c r="L251" s="11">
        <v>4.9552912017926607</v>
      </c>
      <c r="N251" s="12"/>
    </row>
    <row r="252" spans="1:14" s="5" customFormat="1" ht="15" customHeight="1" x14ac:dyDescent="0.25">
      <c r="A252" s="9" t="s">
        <v>502</v>
      </c>
      <c r="C252" s="9" t="str">
        <f>HYPERLINK("http://www.ncbi.nlm.nih.gov/protein/32189430","Aida")</f>
        <v>Aida</v>
      </c>
      <c r="D252" s="10">
        <f t="shared" si="3"/>
        <v>2.840321185404179</v>
      </c>
      <c r="F252" s="8" t="str">
        <f>HYPERLINK("https://esbl.nhlbi.nih.gov/Databases/mpkFractions/proteomic_fractions_log_files/Yang_log_img/32189430.jpg","show blot")</f>
        <v>show blot</v>
      </c>
      <c r="H252" s="8" t="str">
        <f>HYPERLINK("https://esbl.nhlbi.nih.gov/Databases/mpkFractions/proteomic_fractions_linear_files/Yang_linear_img/32189430.jpg","show blot")</f>
        <v>show blot</v>
      </c>
      <c r="J252" s="5" t="s">
        <v>503</v>
      </c>
      <c r="L252" s="11">
        <v>2.840321185404179</v>
      </c>
      <c r="N252" s="12"/>
    </row>
    <row r="253" spans="1:14" s="5" customFormat="1" ht="15" customHeight="1" x14ac:dyDescent="0.25">
      <c r="A253" s="9" t="s">
        <v>504</v>
      </c>
      <c r="C253" s="9" t="str">
        <f>HYPERLINK("http://www.ncbi.nlm.nih.gov/protein/21553105","Aif1l")</f>
        <v>Aif1l</v>
      </c>
      <c r="D253" s="10">
        <f t="shared" si="3"/>
        <v>5.3885764698812713</v>
      </c>
      <c r="F253" s="8" t="str">
        <f>HYPERLINK("https://esbl.nhlbi.nih.gov/Databases/mpkFractions/proteomic_fractions_log_files/Yang_log_img/21553105.jpg","show blot")</f>
        <v>show blot</v>
      </c>
      <c r="H253" s="8" t="str">
        <f>HYPERLINK("https://esbl.nhlbi.nih.gov/Databases/mpkFractions/proteomic_fractions_linear_files/Yang_linear_img/21553105.jpg","show blot")</f>
        <v>show blot</v>
      </c>
      <c r="J253" s="5" t="s">
        <v>505</v>
      </c>
      <c r="L253" s="11">
        <v>5.3885764698812713</v>
      </c>
      <c r="N253" s="12"/>
    </row>
    <row r="254" spans="1:14" s="5" customFormat="1" ht="15" customHeight="1" x14ac:dyDescent="0.25">
      <c r="A254" s="9" t="s">
        <v>506</v>
      </c>
      <c r="C254" s="9" t="str">
        <f>HYPERLINK("http://www.ncbi.nlm.nih.gov/protein/6755004","Aifm1")</f>
        <v>Aifm1</v>
      </c>
      <c r="D254" s="10">
        <f t="shared" si="3"/>
        <v>5.4317755575023137</v>
      </c>
      <c r="F254" s="8" t="str">
        <f>HYPERLINK("https://esbl.nhlbi.nih.gov/Databases/mpkFractions/proteomic_fractions_log_files/Yang_log_img/6755004.jpg","show blot")</f>
        <v>show blot</v>
      </c>
      <c r="H254" s="8" t="str">
        <f>HYPERLINK("https://esbl.nhlbi.nih.gov/Databases/mpkFractions/proteomic_fractions_linear_files/Yang_linear_img/6755004.jpg","show blot")</f>
        <v>show blot</v>
      </c>
      <c r="J254" s="5" t="s">
        <v>507</v>
      </c>
      <c r="L254" s="11">
        <v>5.4317755575023137</v>
      </c>
      <c r="N254" s="12"/>
    </row>
    <row r="255" spans="1:14" s="5" customFormat="1" ht="15" customHeight="1" x14ac:dyDescent="0.25">
      <c r="A255" s="9" t="s">
        <v>508</v>
      </c>
      <c r="C255" s="9" t="str">
        <f>HYPERLINK("http://www.ncbi.nlm.nih.gov/protein/262050654","Aifm2")</f>
        <v>Aifm2</v>
      </c>
      <c r="D255" s="10">
        <f t="shared" si="3"/>
        <v>4.5012328379716671</v>
      </c>
      <c r="F255" s="8" t="str">
        <f>HYPERLINK("https://esbl.nhlbi.nih.gov/Databases/mpkFractions/proteomic_fractions_log_files/Yang_log_img/262050654.jpg","show blot")</f>
        <v>show blot</v>
      </c>
      <c r="H255" s="8" t="str">
        <f>HYPERLINK("https://esbl.nhlbi.nih.gov/Databases/mpkFractions/proteomic_fractions_linear_files/Yang_linear_img/262050654.jpg","show blot")</f>
        <v>show blot</v>
      </c>
      <c r="J255" s="5" t="s">
        <v>509</v>
      </c>
      <c r="L255" s="11">
        <v>4.5012328379716671</v>
      </c>
      <c r="N255" s="12"/>
    </row>
    <row r="256" spans="1:14" s="5" customFormat="1" ht="15" customHeight="1" x14ac:dyDescent="0.25">
      <c r="A256" s="9" t="s">
        <v>510</v>
      </c>
      <c r="C256" s="9" t="str">
        <f>HYPERLINK("http://www.ncbi.nlm.nih.gov/protein/30017355","Aifm2")</f>
        <v>Aifm2</v>
      </c>
      <c r="D256" s="10">
        <f t="shared" si="3"/>
        <v>4.5012328379716671</v>
      </c>
      <c r="F256" s="8" t="str">
        <f>HYPERLINK("https://esbl.nhlbi.nih.gov/Databases/mpkFractions/proteomic_fractions_log_files/Yang_log_img/30017355.jpg","show blot")</f>
        <v>show blot</v>
      </c>
      <c r="H256" s="8" t="str">
        <f>HYPERLINK("https://esbl.nhlbi.nih.gov/Databases/mpkFractions/proteomic_fractions_linear_files/Yang_linear_img/30017355.jpg","show blot")</f>
        <v>show blot</v>
      </c>
      <c r="J256" s="5" t="s">
        <v>511</v>
      </c>
      <c r="L256" s="11">
        <v>4.5012328379716671</v>
      </c>
      <c r="N256" s="12"/>
    </row>
    <row r="257" spans="1:14" s="5" customFormat="1" ht="15" customHeight="1" x14ac:dyDescent="0.25">
      <c r="A257" s="9" t="s">
        <v>512</v>
      </c>
      <c r="C257" s="9" t="str">
        <f>HYPERLINK("http://www.ncbi.nlm.nih.gov/protein/163965368","Aim1")</f>
        <v>Aim1</v>
      </c>
      <c r="D257" s="10">
        <f t="shared" si="3"/>
        <v>3.8942547212347258</v>
      </c>
      <c r="F257" s="8" t="str">
        <f>HYPERLINK("https://esbl.nhlbi.nih.gov/Databases/mpkFractions/proteomic_fractions_log_files/Yang_log_img/163965368.jpg","show blot")</f>
        <v>show blot</v>
      </c>
      <c r="H257" s="8" t="str">
        <f>HYPERLINK("https://esbl.nhlbi.nih.gov/Databases/mpkFractions/proteomic_fractions_linear_files/Yang_linear_img/163965368.jpg","show blot")</f>
        <v>show blot</v>
      </c>
      <c r="J257" s="5" t="s">
        <v>513</v>
      </c>
      <c r="L257" s="11">
        <v>3.8942547212347258</v>
      </c>
      <c r="N257" s="12"/>
    </row>
    <row r="258" spans="1:14" s="5" customFormat="1" ht="15" customHeight="1" x14ac:dyDescent="0.25">
      <c r="A258" s="9" t="s">
        <v>514</v>
      </c>
      <c r="C258" s="9" t="str">
        <f>HYPERLINK("http://www.ncbi.nlm.nih.gov/protein/126012517","Aimp1")</f>
        <v>Aimp1</v>
      </c>
      <c r="D258" s="10">
        <f t="shared" si="3"/>
        <v>6.2852637646442906</v>
      </c>
      <c r="F258" s="8" t="str">
        <f>HYPERLINK("https://esbl.nhlbi.nih.gov/Databases/mpkFractions/proteomic_fractions_log_files/Yang_log_img/126012517.jpg","show blot")</f>
        <v>show blot</v>
      </c>
      <c r="H258" s="8" t="str">
        <f>HYPERLINK("https://esbl.nhlbi.nih.gov/Databases/mpkFractions/proteomic_fractions_linear_files/Yang_linear_img/126012517.jpg","show blot")</f>
        <v>show blot</v>
      </c>
      <c r="J258" s="5" t="s">
        <v>515</v>
      </c>
      <c r="L258" s="11">
        <v>6.2852637646442906</v>
      </c>
      <c r="N258" s="12"/>
    </row>
    <row r="259" spans="1:14" s="5" customFormat="1" ht="15" customHeight="1" x14ac:dyDescent="0.25">
      <c r="A259" s="9" t="s">
        <v>516</v>
      </c>
      <c r="C259" s="9" t="str">
        <f>HYPERLINK("http://www.ncbi.nlm.nih.gov/protein/22122695","Aimp2")</f>
        <v>Aimp2</v>
      </c>
      <c r="D259" s="10">
        <f t="shared" si="3"/>
        <v>6.0075233440148343</v>
      </c>
      <c r="F259" s="8" t="str">
        <f>HYPERLINK("https://esbl.nhlbi.nih.gov/Databases/mpkFractions/proteomic_fractions_log_files/Yang_log_img/22122695.jpg","show blot")</f>
        <v>show blot</v>
      </c>
      <c r="H259" s="8" t="str">
        <f>HYPERLINK("https://esbl.nhlbi.nih.gov/Databases/mpkFractions/proteomic_fractions_linear_files/Yang_linear_img/22122695.jpg","show blot")</f>
        <v>show blot</v>
      </c>
      <c r="J259" s="5" t="s">
        <v>517</v>
      </c>
      <c r="L259" s="11">
        <v>6.0075233440148343</v>
      </c>
      <c r="N259" s="12"/>
    </row>
    <row r="260" spans="1:14" s="5" customFormat="1" ht="15" customHeight="1" x14ac:dyDescent="0.25">
      <c r="A260" s="9" t="s">
        <v>518</v>
      </c>
      <c r="C260" s="9" t="str">
        <f>HYPERLINK("http://www.ncbi.nlm.nih.gov/protein/288541337","Aimp2")</f>
        <v>Aimp2</v>
      </c>
      <c r="D260" s="10">
        <f t="shared" si="3"/>
        <v>6.0075233440148343</v>
      </c>
      <c r="F260" s="8" t="str">
        <f>HYPERLINK("https://esbl.nhlbi.nih.gov/Databases/mpkFractions/proteomic_fractions_log_files/Yang_log_img/288541337.jpg","show blot")</f>
        <v>show blot</v>
      </c>
      <c r="H260" s="8" t="str">
        <f>HYPERLINK("https://esbl.nhlbi.nih.gov/Databases/mpkFractions/proteomic_fractions_linear_files/Yang_linear_img/288541337.jpg","show blot")</f>
        <v>show blot</v>
      </c>
      <c r="J260" s="5" t="s">
        <v>519</v>
      </c>
      <c r="L260" s="11">
        <v>6.0075233440148343</v>
      </c>
      <c r="N260" s="12"/>
    </row>
    <row r="261" spans="1:14" s="5" customFormat="1" ht="15" customHeight="1" x14ac:dyDescent="0.25">
      <c r="A261" s="9" t="s">
        <v>520</v>
      </c>
      <c r="C261" s="9" t="str">
        <f>HYPERLINK("http://www.ncbi.nlm.nih.gov/protein/7709982","Aip")</f>
        <v>Aip</v>
      </c>
      <c r="D261" s="10">
        <f t="shared" ref="D261:D324" si="4">L261</f>
        <v>5.21714203326784</v>
      </c>
      <c r="F261" s="8" t="str">
        <f>HYPERLINK("https://esbl.nhlbi.nih.gov/Databases/mpkFractions/proteomic_fractions_log_files/Yang_log_img/7709982.jpg","show blot")</f>
        <v>show blot</v>
      </c>
      <c r="H261" s="8" t="str">
        <f>HYPERLINK("https://esbl.nhlbi.nih.gov/Databases/mpkFractions/proteomic_fractions_linear_files/Yang_linear_img/7709982.jpg","show blot")</f>
        <v>show blot</v>
      </c>
      <c r="J261" s="5" t="s">
        <v>521</v>
      </c>
      <c r="L261" s="11">
        <v>5.21714203326784</v>
      </c>
      <c r="N261" s="12"/>
    </row>
    <row r="262" spans="1:14" s="5" customFormat="1" ht="15" customHeight="1" x14ac:dyDescent="0.25">
      <c r="A262" s="9" t="s">
        <v>522</v>
      </c>
      <c r="C262" s="9" t="str">
        <f>HYPERLINK("http://www.ncbi.nlm.nih.gov/protein/219283242","AK010878")</f>
        <v>AK010878</v>
      </c>
      <c r="D262" s="10">
        <f t="shared" si="4"/>
        <v>3.9429751156839958</v>
      </c>
      <c r="F262" s="8" t="str">
        <f>HYPERLINK("https://esbl.nhlbi.nih.gov/Databases/mpkFractions/proteomic_fractions_log_files/Yang_log_img/219283242.jpg","show blot")</f>
        <v>show blot</v>
      </c>
      <c r="H262" s="8" t="str">
        <f>HYPERLINK("https://esbl.nhlbi.nih.gov/Databases/mpkFractions/proteomic_fractions_linear_files/Yang_linear_img/219283242.jpg","show blot")</f>
        <v>show blot</v>
      </c>
      <c r="J262" s="5" t="s">
        <v>523</v>
      </c>
      <c r="L262" s="11">
        <v>3.9429751156839958</v>
      </c>
      <c r="N262" s="12"/>
    </row>
    <row r="263" spans="1:14" s="5" customFormat="1" ht="15" customHeight="1" x14ac:dyDescent="0.25">
      <c r="A263" s="9" t="s">
        <v>524</v>
      </c>
      <c r="C263" s="9" t="str">
        <f>HYPERLINK("http://www.ncbi.nlm.nih.gov/protein/34328230","Ak2")</f>
        <v>Ak2</v>
      </c>
      <c r="D263" s="10">
        <f t="shared" si="4"/>
        <v>5.3703719952729347</v>
      </c>
      <c r="F263" s="8" t="str">
        <f>HYPERLINK("https://esbl.nhlbi.nih.gov/Databases/mpkFractions/proteomic_fractions_log_files/Yang_log_img/34328230.jpg","show blot")</f>
        <v>show blot</v>
      </c>
      <c r="H263" s="8" t="str">
        <f>HYPERLINK("https://esbl.nhlbi.nih.gov/Databases/mpkFractions/proteomic_fractions_linear_files/Yang_linear_img/34328230.jpg","show blot")</f>
        <v>show blot</v>
      </c>
      <c r="J263" s="5" t="s">
        <v>525</v>
      </c>
      <c r="L263" s="11">
        <v>5.3703719952729347</v>
      </c>
      <c r="N263" s="12"/>
    </row>
    <row r="264" spans="1:14" s="5" customFormat="1" ht="15" customHeight="1" x14ac:dyDescent="0.25">
      <c r="A264" s="9" t="s">
        <v>526</v>
      </c>
      <c r="C264" s="9" t="str">
        <f>HYPERLINK("http://www.ncbi.nlm.nih.gov/protein/77020262","Ak2")</f>
        <v>Ak2</v>
      </c>
      <c r="D264" s="10">
        <f t="shared" si="4"/>
        <v>5.3703719952729347</v>
      </c>
      <c r="F264" s="8" t="str">
        <f>HYPERLINK("https://esbl.nhlbi.nih.gov/Databases/mpkFractions/proteomic_fractions_log_files/Yang_log_img/77020262.jpg","show blot")</f>
        <v>show blot</v>
      </c>
      <c r="H264" s="8" t="str">
        <f>HYPERLINK("https://esbl.nhlbi.nih.gov/Databases/mpkFractions/proteomic_fractions_linear_files/Yang_linear_img/77020262.jpg","show blot")</f>
        <v>show blot</v>
      </c>
      <c r="J264" s="5" t="s">
        <v>527</v>
      </c>
      <c r="L264" s="11">
        <v>5.3703719952729347</v>
      </c>
      <c r="N264" s="12"/>
    </row>
    <row r="265" spans="1:14" s="5" customFormat="1" ht="15" customHeight="1" x14ac:dyDescent="0.25">
      <c r="A265" s="9" t="s">
        <v>528</v>
      </c>
      <c r="C265" s="9" t="str">
        <f>HYPERLINK("http://www.ncbi.nlm.nih.gov/protein/23956104","Ak3")</f>
        <v>Ak3</v>
      </c>
      <c r="D265" s="10">
        <f t="shared" si="4"/>
        <v>5.8908419716548739</v>
      </c>
      <c r="F265" s="8" t="str">
        <f>HYPERLINK("https://esbl.nhlbi.nih.gov/Databases/mpkFractions/proteomic_fractions_log_files/Yang_log_img/23956104.jpg","show blot")</f>
        <v>show blot</v>
      </c>
      <c r="H265" s="8" t="str">
        <f>HYPERLINK("https://esbl.nhlbi.nih.gov/Databases/mpkFractions/proteomic_fractions_linear_files/Yang_linear_img/23956104.jpg","show blot")</f>
        <v>show blot</v>
      </c>
      <c r="J265" s="5" t="s">
        <v>529</v>
      </c>
      <c r="L265" s="11">
        <v>5.8908419716548739</v>
      </c>
      <c r="N265" s="12"/>
    </row>
    <row r="266" spans="1:14" s="5" customFormat="1" ht="15" customHeight="1" x14ac:dyDescent="0.25">
      <c r="A266" s="9" t="s">
        <v>530</v>
      </c>
      <c r="C266" s="9" t="str">
        <f>HYPERLINK("http://www.ncbi.nlm.nih.gov/protein/13626040","Akap12")</f>
        <v>Akap12</v>
      </c>
      <c r="D266" s="10">
        <f t="shared" si="4"/>
        <v>6.1035006220642449</v>
      </c>
      <c r="F266" s="8" t="str">
        <f>HYPERLINK("https://esbl.nhlbi.nih.gov/Databases/mpkFractions/proteomic_fractions_log_files/Yang_log_img/13626040.jpg","show blot")</f>
        <v>show blot</v>
      </c>
      <c r="H266" s="8" t="str">
        <f>HYPERLINK("https://esbl.nhlbi.nih.gov/Databases/mpkFractions/proteomic_fractions_linear_files/Yang_linear_img/13626040.jpg","show blot")</f>
        <v>show blot</v>
      </c>
      <c r="J266" s="5" t="s">
        <v>531</v>
      </c>
      <c r="L266" s="11">
        <v>6.1035006220642449</v>
      </c>
      <c r="N266" s="12"/>
    </row>
    <row r="267" spans="1:14" s="5" customFormat="1" ht="15" customHeight="1" x14ac:dyDescent="0.25">
      <c r="A267" s="9" t="s">
        <v>532</v>
      </c>
      <c r="C267" s="9" t="str">
        <f>HYPERLINK("http://www.ncbi.nlm.nih.gov/protein/189181672","Akap13")</f>
        <v>Akap13</v>
      </c>
      <c r="D267" s="10">
        <f t="shared" si="4"/>
        <v>4.1099696336781459</v>
      </c>
      <c r="F267" s="8" t="str">
        <f>HYPERLINK("https://esbl.nhlbi.nih.gov/Databases/mpkFractions/proteomic_fractions_log_files/Yang_log_img/189181672.jpg","show blot")</f>
        <v>show blot</v>
      </c>
      <c r="H267" s="8" t="str">
        <f>HYPERLINK("https://esbl.nhlbi.nih.gov/Databases/mpkFractions/proteomic_fractions_linear_files/Yang_linear_img/189181672.jpg","show blot")</f>
        <v>show blot</v>
      </c>
      <c r="J267" s="5" t="s">
        <v>533</v>
      </c>
      <c r="L267" s="11">
        <v>4.1099696336781459</v>
      </c>
      <c r="N267" s="12"/>
    </row>
    <row r="268" spans="1:14" s="5" customFormat="1" ht="15" customHeight="1" x14ac:dyDescent="0.25">
      <c r="A268" s="9" t="s">
        <v>534</v>
      </c>
      <c r="C268" s="9" t="str">
        <f>HYPERLINK("http://www.ncbi.nlm.nih.gov/protein/78711832","Akap2")</f>
        <v>Akap2</v>
      </c>
      <c r="D268" s="10">
        <f t="shared" si="4"/>
        <v>3.2359862046838468</v>
      </c>
      <c r="F268" s="8" t="str">
        <f>HYPERLINK("https://esbl.nhlbi.nih.gov/Databases/mpkFractions/proteomic_fractions_log_files/Yang_log_img/78711832.jpg","show blot")</f>
        <v>show blot</v>
      </c>
      <c r="H268" s="8" t="str">
        <f>HYPERLINK("https://esbl.nhlbi.nih.gov/Databases/mpkFractions/proteomic_fractions_linear_files/Yang_linear_img/78711832.jpg","show blot")</f>
        <v>show blot</v>
      </c>
      <c r="J268" s="5" t="s">
        <v>535</v>
      </c>
      <c r="L268" s="11">
        <v>3.2359862046838468</v>
      </c>
      <c r="N268" s="12"/>
    </row>
    <row r="269" spans="1:14" s="5" customFormat="1" ht="15" customHeight="1" x14ac:dyDescent="0.25">
      <c r="A269" s="9" t="s">
        <v>536</v>
      </c>
      <c r="C269" s="9" t="str">
        <f>HYPERLINK("http://www.ncbi.nlm.nih.gov/protein/78711834","Akap2")</f>
        <v>Akap2</v>
      </c>
      <c r="D269" s="10">
        <f t="shared" si="4"/>
        <v>3.2359862046838468</v>
      </c>
      <c r="F269" s="8" t="str">
        <f>HYPERLINK("https://esbl.nhlbi.nih.gov/Databases/mpkFractions/proteomic_fractions_log_files/Yang_log_img/78711834.jpg","show blot")</f>
        <v>show blot</v>
      </c>
      <c r="H269" s="8" t="str">
        <f>HYPERLINK("https://esbl.nhlbi.nih.gov/Databases/mpkFractions/proteomic_fractions_linear_files/Yang_linear_img/78711834.jpg","show blot")</f>
        <v>show blot</v>
      </c>
      <c r="J269" s="5" t="s">
        <v>537</v>
      </c>
      <c r="L269" s="11">
        <v>3.2359862046838468</v>
      </c>
      <c r="N269" s="12"/>
    </row>
    <row r="270" spans="1:14" s="5" customFormat="1" ht="15" customHeight="1" x14ac:dyDescent="0.25">
      <c r="A270" s="9" t="s">
        <v>538</v>
      </c>
      <c r="C270" s="9" t="str">
        <f>HYPERLINK("http://www.ncbi.nlm.nih.gov/protein/78711836","Akap2")</f>
        <v>Akap2</v>
      </c>
      <c r="D270" s="10">
        <f t="shared" si="4"/>
        <v>3.2359862046838468</v>
      </c>
      <c r="F270" s="8" t="str">
        <f>HYPERLINK("https://esbl.nhlbi.nih.gov/Databases/mpkFractions/proteomic_fractions_log_files/Yang_log_img/78711836.jpg","show blot")</f>
        <v>show blot</v>
      </c>
      <c r="H270" s="8" t="str">
        <f>HYPERLINK("https://esbl.nhlbi.nih.gov/Databases/mpkFractions/proteomic_fractions_linear_files/Yang_linear_img/78711836.jpg","show blot")</f>
        <v>show blot</v>
      </c>
      <c r="J270" s="5" t="s">
        <v>539</v>
      </c>
      <c r="L270" s="11">
        <v>3.2359862046838468</v>
      </c>
      <c r="N270" s="12"/>
    </row>
    <row r="271" spans="1:14" s="5" customFormat="1" ht="15" customHeight="1" x14ac:dyDescent="0.25">
      <c r="A271" s="9" t="s">
        <v>540</v>
      </c>
      <c r="C271" s="9" t="str">
        <f>HYPERLINK("http://www.ncbi.nlm.nih.gov/protein/31560394","Akap8")</f>
        <v>Akap8</v>
      </c>
      <c r="D271" s="10">
        <f t="shared" si="4"/>
        <v>4.9110477540646356</v>
      </c>
      <c r="F271" s="8" t="str">
        <f>HYPERLINK("https://esbl.nhlbi.nih.gov/Databases/mpkFractions/proteomic_fractions_log_files/Yang_log_img/31560394.jpg","show blot")</f>
        <v>show blot</v>
      </c>
      <c r="H271" s="8" t="str">
        <f>HYPERLINK("https://esbl.nhlbi.nih.gov/Databases/mpkFractions/proteomic_fractions_linear_files/Yang_linear_img/31560394.jpg","show blot")</f>
        <v>show blot</v>
      </c>
      <c r="J271" s="5" t="s">
        <v>541</v>
      </c>
      <c r="L271" s="11">
        <v>4.9110477540646356</v>
      </c>
      <c r="N271" s="12"/>
    </row>
    <row r="272" spans="1:14" s="5" customFormat="1" ht="15" customHeight="1" x14ac:dyDescent="0.25">
      <c r="A272" s="9" t="s">
        <v>542</v>
      </c>
      <c r="C272" s="9" t="str">
        <f>HYPERLINK("http://www.ncbi.nlm.nih.gov/protein/125661048","Akap9")</f>
        <v>Akap9</v>
      </c>
      <c r="D272" s="10">
        <f t="shared" si="4"/>
        <v>3.9834401014491831</v>
      </c>
      <c r="F272" s="8" t="str">
        <f>HYPERLINK("https://esbl.nhlbi.nih.gov/Databases/mpkFractions/proteomic_fractions_log_files/Yang_log_img/125661048.jpg","show blot")</f>
        <v>show blot</v>
      </c>
      <c r="H272" s="8" t="str">
        <f>HYPERLINK("https://esbl.nhlbi.nih.gov/Databases/mpkFractions/proteomic_fractions_linear_files/Yang_linear_img/125661048.jpg","show blot")</f>
        <v>show blot</v>
      </c>
      <c r="J272" s="5" t="s">
        <v>543</v>
      </c>
      <c r="L272" s="11">
        <v>3.9834401014491831</v>
      </c>
      <c r="N272" s="12"/>
    </row>
    <row r="273" spans="1:14" s="5" customFormat="1" ht="15" customHeight="1" x14ac:dyDescent="0.25">
      <c r="A273" s="9" t="s">
        <v>544</v>
      </c>
      <c r="C273" s="9" t="str">
        <f>HYPERLINK("http://www.ncbi.nlm.nih.gov/protein/10946870","Akr1a1")</f>
        <v>Akr1a1</v>
      </c>
      <c r="D273" s="10">
        <f t="shared" si="4"/>
        <v>6.0101046600999606</v>
      </c>
      <c r="F273" s="8" t="str">
        <f>HYPERLINK("https://esbl.nhlbi.nih.gov/Databases/mpkFractions/proteomic_fractions_log_files/Yang_log_img/10946870.jpg","show blot")</f>
        <v>show blot</v>
      </c>
      <c r="H273" s="8" t="str">
        <f>HYPERLINK("https://esbl.nhlbi.nih.gov/Databases/mpkFractions/proteomic_fractions_linear_files/Yang_linear_img/10946870.jpg","show blot")</f>
        <v>show blot</v>
      </c>
      <c r="J273" s="5" t="s">
        <v>545</v>
      </c>
      <c r="L273" s="11">
        <v>6.0101046600999606</v>
      </c>
      <c r="N273" s="12"/>
    </row>
    <row r="274" spans="1:14" s="5" customFormat="1" ht="15" customHeight="1" x14ac:dyDescent="0.25">
      <c r="A274" s="9" t="s">
        <v>546</v>
      </c>
      <c r="C274" s="9" t="str">
        <f>HYPERLINK("http://www.ncbi.nlm.nih.gov/protein/71067102","Akr1b10")</f>
        <v>Akr1b10</v>
      </c>
      <c r="D274" s="10">
        <f t="shared" si="4"/>
        <v>4.9177828493726423</v>
      </c>
      <c r="F274" s="8" t="str">
        <f>HYPERLINK("https://esbl.nhlbi.nih.gov/Databases/mpkFractions/proteomic_fractions_log_files/Yang_log_img/71067102.jpg","show blot")</f>
        <v>show blot</v>
      </c>
      <c r="H274" s="8" t="str">
        <f>HYPERLINK("https://esbl.nhlbi.nih.gov/Databases/mpkFractions/proteomic_fractions_linear_files/Yang_linear_img/71067102.jpg","show blot")</f>
        <v>show blot</v>
      </c>
      <c r="J274" s="5" t="s">
        <v>547</v>
      </c>
      <c r="L274" s="11">
        <v>4.9177828493726423</v>
      </c>
      <c r="N274" s="12"/>
    </row>
    <row r="275" spans="1:14" s="5" customFormat="1" ht="15" customHeight="1" x14ac:dyDescent="0.25">
      <c r="A275" s="9" t="s">
        <v>548</v>
      </c>
      <c r="C275" s="9" t="str">
        <f>HYPERLINK("http://www.ncbi.nlm.nih.gov/protein/160707894","Akr1b3")</f>
        <v>Akr1b3</v>
      </c>
      <c r="D275" s="10">
        <f t="shared" si="4"/>
        <v>6.5765577954639758</v>
      </c>
      <c r="F275" s="8" t="str">
        <f>HYPERLINK("https://esbl.nhlbi.nih.gov/Databases/mpkFractions/proteomic_fractions_log_files/Yang_log_img/160707894.jpg","show blot")</f>
        <v>show blot</v>
      </c>
      <c r="H275" s="8" t="str">
        <f>HYPERLINK("https://esbl.nhlbi.nih.gov/Databases/mpkFractions/proteomic_fractions_linear_files/Yang_linear_img/160707894.jpg","show blot")</f>
        <v>show blot</v>
      </c>
      <c r="J275" s="5" t="s">
        <v>549</v>
      </c>
      <c r="L275" s="11">
        <v>6.5765577954639758</v>
      </c>
      <c r="N275" s="12"/>
    </row>
    <row r="276" spans="1:14" s="5" customFormat="1" ht="15" customHeight="1" x14ac:dyDescent="0.25">
      <c r="A276" s="9" t="s">
        <v>550</v>
      </c>
      <c r="C276" s="9" t="str">
        <f>HYPERLINK("http://www.ncbi.nlm.nih.gov/protein/160415215","Akr1b7")</f>
        <v>Akr1b7</v>
      </c>
      <c r="D276" s="10">
        <f t="shared" si="4"/>
        <v>4.8395799387263354</v>
      </c>
      <c r="F276" s="8" t="str">
        <f>HYPERLINK("https://esbl.nhlbi.nih.gov/Databases/mpkFractions/proteomic_fractions_log_files/Yang_log_img/160415215.jpg","show blot")</f>
        <v>show blot</v>
      </c>
      <c r="H276" s="8" t="str">
        <f>HYPERLINK("https://esbl.nhlbi.nih.gov/Databases/mpkFractions/proteomic_fractions_linear_files/Yang_linear_img/160415215.jpg","show blot")</f>
        <v>show blot</v>
      </c>
      <c r="J276" s="5" t="s">
        <v>551</v>
      </c>
      <c r="L276" s="11">
        <v>4.8395799387263354</v>
      </c>
      <c r="N276" s="12"/>
    </row>
    <row r="277" spans="1:14" s="5" customFormat="1" ht="15" customHeight="1" x14ac:dyDescent="0.25">
      <c r="A277" s="9" t="s">
        <v>552</v>
      </c>
      <c r="C277" s="9" t="str">
        <f>HYPERLINK("http://www.ncbi.nlm.nih.gov/protein/6679791","Akr1b8")</f>
        <v>Akr1b8</v>
      </c>
      <c r="D277" s="10">
        <f t="shared" si="4"/>
        <v>4.9667567424568482</v>
      </c>
      <c r="F277" s="8" t="str">
        <f>HYPERLINK("https://esbl.nhlbi.nih.gov/Databases/mpkFractions/proteomic_fractions_log_files/Yang_log_img/6679791.jpg","show blot")</f>
        <v>show blot</v>
      </c>
      <c r="H277" s="8" t="str">
        <f>HYPERLINK("https://esbl.nhlbi.nih.gov/Databases/mpkFractions/proteomic_fractions_linear_files/Yang_linear_img/6679791.jpg","show blot")</f>
        <v>show blot</v>
      </c>
      <c r="J277" s="5" t="s">
        <v>553</v>
      </c>
      <c r="L277" s="11">
        <v>4.9667567424568482</v>
      </c>
      <c r="N277" s="12"/>
    </row>
    <row r="278" spans="1:14" s="5" customFormat="1" ht="15" customHeight="1" x14ac:dyDescent="0.25">
      <c r="A278" s="9" t="s">
        <v>554</v>
      </c>
      <c r="C278" s="9" t="str">
        <f>HYPERLINK("http://www.ncbi.nlm.nih.gov/protein/85719330","Akr1c12")</f>
        <v>Akr1c12</v>
      </c>
      <c r="D278" s="10">
        <f t="shared" si="4"/>
        <v>4.9230695923550174</v>
      </c>
      <c r="F278" s="8" t="str">
        <f>HYPERLINK("https://esbl.nhlbi.nih.gov/Databases/mpkFractions/proteomic_fractions_log_files/Yang_log_img/85719330.jpg","show blot")</f>
        <v>show blot</v>
      </c>
      <c r="H278" s="8" t="str">
        <f>HYPERLINK("https://esbl.nhlbi.nih.gov/Databases/mpkFractions/proteomic_fractions_linear_files/Yang_linear_img/85719330.jpg","show blot")</f>
        <v>show blot</v>
      </c>
      <c r="J278" s="5" t="s">
        <v>555</v>
      </c>
      <c r="L278" s="11">
        <v>4.9230695923550174</v>
      </c>
      <c r="N278" s="12"/>
    </row>
    <row r="279" spans="1:14" s="5" customFormat="1" ht="15" customHeight="1" x14ac:dyDescent="0.25">
      <c r="A279" s="9" t="s">
        <v>556</v>
      </c>
      <c r="C279" s="9" t="str">
        <f>HYPERLINK("http://www.ncbi.nlm.nih.gov/protein/171846276","Akr1c13")</f>
        <v>Akr1c13</v>
      </c>
      <c r="D279" s="10">
        <f t="shared" si="4"/>
        <v>5.0580267940703276</v>
      </c>
      <c r="F279" s="8" t="str">
        <f>HYPERLINK("https://esbl.nhlbi.nih.gov/Databases/mpkFractions/proteomic_fractions_log_files/Yang_log_img/171846276.jpg","show blot")</f>
        <v>show blot</v>
      </c>
      <c r="H279" s="8" t="str">
        <f>HYPERLINK("https://esbl.nhlbi.nih.gov/Databases/mpkFractions/proteomic_fractions_linear_files/Yang_linear_img/171846276.jpg","show blot")</f>
        <v>show blot</v>
      </c>
      <c r="J279" s="5" t="s">
        <v>557</v>
      </c>
      <c r="L279" s="11">
        <v>5.0580267940703276</v>
      </c>
      <c r="N279" s="12"/>
    </row>
    <row r="280" spans="1:14" s="5" customFormat="1" ht="15" customHeight="1" x14ac:dyDescent="0.25">
      <c r="A280" s="9" t="s">
        <v>558</v>
      </c>
      <c r="C280" s="9" t="str">
        <f>HYPERLINK("http://www.ncbi.nlm.nih.gov/protein/282398141","Akr1c19")</f>
        <v>Akr1c19</v>
      </c>
      <c r="D280" s="10">
        <f t="shared" si="4"/>
        <v>5.819813073838036</v>
      </c>
      <c r="F280" s="8" t="str">
        <f>HYPERLINK("https://esbl.nhlbi.nih.gov/Databases/mpkFractions/proteomic_fractions_log_files/Yang_log_img/282398141.jpg","show blot")</f>
        <v>show blot</v>
      </c>
      <c r="H280" s="8" t="str">
        <f>HYPERLINK("https://esbl.nhlbi.nih.gov/Databases/mpkFractions/proteomic_fractions_linear_files/Yang_linear_img/282398141.jpg","show blot")</f>
        <v>show blot</v>
      </c>
      <c r="J280" s="5" t="s">
        <v>559</v>
      </c>
      <c r="L280" s="11">
        <v>5.819813073838036</v>
      </c>
      <c r="N280" s="12"/>
    </row>
    <row r="281" spans="1:14" s="5" customFormat="1" ht="15" customHeight="1" x14ac:dyDescent="0.25">
      <c r="A281" s="9" t="s">
        <v>560</v>
      </c>
      <c r="C281" s="9" t="str">
        <f>HYPERLINK("http://www.ncbi.nlm.nih.gov/protein/93277108","Akr1e1")</f>
        <v>Akr1e1</v>
      </c>
      <c r="D281" s="10">
        <f t="shared" si="4"/>
        <v>6.0223215039616189</v>
      </c>
      <c r="F281" s="8" t="str">
        <f>HYPERLINK("https://esbl.nhlbi.nih.gov/Databases/mpkFractions/proteomic_fractions_log_files/Yang_log_img/93277108.jpg","show blot")</f>
        <v>show blot</v>
      </c>
      <c r="H281" s="8" t="str">
        <f>HYPERLINK("https://esbl.nhlbi.nih.gov/Databases/mpkFractions/proteomic_fractions_linear_files/Yang_linear_img/93277108.jpg","show blot")</f>
        <v>show blot</v>
      </c>
      <c r="J281" s="5" t="s">
        <v>561</v>
      </c>
      <c r="L281" s="11">
        <v>6.0223215039616189</v>
      </c>
      <c r="N281" s="12"/>
    </row>
    <row r="282" spans="1:14" s="5" customFormat="1" ht="15" customHeight="1" x14ac:dyDescent="0.25">
      <c r="A282" s="9" t="s">
        <v>562</v>
      </c>
      <c r="C282" s="9" t="str">
        <f>HYPERLINK("http://www.ncbi.nlm.nih.gov/protein/240120054","Akr7a5")</f>
        <v>Akr7a5</v>
      </c>
      <c r="D282" s="10">
        <f t="shared" si="4"/>
        <v>4.9130582481821206</v>
      </c>
      <c r="F282" s="8" t="str">
        <f>HYPERLINK("https://esbl.nhlbi.nih.gov/Databases/mpkFractions/proteomic_fractions_log_files/Yang_log_img/240120054.jpg","show blot")</f>
        <v>show blot</v>
      </c>
      <c r="H282" s="8" t="str">
        <f>HYPERLINK("https://esbl.nhlbi.nih.gov/Databases/mpkFractions/proteomic_fractions_linear_files/Yang_linear_img/240120054.jpg","show blot")</f>
        <v>show blot</v>
      </c>
      <c r="J282" s="5" t="s">
        <v>563</v>
      </c>
      <c r="L282" s="11">
        <v>4.9130582481821206</v>
      </c>
      <c r="N282" s="12"/>
    </row>
    <row r="283" spans="1:14" s="5" customFormat="1" ht="15" customHeight="1" x14ac:dyDescent="0.25">
      <c r="A283" s="9" t="s">
        <v>564</v>
      </c>
      <c r="C283" s="9" t="str">
        <f>HYPERLINK("http://www.ncbi.nlm.nih.gov/protein/260166608","Akt1")</f>
        <v>Akt1</v>
      </c>
      <c r="D283" s="10">
        <f t="shared" si="4"/>
        <v>4.9278881611879832</v>
      </c>
      <c r="F283" s="8" t="str">
        <f>HYPERLINK("https://esbl.nhlbi.nih.gov/Databases/mpkFractions/proteomic_fractions_log_files/Yang_log_img/260166608.jpg","show blot")</f>
        <v>show blot</v>
      </c>
      <c r="H283" s="8" t="str">
        <f>HYPERLINK("https://esbl.nhlbi.nih.gov/Databases/mpkFractions/proteomic_fractions_linear_files/Yang_linear_img/260166608.jpg","show blot")</f>
        <v>show blot</v>
      </c>
      <c r="J283" s="5" t="s">
        <v>565</v>
      </c>
      <c r="L283" s="11">
        <v>4.9278881611879832</v>
      </c>
      <c r="N283" s="12"/>
    </row>
    <row r="284" spans="1:14" s="5" customFormat="1" ht="15" customHeight="1" x14ac:dyDescent="0.25">
      <c r="A284" s="9" t="s">
        <v>566</v>
      </c>
      <c r="C284" s="9" t="str">
        <f>HYPERLINK("http://www.ncbi.nlm.nih.gov/protein/6753034","Akt1")</f>
        <v>Akt1</v>
      </c>
      <c r="D284" s="10">
        <f t="shared" si="4"/>
        <v>4.9278881611879832</v>
      </c>
      <c r="F284" s="8" t="str">
        <f>HYPERLINK("https://esbl.nhlbi.nih.gov/Databases/mpkFractions/proteomic_fractions_log_files/Yang_log_img/6753034.jpg","show blot")</f>
        <v>show blot</v>
      </c>
      <c r="H284" s="8" t="str">
        <f>HYPERLINK("https://esbl.nhlbi.nih.gov/Databases/mpkFractions/proteomic_fractions_linear_files/Yang_linear_img/6753034.jpg","show blot")</f>
        <v>show blot</v>
      </c>
      <c r="J284" s="5" t="s">
        <v>567</v>
      </c>
      <c r="L284" s="11">
        <v>4.9278881611879832</v>
      </c>
      <c r="N284" s="12"/>
    </row>
    <row r="285" spans="1:14" s="5" customFormat="1" ht="15" customHeight="1" x14ac:dyDescent="0.25">
      <c r="A285" s="9" t="s">
        <v>568</v>
      </c>
      <c r="C285" s="9" t="str">
        <f>HYPERLINK("http://www.ncbi.nlm.nih.gov/protein/21312878","Akt1s1")</f>
        <v>Akt1s1</v>
      </c>
      <c r="D285" s="10">
        <f t="shared" si="4"/>
        <v>2.8147227674291861</v>
      </c>
      <c r="F285" s="8" t="str">
        <f>HYPERLINK("https://esbl.nhlbi.nih.gov/Databases/mpkFractions/proteomic_fractions_log_files/Yang_log_img/21312878.jpg","show blot")</f>
        <v>show blot</v>
      </c>
      <c r="H285" s="8" t="str">
        <f>HYPERLINK("https://esbl.nhlbi.nih.gov/Databases/mpkFractions/proteomic_fractions_linear_files/Yang_linear_img/21312878.jpg","show blot")</f>
        <v>show blot</v>
      </c>
      <c r="J285" s="5" t="s">
        <v>569</v>
      </c>
      <c r="L285" s="11">
        <v>2.8147227674291861</v>
      </c>
      <c r="N285" s="12"/>
    </row>
    <row r="286" spans="1:14" s="5" customFormat="1" ht="15" customHeight="1" x14ac:dyDescent="0.25">
      <c r="A286" s="9" t="s">
        <v>570</v>
      </c>
      <c r="C286" s="9" t="str">
        <f>HYPERLINK("http://www.ncbi.nlm.nih.gov/protein/6680674","Akt2")</f>
        <v>Akt2</v>
      </c>
      <c r="D286" s="10">
        <f t="shared" si="4"/>
        <v>4.2281498962705291</v>
      </c>
      <c r="F286" s="8" t="str">
        <f>HYPERLINK("https://esbl.nhlbi.nih.gov/Databases/mpkFractions/proteomic_fractions_log_files/Yang_log_img/6680674.jpg","show blot")</f>
        <v>show blot</v>
      </c>
      <c r="H286" s="8" t="str">
        <f>HYPERLINK("https://esbl.nhlbi.nih.gov/Databases/mpkFractions/proteomic_fractions_linear_files/Yang_linear_img/6680674.jpg","show blot")</f>
        <v>show blot</v>
      </c>
      <c r="J286" s="5" t="s">
        <v>571</v>
      </c>
      <c r="L286" s="11">
        <v>4.2281498962705291</v>
      </c>
      <c r="N286" s="12"/>
    </row>
    <row r="287" spans="1:14" s="5" customFormat="1" ht="15" customHeight="1" x14ac:dyDescent="0.25">
      <c r="A287" s="9" t="s">
        <v>572</v>
      </c>
      <c r="C287" s="9" t="str">
        <f>HYPERLINK("http://www.ncbi.nlm.nih.gov/protein/190883484","Akt3")</f>
        <v>Akt3</v>
      </c>
      <c r="D287" s="10">
        <f t="shared" si="4"/>
        <v>4.1708728241479234</v>
      </c>
      <c r="F287" s="8" t="str">
        <f>HYPERLINK("https://esbl.nhlbi.nih.gov/Databases/mpkFractions/proteomic_fractions_log_files/Yang_log_img/190883484.jpg","show blot")</f>
        <v>show blot</v>
      </c>
      <c r="H287" s="8" t="str">
        <f>HYPERLINK("https://esbl.nhlbi.nih.gov/Databases/mpkFractions/proteomic_fractions_linear_files/Yang_linear_img/190883484.jpg","show blot")</f>
        <v>show blot</v>
      </c>
      <c r="J287" s="5" t="s">
        <v>573</v>
      </c>
      <c r="L287" s="11">
        <v>4.1708728241479234</v>
      </c>
      <c r="N287" s="12"/>
    </row>
    <row r="288" spans="1:14" s="5" customFormat="1" ht="15" customHeight="1" x14ac:dyDescent="0.25">
      <c r="A288" s="9" t="s">
        <v>574</v>
      </c>
      <c r="C288" s="9" t="str">
        <f>HYPERLINK("http://www.ncbi.nlm.nih.gov/protein/6753918","Aktip")</f>
        <v>Aktip</v>
      </c>
      <c r="D288" s="10">
        <f t="shared" si="4"/>
        <v>4.5373353030679668</v>
      </c>
      <c r="F288" s="8" t="str">
        <f>HYPERLINK("https://esbl.nhlbi.nih.gov/Databases/mpkFractions/proteomic_fractions_log_files/Yang_log_img/6753918.jpg","show blot")</f>
        <v>show blot</v>
      </c>
      <c r="H288" s="8" t="str">
        <f>HYPERLINK("https://esbl.nhlbi.nih.gov/Databases/mpkFractions/proteomic_fractions_linear_files/Yang_linear_img/6753918.jpg","show blot")</f>
        <v>show blot</v>
      </c>
      <c r="J288" s="5" t="s">
        <v>575</v>
      </c>
      <c r="L288" s="11">
        <v>4.5373353030679668</v>
      </c>
      <c r="N288" s="12"/>
    </row>
    <row r="289" spans="1:14" s="5" customFormat="1" ht="15" customHeight="1" x14ac:dyDescent="0.25">
      <c r="A289" s="9" t="s">
        <v>576</v>
      </c>
      <c r="C289" s="9" t="str">
        <f>HYPERLINK("http://www.ncbi.nlm.nih.gov/protein/34328485","Alad")</f>
        <v>Alad</v>
      </c>
      <c r="D289" s="10">
        <f t="shared" si="4"/>
        <v>6.2934502086445212</v>
      </c>
      <c r="F289" s="8" t="str">
        <f>HYPERLINK("https://esbl.nhlbi.nih.gov/Databases/mpkFractions/proteomic_fractions_log_files/Yang_log_img/34328485.jpg","show blot")</f>
        <v>show blot</v>
      </c>
      <c r="H289" s="8" t="str">
        <f>HYPERLINK("https://esbl.nhlbi.nih.gov/Databases/mpkFractions/proteomic_fractions_linear_files/Yang_linear_img/34328485.jpg","show blot")</f>
        <v>show blot</v>
      </c>
      <c r="J289" s="5" t="s">
        <v>577</v>
      </c>
      <c r="L289" s="11">
        <v>6.2934502086445212</v>
      </c>
      <c r="N289" s="12"/>
    </row>
    <row r="290" spans="1:14" s="5" customFormat="1" ht="15" customHeight="1" x14ac:dyDescent="0.25">
      <c r="A290" s="9" t="s">
        <v>578</v>
      </c>
      <c r="C290" s="9" t="str">
        <f>HYPERLINK("http://www.ncbi.nlm.nih.gov/protein/163310765","Alb")</f>
        <v>Alb</v>
      </c>
      <c r="D290" s="10">
        <f t="shared" si="4"/>
        <v>1.5914638988358309</v>
      </c>
      <c r="F290" s="8" t="str">
        <f>HYPERLINK("https://esbl.nhlbi.nih.gov/Databases/mpkFractions/proteomic_fractions_log_files/Yang_log_img/163310765.jpg","show blot")</f>
        <v>show blot</v>
      </c>
      <c r="H290" s="8" t="str">
        <f>HYPERLINK("https://esbl.nhlbi.nih.gov/Databases/mpkFractions/proteomic_fractions_linear_files/Yang_linear_img/163310765.jpg","show blot")</f>
        <v>show blot</v>
      </c>
      <c r="J290" s="5" t="s">
        <v>579</v>
      </c>
      <c r="L290" s="11">
        <v>1.5914638988358309</v>
      </c>
      <c r="N290" s="12"/>
    </row>
    <row r="291" spans="1:14" s="5" customFormat="1" ht="15" customHeight="1" x14ac:dyDescent="0.25">
      <c r="A291" s="9" t="s">
        <v>580</v>
      </c>
      <c r="C291" s="9" t="str">
        <f>HYPERLINK("http://www.ncbi.nlm.nih.gov/protein/31791059","Alcam")</f>
        <v>Alcam</v>
      </c>
      <c r="D291" s="10">
        <f t="shared" si="4"/>
        <v>5.4416604576420804</v>
      </c>
      <c r="F291" s="8" t="str">
        <f>HYPERLINK("https://esbl.nhlbi.nih.gov/Databases/mpkFractions/proteomic_fractions_log_files/Yang_log_img/31791059.jpg","show blot")</f>
        <v>show blot</v>
      </c>
      <c r="H291" s="8" t="str">
        <f>HYPERLINK("https://esbl.nhlbi.nih.gov/Databases/mpkFractions/proteomic_fractions_linear_files/Yang_linear_img/31791059.jpg","show blot")</f>
        <v>show blot</v>
      </c>
      <c r="J291" s="5" t="s">
        <v>581</v>
      </c>
      <c r="L291" s="11">
        <v>5.4416604576420804</v>
      </c>
      <c r="N291" s="12"/>
    </row>
    <row r="292" spans="1:14" s="5" customFormat="1" ht="15" customHeight="1" x14ac:dyDescent="0.25">
      <c r="A292" s="9" t="s">
        <v>582</v>
      </c>
      <c r="C292" s="9" t="str">
        <f>HYPERLINK("http://www.ncbi.nlm.nih.gov/protein/26080429","Aldh16a1")</f>
        <v>Aldh16a1</v>
      </c>
      <c r="D292" s="10">
        <f t="shared" si="4"/>
        <v>5.0992078626056294</v>
      </c>
      <c r="F292" s="8" t="str">
        <f>HYPERLINK("https://esbl.nhlbi.nih.gov/Databases/mpkFractions/proteomic_fractions_log_files/Yang_log_img/26080429.jpg","show blot")</f>
        <v>show blot</v>
      </c>
      <c r="H292" s="8" t="str">
        <f>HYPERLINK("https://esbl.nhlbi.nih.gov/Databases/mpkFractions/proteomic_fractions_linear_files/Yang_linear_img/26080429.jpg","show blot")</f>
        <v>show blot</v>
      </c>
      <c r="J292" s="5" t="s">
        <v>583</v>
      </c>
      <c r="L292" s="11">
        <v>5.0992078626056294</v>
      </c>
      <c r="N292" s="12"/>
    </row>
    <row r="293" spans="1:14" s="5" customFormat="1" ht="15" customHeight="1" x14ac:dyDescent="0.25">
      <c r="A293" s="9" t="s">
        <v>584</v>
      </c>
      <c r="C293" s="9" t="str">
        <f>HYPERLINK("http://www.ncbi.nlm.nih.gov/protein/255958292","Aldh18a1")</f>
        <v>Aldh18a1</v>
      </c>
      <c r="D293" s="10">
        <f t="shared" si="4"/>
        <v>5.2968866560758219</v>
      </c>
      <c r="F293" s="8" t="str">
        <f>HYPERLINK("https://esbl.nhlbi.nih.gov/Databases/mpkFractions/proteomic_fractions_log_files/Yang_log_img/255958292.jpg","show blot")</f>
        <v>show blot</v>
      </c>
      <c r="H293" s="8" t="str">
        <f>HYPERLINK("https://esbl.nhlbi.nih.gov/Databases/mpkFractions/proteomic_fractions_linear_files/Yang_linear_img/255958292.jpg","show blot")</f>
        <v>show blot</v>
      </c>
      <c r="J293" s="5" t="s">
        <v>585</v>
      </c>
      <c r="L293" s="11">
        <v>5.2968866560758219</v>
      </c>
      <c r="N293" s="12"/>
    </row>
    <row r="294" spans="1:14" s="5" customFormat="1" ht="15" customHeight="1" x14ac:dyDescent="0.25">
      <c r="A294" s="9" t="s">
        <v>586</v>
      </c>
      <c r="C294" s="9" t="str">
        <f>HYPERLINK("http://www.ncbi.nlm.nih.gov/protein/255958294","Aldh18a1")</f>
        <v>Aldh18a1</v>
      </c>
      <c r="D294" s="10">
        <f t="shared" si="4"/>
        <v>5.2968866560758219</v>
      </c>
      <c r="F294" s="8" t="str">
        <f>HYPERLINK("https://esbl.nhlbi.nih.gov/Databases/mpkFractions/proteomic_fractions_log_files/Yang_log_img/255958294.jpg","show blot")</f>
        <v>show blot</v>
      </c>
      <c r="H294" s="8" t="str">
        <f>HYPERLINK("https://esbl.nhlbi.nih.gov/Databases/mpkFractions/proteomic_fractions_linear_files/Yang_linear_img/255958294.jpg","show blot")</f>
        <v>show blot</v>
      </c>
      <c r="J294" s="5" t="s">
        <v>587</v>
      </c>
      <c r="L294" s="11">
        <v>5.2968866560758219</v>
      </c>
      <c r="N294" s="12"/>
    </row>
    <row r="295" spans="1:14" s="5" customFormat="1" ht="15" customHeight="1" x14ac:dyDescent="0.25">
      <c r="A295" s="9" t="s">
        <v>588</v>
      </c>
      <c r="C295" s="9" t="str">
        <f>HYPERLINK("http://www.ncbi.nlm.nih.gov/protein/85861182","Aldh1a1")</f>
        <v>Aldh1a1</v>
      </c>
      <c r="D295" s="10">
        <f t="shared" si="4"/>
        <v>4.648971605625893</v>
      </c>
      <c r="F295" s="8" t="str">
        <f>HYPERLINK("https://esbl.nhlbi.nih.gov/Databases/mpkFractions/proteomic_fractions_log_files/Yang_log_img/85861182.jpg","show blot")</f>
        <v>show blot</v>
      </c>
      <c r="H295" s="8" t="str">
        <f>HYPERLINK("https://esbl.nhlbi.nih.gov/Databases/mpkFractions/proteomic_fractions_linear_files/Yang_linear_img/85861182.jpg","show blot")</f>
        <v>show blot</v>
      </c>
      <c r="J295" s="5" t="s">
        <v>589</v>
      </c>
      <c r="L295" s="11">
        <v>4.648971605625893</v>
      </c>
      <c r="N295" s="12"/>
    </row>
    <row r="296" spans="1:14" s="5" customFormat="1" ht="15" customHeight="1" x14ac:dyDescent="0.25">
      <c r="A296" s="9" t="s">
        <v>590</v>
      </c>
      <c r="C296" s="9" t="str">
        <f>HYPERLINK("http://www.ncbi.nlm.nih.gov/protein/7106242","Aldh1a7")</f>
        <v>Aldh1a7</v>
      </c>
      <c r="D296" s="10">
        <f t="shared" si="4"/>
        <v>4.3775262476530523</v>
      </c>
      <c r="F296" s="8" t="str">
        <f>HYPERLINK("https://esbl.nhlbi.nih.gov/Databases/mpkFractions/proteomic_fractions_log_files/Yang_log_img/7106242.jpg","show blot")</f>
        <v>show blot</v>
      </c>
      <c r="H296" s="8" t="str">
        <f>HYPERLINK("https://esbl.nhlbi.nih.gov/Databases/mpkFractions/proteomic_fractions_linear_files/Yang_linear_img/7106242.jpg","show blot")</f>
        <v>show blot</v>
      </c>
      <c r="J296" s="5" t="s">
        <v>591</v>
      </c>
      <c r="L296" s="11">
        <v>4.3775262476530523</v>
      </c>
      <c r="N296" s="12"/>
    </row>
    <row r="297" spans="1:14" s="5" customFormat="1" ht="15" customHeight="1" x14ac:dyDescent="0.25">
      <c r="A297" s="9" t="s">
        <v>592</v>
      </c>
      <c r="C297" s="9" t="str">
        <f>HYPERLINK("http://www.ncbi.nlm.nih.gov/protein/6753036","Aldh2")</f>
        <v>Aldh2</v>
      </c>
      <c r="D297" s="10">
        <f t="shared" si="4"/>
        <v>4.7907126517889784</v>
      </c>
      <c r="F297" s="8" t="str">
        <f>HYPERLINK("https://esbl.nhlbi.nih.gov/Databases/mpkFractions/proteomic_fractions_log_files/Yang_log_img/6753036.jpg","show blot")</f>
        <v>show blot</v>
      </c>
      <c r="H297" s="8" t="str">
        <f>HYPERLINK("https://esbl.nhlbi.nih.gov/Databases/mpkFractions/proteomic_fractions_linear_files/Yang_linear_img/6753036.jpg","show blot")</f>
        <v>show blot</v>
      </c>
      <c r="J297" s="5" t="s">
        <v>593</v>
      </c>
      <c r="L297" s="11">
        <v>4.7907126517889784</v>
      </c>
      <c r="N297" s="12"/>
    </row>
    <row r="298" spans="1:14" s="5" customFormat="1" ht="15" customHeight="1" x14ac:dyDescent="0.25">
      <c r="A298" s="9" t="s">
        <v>594</v>
      </c>
      <c r="C298" s="9" t="str">
        <f>HYPERLINK("http://www.ncbi.nlm.nih.gov/protein/163310769","Aldh3a1")</f>
        <v>Aldh3a1</v>
      </c>
      <c r="D298" s="10">
        <f t="shared" si="4"/>
        <v>4.0028104316232618</v>
      </c>
      <c r="F298" s="8" t="str">
        <f>HYPERLINK("https://esbl.nhlbi.nih.gov/Databases/mpkFractions/proteomic_fractions_log_files/Yang_log_img/163310769.jpg","show blot")</f>
        <v>show blot</v>
      </c>
      <c r="H298" s="8" t="str">
        <f>HYPERLINK("https://esbl.nhlbi.nih.gov/Databases/mpkFractions/proteomic_fractions_linear_files/Yang_linear_img/163310769.jpg","show blot")</f>
        <v>show blot</v>
      </c>
      <c r="J298" s="5" t="s">
        <v>595</v>
      </c>
      <c r="L298" s="11">
        <v>4.0028104316232618</v>
      </c>
      <c r="N298" s="12"/>
    </row>
    <row r="299" spans="1:14" s="5" customFormat="1" ht="15" customHeight="1" x14ac:dyDescent="0.25">
      <c r="A299" s="9" t="s">
        <v>596</v>
      </c>
      <c r="C299" s="9" t="str">
        <f>HYPERLINK("http://www.ncbi.nlm.nih.gov/protein/75677435","Aldh3a2")</f>
        <v>Aldh3a2</v>
      </c>
      <c r="D299" s="10">
        <f t="shared" si="4"/>
        <v>5.0828995459587203</v>
      </c>
      <c r="F299" s="8" t="str">
        <f>HYPERLINK("https://esbl.nhlbi.nih.gov/Databases/mpkFractions/proteomic_fractions_log_files/Yang_log_img/75677435.jpg","show blot")</f>
        <v>show blot</v>
      </c>
      <c r="H299" s="8" t="str">
        <f>HYPERLINK("https://esbl.nhlbi.nih.gov/Databases/mpkFractions/proteomic_fractions_linear_files/Yang_linear_img/75677435.jpg","show blot")</f>
        <v>show blot</v>
      </c>
      <c r="J299" s="5" t="s">
        <v>597</v>
      </c>
      <c r="L299" s="11">
        <v>5.0828995459587203</v>
      </c>
      <c r="N299" s="12"/>
    </row>
    <row r="300" spans="1:14" s="5" customFormat="1" ht="15" customHeight="1" x14ac:dyDescent="0.25">
      <c r="A300" s="9" t="s">
        <v>598</v>
      </c>
      <c r="C300" s="9" t="str">
        <f>HYPERLINK("http://www.ncbi.nlm.nih.gov/protein/34328288","Aldh3b1")</f>
        <v>Aldh3b1</v>
      </c>
      <c r="D300" s="10">
        <f t="shared" si="4"/>
        <v>5.1319378453495004</v>
      </c>
      <c r="F300" s="8" t="str">
        <f>HYPERLINK("https://esbl.nhlbi.nih.gov/Databases/mpkFractions/proteomic_fractions_log_files/Yang_log_img/34328288.jpg","show blot")</f>
        <v>show blot</v>
      </c>
      <c r="H300" s="8" t="str">
        <f>HYPERLINK("https://esbl.nhlbi.nih.gov/Databases/mpkFractions/proteomic_fractions_linear_files/Yang_linear_img/34328288.jpg","show blot")</f>
        <v>show blot</v>
      </c>
      <c r="J300" s="5" t="s">
        <v>599</v>
      </c>
      <c r="L300" s="11">
        <v>5.1319378453495004</v>
      </c>
      <c r="N300" s="12"/>
    </row>
    <row r="301" spans="1:14" s="5" customFormat="1" ht="15" customHeight="1" x14ac:dyDescent="0.25">
      <c r="A301" s="9" t="s">
        <v>600</v>
      </c>
      <c r="C301" s="9" t="str">
        <f>HYPERLINK("http://www.ncbi.nlm.nih.gov/protein/294460012","Aldh3b2")</f>
        <v>Aldh3b2</v>
      </c>
      <c r="D301" s="10">
        <f t="shared" si="4"/>
        <v>5.6466610186636848</v>
      </c>
      <c r="F301" s="8" t="str">
        <f>HYPERLINK("https://esbl.nhlbi.nih.gov/Databases/mpkFractions/proteomic_fractions_log_files/Yang_log_img/294460012.jpg","show blot")</f>
        <v>show blot</v>
      </c>
      <c r="H301" s="8" t="str">
        <f>HYPERLINK("https://esbl.nhlbi.nih.gov/Databases/mpkFractions/proteomic_fractions_linear_files/Yang_linear_img/294460012.jpg","show blot")</f>
        <v>show blot</v>
      </c>
      <c r="J301" s="5" t="s">
        <v>601</v>
      </c>
      <c r="L301" s="11">
        <v>5.6466610186636848</v>
      </c>
      <c r="N301" s="12"/>
    </row>
    <row r="302" spans="1:14" s="5" customFormat="1" ht="15" customHeight="1" x14ac:dyDescent="0.25">
      <c r="A302" s="9" t="s">
        <v>602</v>
      </c>
      <c r="C302" s="9" t="str">
        <f>HYPERLINK("http://www.ncbi.nlm.nih.gov/protein/407262588","Aldh3b2")</f>
        <v>Aldh3b2</v>
      </c>
      <c r="D302" s="10">
        <f t="shared" si="4"/>
        <v>5.6466610186636848</v>
      </c>
      <c r="F302" s="8" t="str">
        <f>HYPERLINK("https://esbl.nhlbi.nih.gov/Databases/mpkFractions/proteomic_fractions_log_files/Yang_log_img/407262588.jpg","show blot")</f>
        <v>show blot</v>
      </c>
      <c r="H302" s="8" t="str">
        <f>HYPERLINK("https://esbl.nhlbi.nih.gov/Databases/mpkFractions/proteomic_fractions_linear_files/Yang_linear_img/407262588.jpg","show blot")</f>
        <v>show blot</v>
      </c>
      <c r="J302" s="5" t="s">
        <v>603</v>
      </c>
      <c r="L302" s="11">
        <v>5.6466610186636848</v>
      </c>
      <c r="N302" s="12"/>
    </row>
    <row r="303" spans="1:14" s="5" customFormat="1" ht="15" customHeight="1" x14ac:dyDescent="0.25">
      <c r="A303" s="9" t="s">
        <v>604</v>
      </c>
      <c r="C303" s="9" t="str">
        <f>HYPERLINK("http://www.ncbi.nlm.nih.gov/protein/27369748","Aldh5a1")</f>
        <v>Aldh5a1</v>
      </c>
      <c r="D303" s="10">
        <f t="shared" si="4"/>
        <v>4.4155354362256531</v>
      </c>
      <c r="F303" s="8" t="str">
        <f>HYPERLINK("https://esbl.nhlbi.nih.gov/Databases/mpkFractions/proteomic_fractions_log_files/Yang_log_img/27369748.jpg","show blot")</f>
        <v>show blot</v>
      </c>
      <c r="H303" s="8" t="str">
        <f>HYPERLINK("https://esbl.nhlbi.nih.gov/Databases/mpkFractions/proteomic_fractions_linear_files/Yang_linear_img/27369748.jpg","show blot")</f>
        <v>show blot</v>
      </c>
      <c r="J303" s="5" t="s">
        <v>605</v>
      </c>
      <c r="L303" s="11">
        <v>4.4155354362256531</v>
      </c>
      <c r="N303" s="12"/>
    </row>
    <row r="304" spans="1:14" s="5" customFormat="1" ht="15" customHeight="1" x14ac:dyDescent="0.25">
      <c r="A304" s="9" t="s">
        <v>606</v>
      </c>
      <c r="C304" s="9" t="str">
        <f>HYPERLINK("http://www.ncbi.nlm.nih.gov/protein/19527258","Aldh6a1")</f>
        <v>Aldh6a1</v>
      </c>
      <c r="D304" s="10">
        <f t="shared" si="4"/>
        <v>5.313991505223755</v>
      </c>
      <c r="F304" s="8" t="str">
        <f>HYPERLINK("https://esbl.nhlbi.nih.gov/Databases/mpkFractions/proteomic_fractions_log_files/Yang_log_img/19527258.jpg","show blot")</f>
        <v>show blot</v>
      </c>
      <c r="H304" s="8" t="str">
        <f>HYPERLINK("https://esbl.nhlbi.nih.gov/Databases/mpkFractions/proteomic_fractions_linear_files/Yang_linear_img/19527258.jpg","show blot")</f>
        <v>show blot</v>
      </c>
      <c r="J304" s="5" t="s">
        <v>607</v>
      </c>
      <c r="L304" s="11">
        <v>5.313991505223755</v>
      </c>
      <c r="N304" s="12"/>
    </row>
    <row r="305" spans="1:14" s="5" customFormat="1" ht="15" customHeight="1" x14ac:dyDescent="0.25">
      <c r="A305" s="9" t="s">
        <v>608</v>
      </c>
      <c r="C305" s="9" t="str">
        <f>HYPERLINK("http://www.ncbi.nlm.nih.gov/protein/188035915","Aldh7a1")</f>
        <v>Aldh7a1</v>
      </c>
      <c r="D305" s="10">
        <f t="shared" si="4"/>
        <v>5.3091776281915806</v>
      </c>
      <c r="F305" s="8" t="str">
        <f>HYPERLINK("https://esbl.nhlbi.nih.gov/Databases/mpkFractions/proteomic_fractions_log_files/Yang_log_img/188035915.jpg","show blot")</f>
        <v>show blot</v>
      </c>
      <c r="H305" s="8" t="str">
        <f>HYPERLINK("https://esbl.nhlbi.nih.gov/Databases/mpkFractions/proteomic_fractions_linear_files/Yang_linear_img/188035915.jpg","show blot")</f>
        <v>show blot</v>
      </c>
      <c r="J305" s="5" t="s">
        <v>609</v>
      </c>
      <c r="L305" s="11">
        <v>5.3091776281915806</v>
      </c>
      <c r="N305" s="12"/>
    </row>
    <row r="306" spans="1:14" s="5" customFormat="1" ht="15" customHeight="1" x14ac:dyDescent="0.25">
      <c r="A306" s="9" t="s">
        <v>610</v>
      </c>
      <c r="C306" s="9" t="str">
        <f>HYPERLINK("http://www.ncbi.nlm.nih.gov/protein/188219757","Aldh7a1")</f>
        <v>Aldh7a1</v>
      </c>
      <c r="D306" s="10">
        <f t="shared" si="4"/>
        <v>5.3091776281915806</v>
      </c>
      <c r="F306" s="8" t="str">
        <f>HYPERLINK("https://esbl.nhlbi.nih.gov/Databases/mpkFractions/proteomic_fractions_log_files/Yang_log_img/188219757.jpg","show blot")</f>
        <v>show blot</v>
      </c>
      <c r="H306" s="8" t="str">
        <f>HYPERLINK("https://esbl.nhlbi.nih.gov/Databases/mpkFractions/proteomic_fractions_linear_files/Yang_linear_img/188219757.jpg","show blot")</f>
        <v>show blot</v>
      </c>
      <c r="J306" s="5" t="s">
        <v>611</v>
      </c>
      <c r="L306" s="11">
        <v>5.3091776281915806</v>
      </c>
      <c r="N306" s="12"/>
    </row>
    <row r="307" spans="1:14" s="5" customFormat="1" ht="15" customHeight="1" x14ac:dyDescent="0.25">
      <c r="A307" s="9" t="s">
        <v>612</v>
      </c>
      <c r="C307" s="9" t="str">
        <f>HYPERLINK("http://www.ncbi.nlm.nih.gov/protein/115334671","Aldh9a1")</f>
        <v>Aldh9a1</v>
      </c>
      <c r="D307" s="10">
        <f t="shared" si="4"/>
        <v>5.6238502102987287</v>
      </c>
      <c r="F307" s="8" t="str">
        <f>HYPERLINK("https://esbl.nhlbi.nih.gov/Databases/mpkFractions/proteomic_fractions_log_files/Yang_log_img/115334671.jpg","show blot")</f>
        <v>show blot</v>
      </c>
      <c r="H307" s="8" t="str">
        <f>HYPERLINK("https://esbl.nhlbi.nih.gov/Databases/mpkFractions/proteomic_fractions_linear_files/Yang_linear_img/115334671.jpg","show blot")</f>
        <v>show blot</v>
      </c>
      <c r="J307" s="5" t="s">
        <v>613</v>
      </c>
      <c r="L307" s="11">
        <v>5.6238502102987287</v>
      </c>
      <c r="N307" s="12"/>
    </row>
    <row r="308" spans="1:14" s="5" customFormat="1" ht="15" customHeight="1" x14ac:dyDescent="0.25">
      <c r="A308" s="9" t="s">
        <v>614</v>
      </c>
      <c r="C308" s="9" t="str">
        <f>HYPERLINK("http://www.ncbi.nlm.nih.gov/protein/293597567","Aldoa")</f>
        <v>Aldoa</v>
      </c>
      <c r="D308" s="10">
        <f t="shared" si="4"/>
        <v>7.2134449096549869</v>
      </c>
      <c r="F308" s="8" t="str">
        <f>HYPERLINK("https://esbl.nhlbi.nih.gov/Databases/mpkFractions/proteomic_fractions_log_files/Yang_log_img/293597567.jpg","show blot")</f>
        <v>show blot</v>
      </c>
      <c r="H308" s="8" t="str">
        <f>HYPERLINK("https://esbl.nhlbi.nih.gov/Databases/mpkFractions/proteomic_fractions_linear_files/Yang_linear_img/293597567.jpg","show blot")</f>
        <v>show blot</v>
      </c>
      <c r="J308" s="5" t="s">
        <v>615</v>
      </c>
      <c r="L308" s="11">
        <v>7.2134449096549869</v>
      </c>
      <c r="N308" s="12"/>
    </row>
    <row r="309" spans="1:14" s="5" customFormat="1" ht="15" customHeight="1" x14ac:dyDescent="0.25">
      <c r="A309" s="9" t="s">
        <v>616</v>
      </c>
      <c r="C309" s="9" t="str">
        <f>HYPERLINK("http://www.ncbi.nlm.nih.gov/protein/6671539","Aldoa")</f>
        <v>Aldoa</v>
      </c>
      <c r="D309" s="10">
        <f t="shared" si="4"/>
        <v>7.2134449096549869</v>
      </c>
      <c r="F309" s="8" t="str">
        <f>HYPERLINK("https://esbl.nhlbi.nih.gov/Databases/mpkFractions/proteomic_fractions_log_files/Yang_log_img/6671539.jpg","show blot")</f>
        <v>show blot</v>
      </c>
      <c r="H309" s="8" t="str">
        <f>HYPERLINK("https://esbl.nhlbi.nih.gov/Databases/mpkFractions/proteomic_fractions_linear_files/Yang_linear_img/6671539.jpg","show blot")</f>
        <v>show blot</v>
      </c>
      <c r="J309" s="5" t="s">
        <v>617</v>
      </c>
      <c r="L309" s="11">
        <v>7.2134449096549869</v>
      </c>
      <c r="N309" s="12"/>
    </row>
    <row r="310" spans="1:14" s="5" customFormat="1" ht="15" customHeight="1" x14ac:dyDescent="0.25">
      <c r="A310" s="9" t="s">
        <v>618</v>
      </c>
      <c r="C310" s="9" t="str">
        <f>HYPERLINK("http://www.ncbi.nlm.nih.gov/protein/312922382","Aldoart1")</f>
        <v>Aldoart1</v>
      </c>
      <c r="D310" s="10">
        <f t="shared" si="4"/>
        <v>6.9529862258991111</v>
      </c>
      <c r="F310" s="8" t="str">
        <f>HYPERLINK("https://esbl.nhlbi.nih.gov/Databases/mpkFractions/proteomic_fractions_log_files/Yang_log_img/312922382.jpg","show blot")</f>
        <v>show blot</v>
      </c>
      <c r="H310" s="8" t="str">
        <f>HYPERLINK("https://esbl.nhlbi.nih.gov/Databases/mpkFractions/proteomic_fractions_linear_files/Yang_linear_img/312922382.jpg","show blot")</f>
        <v>show blot</v>
      </c>
      <c r="J310" s="5" t="s">
        <v>619</v>
      </c>
      <c r="L310" s="11">
        <v>6.9529862258991111</v>
      </c>
      <c r="N310" s="12"/>
    </row>
    <row r="311" spans="1:14" s="5" customFormat="1" ht="15" customHeight="1" x14ac:dyDescent="0.25">
      <c r="A311" s="9" t="s">
        <v>620</v>
      </c>
      <c r="C311" s="9" t="str">
        <f>HYPERLINK("http://www.ncbi.nlm.nih.gov/protein/476007882","Aldoart2")</f>
        <v>Aldoart2</v>
      </c>
      <c r="D311" s="10">
        <f t="shared" si="4"/>
        <v>5.5760508232252324</v>
      </c>
      <c r="F311" s="8" t="str">
        <f>HYPERLINK("https://esbl.nhlbi.nih.gov/Databases/mpkFractions/proteomic_fractions_log_files/Yang_log_img/476007882.jpg","show blot")</f>
        <v>show blot</v>
      </c>
      <c r="H311" s="8" t="str">
        <f>HYPERLINK("https://esbl.nhlbi.nih.gov/Databases/mpkFractions/proteomic_fractions_linear_files/Yang_linear_img/476007882.jpg","show blot")</f>
        <v>show blot</v>
      </c>
      <c r="J311" s="5" t="s">
        <v>621</v>
      </c>
      <c r="L311" s="11">
        <v>5.5760508232252324</v>
      </c>
      <c r="N311" s="12"/>
    </row>
    <row r="312" spans="1:14" s="5" customFormat="1" ht="15" customHeight="1" x14ac:dyDescent="0.25">
      <c r="A312" s="9" t="s">
        <v>622</v>
      </c>
      <c r="C312" s="9" t="str">
        <f>HYPERLINK("http://www.ncbi.nlm.nih.gov/protein/21450291","Aldob")</f>
        <v>Aldob</v>
      </c>
      <c r="D312" s="10">
        <f t="shared" si="4"/>
        <v>6.419387458503981</v>
      </c>
      <c r="F312" s="8" t="str">
        <f>HYPERLINK("https://esbl.nhlbi.nih.gov/Databases/mpkFractions/proteomic_fractions_log_files/Yang_log_img/21450291.jpg","show blot")</f>
        <v>show blot</v>
      </c>
      <c r="H312" s="8" t="str">
        <f>HYPERLINK("https://esbl.nhlbi.nih.gov/Databases/mpkFractions/proteomic_fractions_linear_files/Yang_linear_img/21450291.jpg","show blot")</f>
        <v>show blot</v>
      </c>
      <c r="J312" s="5" t="s">
        <v>623</v>
      </c>
      <c r="L312" s="11">
        <v>6.419387458503981</v>
      </c>
      <c r="N312" s="12"/>
    </row>
    <row r="313" spans="1:14" s="5" customFormat="1" ht="15" customHeight="1" x14ac:dyDescent="0.25">
      <c r="A313" s="9" t="s">
        <v>624</v>
      </c>
      <c r="C313" s="9" t="str">
        <f>HYPERLINK("http://www.ncbi.nlm.nih.gov/protein/60687506","Aldoc")</f>
        <v>Aldoc</v>
      </c>
      <c r="D313" s="10">
        <f t="shared" si="4"/>
        <v>6.6419539831943979</v>
      </c>
      <c r="F313" s="8" t="str">
        <f>HYPERLINK("https://esbl.nhlbi.nih.gov/Databases/mpkFractions/proteomic_fractions_log_files/Yang_log_img/60687506.jpg","show blot")</f>
        <v>show blot</v>
      </c>
      <c r="H313" s="8" t="str">
        <f>HYPERLINK("https://esbl.nhlbi.nih.gov/Databases/mpkFractions/proteomic_fractions_linear_files/Yang_linear_img/60687506.jpg","show blot")</f>
        <v>show blot</v>
      </c>
      <c r="J313" s="5" t="s">
        <v>625</v>
      </c>
      <c r="L313" s="11">
        <v>6.6419539831943979</v>
      </c>
      <c r="N313" s="12"/>
    </row>
    <row r="314" spans="1:14" s="5" customFormat="1" ht="15" customHeight="1" x14ac:dyDescent="0.25">
      <c r="A314" s="9" t="s">
        <v>626</v>
      </c>
      <c r="C314" s="9" t="str">
        <f>HYPERLINK("http://www.ncbi.nlm.nih.gov/protein/215276946","Alg12")</f>
        <v>Alg12</v>
      </c>
      <c r="D314" s="10">
        <f t="shared" si="4"/>
        <v>2.6935751297464412</v>
      </c>
      <c r="F314" s="8" t="str">
        <f>HYPERLINK("https://esbl.nhlbi.nih.gov/Databases/mpkFractions/proteomic_fractions_log_files/Yang_log_img/215276946.jpg","show blot")</f>
        <v>show blot</v>
      </c>
      <c r="H314" s="8" t="str">
        <f>HYPERLINK("https://esbl.nhlbi.nih.gov/Databases/mpkFractions/proteomic_fractions_linear_files/Yang_linear_img/215276946.jpg","show blot")</f>
        <v>show blot</v>
      </c>
      <c r="J314" s="5" t="s">
        <v>627</v>
      </c>
      <c r="L314" s="11">
        <v>2.6935751297464412</v>
      </c>
      <c r="N314" s="12"/>
    </row>
    <row r="315" spans="1:14" s="5" customFormat="1" ht="15" customHeight="1" x14ac:dyDescent="0.25">
      <c r="A315" s="9" t="s">
        <v>628</v>
      </c>
      <c r="C315" s="9" t="str">
        <f>HYPERLINK("http://www.ncbi.nlm.nih.gov/protein/13195608","Alg14")</f>
        <v>Alg14</v>
      </c>
      <c r="D315" s="10">
        <f t="shared" si="4"/>
        <v>3.8296052473999151</v>
      </c>
      <c r="F315" s="8" t="str">
        <f>HYPERLINK("https://esbl.nhlbi.nih.gov/Databases/mpkFractions/proteomic_fractions_log_files/Yang_log_img/13195608.jpg","show blot")</f>
        <v>show blot</v>
      </c>
      <c r="H315" s="8" t="str">
        <f>HYPERLINK("https://esbl.nhlbi.nih.gov/Databases/mpkFractions/proteomic_fractions_linear_files/Yang_linear_img/13195608.jpg","show blot")</f>
        <v>show blot</v>
      </c>
      <c r="J315" s="5" t="s">
        <v>629</v>
      </c>
      <c r="L315" s="11">
        <v>3.8296052473999151</v>
      </c>
      <c r="N315" s="12"/>
    </row>
    <row r="316" spans="1:14" s="5" customFormat="1" ht="15" customHeight="1" x14ac:dyDescent="0.25">
      <c r="A316" s="9" t="s">
        <v>630</v>
      </c>
      <c r="C316" s="9" t="str">
        <f>HYPERLINK("http://www.ncbi.nlm.nih.gov/protein/21728372","Alg5")</f>
        <v>Alg5</v>
      </c>
      <c r="D316" s="10">
        <f t="shared" si="4"/>
        <v>3.45558996703044</v>
      </c>
      <c r="F316" s="8" t="str">
        <f>HYPERLINK("https://esbl.nhlbi.nih.gov/Databases/mpkFractions/proteomic_fractions_log_files/Yang_log_img/21728372.jpg","show blot")</f>
        <v>show blot</v>
      </c>
      <c r="H316" s="8" t="str">
        <f>HYPERLINK("https://esbl.nhlbi.nih.gov/Databases/mpkFractions/proteomic_fractions_linear_files/Yang_linear_img/21728372.jpg","show blot")</f>
        <v>show blot</v>
      </c>
      <c r="J316" s="5" t="s">
        <v>631</v>
      </c>
      <c r="L316" s="11">
        <v>3.45558996703044</v>
      </c>
      <c r="N316" s="12"/>
    </row>
    <row r="317" spans="1:14" s="5" customFormat="1" ht="15" customHeight="1" x14ac:dyDescent="0.25">
      <c r="A317" s="9" t="s">
        <v>632</v>
      </c>
      <c r="C317" s="9" t="str">
        <f>HYPERLINK("http://www.ncbi.nlm.nih.gov/protein/110625726","Alkbh3")</f>
        <v>Alkbh3</v>
      </c>
      <c r="D317" s="10">
        <f t="shared" si="4"/>
        <v>4.1775581141258273</v>
      </c>
      <c r="F317" s="8" t="str">
        <f>HYPERLINK("https://esbl.nhlbi.nih.gov/Databases/mpkFractions/proteomic_fractions_log_files/Yang_log_img/110625726.jpg","show blot")</f>
        <v>show blot</v>
      </c>
      <c r="H317" s="8" t="str">
        <f>HYPERLINK("https://esbl.nhlbi.nih.gov/Databases/mpkFractions/proteomic_fractions_linear_files/Yang_linear_img/110625726.jpg","show blot")</f>
        <v>show blot</v>
      </c>
      <c r="J317" s="5" t="s">
        <v>633</v>
      </c>
      <c r="L317" s="11">
        <v>4.1775581141258273</v>
      </c>
      <c r="N317" s="12"/>
    </row>
    <row r="318" spans="1:14" s="5" customFormat="1" ht="15" customHeight="1" x14ac:dyDescent="0.25">
      <c r="A318" s="9" t="s">
        <v>634</v>
      </c>
      <c r="C318" s="9" t="str">
        <f>HYPERLINK("http://www.ncbi.nlm.nih.gov/protein/31044423","Alkbh5")</f>
        <v>Alkbh5</v>
      </c>
      <c r="D318" s="10">
        <f t="shared" si="4"/>
        <v>3.8349281328612599</v>
      </c>
      <c r="F318" s="8" t="str">
        <f>HYPERLINK("https://esbl.nhlbi.nih.gov/Databases/mpkFractions/proteomic_fractions_log_files/Yang_log_img/31044423.jpg","show blot")</f>
        <v>show blot</v>
      </c>
      <c r="H318" s="8" t="str">
        <f>HYPERLINK("https://esbl.nhlbi.nih.gov/Databases/mpkFractions/proteomic_fractions_linear_files/Yang_linear_img/31044423.jpg","show blot")</f>
        <v>show blot</v>
      </c>
      <c r="J318" s="5" t="s">
        <v>635</v>
      </c>
      <c r="L318" s="11">
        <v>3.8349281328612599</v>
      </c>
      <c r="N318" s="12"/>
    </row>
    <row r="319" spans="1:14" s="5" customFormat="1" ht="15" customHeight="1" x14ac:dyDescent="0.25">
      <c r="A319" s="9" t="s">
        <v>636</v>
      </c>
      <c r="C319" s="9" t="str">
        <f>HYPERLINK("http://www.ncbi.nlm.nih.gov/protein/189181674","Als2")</f>
        <v>Als2</v>
      </c>
      <c r="D319" s="10">
        <f t="shared" si="4"/>
        <v>3.364185843666168</v>
      </c>
      <c r="F319" s="8" t="str">
        <f>HYPERLINK("https://esbl.nhlbi.nih.gov/Databases/mpkFractions/proteomic_fractions_log_files/Yang_log_img/189181674.jpg","show blot")</f>
        <v>show blot</v>
      </c>
      <c r="H319" s="8" t="str">
        <f>HYPERLINK("https://esbl.nhlbi.nih.gov/Databases/mpkFractions/proteomic_fractions_linear_files/Yang_linear_img/189181674.jpg","show blot")</f>
        <v>show blot</v>
      </c>
      <c r="J319" s="5" t="s">
        <v>637</v>
      </c>
      <c r="L319" s="11">
        <v>3.364185843666168</v>
      </c>
      <c r="N319" s="12"/>
    </row>
    <row r="320" spans="1:14" s="5" customFormat="1" ht="15" customHeight="1" x14ac:dyDescent="0.25">
      <c r="A320" s="9" t="s">
        <v>638</v>
      </c>
      <c r="C320" s="9" t="str">
        <f>HYPERLINK("http://www.ncbi.nlm.nih.gov/protein/237757295","Als2")</f>
        <v>Als2</v>
      </c>
      <c r="D320" s="10">
        <f t="shared" si="4"/>
        <v>3.364185843666168</v>
      </c>
      <c r="F320" s="8" t="str">
        <f>HYPERLINK("https://esbl.nhlbi.nih.gov/Databases/mpkFractions/proteomic_fractions_log_files/Yang_log_img/237757295.jpg","show blot")</f>
        <v>show blot</v>
      </c>
      <c r="H320" s="8" t="str">
        <f>HYPERLINK("https://esbl.nhlbi.nih.gov/Databases/mpkFractions/proteomic_fractions_linear_files/Yang_linear_img/237757295.jpg","show blot")</f>
        <v>show blot</v>
      </c>
      <c r="J320" s="5" t="s">
        <v>639</v>
      </c>
      <c r="L320" s="11">
        <v>3.364185843666168</v>
      </c>
      <c r="N320" s="12"/>
    </row>
    <row r="321" spans="1:14" s="5" customFormat="1" ht="15" customHeight="1" x14ac:dyDescent="0.25">
      <c r="A321" s="9" t="s">
        <v>640</v>
      </c>
      <c r="C321" s="9" t="str">
        <f>HYPERLINK("http://www.ncbi.nlm.nih.gov/protein/6755763","Alyref")</f>
        <v>Alyref</v>
      </c>
      <c r="D321" s="10">
        <f t="shared" si="4"/>
        <v>5.4918343378845282</v>
      </c>
      <c r="F321" s="8" t="str">
        <f>HYPERLINK("https://esbl.nhlbi.nih.gov/Databases/mpkFractions/proteomic_fractions_log_files/Yang_log_img/6755763.jpg","show blot")</f>
        <v>show blot</v>
      </c>
      <c r="H321" s="8" t="str">
        <f>HYPERLINK("https://esbl.nhlbi.nih.gov/Databases/mpkFractions/proteomic_fractions_linear_files/Yang_linear_img/6755763.jpg","show blot")</f>
        <v>show blot</v>
      </c>
      <c r="J321" s="5" t="s">
        <v>641</v>
      </c>
      <c r="L321" s="11">
        <v>5.4918343378845282</v>
      </c>
      <c r="N321" s="12"/>
    </row>
    <row r="322" spans="1:14" s="5" customFormat="1" ht="15" customHeight="1" x14ac:dyDescent="0.25">
      <c r="A322" s="9" t="s">
        <v>642</v>
      </c>
      <c r="C322" s="9" t="str">
        <f>HYPERLINK("http://www.ncbi.nlm.nih.gov/protein/148238335","Alyref2")</f>
        <v>Alyref2</v>
      </c>
      <c r="D322" s="10">
        <f t="shared" si="4"/>
        <v>5.3140313851551344</v>
      </c>
      <c r="F322" s="8" t="str">
        <f>HYPERLINK("https://esbl.nhlbi.nih.gov/Databases/mpkFractions/proteomic_fractions_log_files/Yang_log_img/148238335.jpg","show blot")</f>
        <v>show blot</v>
      </c>
      <c r="H322" s="8" t="str">
        <f>HYPERLINK("https://esbl.nhlbi.nih.gov/Databases/mpkFractions/proteomic_fractions_linear_files/Yang_linear_img/148238335.jpg","show blot")</f>
        <v>show blot</v>
      </c>
      <c r="J322" s="5" t="s">
        <v>643</v>
      </c>
      <c r="L322" s="11">
        <v>5.3140313851551344</v>
      </c>
      <c r="N322" s="12"/>
    </row>
    <row r="323" spans="1:14" s="5" customFormat="1" ht="15" customHeight="1" x14ac:dyDescent="0.25">
      <c r="A323" s="9" t="s">
        <v>644</v>
      </c>
      <c r="C323" s="9" t="str">
        <f>HYPERLINK("http://www.ncbi.nlm.nih.gov/protein/46518506","Amacr")</f>
        <v>Amacr</v>
      </c>
      <c r="D323" s="10">
        <f t="shared" si="4"/>
        <v>3.611149150625196</v>
      </c>
      <c r="F323" s="8" t="str">
        <f>HYPERLINK("https://esbl.nhlbi.nih.gov/Databases/mpkFractions/proteomic_fractions_log_files/Yang_log_img/46518506.jpg","show blot")</f>
        <v>show blot</v>
      </c>
      <c r="H323" s="8" t="str">
        <f>HYPERLINK("https://esbl.nhlbi.nih.gov/Databases/mpkFractions/proteomic_fractions_linear_files/Yang_linear_img/46518506.jpg","show blot")</f>
        <v>show blot</v>
      </c>
      <c r="J323" s="5" t="s">
        <v>645</v>
      </c>
      <c r="L323" s="11">
        <v>3.611149150625196</v>
      </c>
      <c r="N323" s="12"/>
    </row>
    <row r="324" spans="1:14" s="5" customFormat="1" ht="15" customHeight="1" x14ac:dyDescent="0.25">
      <c r="A324" s="9" t="s">
        <v>646</v>
      </c>
      <c r="C324" s="9" t="str">
        <f>HYPERLINK("http://www.ncbi.nlm.nih.gov/protein/31982133","Amdhd2")</f>
        <v>Amdhd2</v>
      </c>
      <c r="D324" s="10">
        <f t="shared" si="4"/>
        <v>5.0979763946503942</v>
      </c>
      <c r="F324" s="8" t="str">
        <f>HYPERLINK("https://esbl.nhlbi.nih.gov/Databases/mpkFractions/proteomic_fractions_log_files/Yang_log_img/31982133.jpg","show blot")</f>
        <v>show blot</v>
      </c>
      <c r="H324" s="8" t="str">
        <f>HYPERLINK("https://esbl.nhlbi.nih.gov/Databases/mpkFractions/proteomic_fractions_linear_files/Yang_linear_img/31982133.jpg","show blot")</f>
        <v>show blot</v>
      </c>
      <c r="J324" s="5" t="s">
        <v>647</v>
      </c>
      <c r="L324" s="11">
        <v>5.0979763946503942</v>
      </c>
      <c r="N324" s="12"/>
    </row>
    <row r="325" spans="1:14" s="5" customFormat="1" ht="15" customHeight="1" x14ac:dyDescent="0.25">
      <c r="A325" s="9" t="s">
        <v>648</v>
      </c>
      <c r="C325" s="9" t="str">
        <f>HYPERLINK("http://www.ncbi.nlm.nih.gov/protein/113205073","Amfr")</f>
        <v>Amfr</v>
      </c>
      <c r="D325" s="10">
        <f t="shared" ref="D325:D388" si="5">L325</f>
        <v>3.0528349525771499</v>
      </c>
      <c r="F325" s="8" t="str">
        <f>HYPERLINK("https://esbl.nhlbi.nih.gov/Databases/mpkFractions/proteomic_fractions_log_files/Yang_log_img/113205073.jpg","show blot")</f>
        <v>show blot</v>
      </c>
      <c r="H325" s="8" t="str">
        <f>HYPERLINK("https://esbl.nhlbi.nih.gov/Databases/mpkFractions/proteomic_fractions_linear_files/Yang_linear_img/113205073.jpg","show blot")</f>
        <v>show blot</v>
      </c>
      <c r="J325" s="5" t="s">
        <v>649</v>
      </c>
      <c r="L325" s="11">
        <v>3.0528349525771499</v>
      </c>
      <c r="N325" s="12"/>
    </row>
    <row r="326" spans="1:14" s="5" customFormat="1" ht="15" customHeight="1" x14ac:dyDescent="0.25">
      <c r="A326" s="9" t="s">
        <v>650</v>
      </c>
      <c r="C326" s="9" t="str">
        <f>HYPERLINK("http://www.ncbi.nlm.nih.gov/protein/9506383","Ammecr1")</f>
        <v>Ammecr1</v>
      </c>
      <c r="D326" s="10" t="str">
        <f t="shared" si="5"/>
        <v>-</v>
      </c>
      <c r="F326" s="8" t="str">
        <f>HYPERLINK("https://esbl.nhlbi.nih.gov/Databases/mpkFractions/proteomic_fractions_log_files/Yang_log_img/9506383.jpg","show blot")</f>
        <v>show blot</v>
      </c>
      <c r="H326" s="8" t="str">
        <f>HYPERLINK("https://esbl.nhlbi.nih.gov/Databases/mpkFractions/proteomic_fractions_linear_files/Yang_linear_img/9506383.jpg","show blot")</f>
        <v>show blot</v>
      </c>
      <c r="J326" s="5" t="s">
        <v>651</v>
      </c>
      <c r="L326" s="13" t="s">
        <v>389</v>
      </c>
      <c r="N326" s="12"/>
    </row>
    <row r="327" spans="1:14" s="5" customFormat="1" ht="15" customHeight="1" x14ac:dyDescent="0.25">
      <c r="A327" s="9" t="s">
        <v>652</v>
      </c>
      <c r="C327" s="9" t="str">
        <f>HYPERLINK("http://www.ncbi.nlm.nih.gov/protein/23943793","Ammecr1l")</f>
        <v>Ammecr1l</v>
      </c>
      <c r="D327" s="10">
        <f t="shared" si="5"/>
        <v>1.8003476712878199</v>
      </c>
      <c r="F327" s="8" t="str">
        <f>HYPERLINK("https://esbl.nhlbi.nih.gov/Databases/mpkFractions/proteomic_fractions_log_files/Yang_log_img/23943793.jpg","show blot")</f>
        <v>show blot</v>
      </c>
      <c r="H327" s="8" t="str">
        <f>HYPERLINK("https://esbl.nhlbi.nih.gov/Databases/mpkFractions/proteomic_fractions_linear_files/Yang_linear_img/23943793.jpg","show blot")</f>
        <v>show blot</v>
      </c>
      <c r="J327" s="5" t="s">
        <v>653</v>
      </c>
      <c r="L327" s="11">
        <v>1.8003476712878199</v>
      </c>
      <c r="N327" s="12"/>
    </row>
    <row r="328" spans="1:14" s="5" customFormat="1" ht="15" customHeight="1" x14ac:dyDescent="0.25">
      <c r="A328" s="9" t="s">
        <v>654</v>
      </c>
      <c r="C328" s="9" t="str">
        <f>HYPERLINK("http://www.ncbi.nlm.nih.gov/protein/334848200","Ammecr1l")</f>
        <v>Ammecr1l</v>
      </c>
      <c r="D328" s="10">
        <f t="shared" si="5"/>
        <v>1.8003476712878199</v>
      </c>
      <c r="F328" s="8" t="str">
        <f>HYPERLINK("https://esbl.nhlbi.nih.gov/Databases/mpkFractions/proteomic_fractions_log_files/Yang_log_img/334848200.jpg","show blot")</f>
        <v>show blot</v>
      </c>
      <c r="H328" s="8" t="str">
        <f>HYPERLINK("https://esbl.nhlbi.nih.gov/Databases/mpkFractions/proteomic_fractions_linear_files/Yang_linear_img/334848200.jpg","show blot")</f>
        <v>show blot</v>
      </c>
      <c r="J328" s="5" t="s">
        <v>655</v>
      </c>
      <c r="L328" s="11">
        <v>1.8003476712878199</v>
      </c>
      <c r="N328" s="12"/>
    </row>
    <row r="329" spans="1:14" s="5" customFormat="1" ht="15" customHeight="1" x14ac:dyDescent="0.25">
      <c r="A329" s="9" t="s">
        <v>656</v>
      </c>
      <c r="C329" s="9" t="str">
        <f>HYPERLINK("http://www.ncbi.nlm.nih.gov/protein/114431240","Ampd1")</f>
        <v>Ampd1</v>
      </c>
      <c r="D329" s="10">
        <f t="shared" si="5"/>
        <v>2.925245746939872</v>
      </c>
      <c r="F329" s="8" t="str">
        <f>HYPERLINK("https://esbl.nhlbi.nih.gov/Databases/mpkFractions/proteomic_fractions_log_files/Yang_log_img/114431240.jpg","show blot")</f>
        <v>show blot</v>
      </c>
      <c r="H329" s="8" t="str">
        <f>HYPERLINK("https://esbl.nhlbi.nih.gov/Databases/mpkFractions/proteomic_fractions_linear_files/Yang_linear_img/114431240.jpg","show blot")</f>
        <v>show blot</v>
      </c>
      <c r="J329" s="5" t="s">
        <v>657</v>
      </c>
      <c r="L329" s="11">
        <v>2.925245746939872</v>
      </c>
      <c r="N329" s="12"/>
    </row>
    <row r="330" spans="1:14" s="5" customFormat="1" ht="15" customHeight="1" x14ac:dyDescent="0.25">
      <c r="A330" s="9" t="s">
        <v>658</v>
      </c>
      <c r="C330" s="9" t="str">
        <f>HYPERLINK("http://www.ncbi.nlm.nih.gov/protein/21311925","Ampd2")</f>
        <v>Ampd2</v>
      </c>
      <c r="D330" s="10">
        <f t="shared" si="5"/>
        <v>4.6198456621754618</v>
      </c>
      <c r="F330" s="8" t="str">
        <f>HYPERLINK("https://esbl.nhlbi.nih.gov/Databases/mpkFractions/proteomic_fractions_log_files/Yang_log_img/21311925.jpg","show blot")</f>
        <v>show blot</v>
      </c>
      <c r="H330" s="8" t="str">
        <f>HYPERLINK("https://esbl.nhlbi.nih.gov/Databases/mpkFractions/proteomic_fractions_linear_files/Yang_linear_img/21311925.jpg","show blot")</f>
        <v>show blot</v>
      </c>
      <c r="J330" s="5" t="s">
        <v>659</v>
      </c>
      <c r="L330" s="11">
        <v>4.6198456621754618</v>
      </c>
      <c r="N330" s="12"/>
    </row>
    <row r="331" spans="1:14" s="5" customFormat="1" ht="15" customHeight="1" x14ac:dyDescent="0.25">
      <c r="A331" s="9" t="s">
        <v>660</v>
      </c>
      <c r="C331" s="9" t="str">
        <f>HYPERLINK("http://www.ncbi.nlm.nih.gov/protein/66792802","Ampd3")</f>
        <v>Ampd3</v>
      </c>
      <c r="D331" s="10">
        <f t="shared" si="5"/>
        <v>5.0657080890251214</v>
      </c>
      <c r="F331" s="8" t="str">
        <f>HYPERLINK("https://esbl.nhlbi.nih.gov/Databases/mpkFractions/proteomic_fractions_log_files/Yang_log_img/66792802.jpg","show blot")</f>
        <v>show blot</v>
      </c>
      <c r="H331" s="8" t="str">
        <f>HYPERLINK("https://esbl.nhlbi.nih.gov/Databases/mpkFractions/proteomic_fractions_linear_files/Yang_linear_img/66792802.jpg","show blot")</f>
        <v>show blot</v>
      </c>
      <c r="J331" s="5" t="s">
        <v>661</v>
      </c>
      <c r="L331" s="11">
        <v>5.0657080890251214</v>
      </c>
      <c r="N331" s="12"/>
    </row>
    <row r="332" spans="1:14" s="5" customFormat="1" ht="15" customHeight="1" x14ac:dyDescent="0.25">
      <c r="A332" s="9" t="s">
        <v>662</v>
      </c>
      <c r="C332" s="9" t="str">
        <f>HYPERLINK("http://www.ncbi.nlm.nih.gov/protein/228008323","Anapc1")</f>
        <v>Anapc1</v>
      </c>
      <c r="D332" s="10">
        <f t="shared" si="5"/>
        <v>3.7769620017752228</v>
      </c>
      <c r="F332" s="8" t="str">
        <f>HYPERLINK("https://esbl.nhlbi.nih.gov/Databases/mpkFractions/proteomic_fractions_log_files/Yang_log_img/228008323.jpg","show blot")</f>
        <v>show blot</v>
      </c>
      <c r="H332" s="8" t="str">
        <f>HYPERLINK("https://esbl.nhlbi.nih.gov/Databases/mpkFractions/proteomic_fractions_linear_files/Yang_linear_img/228008323.jpg","show blot")</f>
        <v>show blot</v>
      </c>
      <c r="J332" s="5" t="s">
        <v>663</v>
      </c>
      <c r="L332" s="11">
        <v>3.7769620017752228</v>
      </c>
      <c r="N332" s="12"/>
    </row>
    <row r="333" spans="1:14" s="5" customFormat="1" ht="15" customHeight="1" x14ac:dyDescent="0.25">
      <c r="A333" s="9" t="s">
        <v>664</v>
      </c>
      <c r="C333" s="9" t="str">
        <f>HYPERLINK("http://www.ncbi.nlm.nih.gov/protein/84039696","Anapc11")</f>
        <v>Anapc11</v>
      </c>
      <c r="D333" s="10">
        <f t="shared" si="5"/>
        <v>4.2063805698673669</v>
      </c>
      <c r="F333" s="8" t="str">
        <f>HYPERLINK("https://esbl.nhlbi.nih.gov/Databases/mpkFractions/proteomic_fractions_log_files/Yang_log_img/84039696.jpg","show blot")</f>
        <v>show blot</v>
      </c>
      <c r="H333" s="8" t="str">
        <f>HYPERLINK("https://esbl.nhlbi.nih.gov/Databases/mpkFractions/proteomic_fractions_linear_files/Yang_linear_img/84039696.jpg","show blot")</f>
        <v>show blot</v>
      </c>
      <c r="J333" s="5" t="s">
        <v>665</v>
      </c>
      <c r="L333" s="11">
        <v>4.2063805698673669</v>
      </c>
      <c r="N333" s="12"/>
    </row>
    <row r="334" spans="1:14" s="5" customFormat="1" ht="15" customHeight="1" x14ac:dyDescent="0.25">
      <c r="A334" s="9" t="s">
        <v>666</v>
      </c>
      <c r="C334" s="9" t="str">
        <f>HYPERLINK("http://www.ncbi.nlm.nih.gov/protein/31088920","Anapc13")</f>
        <v>Anapc13</v>
      </c>
      <c r="D334" s="10">
        <f t="shared" si="5"/>
        <v>4.1155774451101639</v>
      </c>
      <c r="F334" s="8" t="str">
        <f>HYPERLINK("https://esbl.nhlbi.nih.gov/Databases/mpkFractions/proteomic_fractions_log_files/Yang_log_img/31088920.jpg","show blot")</f>
        <v>show blot</v>
      </c>
      <c r="H334" s="8" t="str">
        <f>HYPERLINK("https://esbl.nhlbi.nih.gov/Databases/mpkFractions/proteomic_fractions_linear_files/Yang_linear_img/31088920.jpg","show blot")</f>
        <v>show blot</v>
      </c>
      <c r="J334" s="5" t="s">
        <v>667</v>
      </c>
      <c r="L334" s="11">
        <v>4.1155774451101639</v>
      </c>
      <c r="N334" s="12"/>
    </row>
    <row r="335" spans="1:14" s="5" customFormat="1" ht="15" customHeight="1" x14ac:dyDescent="0.25">
      <c r="A335" s="9" t="s">
        <v>668</v>
      </c>
      <c r="C335" s="9" t="str">
        <f>HYPERLINK("http://www.ncbi.nlm.nih.gov/protein/13384936","Anapc16")</f>
        <v>Anapc16</v>
      </c>
      <c r="D335" s="10">
        <f t="shared" si="5"/>
        <v>2.5648452942125859</v>
      </c>
      <c r="F335" s="8" t="str">
        <f>HYPERLINK("https://esbl.nhlbi.nih.gov/Databases/mpkFractions/proteomic_fractions_log_files/Yang_log_img/13384936.jpg","show blot")</f>
        <v>show blot</v>
      </c>
      <c r="H335" s="8" t="str">
        <f>HYPERLINK("https://esbl.nhlbi.nih.gov/Databases/mpkFractions/proteomic_fractions_linear_files/Yang_linear_img/13384936.jpg","show blot")</f>
        <v>show blot</v>
      </c>
      <c r="J335" s="5" t="s">
        <v>669</v>
      </c>
      <c r="L335" s="11">
        <v>2.5648452942125859</v>
      </c>
      <c r="N335" s="12"/>
    </row>
    <row r="336" spans="1:14" s="5" customFormat="1" ht="15" customHeight="1" x14ac:dyDescent="0.25">
      <c r="A336" s="9" t="s">
        <v>670</v>
      </c>
      <c r="C336" s="9" t="str">
        <f>HYPERLINK("http://www.ncbi.nlm.nih.gov/protein/260763928","Anapc2")</f>
        <v>Anapc2</v>
      </c>
      <c r="D336" s="10">
        <f t="shared" si="5"/>
        <v>4.0924400161689318</v>
      </c>
      <c r="F336" s="8" t="str">
        <f>HYPERLINK("https://esbl.nhlbi.nih.gov/Databases/mpkFractions/proteomic_fractions_log_files/Yang_log_img/260763928.jpg","show blot")</f>
        <v>show blot</v>
      </c>
      <c r="H336" s="8" t="str">
        <f>HYPERLINK("https://esbl.nhlbi.nih.gov/Databases/mpkFractions/proteomic_fractions_linear_files/Yang_linear_img/260763928.jpg","show blot")</f>
        <v>show blot</v>
      </c>
      <c r="J336" s="5" t="s">
        <v>671</v>
      </c>
      <c r="L336" s="11">
        <v>4.0924400161689318</v>
      </c>
      <c r="N336" s="12"/>
    </row>
    <row r="337" spans="1:14" s="5" customFormat="1" ht="15" customHeight="1" x14ac:dyDescent="0.25">
      <c r="A337" s="9" t="s">
        <v>672</v>
      </c>
      <c r="C337" s="9" t="str">
        <f>HYPERLINK("http://www.ncbi.nlm.nih.gov/protein/23956182","Anapc4")</f>
        <v>Anapc4</v>
      </c>
      <c r="D337" s="10">
        <f t="shared" si="5"/>
        <v>3.8989758116116642</v>
      </c>
      <c r="F337" s="8" t="str">
        <f>HYPERLINK("https://esbl.nhlbi.nih.gov/Databases/mpkFractions/proteomic_fractions_log_files/Yang_log_img/23956182.jpg","show blot")</f>
        <v>show blot</v>
      </c>
      <c r="H337" s="8" t="str">
        <f>HYPERLINK("https://esbl.nhlbi.nih.gov/Databases/mpkFractions/proteomic_fractions_linear_files/Yang_linear_img/23956182.jpg","show blot")</f>
        <v>show blot</v>
      </c>
      <c r="J337" s="5" t="s">
        <v>673</v>
      </c>
      <c r="L337" s="11">
        <v>3.8989758116116642</v>
      </c>
      <c r="N337" s="12"/>
    </row>
    <row r="338" spans="1:14" s="5" customFormat="1" ht="15" customHeight="1" x14ac:dyDescent="0.25">
      <c r="A338" s="9" t="s">
        <v>674</v>
      </c>
      <c r="C338" s="9" t="str">
        <f>HYPERLINK("http://www.ncbi.nlm.nih.gov/protein/109809751","Anapc5")</f>
        <v>Anapc5</v>
      </c>
      <c r="D338" s="10">
        <f t="shared" si="5"/>
        <v>4.7928340987057281</v>
      </c>
      <c r="F338" s="8" t="str">
        <f>HYPERLINK("https://esbl.nhlbi.nih.gov/Databases/mpkFractions/proteomic_fractions_log_files/Yang_log_img/109809751.jpg","show blot")</f>
        <v>show blot</v>
      </c>
      <c r="H338" s="8" t="str">
        <f>HYPERLINK("https://esbl.nhlbi.nih.gov/Databases/mpkFractions/proteomic_fractions_linear_files/Yang_linear_img/109809751.jpg","show blot")</f>
        <v>show blot</v>
      </c>
      <c r="J338" s="5" t="s">
        <v>675</v>
      </c>
      <c r="L338" s="11">
        <v>4.7928340987057281</v>
      </c>
      <c r="N338" s="12"/>
    </row>
    <row r="339" spans="1:14" s="5" customFormat="1" ht="15" customHeight="1" x14ac:dyDescent="0.25">
      <c r="A339" s="9" t="s">
        <v>676</v>
      </c>
      <c r="C339" s="9" t="str">
        <f>HYPERLINK("http://www.ncbi.nlm.nih.gov/protein/109809753","Anapc5")</f>
        <v>Anapc5</v>
      </c>
      <c r="D339" s="10">
        <f t="shared" si="5"/>
        <v>4.7928340987057281</v>
      </c>
      <c r="F339" s="8" t="str">
        <f>HYPERLINK("https://esbl.nhlbi.nih.gov/Databases/mpkFractions/proteomic_fractions_log_files/Yang_log_img/109809753.jpg","show blot")</f>
        <v>show blot</v>
      </c>
      <c r="H339" s="8" t="str">
        <f>HYPERLINK("https://esbl.nhlbi.nih.gov/Databases/mpkFractions/proteomic_fractions_linear_files/Yang_linear_img/109809753.jpg","show blot")</f>
        <v>show blot</v>
      </c>
      <c r="J339" s="5" t="s">
        <v>677</v>
      </c>
      <c r="L339" s="11">
        <v>4.7928340987057281</v>
      </c>
      <c r="N339" s="12"/>
    </row>
    <row r="340" spans="1:14" s="5" customFormat="1" ht="15" customHeight="1" x14ac:dyDescent="0.25">
      <c r="A340" s="9" t="s">
        <v>678</v>
      </c>
      <c r="C340" s="9" t="str">
        <f>HYPERLINK("http://www.ncbi.nlm.nih.gov/protein/163310734","Angel1")</f>
        <v>Angel1</v>
      </c>
      <c r="D340" s="10">
        <f t="shared" si="5"/>
        <v>3.0459850012665921</v>
      </c>
      <c r="F340" s="8" t="str">
        <f>HYPERLINK("https://esbl.nhlbi.nih.gov/Databases/mpkFractions/proteomic_fractions_log_files/Yang_log_img/163310734.jpg","show blot")</f>
        <v>show blot</v>
      </c>
      <c r="H340" s="8" t="str">
        <f>HYPERLINK("https://esbl.nhlbi.nih.gov/Databases/mpkFractions/proteomic_fractions_linear_files/Yang_linear_img/163310734.jpg","show blot")</f>
        <v>show blot</v>
      </c>
      <c r="J340" s="5" t="s">
        <v>679</v>
      </c>
      <c r="L340" s="11">
        <v>3.0459850012665921</v>
      </c>
      <c r="N340" s="12"/>
    </row>
    <row r="341" spans="1:14" s="5" customFormat="1" ht="15" customHeight="1" x14ac:dyDescent="0.25">
      <c r="A341" s="9" t="s">
        <v>680</v>
      </c>
      <c r="C341" s="9" t="str">
        <f>HYPERLINK("http://www.ncbi.nlm.nih.gov/protein/116256499","Ank3")</f>
        <v>Ank3</v>
      </c>
      <c r="D341" s="10">
        <f t="shared" si="5"/>
        <v>2.3621578815297122</v>
      </c>
      <c r="F341" s="8" t="str">
        <f>HYPERLINK("https://esbl.nhlbi.nih.gov/Databases/mpkFractions/proteomic_fractions_log_files/Yang_log_img/116256499.jpg","show blot")</f>
        <v>show blot</v>
      </c>
      <c r="H341" s="8" t="str">
        <f>HYPERLINK("https://esbl.nhlbi.nih.gov/Databases/mpkFractions/proteomic_fractions_linear_files/Yang_linear_img/116256499.jpg","show blot")</f>
        <v>show blot</v>
      </c>
      <c r="J341" s="5" t="s">
        <v>681</v>
      </c>
      <c r="L341" s="11">
        <v>2.3621578815297122</v>
      </c>
      <c r="N341" s="12"/>
    </row>
    <row r="342" spans="1:14" s="5" customFormat="1" ht="15" customHeight="1" x14ac:dyDescent="0.25">
      <c r="A342" s="9" t="s">
        <v>682</v>
      </c>
      <c r="C342" s="9" t="str">
        <f>HYPERLINK("http://www.ncbi.nlm.nih.gov/protein/22129789","Ank3")</f>
        <v>Ank3</v>
      </c>
      <c r="D342" s="10">
        <f t="shared" si="5"/>
        <v>2.3621578815297122</v>
      </c>
      <c r="F342" s="8" t="str">
        <f>HYPERLINK("https://esbl.nhlbi.nih.gov/Databases/mpkFractions/proteomic_fractions_log_files/Yang_log_img/22129789.jpg","show blot")</f>
        <v>show blot</v>
      </c>
      <c r="H342" s="8" t="str">
        <f>HYPERLINK("https://esbl.nhlbi.nih.gov/Databases/mpkFractions/proteomic_fractions_linear_files/Yang_linear_img/22129789.jpg","show blot")</f>
        <v>show blot</v>
      </c>
      <c r="J342" s="5" t="s">
        <v>683</v>
      </c>
      <c r="L342" s="11">
        <v>2.3621578815297122</v>
      </c>
      <c r="N342" s="12"/>
    </row>
    <row r="343" spans="1:14" s="5" customFormat="1" ht="15" customHeight="1" x14ac:dyDescent="0.25">
      <c r="A343" s="9" t="s">
        <v>684</v>
      </c>
      <c r="C343" s="9" t="str">
        <f>HYPERLINK("http://www.ncbi.nlm.nih.gov/protein/86262153","Ank3")</f>
        <v>Ank3</v>
      </c>
      <c r="D343" s="10">
        <f t="shared" si="5"/>
        <v>2.3621578815297122</v>
      </c>
      <c r="F343" s="8" t="str">
        <f>HYPERLINK("https://esbl.nhlbi.nih.gov/Databases/mpkFractions/proteomic_fractions_log_files/Yang_log_img/86262153.jpg","show blot")</f>
        <v>show blot</v>
      </c>
      <c r="H343" s="8" t="str">
        <f>HYPERLINK("https://esbl.nhlbi.nih.gov/Databases/mpkFractions/proteomic_fractions_linear_files/Yang_linear_img/86262153.jpg","show blot")</f>
        <v>show blot</v>
      </c>
      <c r="J343" s="5" t="s">
        <v>685</v>
      </c>
      <c r="L343" s="11">
        <v>2.3621578815297122</v>
      </c>
      <c r="N343" s="12"/>
    </row>
    <row r="344" spans="1:14" s="5" customFormat="1" ht="15" customHeight="1" x14ac:dyDescent="0.25">
      <c r="A344" s="9" t="s">
        <v>686</v>
      </c>
      <c r="C344" s="9" t="str">
        <f>HYPERLINK("http://www.ncbi.nlm.nih.gov/protein/116256491","Ank3")</f>
        <v>Ank3</v>
      </c>
      <c r="D344" s="10">
        <f t="shared" si="5"/>
        <v>2.3621578815297122</v>
      </c>
      <c r="F344" s="8" t="str">
        <f>HYPERLINK("https://esbl.nhlbi.nih.gov/Databases/mpkFractions/proteomic_fractions_log_files/Yang_log_img/116256491.jpg","show blot")</f>
        <v>show blot</v>
      </c>
      <c r="H344" s="8" t="str">
        <f>HYPERLINK("https://esbl.nhlbi.nih.gov/Databases/mpkFractions/proteomic_fractions_linear_files/Yang_linear_img/116256491.jpg","show blot")</f>
        <v>show blot</v>
      </c>
      <c r="J344" s="5" t="s">
        <v>687</v>
      </c>
      <c r="L344" s="11">
        <v>2.3621578815297122</v>
      </c>
      <c r="N344" s="12"/>
    </row>
    <row r="345" spans="1:14" s="5" customFormat="1" ht="15" customHeight="1" x14ac:dyDescent="0.25">
      <c r="A345" s="9" t="s">
        <v>688</v>
      </c>
      <c r="C345" s="9" t="str">
        <f>HYPERLINK("http://www.ncbi.nlm.nih.gov/protein/116256493","Ank3")</f>
        <v>Ank3</v>
      </c>
      <c r="D345" s="10">
        <f t="shared" si="5"/>
        <v>2.3621578815297122</v>
      </c>
      <c r="F345" s="8" t="str">
        <f>HYPERLINK("https://esbl.nhlbi.nih.gov/Databases/mpkFractions/proteomic_fractions_log_files/Yang_log_img/116256493.jpg","show blot")</f>
        <v>show blot</v>
      </c>
      <c r="H345" s="8" t="str">
        <f>HYPERLINK("https://esbl.nhlbi.nih.gov/Databases/mpkFractions/proteomic_fractions_linear_files/Yang_linear_img/116256493.jpg","show blot")</f>
        <v>show blot</v>
      </c>
      <c r="J345" s="5" t="s">
        <v>689</v>
      </c>
      <c r="L345" s="11">
        <v>2.3621578815297122</v>
      </c>
      <c r="N345" s="12"/>
    </row>
    <row r="346" spans="1:14" s="5" customFormat="1" ht="15" customHeight="1" x14ac:dyDescent="0.25">
      <c r="A346" s="9" t="s">
        <v>690</v>
      </c>
      <c r="C346" s="9" t="str">
        <f>HYPERLINK("http://www.ncbi.nlm.nih.gov/protein/116256497","Ank3")</f>
        <v>Ank3</v>
      </c>
      <c r="D346" s="10">
        <f t="shared" si="5"/>
        <v>2.3621578815297122</v>
      </c>
      <c r="F346" s="8" t="str">
        <f>HYPERLINK("https://esbl.nhlbi.nih.gov/Databases/mpkFractions/proteomic_fractions_log_files/Yang_log_img/116256497.jpg","show blot")</f>
        <v>show blot</v>
      </c>
      <c r="H346" s="8" t="str">
        <f>HYPERLINK("https://esbl.nhlbi.nih.gov/Databases/mpkFractions/proteomic_fractions_linear_files/Yang_linear_img/116256497.jpg","show blot")</f>
        <v>show blot</v>
      </c>
      <c r="J346" s="5" t="s">
        <v>691</v>
      </c>
      <c r="L346" s="11">
        <v>2.3621578815297122</v>
      </c>
      <c r="N346" s="12"/>
    </row>
    <row r="347" spans="1:14" s="5" customFormat="1" ht="15" customHeight="1" x14ac:dyDescent="0.25">
      <c r="A347" s="9" t="s">
        <v>692</v>
      </c>
      <c r="C347" s="9" t="str">
        <f>HYPERLINK("http://www.ncbi.nlm.nih.gov/protein/116256503","Ank3")</f>
        <v>Ank3</v>
      </c>
      <c r="D347" s="10">
        <f t="shared" si="5"/>
        <v>2.3621578815297122</v>
      </c>
      <c r="F347" s="8" t="str">
        <f>HYPERLINK("https://esbl.nhlbi.nih.gov/Databases/mpkFractions/proteomic_fractions_log_files/Yang_log_img/116256503.jpg","show blot")</f>
        <v>show blot</v>
      </c>
      <c r="H347" s="8" t="str">
        <f>HYPERLINK("https://esbl.nhlbi.nih.gov/Databases/mpkFractions/proteomic_fractions_linear_files/Yang_linear_img/116256503.jpg","show blot")</f>
        <v>show blot</v>
      </c>
      <c r="J347" s="5" t="s">
        <v>693</v>
      </c>
      <c r="L347" s="11">
        <v>2.3621578815297122</v>
      </c>
      <c r="N347" s="12"/>
    </row>
    <row r="348" spans="1:14" s="5" customFormat="1" ht="15" customHeight="1" x14ac:dyDescent="0.25">
      <c r="A348" s="9" t="s">
        <v>694</v>
      </c>
      <c r="C348" s="9" t="str">
        <f>HYPERLINK("http://www.ncbi.nlm.nih.gov/protein/116256505","Ank3")</f>
        <v>Ank3</v>
      </c>
      <c r="D348" s="10">
        <f t="shared" si="5"/>
        <v>2.3621578815297122</v>
      </c>
      <c r="F348" s="8" t="str">
        <f>HYPERLINK("https://esbl.nhlbi.nih.gov/Databases/mpkFractions/proteomic_fractions_log_files/Yang_log_img/116256505.jpg","show blot")</f>
        <v>show blot</v>
      </c>
      <c r="H348" s="8" t="str">
        <f>HYPERLINK("https://esbl.nhlbi.nih.gov/Databases/mpkFractions/proteomic_fractions_linear_files/Yang_linear_img/116256505.jpg","show blot")</f>
        <v>show blot</v>
      </c>
      <c r="J348" s="5" t="s">
        <v>695</v>
      </c>
      <c r="L348" s="11">
        <v>2.3621578815297122</v>
      </c>
      <c r="N348" s="12"/>
    </row>
    <row r="349" spans="1:14" s="5" customFormat="1" ht="15" customHeight="1" x14ac:dyDescent="0.25">
      <c r="A349" s="9" t="s">
        <v>696</v>
      </c>
      <c r="C349" s="9" t="str">
        <f>HYPERLINK("http://www.ncbi.nlm.nih.gov/protein/25121946","Ank3")</f>
        <v>Ank3</v>
      </c>
      <c r="D349" s="10">
        <f t="shared" si="5"/>
        <v>2.3621578815297122</v>
      </c>
      <c r="F349" s="8" t="str">
        <f>HYPERLINK("https://esbl.nhlbi.nih.gov/Databases/mpkFractions/proteomic_fractions_log_files/Yang_log_img/25121946.jpg","show blot")</f>
        <v>show blot</v>
      </c>
      <c r="H349" s="8" t="str">
        <f>HYPERLINK("https://esbl.nhlbi.nih.gov/Databases/mpkFractions/proteomic_fractions_linear_files/Yang_linear_img/25121946.jpg","show blot")</f>
        <v>show blot</v>
      </c>
      <c r="J349" s="5" t="s">
        <v>697</v>
      </c>
      <c r="L349" s="11">
        <v>2.3621578815297122</v>
      </c>
      <c r="N349" s="12"/>
    </row>
    <row r="350" spans="1:14" s="5" customFormat="1" ht="15" customHeight="1" x14ac:dyDescent="0.25">
      <c r="A350" s="9" t="s">
        <v>698</v>
      </c>
      <c r="C350" s="9" t="str">
        <f>HYPERLINK("http://www.ncbi.nlm.nih.gov/protein/85702366","Ankfy1")</f>
        <v>Ankfy1</v>
      </c>
      <c r="D350" s="10">
        <f t="shared" si="5"/>
        <v>4.8663796615709174</v>
      </c>
      <c r="F350" s="8" t="str">
        <f>HYPERLINK("https://esbl.nhlbi.nih.gov/Databases/mpkFractions/proteomic_fractions_log_files/Yang_log_img/85702366.jpg","show blot")</f>
        <v>show blot</v>
      </c>
      <c r="H350" s="8" t="str">
        <f>HYPERLINK("https://esbl.nhlbi.nih.gov/Databases/mpkFractions/proteomic_fractions_linear_files/Yang_linear_img/85702366.jpg","show blot")</f>
        <v>show blot</v>
      </c>
      <c r="J350" s="5" t="s">
        <v>699</v>
      </c>
      <c r="L350" s="11">
        <v>4.8663796615709174</v>
      </c>
      <c r="N350" s="12"/>
    </row>
    <row r="351" spans="1:14" s="5" customFormat="1" ht="15" customHeight="1" x14ac:dyDescent="0.25">
      <c r="A351" s="9" t="s">
        <v>700</v>
      </c>
      <c r="C351" s="9" t="str">
        <f>HYPERLINK("http://www.ncbi.nlm.nih.gov/protein/158749543","Ankhd1")</f>
        <v>Ankhd1</v>
      </c>
      <c r="D351" s="10">
        <f t="shared" si="5"/>
        <v>3.9467297697051609</v>
      </c>
      <c r="F351" s="8" t="str">
        <f>HYPERLINK("https://esbl.nhlbi.nih.gov/Databases/mpkFractions/proteomic_fractions_log_files/Yang_log_img/158749543.jpg","show blot")</f>
        <v>show blot</v>
      </c>
      <c r="H351" s="8" t="str">
        <f>HYPERLINK("https://esbl.nhlbi.nih.gov/Databases/mpkFractions/proteomic_fractions_linear_files/Yang_linear_img/158749543.jpg","show blot")</f>
        <v>show blot</v>
      </c>
      <c r="J351" s="5" t="s">
        <v>701</v>
      </c>
      <c r="L351" s="11">
        <v>3.9467297697051609</v>
      </c>
      <c r="N351" s="12"/>
    </row>
    <row r="352" spans="1:14" s="5" customFormat="1" ht="15" customHeight="1" x14ac:dyDescent="0.25">
      <c r="A352" s="9" t="s">
        <v>702</v>
      </c>
      <c r="C352" s="9" t="str">
        <f>HYPERLINK("http://www.ncbi.nlm.nih.gov/protein/61656165","Ankib1")</f>
        <v>Ankib1</v>
      </c>
      <c r="D352" s="10">
        <f t="shared" si="5"/>
        <v>2.4098336063017318</v>
      </c>
      <c r="F352" s="8" t="str">
        <f>HYPERLINK("https://esbl.nhlbi.nih.gov/Databases/mpkFractions/proteomic_fractions_log_files/Yang_log_img/61656165.jpg","show blot")</f>
        <v>show blot</v>
      </c>
      <c r="H352" s="8" t="str">
        <f>HYPERLINK("https://esbl.nhlbi.nih.gov/Databases/mpkFractions/proteomic_fractions_linear_files/Yang_linear_img/61656165.jpg","show blot")</f>
        <v>show blot</v>
      </c>
      <c r="J352" s="5" t="s">
        <v>703</v>
      </c>
      <c r="L352" s="11">
        <v>2.4098336063017318</v>
      </c>
      <c r="N352" s="12"/>
    </row>
    <row r="353" spans="1:14" s="5" customFormat="1" ht="15" customHeight="1" x14ac:dyDescent="0.25">
      <c r="A353" s="9" t="s">
        <v>704</v>
      </c>
      <c r="C353" s="9" t="str">
        <f>HYPERLINK("http://www.ncbi.nlm.nih.gov/protein/189181677","Ankle1")</f>
        <v>Ankle1</v>
      </c>
      <c r="D353" s="10">
        <f t="shared" si="5"/>
        <v>3.0816161948350769</v>
      </c>
      <c r="F353" s="8" t="str">
        <f>HYPERLINK("https://esbl.nhlbi.nih.gov/Databases/mpkFractions/proteomic_fractions_log_files/Yang_log_img/189181677.jpg","show blot")</f>
        <v>show blot</v>
      </c>
      <c r="H353" s="8" t="str">
        <f>HYPERLINK("https://esbl.nhlbi.nih.gov/Databases/mpkFractions/proteomic_fractions_linear_files/Yang_linear_img/189181677.jpg","show blot")</f>
        <v>show blot</v>
      </c>
      <c r="J353" s="5" t="s">
        <v>705</v>
      </c>
      <c r="L353" s="11">
        <v>3.0816161948350769</v>
      </c>
      <c r="N353" s="12"/>
    </row>
    <row r="354" spans="1:14" s="5" customFormat="1" ht="15" customHeight="1" x14ac:dyDescent="0.25">
      <c r="A354" s="9" t="s">
        <v>706</v>
      </c>
      <c r="C354" s="9" t="str">
        <f>HYPERLINK("http://www.ncbi.nlm.nih.gov/protein/269308251","Ankmy2")</f>
        <v>Ankmy2</v>
      </c>
      <c r="D354" s="10">
        <f t="shared" si="5"/>
        <v>4.8069294376881304</v>
      </c>
      <c r="F354" s="8" t="str">
        <f>HYPERLINK("https://esbl.nhlbi.nih.gov/Databases/mpkFractions/proteomic_fractions_log_files/Yang_log_img/269308251.jpg","show blot")</f>
        <v>show blot</v>
      </c>
      <c r="H354" s="8" t="str">
        <f>HYPERLINK("https://esbl.nhlbi.nih.gov/Databases/mpkFractions/proteomic_fractions_linear_files/Yang_linear_img/269308251.jpg","show blot")</f>
        <v>show blot</v>
      </c>
      <c r="J354" s="5" t="s">
        <v>707</v>
      </c>
      <c r="L354" s="11">
        <v>4.8069294376881304</v>
      </c>
      <c r="N354" s="12"/>
    </row>
    <row r="355" spans="1:14" s="5" customFormat="1" ht="15" customHeight="1" x14ac:dyDescent="0.25">
      <c r="A355" s="9" t="s">
        <v>708</v>
      </c>
      <c r="C355" s="9" t="str">
        <f>HYPERLINK("http://www.ncbi.nlm.nih.gov/protein/61651675","Ankrd13a")</f>
        <v>Ankrd13a</v>
      </c>
      <c r="D355" s="10">
        <f t="shared" si="5"/>
        <v>1.1296129476126791</v>
      </c>
      <c r="F355" s="8" t="str">
        <f>HYPERLINK("https://esbl.nhlbi.nih.gov/Databases/mpkFractions/proteomic_fractions_log_files/Yang_log_img/61651675.jpg","show blot")</f>
        <v>show blot</v>
      </c>
      <c r="H355" s="8" t="str">
        <f>HYPERLINK("https://esbl.nhlbi.nih.gov/Databases/mpkFractions/proteomic_fractions_linear_files/Yang_linear_img/61651675.jpg","show blot")</f>
        <v>show blot</v>
      </c>
      <c r="J355" s="5" t="s">
        <v>709</v>
      </c>
      <c r="L355" s="11">
        <v>1.1296129476126791</v>
      </c>
      <c r="N355" s="12"/>
    </row>
    <row r="356" spans="1:14" s="5" customFormat="1" ht="15" customHeight="1" x14ac:dyDescent="0.25">
      <c r="A356" s="9" t="s">
        <v>710</v>
      </c>
      <c r="C356" s="9" t="str">
        <f>HYPERLINK("http://www.ncbi.nlm.nih.gov/protein/142363888","Ankrd13d")</f>
        <v>Ankrd13d</v>
      </c>
      <c r="D356" s="10">
        <f t="shared" si="5"/>
        <v>1.12317883760727</v>
      </c>
      <c r="F356" s="8" t="str">
        <f>HYPERLINK("https://esbl.nhlbi.nih.gov/Databases/mpkFractions/proteomic_fractions_log_files/Yang_log_img/142363888.jpg","show blot")</f>
        <v>show blot</v>
      </c>
      <c r="H356" s="8" t="str">
        <f>HYPERLINK("https://esbl.nhlbi.nih.gov/Databases/mpkFractions/proteomic_fractions_linear_files/Yang_linear_img/142363888.jpg","show blot")</f>
        <v>show blot</v>
      </c>
      <c r="J356" s="5" t="s">
        <v>711</v>
      </c>
      <c r="L356" s="11">
        <v>1.12317883760727</v>
      </c>
      <c r="N356" s="12"/>
    </row>
    <row r="357" spans="1:14" s="5" customFormat="1" ht="15" customHeight="1" x14ac:dyDescent="0.25">
      <c r="A357" s="9" t="s">
        <v>712</v>
      </c>
      <c r="C357" s="9" t="str">
        <f>HYPERLINK("http://www.ncbi.nlm.nih.gov/protein/40549395","Ankrd17")</f>
        <v>Ankrd17</v>
      </c>
      <c r="D357" s="10">
        <f t="shared" si="5"/>
        <v>4.0162833103115601</v>
      </c>
      <c r="F357" s="8" t="str">
        <f>HYPERLINK("https://esbl.nhlbi.nih.gov/Databases/mpkFractions/proteomic_fractions_log_files/Yang_log_img/40549395.jpg","show blot")</f>
        <v>show blot</v>
      </c>
      <c r="H357" s="8" t="str">
        <f>HYPERLINK("https://esbl.nhlbi.nih.gov/Databases/mpkFractions/proteomic_fractions_linear_files/Yang_linear_img/40549395.jpg","show blot")</f>
        <v>show blot</v>
      </c>
      <c r="J357" s="5" t="s">
        <v>713</v>
      </c>
      <c r="L357" s="11">
        <v>4.0162833103115601</v>
      </c>
      <c r="N357" s="12"/>
    </row>
    <row r="358" spans="1:14" s="5" customFormat="1" ht="15" customHeight="1" x14ac:dyDescent="0.25">
      <c r="A358" s="9" t="s">
        <v>714</v>
      </c>
      <c r="C358" s="9" t="str">
        <f>HYPERLINK("http://www.ncbi.nlm.nih.gov/protein/40549397","Ankrd17")</f>
        <v>Ankrd17</v>
      </c>
      <c r="D358" s="10">
        <f t="shared" si="5"/>
        <v>4.0162833103115601</v>
      </c>
      <c r="F358" s="8" t="str">
        <f>HYPERLINK("https://esbl.nhlbi.nih.gov/Databases/mpkFractions/proteomic_fractions_log_files/Yang_log_img/40549397.jpg","show blot")</f>
        <v>show blot</v>
      </c>
      <c r="H358" s="8" t="str">
        <f>HYPERLINK("https://esbl.nhlbi.nih.gov/Databases/mpkFractions/proteomic_fractions_linear_files/Yang_linear_img/40549397.jpg","show blot")</f>
        <v>show blot</v>
      </c>
      <c r="J358" s="5" t="s">
        <v>715</v>
      </c>
      <c r="L358" s="11">
        <v>4.0162833103115601</v>
      </c>
      <c r="N358" s="12"/>
    </row>
    <row r="359" spans="1:14" s="5" customFormat="1" ht="15" customHeight="1" x14ac:dyDescent="0.25">
      <c r="A359" s="9" t="s">
        <v>716</v>
      </c>
      <c r="C359" s="9" t="str">
        <f>HYPERLINK("http://www.ncbi.nlm.nih.gov/protein/48597001","Ankrd22")</f>
        <v>Ankrd22</v>
      </c>
      <c r="D359" s="10">
        <f t="shared" si="5"/>
        <v>2.688373911843887</v>
      </c>
      <c r="F359" s="8" t="str">
        <f>HYPERLINK("https://esbl.nhlbi.nih.gov/Databases/mpkFractions/proteomic_fractions_log_files/Yang_log_img/48597001.jpg","show blot")</f>
        <v>show blot</v>
      </c>
      <c r="H359" s="8" t="str">
        <f>HYPERLINK("https://esbl.nhlbi.nih.gov/Databases/mpkFractions/proteomic_fractions_linear_files/Yang_linear_img/48597001.jpg","show blot")</f>
        <v>show blot</v>
      </c>
      <c r="J359" s="5" t="s">
        <v>717</v>
      </c>
      <c r="L359" s="11">
        <v>2.688373911843887</v>
      </c>
      <c r="N359" s="12"/>
    </row>
    <row r="360" spans="1:14" s="5" customFormat="1" ht="15" customHeight="1" x14ac:dyDescent="0.25">
      <c r="A360" s="9" t="s">
        <v>718</v>
      </c>
      <c r="C360" s="9" t="str">
        <f>HYPERLINK("http://www.ncbi.nlm.nih.gov/protein/66841376","Ankrd28")</f>
        <v>Ankrd28</v>
      </c>
      <c r="D360" s="10">
        <f t="shared" si="5"/>
        <v>3.7878413939463562</v>
      </c>
      <c r="F360" s="8" t="str">
        <f>HYPERLINK("https://esbl.nhlbi.nih.gov/Databases/mpkFractions/proteomic_fractions_log_files/Yang_log_img/66841376.jpg","show blot")</f>
        <v>show blot</v>
      </c>
      <c r="H360" s="8" t="str">
        <f>HYPERLINK("https://esbl.nhlbi.nih.gov/Databases/mpkFractions/proteomic_fractions_linear_files/Yang_linear_img/66841376.jpg","show blot")</f>
        <v>show blot</v>
      </c>
      <c r="J360" s="5" t="s">
        <v>719</v>
      </c>
      <c r="L360" s="11">
        <v>3.7878413939463562</v>
      </c>
      <c r="N360" s="12"/>
    </row>
    <row r="361" spans="1:14" s="5" customFormat="1" ht="15" customHeight="1" x14ac:dyDescent="0.25">
      <c r="A361" s="9" t="s">
        <v>720</v>
      </c>
      <c r="C361" s="9" t="str">
        <f>HYPERLINK("http://www.ncbi.nlm.nih.gov/protein/125656161","Ankrd40")</f>
        <v>Ankrd40</v>
      </c>
      <c r="D361" s="10">
        <f t="shared" si="5"/>
        <v>3.4158005420087769</v>
      </c>
      <c r="F361" s="8" t="str">
        <f>HYPERLINK("https://esbl.nhlbi.nih.gov/Databases/mpkFractions/proteomic_fractions_log_files/Yang_log_img/125656161.jpg","show blot")</f>
        <v>show blot</v>
      </c>
      <c r="H361" s="8" t="str">
        <f>HYPERLINK("https://esbl.nhlbi.nih.gov/Databases/mpkFractions/proteomic_fractions_linear_files/Yang_linear_img/125656161.jpg","show blot")</f>
        <v>show blot</v>
      </c>
      <c r="J361" s="5" t="s">
        <v>721</v>
      </c>
      <c r="L361" s="11">
        <v>3.4158005420087769</v>
      </c>
      <c r="N361" s="12"/>
    </row>
    <row r="362" spans="1:14" s="5" customFormat="1" ht="15" customHeight="1" x14ac:dyDescent="0.25">
      <c r="A362" s="9" t="s">
        <v>722</v>
      </c>
      <c r="C362" s="9" t="str">
        <f>HYPERLINK("http://www.ncbi.nlm.nih.gov/protein/125656167","Ankrd40")</f>
        <v>Ankrd40</v>
      </c>
      <c r="D362" s="10">
        <f t="shared" si="5"/>
        <v>3.4158005420087769</v>
      </c>
      <c r="F362" s="8" t="str">
        <f>HYPERLINK("https://esbl.nhlbi.nih.gov/Databases/mpkFractions/proteomic_fractions_log_files/Yang_log_img/125656167.jpg","show blot")</f>
        <v>show blot</v>
      </c>
      <c r="H362" s="8" t="str">
        <f>HYPERLINK("https://esbl.nhlbi.nih.gov/Databases/mpkFractions/proteomic_fractions_linear_files/Yang_linear_img/125656167.jpg","show blot")</f>
        <v>show blot</v>
      </c>
      <c r="J362" s="5" t="s">
        <v>723</v>
      </c>
      <c r="L362" s="11">
        <v>3.4158005420087769</v>
      </c>
      <c r="N362" s="12"/>
    </row>
    <row r="363" spans="1:14" s="5" customFormat="1" ht="15" customHeight="1" x14ac:dyDescent="0.25">
      <c r="A363" s="9" t="s">
        <v>724</v>
      </c>
      <c r="C363" s="9" t="str">
        <f>HYPERLINK("http://www.ncbi.nlm.nih.gov/protein/29789417","Ankrd46")</f>
        <v>Ankrd46</v>
      </c>
      <c r="D363" s="10">
        <f t="shared" si="5"/>
        <v>4.158160593952295</v>
      </c>
      <c r="F363" s="8" t="str">
        <f>HYPERLINK("https://esbl.nhlbi.nih.gov/Databases/mpkFractions/proteomic_fractions_log_files/Yang_log_img/29789417.jpg","show blot")</f>
        <v>show blot</v>
      </c>
      <c r="H363" s="8" t="str">
        <f>HYPERLINK("https://esbl.nhlbi.nih.gov/Databases/mpkFractions/proteomic_fractions_linear_files/Yang_linear_img/29789417.jpg","show blot")</f>
        <v>show blot</v>
      </c>
      <c r="J363" s="5" t="s">
        <v>725</v>
      </c>
      <c r="L363" s="11">
        <v>4.158160593952295</v>
      </c>
      <c r="N363" s="12"/>
    </row>
    <row r="364" spans="1:14" s="5" customFormat="1" ht="15" customHeight="1" x14ac:dyDescent="0.25">
      <c r="A364" s="9" t="s">
        <v>726</v>
      </c>
      <c r="C364" s="9" t="str">
        <f>HYPERLINK("http://www.ncbi.nlm.nih.gov/protein/31088892","Anks1")</f>
        <v>Anks1</v>
      </c>
      <c r="D364" s="10">
        <f t="shared" si="5"/>
        <v>2.706524105810626</v>
      </c>
      <c r="F364" s="8" t="str">
        <f>HYPERLINK("https://esbl.nhlbi.nih.gov/Databases/mpkFractions/proteomic_fractions_log_files/Yang_log_img/31088892.jpg","show blot")</f>
        <v>show blot</v>
      </c>
      <c r="H364" s="8" t="str">
        <f>HYPERLINK("https://esbl.nhlbi.nih.gov/Databases/mpkFractions/proteomic_fractions_linear_files/Yang_linear_img/31088892.jpg","show blot")</f>
        <v>show blot</v>
      </c>
      <c r="J364" s="5" t="s">
        <v>727</v>
      </c>
      <c r="L364" s="11">
        <v>2.706524105810626</v>
      </c>
      <c r="N364" s="12"/>
    </row>
    <row r="365" spans="1:14" s="5" customFormat="1" ht="15" customHeight="1" x14ac:dyDescent="0.25">
      <c r="A365" s="9" t="s">
        <v>728</v>
      </c>
      <c r="C365" s="9" t="str">
        <f>HYPERLINK("http://www.ncbi.nlm.nih.gov/protein/188528655","Anks3")</f>
        <v>Anks3</v>
      </c>
      <c r="D365" s="10">
        <f t="shared" si="5"/>
        <v>3.8160778215141522</v>
      </c>
      <c r="F365" s="8" t="str">
        <f>HYPERLINK("https://esbl.nhlbi.nih.gov/Databases/mpkFractions/proteomic_fractions_log_files/Yang_log_img/188528655.jpg","show blot")</f>
        <v>show blot</v>
      </c>
      <c r="H365" s="8" t="str">
        <f>HYPERLINK("https://esbl.nhlbi.nih.gov/Databases/mpkFractions/proteomic_fractions_linear_files/Yang_linear_img/188528655.jpg","show blot")</f>
        <v>show blot</v>
      </c>
      <c r="J365" s="5" t="s">
        <v>729</v>
      </c>
      <c r="L365" s="11">
        <v>3.8160778215141522</v>
      </c>
      <c r="N365" s="12"/>
    </row>
    <row r="366" spans="1:14" s="5" customFormat="1" ht="15" customHeight="1" x14ac:dyDescent="0.25">
      <c r="A366" s="9" t="s">
        <v>730</v>
      </c>
      <c r="C366" s="9" t="str">
        <f>HYPERLINK("http://www.ncbi.nlm.nih.gov/protein/110556649","Ankzf1")</f>
        <v>Ankzf1</v>
      </c>
      <c r="D366" s="10">
        <f t="shared" si="5"/>
        <v>3.4440580617291592</v>
      </c>
      <c r="F366" s="8" t="str">
        <f>HYPERLINK("https://esbl.nhlbi.nih.gov/Databases/mpkFractions/proteomic_fractions_log_files/Yang_log_img/110556649.jpg","show blot")</f>
        <v>show blot</v>
      </c>
      <c r="H366" s="8" t="str">
        <f>HYPERLINK("https://esbl.nhlbi.nih.gov/Databases/mpkFractions/proteomic_fractions_linear_files/Yang_linear_img/110556649.jpg","show blot")</f>
        <v>show blot</v>
      </c>
      <c r="J366" s="5" t="s">
        <v>731</v>
      </c>
      <c r="L366" s="11">
        <v>3.4440580617291592</v>
      </c>
      <c r="N366" s="12"/>
    </row>
    <row r="367" spans="1:14" s="5" customFormat="1" ht="15" customHeight="1" x14ac:dyDescent="0.25">
      <c r="A367" s="9" t="s">
        <v>732</v>
      </c>
      <c r="C367" s="9" t="str">
        <f>HYPERLINK("http://www.ncbi.nlm.nih.gov/protein/251823794","Anln")</f>
        <v>Anln</v>
      </c>
      <c r="D367" s="10">
        <f t="shared" si="5"/>
        <v>3.2690102717290719</v>
      </c>
      <c r="F367" s="8" t="str">
        <f>HYPERLINK("https://esbl.nhlbi.nih.gov/Databases/mpkFractions/proteomic_fractions_log_files/Yang_log_img/251823794.jpg","show blot")</f>
        <v>show blot</v>
      </c>
      <c r="H367" s="8" t="str">
        <f>HYPERLINK("https://esbl.nhlbi.nih.gov/Databases/mpkFractions/proteomic_fractions_linear_files/Yang_linear_img/251823794.jpg","show blot")</f>
        <v>show blot</v>
      </c>
      <c r="J367" s="5" t="s">
        <v>733</v>
      </c>
      <c r="L367" s="11">
        <v>3.2690102717290719</v>
      </c>
      <c r="N367" s="12"/>
    </row>
    <row r="368" spans="1:14" s="5" customFormat="1" ht="15" customHeight="1" x14ac:dyDescent="0.25">
      <c r="A368" s="9" t="s">
        <v>734</v>
      </c>
      <c r="C368" s="9" t="str">
        <f>HYPERLINK("http://www.ncbi.nlm.nih.gov/protein/30794236","Ano10")</f>
        <v>Ano10</v>
      </c>
      <c r="D368" s="10">
        <f t="shared" si="5"/>
        <v>3.0398447216434912</v>
      </c>
      <c r="F368" s="8" t="str">
        <f>HYPERLINK("https://esbl.nhlbi.nih.gov/Databases/mpkFractions/proteomic_fractions_log_files/Yang_log_img/30794236.jpg","show blot")</f>
        <v>show blot</v>
      </c>
      <c r="H368" s="8" t="str">
        <f>HYPERLINK("https://esbl.nhlbi.nih.gov/Databases/mpkFractions/proteomic_fractions_linear_files/Yang_linear_img/30794236.jpg","show blot")</f>
        <v>show blot</v>
      </c>
      <c r="J368" s="5" t="s">
        <v>735</v>
      </c>
      <c r="L368" s="11">
        <v>3.0398447216434912</v>
      </c>
      <c r="N368" s="12"/>
    </row>
    <row r="369" spans="1:14" s="5" customFormat="1" ht="15" customHeight="1" x14ac:dyDescent="0.25">
      <c r="A369" s="9" t="s">
        <v>736</v>
      </c>
      <c r="C369" s="9" t="str">
        <f>HYPERLINK("http://www.ncbi.nlm.nih.gov/protein/428673529","Ano10")</f>
        <v>Ano10</v>
      </c>
      <c r="D369" s="10">
        <f t="shared" si="5"/>
        <v>3.0398447216434912</v>
      </c>
      <c r="F369" s="8" t="str">
        <f>HYPERLINK("https://esbl.nhlbi.nih.gov/Databases/mpkFractions/proteomic_fractions_log_files/Yang_log_img/428673529.jpg","show blot")</f>
        <v>show blot</v>
      </c>
      <c r="H369" s="8" t="str">
        <f>HYPERLINK("https://esbl.nhlbi.nih.gov/Databases/mpkFractions/proteomic_fractions_linear_files/Yang_linear_img/428673529.jpg","show blot")</f>
        <v>show blot</v>
      </c>
      <c r="J369" s="5" t="s">
        <v>737</v>
      </c>
      <c r="L369" s="11">
        <v>3.0398447216434912</v>
      </c>
      <c r="N369" s="12"/>
    </row>
    <row r="370" spans="1:14" s="5" customFormat="1" ht="15" customHeight="1" x14ac:dyDescent="0.25">
      <c r="A370" s="9" t="s">
        <v>738</v>
      </c>
      <c r="C370" s="9" t="str">
        <f>HYPERLINK("http://www.ncbi.nlm.nih.gov/protein/359465539","Ano6")</f>
        <v>Ano6</v>
      </c>
      <c r="D370" s="10">
        <f t="shared" si="5"/>
        <v>4.3089923338684457</v>
      </c>
      <c r="F370" s="8" t="str">
        <f>HYPERLINK("https://esbl.nhlbi.nih.gov/Databases/mpkFractions/proteomic_fractions_log_files/Yang_log_img/359465539.jpg","show blot")</f>
        <v>show blot</v>
      </c>
      <c r="H370" s="8" t="str">
        <f>HYPERLINK("https://esbl.nhlbi.nih.gov/Databases/mpkFractions/proteomic_fractions_linear_files/Yang_linear_img/359465539.jpg","show blot")</f>
        <v>show blot</v>
      </c>
      <c r="J370" s="5" t="s">
        <v>739</v>
      </c>
      <c r="L370" s="11">
        <v>4.3089923338684457</v>
      </c>
      <c r="N370" s="12"/>
    </row>
    <row r="371" spans="1:14" s="5" customFormat="1" ht="15" customHeight="1" x14ac:dyDescent="0.25">
      <c r="A371" s="9" t="s">
        <v>740</v>
      </c>
      <c r="C371" s="9" t="str">
        <f>HYPERLINK("http://www.ncbi.nlm.nih.gov/protein/40254290","Ano6")</f>
        <v>Ano6</v>
      </c>
      <c r="D371" s="10">
        <f t="shared" si="5"/>
        <v>4.3089923338684457</v>
      </c>
      <c r="F371" s="8" t="str">
        <f>HYPERLINK("https://esbl.nhlbi.nih.gov/Databases/mpkFractions/proteomic_fractions_log_files/Yang_log_img/40254290.jpg","show blot")</f>
        <v>show blot</v>
      </c>
      <c r="H371" s="8" t="str">
        <f>HYPERLINK("https://esbl.nhlbi.nih.gov/Databases/mpkFractions/proteomic_fractions_linear_files/Yang_linear_img/40254290.jpg","show blot")</f>
        <v>show blot</v>
      </c>
      <c r="J371" s="5" t="s">
        <v>741</v>
      </c>
      <c r="L371" s="11">
        <v>4.3089923338684457</v>
      </c>
      <c r="N371" s="12"/>
    </row>
    <row r="372" spans="1:14" s="5" customFormat="1" ht="15" customHeight="1" x14ac:dyDescent="0.25">
      <c r="A372" s="9" t="s">
        <v>742</v>
      </c>
      <c r="C372" s="9" t="str">
        <f>HYPERLINK("http://www.ncbi.nlm.nih.gov/protein/40254600","Anp32a")</f>
        <v>Anp32a</v>
      </c>
      <c r="D372" s="10">
        <f t="shared" si="5"/>
        <v>6.14611311447183</v>
      </c>
      <c r="F372" s="8" t="str">
        <f>HYPERLINK("https://esbl.nhlbi.nih.gov/Databases/mpkFractions/proteomic_fractions_log_files/Yang_log_img/40254600.jpg","show blot")</f>
        <v>show blot</v>
      </c>
      <c r="H372" s="8" t="str">
        <f>HYPERLINK("https://esbl.nhlbi.nih.gov/Databases/mpkFractions/proteomic_fractions_linear_files/Yang_linear_img/40254600.jpg","show blot")</f>
        <v>show blot</v>
      </c>
      <c r="J372" s="5" t="s">
        <v>743</v>
      </c>
      <c r="L372" s="11">
        <v>6.14611311447183</v>
      </c>
      <c r="N372" s="12"/>
    </row>
    <row r="373" spans="1:14" s="5" customFormat="1" ht="15" customHeight="1" x14ac:dyDescent="0.25">
      <c r="A373" s="9" t="s">
        <v>744</v>
      </c>
      <c r="C373" s="9" t="str">
        <f>HYPERLINK("http://www.ncbi.nlm.nih.gov/protein/18700032","Anp32b")</f>
        <v>Anp32b</v>
      </c>
      <c r="D373" s="10">
        <f t="shared" si="5"/>
        <v>6.1285357275847021</v>
      </c>
      <c r="F373" s="8" t="str">
        <f>HYPERLINK("https://esbl.nhlbi.nih.gov/Databases/mpkFractions/proteomic_fractions_log_files/Yang_log_img/18700032.jpg","show blot")</f>
        <v>show blot</v>
      </c>
      <c r="H373" s="8" t="str">
        <f>HYPERLINK("https://esbl.nhlbi.nih.gov/Databases/mpkFractions/proteomic_fractions_linear_files/Yang_linear_img/18700032.jpg","show blot")</f>
        <v>show blot</v>
      </c>
      <c r="J373" s="5" t="s">
        <v>745</v>
      </c>
      <c r="L373" s="11">
        <v>6.1285357275847021</v>
      </c>
      <c r="N373" s="12"/>
    </row>
    <row r="374" spans="1:14" s="5" customFormat="1" ht="15" customHeight="1" x14ac:dyDescent="0.25">
      <c r="A374" s="9" t="s">
        <v>746</v>
      </c>
      <c r="C374" s="9" t="str">
        <f>HYPERLINK("http://www.ncbi.nlm.nih.gov/protein/359279954","Anp32e")</f>
        <v>Anp32e</v>
      </c>
      <c r="D374" s="10">
        <f t="shared" si="5"/>
        <v>5.52582647593196</v>
      </c>
      <c r="F374" s="8" t="str">
        <f>HYPERLINK("https://esbl.nhlbi.nih.gov/Databases/mpkFractions/proteomic_fractions_log_files/Yang_log_img/359279954.jpg","show blot")</f>
        <v>show blot</v>
      </c>
      <c r="H374" s="8" t="str">
        <f>HYPERLINK("https://esbl.nhlbi.nih.gov/Databases/mpkFractions/proteomic_fractions_linear_files/Yang_linear_img/359279954.jpg","show blot")</f>
        <v>show blot</v>
      </c>
      <c r="J374" s="5" t="s">
        <v>747</v>
      </c>
      <c r="L374" s="11">
        <v>5.52582647593196</v>
      </c>
      <c r="N374" s="12"/>
    </row>
    <row r="375" spans="1:14" s="5" customFormat="1" ht="15" customHeight="1" x14ac:dyDescent="0.25">
      <c r="A375" s="9" t="s">
        <v>748</v>
      </c>
      <c r="C375" s="9" t="str">
        <f>HYPERLINK("http://www.ncbi.nlm.nih.gov/protein/254587996","Anp32e")</f>
        <v>Anp32e</v>
      </c>
      <c r="D375" s="10">
        <f t="shared" si="5"/>
        <v>5.52582647593196</v>
      </c>
      <c r="F375" s="8" t="str">
        <f>HYPERLINK("https://esbl.nhlbi.nih.gov/Databases/mpkFractions/proteomic_fractions_log_files/Yang_log_img/254587996.jpg","show blot")</f>
        <v>show blot</v>
      </c>
      <c r="H375" s="8" t="str">
        <f>HYPERLINK("https://esbl.nhlbi.nih.gov/Databases/mpkFractions/proteomic_fractions_linear_files/Yang_linear_img/254587996.jpg","show blot")</f>
        <v>show blot</v>
      </c>
      <c r="J375" s="5" t="s">
        <v>749</v>
      </c>
      <c r="L375" s="11">
        <v>5.52582647593196</v>
      </c>
      <c r="N375" s="12"/>
    </row>
    <row r="376" spans="1:14" s="5" customFormat="1" ht="15" customHeight="1" x14ac:dyDescent="0.25">
      <c r="A376" s="9" t="s">
        <v>750</v>
      </c>
      <c r="C376" s="9" t="str">
        <f>HYPERLINK("http://www.ncbi.nlm.nih.gov/protein/359279956","Anp32e")</f>
        <v>Anp32e</v>
      </c>
      <c r="D376" s="10">
        <f t="shared" si="5"/>
        <v>5.52582647593196</v>
      </c>
      <c r="F376" s="8" t="str">
        <f>HYPERLINK("https://esbl.nhlbi.nih.gov/Databases/mpkFractions/proteomic_fractions_log_files/Yang_log_img/359279956.jpg","show blot")</f>
        <v>show blot</v>
      </c>
      <c r="H376" s="8" t="str">
        <f>HYPERLINK("https://esbl.nhlbi.nih.gov/Databases/mpkFractions/proteomic_fractions_linear_files/Yang_linear_img/359279956.jpg","show blot")</f>
        <v>show blot</v>
      </c>
      <c r="J376" s="5" t="s">
        <v>751</v>
      </c>
      <c r="L376" s="11">
        <v>5.52582647593196</v>
      </c>
      <c r="N376" s="12"/>
    </row>
    <row r="377" spans="1:14" s="5" customFormat="1" ht="15" customHeight="1" x14ac:dyDescent="0.25">
      <c r="A377" s="9" t="s">
        <v>752</v>
      </c>
      <c r="C377" s="9" t="str">
        <f>HYPERLINK("http://www.ncbi.nlm.nih.gov/protein/225637487","Anpep")</f>
        <v>Anpep</v>
      </c>
      <c r="D377" s="10">
        <f t="shared" si="5"/>
        <v>3.9090520097429091</v>
      </c>
      <c r="F377" s="8" t="str">
        <f>HYPERLINK("https://esbl.nhlbi.nih.gov/Databases/mpkFractions/proteomic_fractions_log_files/Yang_log_img/225637487.jpg","show blot")</f>
        <v>show blot</v>
      </c>
      <c r="H377" s="8" t="str">
        <f>HYPERLINK("https://esbl.nhlbi.nih.gov/Databases/mpkFractions/proteomic_fractions_linear_files/Yang_linear_img/225637487.jpg","show blot")</f>
        <v>show blot</v>
      </c>
      <c r="J377" s="5" t="s">
        <v>753</v>
      </c>
      <c r="L377" s="11">
        <v>3.9090520097429091</v>
      </c>
      <c r="N377" s="12"/>
    </row>
    <row r="378" spans="1:14" s="5" customFormat="1" ht="15" customHeight="1" x14ac:dyDescent="0.25">
      <c r="A378" s="9" t="s">
        <v>754</v>
      </c>
      <c r="C378" s="9" t="str">
        <f>HYPERLINK("http://www.ncbi.nlm.nih.gov/protein/124517663","Anxa1")</f>
        <v>Anxa1</v>
      </c>
      <c r="D378" s="10">
        <f t="shared" si="5"/>
        <v>6.8527799408904464</v>
      </c>
      <c r="F378" s="8" t="str">
        <f>HYPERLINK("https://esbl.nhlbi.nih.gov/Databases/mpkFractions/proteomic_fractions_log_files/Yang_log_img/124517663.jpg","show blot")</f>
        <v>show blot</v>
      </c>
      <c r="H378" s="8" t="str">
        <f>HYPERLINK("https://esbl.nhlbi.nih.gov/Databases/mpkFractions/proteomic_fractions_linear_files/Yang_linear_img/124517663.jpg","show blot")</f>
        <v>show blot</v>
      </c>
      <c r="J378" s="5" t="s">
        <v>755</v>
      </c>
      <c r="L378" s="11">
        <v>6.8527799408904464</v>
      </c>
      <c r="N378" s="12"/>
    </row>
    <row r="379" spans="1:14" s="5" customFormat="1" ht="15" customHeight="1" x14ac:dyDescent="0.25">
      <c r="A379" s="9" t="s">
        <v>756</v>
      </c>
      <c r="C379" s="9" t="str">
        <f>HYPERLINK("http://www.ncbi.nlm.nih.gov/protein/160707921","Anxa11")</f>
        <v>Anxa11</v>
      </c>
      <c r="D379" s="10">
        <f t="shared" si="5"/>
        <v>6.5452363622515506</v>
      </c>
      <c r="F379" s="8" t="str">
        <f>HYPERLINK("https://esbl.nhlbi.nih.gov/Databases/mpkFractions/proteomic_fractions_log_files/Yang_log_img/160707921.jpg","show blot")</f>
        <v>show blot</v>
      </c>
      <c r="H379" s="8" t="str">
        <f>HYPERLINK("https://esbl.nhlbi.nih.gov/Databases/mpkFractions/proteomic_fractions_linear_files/Yang_linear_img/160707921.jpg","show blot")</f>
        <v>show blot</v>
      </c>
      <c r="J379" s="5" t="s">
        <v>757</v>
      </c>
      <c r="L379" s="11">
        <v>6.5452363622515506</v>
      </c>
      <c r="N379" s="12"/>
    </row>
    <row r="380" spans="1:14" s="5" customFormat="1" ht="15" customHeight="1" x14ac:dyDescent="0.25">
      <c r="A380" s="9" t="s">
        <v>758</v>
      </c>
      <c r="C380" s="9" t="str">
        <f>HYPERLINK("http://www.ncbi.nlm.nih.gov/protein/6996913","Anxa2")</f>
        <v>Anxa2</v>
      </c>
      <c r="D380" s="10">
        <f t="shared" si="5"/>
        <v>7.2211265141239602</v>
      </c>
      <c r="F380" s="8" t="str">
        <f>HYPERLINK("https://esbl.nhlbi.nih.gov/Databases/mpkFractions/proteomic_fractions_log_files/Yang_log_img/6996913.jpg","show blot")</f>
        <v>show blot</v>
      </c>
      <c r="H380" s="8" t="str">
        <f>HYPERLINK("https://esbl.nhlbi.nih.gov/Databases/mpkFractions/proteomic_fractions_linear_files/Yang_linear_img/6996913.jpg","show blot")</f>
        <v>show blot</v>
      </c>
      <c r="J380" s="5" t="s">
        <v>759</v>
      </c>
      <c r="L380" s="11">
        <v>7.2211265141239602</v>
      </c>
      <c r="N380" s="12"/>
    </row>
    <row r="381" spans="1:14" s="5" customFormat="1" ht="15" customHeight="1" x14ac:dyDescent="0.25">
      <c r="A381" s="9" t="s">
        <v>760</v>
      </c>
      <c r="C381" s="9" t="str">
        <f>HYPERLINK("http://www.ncbi.nlm.nih.gov/protein/160707925","Anxa3")</f>
        <v>Anxa3</v>
      </c>
      <c r="D381" s="10">
        <f t="shared" si="5"/>
        <v>6.5789637266076468</v>
      </c>
      <c r="F381" s="8" t="str">
        <f>HYPERLINK("https://esbl.nhlbi.nih.gov/Databases/mpkFractions/proteomic_fractions_log_files/Yang_log_img/160707925.jpg","show blot")</f>
        <v>show blot</v>
      </c>
      <c r="H381" s="8" t="str">
        <f>HYPERLINK("https://esbl.nhlbi.nih.gov/Databases/mpkFractions/proteomic_fractions_linear_files/Yang_linear_img/160707925.jpg","show blot")</f>
        <v>show blot</v>
      </c>
      <c r="J381" s="5" t="s">
        <v>761</v>
      </c>
      <c r="L381" s="11">
        <v>6.5789637266076468</v>
      </c>
      <c r="N381" s="12"/>
    </row>
    <row r="382" spans="1:14" s="5" customFormat="1" ht="15" customHeight="1" x14ac:dyDescent="0.25">
      <c r="A382" s="9" t="s">
        <v>762</v>
      </c>
      <c r="C382" s="9" t="str">
        <f>HYPERLINK("http://www.ncbi.nlm.nih.gov/protein/161016799","Anxa4")</f>
        <v>Anxa4</v>
      </c>
      <c r="D382" s="10">
        <f t="shared" si="5"/>
        <v>6.7280987740419542</v>
      </c>
      <c r="F382" s="8" t="str">
        <f>HYPERLINK("https://esbl.nhlbi.nih.gov/Databases/mpkFractions/proteomic_fractions_log_files/Yang_log_img/161016799.jpg","show blot")</f>
        <v>show blot</v>
      </c>
      <c r="H382" s="8" t="str">
        <f>HYPERLINK("https://esbl.nhlbi.nih.gov/Databases/mpkFractions/proteomic_fractions_linear_files/Yang_linear_img/161016799.jpg","show blot")</f>
        <v>show blot</v>
      </c>
      <c r="J382" s="5" t="s">
        <v>763</v>
      </c>
      <c r="L382" s="11">
        <v>6.7280987740419542</v>
      </c>
      <c r="N382" s="12"/>
    </row>
    <row r="383" spans="1:14" s="5" customFormat="1" ht="15" customHeight="1" x14ac:dyDescent="0.25">
      <c r="A383" s="9" t="s">
        <v>764</v>
      </c>
      <c r="C383" s="9" t="str">
        <f>HYPERLINK("http://www.ncbi.nlm.nih.gov/protein/6753060","Anxa5")</f>
        <v>Anxa5</v>
      </c>
      <c r="D383" s="10">
        <f t="shared" si="5"/>
        <v>6.7838336775239902</v>
      </c>
      <c r="F383" s="8" t="str">
        <f>HYPERLINK("https://esbl.nhlbi.nih.gov/Databases/mpkFractions/proteomic_fractions_log_files/Yang_log_img/6753060.jpg","show blot")</f>
        <v>show blot</v>
      </c>
      <c r="H383" s="8" t="str">
        <f>HYPERLINK("https://esbl.nhlbi.nih.gov/Databases/mpkFractions/proteomic_fractions_linear_files/Yang_linear_img/6753060.jpg","show blot")</f>
        <v>show blot</v>
      </c>
      <c r="J383" s="5" t="s">
        <v>765</v>
      </c>
      <c r="L383" s="11">
        <v>6.7838336775239902</v>
      </c>
      <c r="N383" s="12"/>
    </row>
    <row r="384" spans="1:14" s="5" customFormat="1" ht="15" customHeight="1" x14ac:dyDescent="0.25">
      <c r="A384" s="9" t="s">
        <v>766</v>
      </c>
      <c r="C384" s="9" t="str">
        <f>HYPERLINK("http://www.ncbi.nlm.nih.gov/protein/158966670","Anxa6")</f>
        <v>Anxa6</v>
      </c>
      <c r="D384" s="10">
        <f t="shared" si="5"/>
        <v>6.312255130227383</v>
      </c>
      <c r="F384" s="8" t="str">
        <f>HYPERLINK("https://esbl.nhlbi.nih.gov/Databases/mpkFractions/proteomic_fractions_log_files/Yang_log_img/158966670.jpg","show blot")</f>
        <v>show blot</v>
      </c>
      <c r="H384" s="8" t="str">
        <f>HYPERLINK("https://esbl.nhlbi.nih.gov/Databases/mpkFractions/proteomic_fractions_linear_files/Yang_linear_img/158966670.jpg","show blot")</f>
        <v>show blot</v>
      </c>
      <c r="J384" s="5" t="s">
        <v>767</v>
      </c>
      <c r="L384" s="11">
        <v>6.312255130227383</v>
      </c>
      <c r="N384" s="12"/>
    </row>
    <row r="385" spans="1:14" s="5" customFormat="1" ht="15" customHeight="1" x14ac:dyDescent="0.25">
      <c r="A385" s="9" t="s">
        <v>768</v>
      </c>
      <c r="C385" s="9" t="str">
        <f>HYPERLINK("http://www.ncbi.nlm.nih.gov/protein/31981302","Anxa6")</f>
        <v>Anxa6</v>
      </c>
      <c r="D385" s="10">
        <f t="shared" si="5"/>
        <v>6.312255130227383</v>
      </c>
      <c r="F385" s="8" t="str">
        <f>HYPERLINK("https://esbl.nhlbi.nih.gov/Databases/mpkFractions/proteomic_fractions_log_files/Yang_log_img/31981302.jpg","show blot")</f>
        <v>show blot</v>
      </c>
      <c r="H385" s="8" t="str">
        <f>HYPERLINK("https://esbl.nhlbi.nih.gov/Databases/mpkFractions/proteomic_fractions_linear_files/Yang_linear_img/31981302.jpg","show blot")</f>
        <v>show blot</v>
      </c>
      <c r="J385" s="5" t="s">
        <v>769</v>
      </c>
      <c r="L385" s="11">
        <v>6.312255130227383</v>
      </c>
      <c r="N385" s="12"/>
    </row>
    <row r="386" spans="1:14" s="5" customFormat="1" ht="15" customHeight="1" x14ac:dyDescent="0.25">
      <c r="A386" s="9" t="s">
        <v>770</v>
      </c>
      <c r="C386" s="9" t="str">
        <f>HYPERLINK("http://www.ncbi.nlm.nih.gov/protein/160707956","Anxa7")</f>
        <v>Anxa7</v>
      </c>
      <c r="D386" s="10">
        <f t="shared" si="5"/>
        <v>5.8166459308530811</v>
      </c>
      <c r="F386" s="8" t="str">
        <f>HYPERLINK("https://esbl.nhlbi.nih.gov/Databases/mpkFractions/proteomic_fractions_log_files/Yang_log_img/160707956.jpg","show blot")</f>
        <v>show blot</v>
      </c>
      <c r="H386" s="8" t="str">
        <f>HYPERLINK("https://esbl.nhlbi.nih.gov/Databases/mpkFractions/proteomic_fractions_linear_files/Yang_linear_img/160707956.jpg","show blot")</f>
        <v>show blot</v>
      </c>
      <c r="J386" s="5" t="s">
        <v>771</v>
      </c>
      <c r="L386" s="11">
        <v>5.8166459308530811</v>
      </c>
      <c r="N386" s="12"/>
    </row>
    <row r="387" spans="1:14" s="5" customFormat="1" ht="15" customHeight="1" x14ac:dyDescent="0.25">
      <c r="A387" s="9" t="s">
        <v>772</v>
      </c>
      <c r="C387" s="9" t="str">
        <f>HYPERLINK("http://www.ncbi.nlm.nih.gov/protein/145864475","Anxa9")</f>
        <v>Anxa9</v>
      </c>
      <c r="D387" s="10">
        <f t="shared" si="5"/>
        <v>5.8350339277283494</v>
      </c>
      <c r="F387" s="8" t="str">
        <f>HYPERLINK("https://esbl.nhlbi.nih.gov/Databases/mpkFractions/proteomic_fractions_log_files/Yang_log_img/145864475.jpg","show blot")</f>
        <v>show blot</v>
      </c>
      <c r="H387" s="8" t="str">
        <f>HYPERLINK("https://esbl.nhlbi.nih.gov/Databases/mpkFractions/proteomic_fractions_linear_files/Yang_linear_img/145864475.jpg","show blot")</f>
        <v>show blot</v>
      </c>
      <c r="J387" s="5" t="s">
        <v>773</v>
      </c>
      <c r="L387" s="11">
        <v>5.8350339277283494</v>
      </c>
      <c r="N387" s="12"/>
    </row>
    <row r="388" spans="1:14" s="5" customFormat="1" ht="15" customHeight="1" x14ac:dyDescent="0.25">
      <c r="A388" s="9" t="s">
        <v>774</v>
      </c>
      <c r="C388" s="9" t="str">
        <f>HYPERLINK("http://www.ncbi.nlm.nih.gov/protein/34098972","Aoc2")</f>
        <v>Aoc2</v>
      </c>
      <c r="D388" s="10">
        <f t="shared" si="5"/>
        <v>3.763952878374639</v>
      </c>
      <c r="F388" s="8" t="str">
        <f>HYPERLINK("https://esbl.nhlbi.nih.gov/Databases/mpkFractions/proteomic_fractions_log_files/Yang_log_img/34098972.jpg","show blot")</f>
        <v>show blot</v>
      </c>
      <c r="H388" s="8" t="str">
        <f>HYPERLINK("https://esbl.nhlbi.nih.gov/Databases/mpkFractions/proteomic_fractions_linear_files/Yang_linear_img/34098972.jpg","show blot")</f>
        <v>show blot</v>
      </c>
      <c r="J388" s="5" t="s">
        <v>775</v>
      </c>
      <c r="L388" s="11">
        <v>3.763952878374639</v>
      </c>
      <c r="N388" s="12"/>
    </row>
    <row r="389" spans="1:14" s="5" customFormat="1" ht="15" customHeight="1" x14ac:dyDescent="0.25">
      <c r="A389" s="9" t="s">
        <v>776</v>
      </c>
      <c r="C389" s="9" t="str">
        <f>HYPERLINK("http://www.ncbi.nlm.nih.gov/protein/6753066","Aoc3")</f>
        <v>Aoc3</v>
      </c>
      <c r="D389" s="10">
        <f t="shared" ref="D389:D452" si="6">L389</f>
        <v>3.7587516846888311</v>
      </c>
      <c r="F389" s="8" t="str">
        <f>HYPERLINK("https://esbl.nhlbi.nih.gov/Databases/mpkFractions/proteomic_fractions_log_files/Yang_log_img/6753066.jpg","show blot")</f>
        <v>show blot</v>
      </c>
      <c r="H389" s="8" t="str">
        <f>HYPERLINK("https://esbl.nhlbi.nih.gov/Databases/mpkFractions/proteomic_fractions_linear_files/Yang_linear_img/6753066.jpg","show blot")</f>
        <v>show blot</v>
      </c>
      <c r="J389" s="5" t="s">
        <v>777</v>
      </c>
      <c r="L389" s="11">
        <v>3.7587516846888311</v>
      </c>
      <c r="N389" s="12"/>
    </row>
    <row r="390" spans="1:14" s="5" customFormat="1" ht="15" customHeight="1" x14ac:dyDescent="0.25">
      <c r="A390" s="9" t="s">
        <v>778</v>
      </c>
      <c r="C390" s="9" t="str">
        <f>HYPERLINK("http://www.ncbi.nlm.nih.gov/protein/339895913","Ap1b1")</f>
        <v>Ap1b1</v>
      </c>
      <c r="D390" s="10">
        <f t="shared" si="6"/>
        <v>5.8623451123712327</v>
      </c>
      <c r="F390" s="8" t="str">
        <f>HYPERLINK("https://esbl.nhlbi.nih.gov/Databases/mpkFractions/proteomic_fractions_log_files/Yang_log_img/339895913.jpg","show blot")</f>
        <v>show blot</v>
      </c>
      <c r="H390" s="8" t="str">
        <f>HYPERLINK("https://esbl.nhlbi.nih.gov/Databases/mpkFractions/proteomic_fractions_linear_files/Yang_linear_img/339895913.jpg","show blot")</f>
        <v>show blot</v>
      </c>
      <c r="J390" s="5" t="s">
        <v>779</v>
      </c>
      <c r="L390" s="11">
        <v>5.8623451123712327</v>
      </c>
      <c r="N390" s="12"/>
    </row>
    <row r="391" spans="1:14" s="5" customFormat="1" ht="15" customHeight="1" x14ac:dyDescent="0.25">
      <c r="A391" s="9" t="s">
        <v>780</v>
      </c>
      <c r="C391" s="9" t="str">
        <f>HYPERLINK("http://www.ncbi.nlm.nih.gov/protein/339895916","Ap1b1")</f>
        <v>Ap1b1</v>
      </c>
      <c r="D391" s="10">
        <f t="shared" si="6"/>
        <v>5.8623451123712327</v>
      </c>
      <c r="F391" s="8" t="str">
        <f>HYPERLINK("https://esbl.nhlbi.nih.gov/Databases/mpkFractions/proteomic_fractions_log_files/Yang_log_img/339895916.jpg","show blot")</f>
        <v>show blot</v>
      </c>
      <c r="H391" s="8" t="str">
        <f>HYPERLINK("https://esbl.nhlbi.nih.gov/Databases/mpkFractions/proteomic_fractions_linear_files/Yang_linear_img/339895916.jpg","show blot")</f>
        <v>show blot</v>
      </c>
      <c r="J391" s="5" t="s">
        <v>781</v>
      </c>
      <c r="L391" s="11">
        <v>5.8623451123712327</v>
      </c>
      <c r="N391" s="12"/>
    </row>
    <row r="392" spans="1:14" s="5" customFormat="1" ht="15" customHeight="1" x14ac:dyDescent="0.25">
      <c r="A392" s="9" t="s">
        <v>782</v>
      </c>
      <c r="C392" s="9" t="str">
        <f>HYPERLINK("http://www.ncbi.nlm.nih.gov/protein/88853578","Ap1b1")</f>
        <v>Ap1b1</v>
      </c>
      <c r="D392" s="10">
        <f t="shared" si="6"/>
        <v>5.8623451123712327</v>
      </c>
      <c r="F392" s="8" t="str">
        <f>HYPERLINK("https://esbl.nhlbi.nih.gov/Databases/mpkFractions/proteomic_fractions_log_files/Yang_log_img/88853578.jpg","show blot")</f>
        <v>show blot</v>
      </c>
      <c r="H392" s="8" t="str">
        <f>HYPERLINK("https://esbl.nhlbi.nih.gov/Databases/mpkFractions/proteomic_fractions_linear_files/Yang_linear_img/88853578.jpg","show blot")</f>
        <v>show blot</v>
      </c>
      <c r="J392" s="5" t="s">
        <v>783</v>
      </c>
      <c r="L392" s="11">
        <v>5.8623451123712327</v>
      </c>
      <c r="N392" s="12"/>
    </row>
    <row r="393" spans="1:14" s="5" customFormat="1" ht="15" customHeight="1" x14ac:dyDescent="0.25">
      <c r="A393" s="9" t="s">
        <v>784</v>
      </c>
      <c r="C393" s="9" t="str">
        <f>HYPERLINK("http://www.ncbi.nlm.nih.gov/protein/56744242","Ap1g1")</f>
        <v>Ap1g1</v>
      </c>
      <c r="D393" s="10">
        <f t="shared" si="6"/>
        <v>5.4331331139607206</v>
      </c>
      <c r="F393" s="8" t="str">
        <f>HYPERLINK("https://esbl.nhlbi.nih.gov/Databases/mpkFractions/proteomic_fractions_log_files/Yang_log_img/56744242.jpg","show blot")</f>
        <v>show blot</v>
      </c>
      <c r="H393" s="8" t="str">
        <f>HYPERLINK("https://esbl.nhlbi.nih.gov/Databases/mpkFractions/proteomic_fractions_linear_files/Yang_linear_img/56744242.jpg","show blot")</f>
        <v>show blot</v>
      </c>
      <c r="J393" s="5" t="s">
        <v>785</v>
      </c>
      <c r="L393" s="11">
        <v>5.4331331139607206</v>
      </c>
      <c r="N393" s="12"/>
    </row>
    <row r="394" spans="1:14" s="5" customFormat="1" ht="15" customHeight="1" x14ac:dyDescent="0.25">
      <c r="A394" s="9" t="s">
        <v>786</v>
      </c>
      <c r="C394" s="9" t="str">
        <f>HYPERLINK("http://www.ncbi.nlm.nih.gov/protein/160707961","Ap1g2")</f>
        <v>Ap1g2</v>
      </c>
      <c r="D394" s="10">
        <f t="shared" si="6"/>
        <v>4.4999151133160389</v>
      </c>
      <c r="F394" s="8" t="str">
        <f>HYPERLINK("https://esbl.nhlbi.nih.gov/Databases/mpkFractions/proteomic_fractions_log_files/Yang_log_img/160707961.jpg","show blot")</f>
        <v>show blot</v>
      </c>
      <c r="H394" s="8" t="str">
        <f>HYPERLINK("https://esbl.nhlbi.nih.gov/Databases/mpkFractions/proteomic_fractions_linear_files/Yang_linear_img/160707961.jpg","show blot")</f>
        <v>show blot</v>
      </c>
      <c r="J394" s="5" t="s">
        <v>787</v>
      </c>
      <c r="L394" s="11">
        <v>4.4999151133160389</v>
      </c>
      <c r="N394" s="12"/>
    </row>
    <row r="395" spans="1:14" s="5" customFormat="1" ht="15" customHeight="1" x14ac:dyDescent="0.25">
      <c r="A395" s="9" t="s">
        <v>788</v>
      </c>
      <c r="C395" s="9" t="str">
        <f>HYPERLINK("http://www.ncbi.nlm.nih.gov/protein/6671557","Ap1m1")</f>
        <v>Ap1m1</v>
      </c>
      <c r="D395" s="10">
        <f t="shared" si="6"/>
        <v>5.1332132196260636</v>
      </c>
      <c r="F395" s="8" t="str">
        <f>HYPERLINK("https://esbl.nhlbi.nih.gov/Databases/mpkFractions/proteomic_fractions_log_files/Yang_log_img/6671557.jpg","show blot")</f>
        <v>show blot</v>
      </c>
      <c r="H395" s="8" t="str">
        <f>HYPERLINK("https://esbl.nhlbi.nih.gov/Databases/mpkFractions/proteomic_fractions_linear_files/Yang_linear_img/6671557.jpg","show blot")</f>
        <v>show blot</v>
      </c>
      <c r="J395" s="5" t="s">
        <v>789</v>
      </c>
      <c r="L395" s="11">
        <v>5.1332132196260636</v>
      </c>
      <c r="N395" s="12"/>
    </row>
    <row r="396" spans="1:14" s="5" customFormat="1" ht="15" customHeight="1" x14ac:dyDescent="0.25">
      <c r="A396" s="9" t="s">
        <v>790</v>
      </c>
      <c r="C396" s="9" t="str">
        <f>HYPERLINK("http://www.ncbi.nlm.nih.gov/protein/160333502","Ap1m2")</f>
        <v>Ap1m2</v>
      </c>
      <c r="D396" s="10">
        <f t="shared" si="6"/>
        <v>5.7035546422581556</v>
      </c>
      <c r="F396" s="8" t="str">
        <f>HYPERLINK("https://esbl.nhlbi.nih.gov/Databases/mpkFractions/proteomic_fractions_log_files/Yang_log_img/160333502.jpg","show blot")</f>
        <v>show blot</v>
      </c>
      <c r="H396" s="8" t="str">
        <f>HYPERLINK("https://esbl.nhlbi.nih.gov/Databases/mpkFractions/proteomic_fractions_linear_files/Yang_linear_img/160333502.jpg","show blot")</f>
        <v>show blot</v>
      </c>
      <c r="J396" s="5" t="s">
        <v>791</v>
      </c>
      <c r="L396" s="11">
        <v>5.7035546422581556</v>
      </c>
      <c r="N396" s="12"/>
    </row>
    <row r="397" spans="1:14" s="5" customFormat="1" ht="15" customHeight="1" x14ac:dyDescent="0.25">
      <c r="A397" s="9" t="s">
        <v>792</v>
      </c>
      <c r="C397" s="9" t="str">
        <f>HYPERLINK("http://www.ncbi.nlm.nih.gov/protein/160333508","Ap1m2")</f>
        <v>Ap1m2</v>
      </c>
      <c r="D397" s="10">
        <f t="shared" si="6"/>
        <v>5.7035546422581556</v>
      </c>
      <c r="F397" s="8" t="str">
        <f>HYPERLINK("https://esbl.nhlbi.nih.gov/Databases/mpkFractions/proteomic_fractions_log_files/Yang_log_img/160333508.jpg","show blot")</f>
        <v>show blot</v>
      </c>
      <c r="H397" s="8" t="str">
        <f>HYPERLINK("https://esbl.nhlbi.nih.gov/Databases/mpkFractions/proteomic_fractions_linear_files/Yang_linear_img/160333508.jpg","show blot")</f>
        <v>show blot</v>
      </c>
      <c r="J397" s="5" t="s">
        <v>793</v>
      </c>
      <c r="L397" s="11">
        <v>5.7035546422581556</v>
      </c>
      <c r="N397" s="12"/>
    </row>
    <row r="398" spans="1:14" s="5" customFormat="1" ht="15" customHeight="1" x14ac:dyDescent="0.25">
      <c r="A398" s="9" t="s">
        <v>794</v>
      </c>
      <c r="C398" s="9" t="str">
        <f>HYPERLINK("http://www.ncbi.nlm.nih.gov/protein/6671559","Ap1s1")</f>
        <v>Ap1s1</v>
      </c>
      <c r="D398" s="10">
        <f t="shared" si="6"/>
        <v>5.4973149166860571</v>
      </c>
      <c r="F398" s="8" t="str">
        <f>HYPERLINK("https://esbl.nhlbi.nih.gov/Databases/mpkFractions/proteomic_fractions_log_files/Yang_log_img/6671559.jpg","show blot")</f>
        <v>show blot</v>
      </c>
      <c r="H398" s="8" t="str">
        <f>HYPERLINK("https://esbl.nhlbi.nih.gov/Databases/mpkFractions/proteomic_fractions_linear_files/Yang_linear_img/6671559.jpg","show blot")</f>
        <v>show blot</v>
      </c>
      <c r="J398" s="5" t="s">
        <v>795</v>
      </c>
      <c r="L398" s="11">
        <v>5.4973149166860571</v>
      </c>
      <c r="N398" s="12"/>
    </row>
    <row r="399" spans="1:14" s="5" customFormat="1" ht="15" customHeight="1" x14ac:dyDescent="0.25">
      <c r="A399" s="9" t="s">
        <v>796</v>
      </c>
      <c r="C399" s="9" t="str">
        <f>HYPERLINK("http://www.ncbi.nlm.nih.gov/protein/40254484","Ap1s2")</f>
        <v>Ap1s2</v>
      </c>
      <c r="D399" s="10">
        <f t="shared" si="6"/>
        <v>4.6992879971999502</v>
      </c>
      <c r="F399" s="8" t="str">
        <f>HYPERLINK("https://esbl.nhlbi.nih.gov/Databases/mpkFractions/proteomic_fractions_log_files/Yang_log_img/40254484.jpg","show blot")</f>
        <v>show blot</v>
      </c>
      <c r="H399" s="8" t="str">
        <f>HYPERLINK("https://esbl.nhlbi.nih.gov/Databases/mpkFractions/proteomic_fractions_linear_files/Yang_linear_img/40254484.jpg","show blot")</f>
        <v>show blot</v>
      </c>
      <c r="J399" s="5" t="s">
        <v>797</v>
      </c>
      <c r="L399" s="11">
        <v>4.6992879971999502</v>
      </c>
      <c r="N399" s="12"/>
    </row>
    <row r="400" spans="1:14" s="5" customFormat="1" ht="15" customHeight="1" x14ac:dyDescent="0.25">
      <c r="A400" s="9" t="s">
        <v>798</v>
      </c>
      <c r="C400" s="9" t="str">
        <f>HYPERLINK("http://www.ncbi.nlm.nih.gov/protein/35215317","Ap1s3")</f>
        <v>Ap1s3</v>
      </c>
      <c r="D400" s="10">
        <f t="shared" si="6"/>
        <v>4.9026139172550787</v>
      </c>
      <c r="F400" s="8" t="str">
        <f>HYPERLINK("https://esbl.nhlbi.nih.gov/Databases/mpkFractions/proteomic_fractions_log_files/Yang_log_img/35215317.jpg","show blot")</f>
        <v>show blot</v>
      </c>
      <c r="H400" s="8" t="str">
        <f>HYPERLINK("https://esbl.nhlbi.nih.gov/Databases/mpkFractions/proteomic_fractions_linear_files/Yang_linear_img/35215317.jpg","show blot")</f>
        <v>show blot</v>
      </c>
      <c r="J400" s="5" t="s">
        <v>799</v>
      </c>
      <c r="L400" s="11">
        <v>4.9026139172550787</v>
      </c>
      <c r="N400" s="12"/>
    </row>
    <row r="401" spans="1:14" s="5" customFormat="1" ht="15" customHeight="1" x14ac:dyDescent="0.25">
      <c r="A401" s="9" t="s">
        <v>800</v>
      </c>
      <c r="C401" s="9" t="str">
        <f>HYPERLINK("http://www.ncbi.nlm.nih.gov/protein/116256510","Ap2a1")</f>
        <v>Ap2a1</v>
      </c>
      <c r="D401" s="10">
        <f t="shared" si="6"/>
        <v>5.164348122139967</v>
      </c>
      <c r="F401" s="8" t="str">
        <f>HYPERLINK("https://esbl.nhlbi.nih.gov/Databases/mpkFractions/proteomic_fractions_log_files/Yang_log_img/116256510.jpg","show blot")</f>
        <v>show blot</v>
      </c>
      <c r="H401" s="8" t="str">
        <f>HYPERLINK("https://esbl.nhlbi.nih.gov/Databases/mpkFractions/proteomic_fractions_linear_files/Yang_linear_img/116256510.jpg","show blot")</f>
        <v>show blot</v>
      </c>
      <c r="J401" s="5" t="s">
        <v>801</v>
      </c>
      <c r="L401" s="11">
        <v>5.164348122139967</v>
      </c>
      <c r="N401" s="12"/>
    </row>
    <row r="402" spans="1:14" s="5" customFormat="1" ht="15" customHeight="1" x14ac:dyDescent="0.25">
      <c r="A402" s="9" t="s">
        <v>802</v>
      </c>
      <c r="C402" s="9" t="str">
        <f>HYPERLINK("http://www.ncbi.nlm.nih.gov/protein/6671561","Ap2a1")</f>
        <v>Ap2a1</v>
      </c>
      <c r="D402" s="10">
        <f t="shared" si="6"/>
        <v>5.164348122139967</v>
      </c>
      <c r="F402" s="8" t="str">
        <f>HYPERLINK("https://esbl.nhlbi.nih.gov/Databases/mpkFractions/proteomic_fractions_log_files/Yang_log_img/6671561.jpg","show blot")</f>
        <v>show blot</v>
      </c>
      <c r="H402" s="8" t="str">
        <f>HYPERLINK("https://esbl.nhlbi.nih.gov/Databases/mpkFractions/proteomic_fractions_linear_files/Yang_linear_img/6671561.jpg","show blot")</f>
        <v>show blot</v>
      </c>
      <c r="J402" s="5" t="s">
        <v>803</v>
      </c>
      <c r="L402" s="11">
        <v>5.164348122139967</v>
      </c>
      <c r="N402" s="12"/>
    </row>
    <row r="403" spans="1:14" s="5" customFormat="1" ht="15" customHeight="1" x14ac:dyDescent="0.25">
      <c r="A403" s="9" t="s">
        <v>804</v>
      </c>
      <c r="C403" s="9" t="str">
        <f>HYPERLINK("http://www.ncbi.nlm.nih.gov/protein/163644277","Ap2a2")</f>
        <v>Ap2a2</v>
      </c>
      <c r="D403" s="10">
        <f t="shared" si="6"/>
        <v>5.2199506651040739</v>
      </c>
      <c r="F403" s="8" t="str">
        <f>HYPERLINK("https://esbl.nhlbi.nih.gov/Databases/mpkFractions/proteomic_fractions_log_files/Yang_log_img/163644277.jpg","show blot")</f>
        <v>show blot</v>
      </c>
      <c r="H403" s="8" t="str">
        <f>HYPERLINK("https://esbl.nhlbi.nih.gov/Databases/mpkFractions/proteomic_fractions_linear_files/Yang_linear_img/163644277.jpg","show blot")</f>
        <v>show blot</v>
      </c>
      <c r="J403" s="5" t="s">
        <v>805</v>
      </c>
      <c r="L403" s="11">
        <v>5.2199506651040739</v>
      </c>
      <c r="N403" s="12"/>
    </row>
    <row r="404" spans="1:14" s="5" customFormat="1" ht="15" customHeight="1" x14ac:dyDescent="0.25">
      <c r="A404" s="9" t="s">
        <v>806</v>
      </c>
      <c r="C404" s="9" t="str">
        <f>HYPERLINK("http://www.ncbi.nlm.nih.gov/protein/21313640","Ap2b1")</f>
        <v>Ap2b1</v>
      </c>
      <c r="D404" s="10">
        <f t="shared" si="6"/>
        <v>5.8594033934368142</v>
      </c>
      <c r="F404" s="8" t="str">
        <f>HYPERLINK("https://esbl.nhlbi.nih.gov/Databases/mpkFractions/proteomic_fractions_log_files/Yang_log_img/21313640.jpg","show blot")</f>
        <v>show blot</v>
      </c>
      <c r="H404" s="8" t="str">
        <f>HYPERLINK("https://esbl.nhlbi.nih.gov/Databases/mpkFractions/proteomic_fractions_linear_files/Yang_linear_img/21313640.jpg","show blot")</f>
        <v>show blot</v>
      </c>
      <c r="J404" s="5" t="s">
        <v>807</v>
      </c>
      <c r="L404" s="11">
        <v>5.8594033934368142</v>
      </c>
      <c r="N404" s="12"/>
    </row>
    <row r="405" spans="1:14" s="5" customFormat="1" ht="15" customHeight="1" x14ac:dyDescent="0.25">
      <c r="A405" s="9" t="s">
        <v>808</v>
      </c>
      <c r="C405" s="9" t="str">
        <f>HYPERLINK("http://www.ncbi.nlm.nih.gov/protein/78711838","Ap2b1")</f>
        <v>Ap2b1</v>
      </c>
      <c r="D405" s="10">
        <f t="shared" si="6"/>
        <v>5.8594033934368142</v>
      </c>
      <c r="F405" s="8" t="str">
        <f>HYPERLINK("https://esbl.nhlbi.nih.gov/Databases/mpkFractions/proteomic_fractions_log_files/Yang_log_img/78711838.jpg","show blot")</f>
        <v>show blot</v>
      </c>
      <c r="H405" s="8" t="str">
        <f>HYPERLINK("https://esbl.nhlbi.nih.gov/Databases/mpkFractions/proteomic_fractions_linear_files/Yang_linear_img/78711838.jpg","show blot")</f>
        <v>show blot</v>
      </c>
      <c r="J405" s="5" t="s">
        <v>809</v>
      </c>
      <c r="L405" s="11">
        <v>5.8594033934368142</v>
      </c>
      <c r="N405" s="12"/>
    </row>
    <row r="406" spans="1:14" s="5" customFormat="1" ht="15" customHeight="1" x14ac:dyDescent="0.25">
      <c r="A406" s="9" t="s">
        <v>810</v>
      </c>
      <c r="C406" s="9" t="str">
        <f>HYPERLINK("http://www.ncbi.nlm.nih.gov/protein/6753074","Ap2m1")</f>
        <v>Ap2m1</v>
      </c>
      <c r="D406" s="10">
        <f t="shared" si="6"/>
        <v>5.3961183612389494</v>
      </c>
      <c r="F406" s="8" t="str">
        <f>HYPERLINK("https://esbl.nhlbi.nih.gov/Databases/mpkFractions/proteomic_fractions_log_files/Yang_log_img/6753074.jpg","show blot")</f>
        <v>show blot</v>
      </c>
      <c r="H406" s="8" t="str">
        <f>HYPERLINK("https://esbl.nhlbi.nih.gov/Databases/mpkFractions/proteomic_fractions_linear_files/Yang_linear_img/6753074.jpg","show blot")</f>
        <v>show blot</v>
      </c>
      <c r="J406" s="5" t="s">
        <v>811</v>
      </c>
      <c r="L406" s="11">
        <v>5.3961183612389494</v>
      </c>
      <c r="N406" s="12"/>
    </row>
    <row r="407" spans="1:14" s="5" customFormat="1" ht="15" customHeight="1" x14ac:dyDescent="0.25">
      <c r="A407" s="9" t="s">
        <v>812</v>
      </c>
      <c r="C407" s="9" t="str">
        <f>HYPERLINK("http://www.ncbi.nlm.nih.gov/protein/161086984","Ap2s1")</f>
        <v>Ap2s1</v>
      </c>
      <c r="D407" s="10">
        <f t="shared" si="6"/>
        <v>4.6663774969956089</v>
      </c>
      <c r="F407" s="8" t="str">
        <f>HYPERLINK("https://esbl.nhlbi.nih.gov/Databases/mpkFractions/proteomic_fractions_log_files/Yang_log_img/161086984.jpg","show blot")</f>
        <v>show blot</v>
      </c>
      <c r="H407" s="8" t="str">
        <f>HYPERLINK("https://esbl.nhlbi.nih.gov/Databases/mpkFractions/proteomic_fractions_linear_files/Yang_linear_img/161086984.jpg","show blot")</f>
        <v>show blot</v>
      </c>
      <c r="J407" s="5" t="s">
        <v>813</v>
      </c>
      <c r="L407" s="11">
        <v>4.6663774969956089</v>
      </c>
      <c r="N407" s="12"/>
    </row>
    <row r="408" spans="1:14" s="5" customFormat="1" ht="15" customHeight="1" x14ac:dyDescent="0.25">
      <c r="A408" s="9" t="s">
        <v>814</v>
      </c>
      <c r="C408" s="9" t="str">
        <f>HYPERLINK("http://www.ncbi.nlm.nih.gov/protein/163310776","Ap3b1")</f>
        <v>Ap3b1</v>
      </c>
      <c r="D408" s="10">
        <f t="shared" si="6"/>
        <v>5.1783882365793179</v>
      </c>
      <c r="F408" s="8" t="str">
        <f>HYPERLINK("https://esbl.nhlbi.nih.gov/Databases/mpkFractions/proteomic_fractions_log_files/Yang_log_img/163310776.jpg","show blot")</f>
        <v>show blot</v>
      </c>
      <c r="H408" s="8" t="str">
        <f>HYPERLINK("https://esbl.nhlbi.nih.gov/Databases/mpkFractions/proteomic_fractions_linear_files/Yang_linear_img/163310776.jpg","show blot")</f>
        <v>show blot</v>
      </c>
      <c r="J408" s="5" t="s">
        <v>815</v>
      </c>
      <c r="L408" s="11">
        <v>5.1783882365793179</v>
      </c>
      <c r="N408" s="12"/>
    </row>
    <row r="409" spans="1:14" s="5" customFormat="1" ht="15" customHeight="1" x14ac:dyDescent="0.25">
      <c r="A409" s="9" t="s">
        <v>816</v>
      </c>
      <c r="C409" s="9" t="str">
        <f>HYPERLINK("http://www.ncbi.nlm.nih.gov/protein/52317148","Ap3b2")</f>
        <v>Ap3b2</v>
      </c>
      <c r="D409" s="10">
        <f t="shared" si="6"/>
        <v>3.955780024834</v>
      </c>
      <c r="F409" s="8" t="str">
        <f>HYPERLINK("https://esbl.nhlbi.nih.gov/Databases/mpkFractions/proteomic_fractions_log_files/Yang_log_img/52317148.jpg","show blot")</f>
        <v>show blot</v>
      </c>
      <c r="H409" s="8" t="str">
        <f>HYPERLINK("https://esbl.nhlbi.nih.gov/Databases/mpkFractions/proteomic_fractions_linear_files/Yang_linear_img/52317148.jpg","show blot")</f>
        <v>show blot</v>
      </c>
      <c r="J409" s="5" t="s">
        <v>817</v>
      </c>
      <c r="L409" s="11">
        <v>3.955780024834</v>
      </c>
      <c r="N409" s="12"/>
    </row>
    <row r="410" spans="1:14" s="5" customFormat="1" ht="15" customHeight="1" x14ac:dyDescent="0.25">
      <c r="A410" s="9" t="s">
        <v>818</v>
      </c>
      <c r="C410" s="9" t="str">
        <f>HYPERLINK("http://www.ncbi.nlm.nih.gov/protein/6671565","Ap3d1")</f>
        <v>Ap3d1</v>
      </c>
      <c r="D410" s="10">
        <f t="shared" si="6"/>
        <v>4.9302469121929597</v>
      </c>
      <c r="F410" s="8" t="str">
        <f>HYPERLINK("https://esbl.nhlbi.nih.gov/Databases/mpkFractions/proteomic_fractions_log_files/Yang_log_img/6671565.jpg","show blot")</f>
        <v>show blot</v>
      </c>
      <c r="H410" s="8" t="str">
        <f>HYPERLINK("https://esbl.nhlbi.nih.gov/Databases/mpkFractions/proteomic_fractions_linear_files/Yang_linear_img/6671565.jpg","show blot")</f>
        <v>show blot</v>
      </c>
      <c r="J410" s="5" t="s">
        <v>819</v>
      </c>
      <c r="L410" s="11">
        <v>4.9302469121929597</v>
      </c>
      <c r="N410" s="12"/>
    </row>
    <row r="411" spans="1:14" s="5" customFormat="1" ht="15" customHeight="1" x14ac:dyDescent="0.25">
      <c r="A411" s="9" t="s">
        <v>820</v>
      </c>
      <c r="C411" s="9" t="str">
        <f>HYPERLINK("http://www.ncbi.nlm.nih.gov/protein/254281313","Ap3m1")</f>
        <v>Ap3m1</v>
      </c>
      <c r="D411" s="10">
        <f t="shared" si="6"/>
        <v>4.9802872448107527</v>
      </c>
      <c r="F411" s="8" t="str">
        <f>HYPERLINK("https://esbl.nhlbi.nih.gov/Databases/mpkFractions/proteomic_fractions_log_files/Yang_log_img/254281313.jpg","show blot")</f>
        <v>show blot</v>
      </c>
      <c r="H411" s="8" t="str">
        <f>HYPERLINK("https://esbl.nhlbi.nih.gov/Databases/mpkFractions/proteomic_fractions_linear_files/Yang_linear_img/254281313.jpg","show blot")</f>
        <v>show blot</v>
      </c>
      <c r="J411" s="5" t="s">
        <v>821</v>
      </c>
      <c r="L411" s="11">
        <v>4.9802872448107527</v>
      </c>
      <c r="N411" s="12"/>
    </row>
    <row r="412" spans="1:14" s="5" customFormat="1" ht="15" customHeight="1" x14ac:dyDescent="0.25">
      <c r="A412" s="9" t="s">
        <v>822</v>
      </c>
      <c r="C412" s="9" t="str">
        <f>HYPERLINK("http://www.ncbi.nlm.nih.gov/protein/170763481","Ap3m2")</f>
        <v>Ap3m2</v>
      </c>
      <c r="D412" s="10">
        <f t="shared" si="6"/>
        <v>4.5574296890930501</v>
      </c>
      <c r="F412" s="8" t="str">
        <f>HYPERLINK("https://esbl.nhlbi.nih.gov/Databases/mpkFractions/proteomic_fractions_log_files/Yang_log_img/170763481.jpg","show blot")</f>
        <v>show blot</v>
      </c>
      <c r="H412" s="8" t="str">
        <f>HYPERLINK("https://esbl.nhlbi.nih.gov/Databases/mpkFractions/proteomic_fractions_linear_files/Yang_linear_img/170763481.jpg","show blot")</f>
        <v>show blot</v>
      </c>
      <c r="J412" s="5" t="s">
        <v>823</v>
      </c>
      <c r="L412" s="11">
        <v>4.5574296890930501</v>
      </c>
      <c r="N412" s="12"/>
    </row>
    <row r="413" spans="1:14" s="5" customFormat="1" ht="15" customHeight="1" x14ac:dyDescent="0.25">
      <c r="A413" s="9" t="s">
        <v>824</v>
      </c>
      <c r="C413" s="9" t="str">
        <f>HYPERLINK("http://www.ncbi.nlm.nih.gov/protein/6753078","Ap3s1")</f>
        <v>Ap3s1</v>
      </c>
      <c r="D413" s="10">
        <f t="shared" si="6"/>
        <v>4.434465072216291</v>
      </c>
      <c r="F413" s="8" t="str">
        <f>HYPERLINK("https://esbl.nhlbi.nih.gov/Databases/mpkFractions/proteomic_fractions_log_files/Yang_log_img/6753078.jpg","show blot")</f>
        <v>show blot</v>
      </c>
      <c r="H413" s="8" t="str">
        <f>HYPERLINK("https://esbl.nhlbi.nih.gov/Databases/mpkFractions/proteomic_fractions_linear_files/Yang_linear_img/6753078.jpg","show blot")</f>
        <v>show blot</v>
      </c>
      <c r="J413" s="5" t="s">
        <v>825</v>
      </c>
      <c r="L413" s="11">
        <v>4.434465072216291</v>
      </c>
      <c r="N413" s="12"/>
    </row>
    <row r="414" spans="1:14" s="5" customFormat="1" ht="15" customHeight="1" x14ac:dyDescent="0.25">
      <c r="A414" s="9" t="s">
        <v>826</v>
      </c>
      <c r="C414" s="9" t="str">
        <f>HYPERLINK("http://www.ncbi.nlm.nih.gov/protein/160707971","Ap3s2")</f>
        <v>Ap3s2</v>
      </c>
      <c r="D414" s="10">
        <f t="shared" si="6"/>
        <v>4.6425739222221347</v>
      </c>
      <c r="F414" s="8" t="str">
        <f>HYPERLINK("https://esbl.nhlbi.nih.gov/Databases/mpkFractions/proteomic_fractions_log_files/Yang_log_img/160707971.jpg","show blot")</f>
        <v>show blot</v>
      </c>
      <c r="H414" s="8" t="str">
        <f>HYPERLINK("https://esbl.nhlbi.nih.gov/Databases/mpkFractions/proteomic_fractions_linear_files/Yang_linear_img/160707971.jpg","show blot")</f>
        <v>show blot</v>
      </c>
      <c r="J414" s="5" t="s">
        <v>827</v>
      </c>
      <c r="L414" s="11">
        <v>4.6425739222221347</v>
      </c>
      <c r="N414" s="12"/>
    </row>
    <row r="415" spans="1:14" s="5" customFormat="1" ht="15" customHeight="1" x14ac:dyDescent="0.25">
      <c r="A415" s="9" t="s">
        <v>828</v>
      </c>
      <c r="C415" s="9" t="str">
        <f>HYPERLINK("http://www.ncbi.nlm.nih.gov/protein/254588018","Ap4b1")</f>
        <v>Ap4b1</v>
      </c>
      <c r="D415" s="10">
        <f t="shared" si="6"/>
        <v>3.205160514217674</v>
      </c>
      <c r="F415" s="8" t="str">
        <f>HYPERLINK("https://esbl.nhlbi.nih.gov/Databases/mpkFractions/proteomic_fractions_log_files/Yang_log_img/254588018.jpg","show blot")</f>
        <v>show blot</v>
      </c>
      <c r="H415" s="8" t="str">
        <f>HYPERLINK("https://esbl.nhlbi.nih.gov/Databases/mpkFractions/proteomic_fractions_linear_files/Yang_linear_img/254588018.jpg","show blot")</f>
        <v>show blot</v>
      </c>
      <c r="J415" s="5" t="s">
        <v>829</v>
      </c>
      <c r="L415" s="11">
        <v>3.205160514217674</v>
      </c>
      <c r="N415" s="12"/>
    </row>
    <row r="416" spans="1:14" s="5" customFormat="1" ht="15" customHeight="1" x14ac:dyDescent="0.25">
      <c r="A416" s="9" t="s">
        <v>830</v>
      </c>
      <c r="C416" s="9" t="str">
        <f>HYPERLINK("http://www.ncbi.nlm.nih.gov/protein/254588022","Ap4b1")</f>
        <v>Ap4b1</v>
      </c>
      <c r="D416" s="10">
        <f t="shared" si="6"/>
        <v>3.205160514217674</v>
      </c>
      <c r="F416" s="8" t="str">
        <f>HYPERLINK("https://esbl.nhlbi.nih.gov/Databases/mpkFractions/proteomic_fractions_log_files/Yang_log_img/254588022.jpg","show blot")</f>
        <v>show blot</v>
      </c>
      <c r="H416" s="8" t="str">
        <f>HYPERLINK("https://esbl.nhlbi.nih.gov/Databases/mpkFractions/proteomic_fractions_linear_files/Yang_linear_img/254588022.jpg","show blot")</f>
        <v>show blot</v>
      </c>
      <c r="J416" s="5" t="s">
        <v>831</v>
      </c>
      <c r="L416" s="11">
        <v>3.205160514217674</v>
      </c>
      <c r="N416" s="12"/>
    </row>
    <row r="417" spans="1:14" s="5" customFormat="1" ht="15" customHeight="1" x14ac:dyDescent="0.25">
      <c r="A417" s="9" t="s">
        <v>832</v>
      </c>
      <c r="C417" s="9" t="str">
        <f>HYPERLINK("http://www.ncbi.nlm.nih.gov/protein/17998681","Ap4s1")</f>
        <v>Ap4s1</v>
      </c>
      <c r="D417" s="10">
        <f t="shared" si="6"/>
        <v>4.2457825275465249</v>
      </c>
      <c r="F417" s="8" t="str">
        <f>HYPERLINK("https://esbl.nhlbi.nih.gov/Databases/mpkFractions/proteomic_fractions_log_files/Yang_log_img/17998681.jpg","show blot")</f>
        <v>show blot</v>
      </c>
      <c r="H417" s="8" t="str">
        <f>HYPERLINK("https://esbl.nhlbi.nih.gov/Databases/mpkFractions/proteomic_fractions_linear_files/Yang_linear_img/17998681.jpg","show blot")</f>
        <v>show blot</v>
      </c>
      <c r="J417" s="5" t="s">
        <v>833</v>
      </c>
      <c r="L417" s="11">
        <v>4.2457825275465249</v>
      </c>
      <c r="N417" s="12"/>
    </row>
    <row r="418" spans="1:14" s="5" customFormat="1" ht="15" customHeight="1" x14ac:dyDescent="0.25">
      <c r="A418" s="9" t="s">
        <v>834</v>
      </c>
      <c r="C418" s="9" t="str">
        <f>HYPERLINK("http://www.ncbi.nlm.nih.gov/protein/75677454","Ap5b1")</f>
        <v>Ap5b1</v>
      </c>
      <c r="D418" s="10">
        <f t="shared" si="6"/>
        <v>3.5737761429583919</v>
      </c>
      <c r="F418" s="8" t="str">
        <f>HYPERLINK("https://esbl.nhlbi.nih.gov/Databases/mpkFractions/proteomic_fractions_log_files/Yang_log_img/75677454.jpg","show blot")</f>
        <v>show blot</v>
      </c>
      <c r="H418" s="8" t="str">
        <f>HYPERLINK("https://esbl.nhlbi.nih.gov/Databases/mpkFractions/proteomic_fractions_linear_files/Yang_linear_img/75677454.jpg","show blot")</f>
        <v>show blot</v>
      </c>
      <c r="J418" s="5" t="s">
        <v>835</v>
      </c>
      <c r="L418" s="11">
        <v>3.5737761429583919</v>
      </c>
      <c r="N418" s="12"/>
    </row>
    <row r="419" spans="1:14" s="5" customFormat="1" ht="15" customHeight="1" x14ac:dyDescent="0.25">
      <c r="A419" s="9" t="s">
        <v>836</v>
      </c>
      <c r="C419" s="9" t="str">
        <f>HYPERLINK("http://www.ncbi.nlm.nih.gov/protein/225543139","Ap5m1")</f>
        <v>Ap5m1</v>
      </c>
      <c r="D419" s="10">
        <f t="shared" si="6"/>
        <v>3.0191055008059502</v>
      </c>
      <c r="F419" s="8" t="str">
        <f>HYPERLINK("https://esbl.nhlbi.nih.gov/Databases/mpkFractions/proteomic_fractions_log_files/Yang_log_img/225543139.jpg","show blot")</f>
        <v>show blot</v>
      </c>
      <c r="H419" s="8" t="str">
        <f>HYPERLINK("https://esbl.nhlbi.nih.gov/Databases/mpkFractions/proteomic_fractions_linear_files/Yang_linear_img/225543139.jpg","show blot")</f>
        <v>show blot</v>
      </c>
      <c r="J419" s="5" t="s">
        <v>837</v>
      </c>
      <c r="L419" s="11">
        <v>3.0191055008059502</v>
      </c>
      <c r="N419" s="12"/>
    </row>
    <row r="420" spans="1:14" s="5" customFormat="1" ht="15" customHeight="1" x14ac:dyDescent="0.25">
      <c r="A420" s="9" t="s">
        <v>838</v>
      </c>
      <c r="C420" s="9" t="str">
        <f>HYPERLINK("http://www.ncbi.nlm.nih.gov/protein/31980819","Ap5s1")</f>
        <v>Ap5s1</v>
      </c>
      <c r="D420" s="10">
        <f t="shared" si="6"/>
        <v>4.0819249459422959</v>
      </c>
      <c r="F420" s="8" t="str">
        <f>HYPERLINK("https://esbl.nhlbi.nih.gov/Databases/mpkFractions/proteomic_fractions_log_files/Yang_log_img/31980819.jpg","show blot")</f>
        <v>show blot</v>
      </c>
      <c r="H420" s="8" t="str">
        <f>HYPERLINK("https://esbl.nhlbi.nih.gov/Databases/mpkFractions/proteomic_fractions_linear_files/Yang_linear_img/31980819.jpg","show blot")</f>
        <v>show blot</v>
      </c>
      <c r="J420" s="5" t="s">
        <v>839</v>
      </c>
      <c r="L420" s="11">
        <v>4.0819249459422959</v>
      </c>
      <c r="N420" s="12"/>
    </row>
    <row r="421" spans="1:14" s="5" customFormat="1" ht="15" customHeight="1" x14ac:dyDescent="0.25">
      <c r="A421" s="9" t="s">
        <v>840</v>
      </c>
      <c r="C421" s="9" t="str">
        <f>HYPERLINK("http://www.ncbi.nlm.nih.gov/protein/82546849","Ap5z1")</f>
        <v>Ap5z1</v>
      </c>
      <c r="D421" s="10">
        <f t="shared" si="6"/>
        <v>3.474076998137051</v>
      </c>
      <c r="F421" s="8" t="str">
        <f>HYPERLINK("https://esbl.nhlbi.nih.gov/Databases/mpkFractions/proteomic_fractions_log_files/Yang_log_img/82546849.jpg","show blot")</f>
        <v>show blot</v>
      </c>
      <c r="H421" s="8" t="str">
        <f>HYPERLINK("https://esbl.nhlbi.nih.gov/Databases/mpkFractions/proteomic_fractions_linear_files/Yang_linear_img/82546849.jpg","show blot")</f>
        <v>show blot</v>
      </c>
      <c r="J421" s="5" t="s">
        <v>841</v>
      </c>
      <c r="L421" s="11">
        <v>3.474076998137051</v>
      </c>
      <c r="N421" s="12"/>
    </row>
    <row r="422" spans="1:14" s="5" customFormat="1" ht="15" customHeight="1" x14ac:dyDescent="0.25">
      <c r="A422" s="9" t="s">
        <v>842</v>
      </c>
      <c r="C422" s="9" t="str">
        <f>HYPERLINK("http://www.ncbi.nlm.nih.gov/protein/110347471","Apaf1")</f>
        <v>Apaf1</v>
      </c>
      <c r="D422" s="10">
        <f t="shared" si="6"/>
        <v>3.874147383517264</v>
      </c>
      <c r="F422" s="8" t="str">
        <f>HYPERLINK("https://esbl.nhlbi.nih.gov/Databases/mpkFractions/proteomic_fractions_log_files/Yang_log_img/110347471.jpg","show blot")</f>
        <v>show blot</v>
      </c>
      <c r="H422" s="8" t="str">
        <f>HYPERLINK("https://esbl.nhlbi.nih.gov/Databases/mpkFractions/proteomic_fractions_linear_files/Yang_linear_img/110347471.jpg","show blot")</f>
        <v>show blot</v>
      </c>
      <c r="J422" s="5" t="s">
        <v>843</v>
      </c>
      <c r="L422" s="11">
        <v>3.874147383517264</v>
      </c>
      <c r="N422" s="12"/>
    </row>
    <row r="423" spans="1:14" s="5" customFormat="1" ht="15" customHeight="1" x14ac:dyDescent="0.25">
      <c r="A423" s="9" t="s">
        <v>844</v>
      </c>
      <c r="C423" s="9" t="str">
        <f>HYPERLINK("http://www.ncbi.nlm.nih.gov/protein/110625864","Apcdd1")</f>
        <v>Apcdd1</v>
      </c>
      <c r="D423" s="10">
        <f t="shared" si="6"/>
        <v>3.4273174302962648</v>
      </c>
      <c r="F423" s="8" t="str">
        <f>HYPERLINK("https://esbl.nhlbi.nih.gov/Databases/mpkFractions/proteomic_fractions_log_files/Yang_log_img/110625864.jpg","show blot")</f>
        <v>show blot</v>
      </c>
      <c r="H423" s="8" t="str">
        <f>HYPERLINK("https://esbl.nhlbi.nih.gov/Databases/mpkFractions/proteomic_fractions_linear_files/Yang_linear_img/110625864.jpg","show blot")</f>
        <v>show blot</v>
      </c>
      <c r="J423" s="5" t="s">
        <v>845</v>
      </c>
      <c r="L423" s="11">
        <v>3.4273174302962648</v>
      </c>
      <c r="N423" s="12"/>
    </row>
    <row r="424" spans="1:14" s="5" customFormat="1" ht="15" customHeight="1" x14ac:dyDescent="0.25">
      <c r="A424" s="9" t="s">
        <v>846</v>
      </c>
      <c r="C424" s="9" t="str">
        <f>HYPERLINK("http://www.ncbi.nlm.nih.gov/protein/214010153","Apeh")</f>
        <v>Apeh</v>
      </c>
      <c r="D424" s="10">
        <f t="shared" si="6"/>
        <v>4.9357591489327763</v>
      </c>
      <c r="F424" s="8" t="str">
        <f>HYPERLINK("https://esbl.nhlbi.nih.gov/Databases/mpkFractions/proteomic_fractions_log_files/Yang_log_img/214010153.jpg","show blot")</f>
        <v>show blot</v>
      </c>
      <c r="H424" s="8" t="str">
        <f>HYPERLINK("https://esbl.nhlbi.nih.gov/Databases/mpkFractions/proteomic_fractions_linear_files/Yang_linear_img/214010153.jpg","show blot")</f>
        <v>show blot</v>
      </c>
      <c r="J424" s="5" t="s">
        <v>847</v>
      </c>
      <c r="L424" s="11">
        <v>4.9357591489327763</v>
      </c>
      <c r="N424" s="12"/>
    </row>
    <row r="425" spans="1:14" s="5" customFormat="1" ht="15" customHeight="1" x14ac:dyDescent="0.25">
      <c r="A425" s="9" t="s">
        <v>848</v>
      </c>
      <c r="C425" s="9" t="str">
        <f>HYPERLINK("http://www.ncbi.nlm.nih.gov/protein/6753086","Apex1")</f>
        <v>Apex1</v>
      </c>
      <c r="D425" s="10">
        <f t="shared" si="6"/>
        <v>6.3600879654571969</v>
      </c>
      <c r="F425" s="8" t="str">
        <f>HYPERLINK("https://esbl.nhlbi.nih.gov/Databases/mpkFractions/proteomic_fractions_log_files/Yang_log_img/6753086.jpg","show blot")</f>
        <v>show blot</v>
      </c>
      <c r="H425" s="8" t="str">
        <f>HYPERLINK("https://esbl.nhlbi.nih.gov/Databases/mpkFractions/proteomic_fractions_linear_files/Yang_linear_img/6753086.jpg","show blot")</f>
        <v>show blot</v>
      </c>
      <c r="J425" s="5" t="s">
        <v>849</v>
      </c>
      <c r="L425" s="11">
        <v>6.3600879654571969</v>
      </c>
      <c r="N425" s="12"/>
    </row>
    <row r="426" spans="1:14" s="5" customFormat="1" ht="15" customHeight="1" x14ac:dyDescent="0.25">
      <c r="A426" s="9" t="s">
        <v>850</v>
      </c>
      <c r="C426" s="9" t="str">
        <f>HYPERLINK("http://www.ncbi.nlm.nih.gov/protein/189339191","Aph1a")</f>
        <v>Aph1a</v>
      </c>
      <c r="D426" s="10">
        <f t="shared" si="6"/>
        <v>4.3577337508864904</v>
      </c>
      <c r="F426" s="8" t="str">
        <f>HYPERLINK("https://esbl.nhlbi.nih.gov/Databases/mpkFractions/proteomic_fractions_log_files/Yang_log_img/189339191.jpg","show blot")</f>
        <v>show blot</v>
      </c>
      <c r="H426" s="8" t="str">
        <f>HYPERLINK("https://esbl.nhlbi.nih.gov/Databases/mpkFractions/proteomic_fractions_linear_files/Yang_linear_img/189339191.jpg","show blot")</f>
        <v>show blot</v>
      </c>
      <c r="J426" s="5" t="s">
        <v>851</v>
      </c>
      <c r="L426" s="11">
        <v>4.3577337508864904</v>
      </c>
      <c r="N426" s="12"/>
    </row>
    <row r="427" spans="1:14" s="5" customFormat="1" ht="15" customHeight="1" x14ac:dyDescent="0.25">
      <c r="A427" s="9" t="s">
        <v>852</v>
      </c>
      <c r="C427" s="9" t="str">
        <f>HYPERLINK("http://www.ncbi.nlm.nih.gov/protein/22203751","Aph1a")</f>
        <v>Aph1a</v>
      </c>
      <c r="D427" s="10">
        <f t="shared" si="6"/>
        <v>4.3577337508864904</v>
      </c>
      <c r="F427" s="8" t="str">
        <f>HYPERLINK("https://esbl.nhlbi.nih.gov/Databases/mpkFractions/proteomic_fractions_log_files/Yang_log_img/22203751.jpg","show blot")</f>
        <v>show blot</v>
      </c>
      <c r="H427" s="8" t="str">
        <f>HYPERLINK("https://esbl.nhlbi.nih.gov/Databases/mpkFractions/proteomic_fractions_linear_files/Yang_linear_img/22203751.jpg","show blot")</f>
        <v>show blot</v>
      </c>
      <c r="J427" s="5" t="s">
        <v>853</v>
      </c>
      <c r="L427" s="11">
        <v>4.3577337508864904</v>
      </c>
      <c r="N427" s="12"/>
    </row>
    <row r="428" spans="1:14" s="5" customFormat="1" ht="15" customHeight="1" x14ac:dyDescent="0.25">
      <c r="A428" s="9" t="s">
        <v>854</v>
      </c>
      <c r="C428" s="9" t="str">
        <f>HYPERLINK("http://www.ncbi.nlm.nih.gov/protein/94158994","Api5")</f>
        <v>Api5</v>
      </c>
      <c r="D428" s="10">
        <f t="shared" si="6"/>
        <v>5.3062720656019398</v>
      </c>
      <c r="F428" s="8" t="str">
        <f>HYPERLINK("https://esbl.nhlbi.nih.gov/Databases/mpkFractions/proteomic_fractions_log_files/Yang_log_img/94158994.jpg","show blot")</f>
        <v>show blot</v>
      </c>
      <c r="H428" s="8" t="str">
        <f>HYPERLINK("https://esbl.nhlbi.nih.gov/Databases/mpkFractions/proteomic_fractions_linear_files/Yang_linear_img/94158994.jpg","show blot")</f>
        <v>show blot</v>
      </c>
      <c r="J428" s="5" t="s">
        <v>855</v>
      </c>
      <c r="L428" s="11">
        <v>5.3062720656019398</v>
      </c>
      <c r="N428" s="12"/>
    </row>
    <row r="429" spans="1:14" s="5" customFormat="1" ht="15" customHeight="1" x14ac:dyDescent="0.25">
      <c r="A429" s="9" t="s">
        <v>856</v>
      </c>
      <c r="C429" s="9" t="str">
        <f>HYPERLINK("http://www.ncbi.nlm.nih.gov/protein/258613873","Apip")</f>
        <v>Apip</v>
      </c>
      <c r="D429" s="10">
        <f t="shared" si="6"/>
        <v>4.9242253203311286</v>
      </c>
      <c r="F429" s="8" t="str">
        <f>HYPERLINK("https://esbl.nhlbi.nih.gov/Databases/mpkFractions/proteomic_fractions_log_files/Yang_log_img/258613873.jpg","show blot")</f>
        <v>show blot</v>
      </c>
      <c r="H429" s="8" t="str">
        <f>HYPERLINK("https://esbl.nhlbi.nih.gov/Databases/mpkFractions/proteomic_fractions_linear_files/Yang_linear_img/258613873.jpg","show blot")</f>
        <v>show blot</v>
      </c>
      <c r="J429" s="5" t="s">
        <v>857</v>
      </c>
      <c r="L429" s="11">
        <v>4.9242253203311286</v>
      </c>
      <c r="N429" s="12"/>
    </row>
    <row r="430" spans="1:14" s="5" customFormat="1" ht="15" customHeight="1" x14ac:dyDescent="0.25">
      <c r="A430" s="9" t="s">
        <v>858</v>
      </c>
      <c r="C430" s="9" t="str">
        <f>HYPERLINK("http://www.ncbi.nlm.nih.gov/protein/281427262","Aplf")</f>
        <v>Aplf</v>
      </c>
      <c r="D430" s="10">
        <f t="shared" si="6"/>
        <v>1.055320621657035</v>
      </c>
      <c r="F430" s="8" t="str">
        <f>HYPERLINK("https://esbl.nhlbi.nih.gov/Databases/mpkFractions/proteomic_fractions_log_files/Yang_log_img/281427262.jpg","show blot")</f>
        <v>show blot</v>
      </c>
      <c r="H430" s="8" t="str">
        <f>HYPERLINK("https://esbl.nhlbi.nih.gov/Databases/mpkFractions/proteomic_fractions_linear_files/Yang_linear_img/281427262.jpg","show blot")</f>
        <v>show blot</v>
      </c>
      <c r="J430" s="5" t="s">
        <v>859</v>
      </c>
      <c r="L430" s="11">
        <v>1.055320621657035</v>
      </c>
      <c r="N430" s="12"/>
    </row>
    <row r="431" spans="1:14" s="5" customFormat="1" ht="15" customHeight="1" x14ac:dyDescent="0.25">
      <c r="A431" s="9" t="s">
        <v>860</v>
      </c>
      <c r="C431" s="9" t="str">
        <f>HYPERLINK("http://www.ncbi.nlm.nih.gov/protein/31541860","Aplf")</f>
        <v>Aplf</v>
      </c>
      <c r="D431" s="10">
        <f t="shared" si="6"/>
        <v>1.055320621657035</v>
      </c>
      <c r="F431" s="8" t="str">
        <f>HYPERLINK("https://esbl.nhlbi.nih.gov/Databases/mpkFractions/proteomic_fractions_log_files/Yang_log_img/31541860.jpg","show blot")</f>
        <v>show blot</v>
      </c>
      <c r="H431" s="8" t="str">
        <f>HYPERLINK("https://esbl.nhlbi.nih.gov/Databases/mpkFractions/proteomic_fractions_linear_files/Yang_linear_img/31541860.jpg","show blot")</f>
        <v>show blot</v>
      </c>
      <c r="J431" s="5" t="s">
        <v>861</v>
      </c>
      <c r="L431" s="11">
        <v>1.055320621657035</v>
      </c>
      <c r="N431" s="12"/>
    </row>
    <row r="432" spans="1:14" s="5" customFormat="1" ht="15" customHeight="1" x14ac:dyDescent="0.25">
      <c r="A432" s="9" t="s">
        <v>862</v>
      </c>
      <c r="C432" s="9" t="str">
        <f>HYPERLINK("http://www.ncbi.nlm.nih.gov/protein/156255192","Aplp2")</f>
        <v>Aplp2</v>
      </c>
      <c r="D432" s="10">
        <f t="shared" si="6"/>
        <v>3.4895675463243978</v>
      </c>
      <c r="F432" s="8" t="str">
        <f>HYPERLINK("https://esbl.nhlbi.nih.gov/Databases/mpkFractions/proteomic_fractions_log_files/Yang_log_img/156255192.jpg","show blot")</f>
        <v>show blot</v>
      </c>
      <c r="H432" s="8" t="str">
        <f>HYPERLINK("https://esbl.nhlbi.nih.gov/Databases/mpkFractions/proteomic_fractions_linear_files/Yang_linear_img/156255192.jpg","show blot")</f>
        <v>show blot</v>
      </c>
      <c r="J432" s="5" t="s">
        <v>863</v>
      </c>
      <c r="L432" s="11">
        <v>3.4895675463243978</v>
      </c>
      <c r="N432" s="12"/>
    </row>
    <row r="433" spans="1:14" s="5" customFormat="1" ht="15" customHeight="1" x14ac:dyDescent="0.25">
      <c r="A433" s="9" t="s">
        <v>864</v>
      </c>
      <c r="C433" s="9" t="str">
        <f>HYPERLINK("http://www.ncbi.nlm.nih.gov/protein/156255194","Aplp2")</f>
        <v>Aplp2</v>
      </c>
      <c r="D433" s="10">
        <f t="shared" si="6"/>
        <v>3.4895675463243978</v>
      </c>
      <c r="F433" s="8" t="str">
        <f>HYPERLINK("https://esbl.nhlbi.nih.gov/Databases/mpkFractions/proteomic_fractions_log_files/Yang_log_img/156255194.jpg","show blot")</f>
        <v>show blot</v>
      </c>
      <c r="H433" s="8" t="str">
        <f>HYPERLINK("https://esbl.nhlbi.nih.gov/Databases/mpkFractions/proteomic_fractions_linear_files/Yang_linear_img/156255194.jpg","show blot")</f>
        <v>show blot</v>
      </c>
      <c r="J433" s="5" t="s">
        <v>865</v>
      </c>
      <c r="L433" s="11">
        <v>3.4895675463243978</v>
      </c>
      <c r="N433" s="12"/>
    </row>
    <row r="434" spans="1:14" s="5" customFormat="1" ht="15" customHeight="1" x14ac:dyDescent="0.25">
      <c r="A434" s="9" t="s">
        <v>866</v>
      </c>
      <c r="C434" s="9" t="str">
        <f>HYPERLINK("http://www.ncbi.nlm.nih.gov/protein/6753094","Aplp2")</f>
        <v>Aplp2</v>
      </c>
      <c r="D434" s="10">
        <f t="shared" si="6"/>
        <v>3.4895675463243978</v>
      </c>
      <c r="F434" s="8" t="str">
        <f>HYPERLINK("https://esbl.nhlbi.nih.gov/Databases/mpkFractions/proteomic_fractions_log_files/Yang_log_img/6753094.jpg","show blot")</f>
        <v>show blot</v>
      </c>
      <c r="H434" s="8" t="str">
        <f>HYPERLINK("https://esbl.nhlbi.nih.gov/Databases/mpkFractions/proteomic_fractions_linear_files/Yang_linear_img/6753094.jpg","show blot")</f>
        <v>show blot</v>
      </c>
      <c r="J434" s="5" t="s">
        <v>867</v>
      </c>
      <c r="L434" s="11">
        <v>3.4895675463243978</v>
      </c>
      <c r="N434" s="12"/>
    </row>
    <row r="435" spans="1:14" s="5" customFormat="1" ht="15" customHeight="1" x14ac:dyDescent="0.25">
      <c r="A435" s="9" t="s">
        <v>868</v>
      </c>
      <c r="C435" s="9" t="str">
        <f>HYPERLINK("http://www.ncbi.nlm.nih.gov/protein/21313668","Apmap")</f>
        <v>Apmap</v>
      </c>
      <c r="D435" s="10">
        <f t="shared" si="6"/>
        <v>4.9415498102085893</v>
      </c>
      <c r="F435" s="8" t="str">
        <f>HYPERLINK("https://esbl.nhlbi.nih.gov/Databases/mpkFractions/proteomic_fractions_log_files/Yang_log_img/21313668.jpg","show blot")</f>
        <v>show blot</v>
      </c>
      <c r="H435" s="8" t="str">
        <f>HYPERLINK("https://esbl.nhlbi.nih.gov/Databases/mpkFractions/proteomic_fractions_linear_files/Yang_linear_img/21313668.jpg","show blot")</f>
        <v>show blot</v>
      </c>
      <c r="J435" s="5" t="s">
        <v>869</v>
      </c>
      <c r="L435" s="11">
        <v>4.9415498102085893</v>
      </c>
      <c r="N435" s="12"/>
    </row>
    <row r="436" spans="1:14" s="5" customFormat="1" ht="15" customHeight="1" x14ac:dyDescent="0.25">
      <c r="A436" s="9" t="s">
        <v>870</v>
      </c>
      <c r="C436" s="9" t="str">
        <f>HYPERLINK("http://www.ncbi.nlm.nih.gov/protein/21553309","Apoa1bp")</f>
        <v>Apoa1bp</v>
      </c>
      <c r="D436" s="10">
        <f t="shared" si="6"/>
        <v>5.8701352853646487</v>
      </c>
      <c r="F436" s="8" t="str">
        <f>HYPERLINK("https://esbl.nhlbi.nih.gov/Databases/mpkFractions/proteomic_fractions_log_files/Yang_log_img/21553309.jpg","show blot")</f>
        <v>show blot</v>
      </c>
      <c r="H436" s="8" t="str">
        <f>HYPERLINK("https://esbl.nhlbi.nih.gov/Databases/mpkFractions/proteomic_fractions_linear_files/Yang_linear_img/21553309.jpg","show blot")</f>
        <v>show blot</v>
      </c>
      <c r="J436" s="5" t="s">
        <v>871</v>
      </c>
      <c r="L436" s="11">
        <v>5.8701352853646487</v>
      </c>
      <c r="N436" s="12"/>
    </row>
    <row r="437" spans="1:14" s="5" customFormat="1" ht="15" customHeight="1" x14ac:dyDescent="0.25">
      <c r="A437" s="9" t="s">
        <v>872</v>
      </c>
      <c r="C437" s="9" t="str">
        <f>HYPERLINK("http://www.ncbi.nlm.nih.gov/protein/238018108","Apobec3")</f>
        <v>Apobec3</v>
      </c>
      <c r="D437" s="10">
        <f t="shared" si="6"/>
        <v>4.0849936023951434</v>
      </c>
      <c r="F437" s="8" t="str">
        <f>HYPERLINK("https://esbl.nhlbi.nih.gov/Databases/mpkFractions/proteomic_fractions_log_files/Yang_log_img/238018108.jpg","show blot")</f>
        <v>show blot</v>
      </c>
      <c r="H437" s="8" t="str">
        <f>HYPERLINK("https://esbl.nhlbi.nih.gov/Databases/mpkFractions/proteomic_fractions_linear_files/Yang_linear_img/238018108.jpg","show blot")</f>
        <v>show blot</v>
      </c>
      <c r="J437" s="5" t="s">
        <v>873</v>
      </c>
      <c r="L437" s="11">
        <v>4.0849936023951434</v>
      </c>
      <c r="N437" s="12"/>
    </row>
    <row r="438" spans="1:14" s="5" customFormat="1" ht="15" customHeight="1" x14ac:dyDescent="0.25">
      <c r="A438" s="9" t="s">
        <v>874</v>
      </c>
      <c r="C438" s="9" t="str">
        <f>HYPERLINK("http://www.ncbi.nlm.nih.gov/protein/85861172","Apobec3")</f>
        <v>Apobec3</v>
      </c>
      <c r="D438" s="10">
        <f t="shared" si="6"/>
        <v>4.0849936023951434</v>
      </c>
      <c r="F438" s="8" t="str">
        <f>HYPERLINK("https://esbl.nhlbi.nih.gov/Databases/mpkFractions/proteomic_fractions_log_files/Yang_log_img/85861172.jpg","show blot")</f>
        <v>show blot</v>
      </c>
      <c r="H438" s="8" t="str">
        <f>HYPERLINK("https://esbl.nhlbi.nih.gov/Databases/mpkFractions/proteomic_fractions_linear_files/Yang_linear_img/85861172.jpg","show blot")</f>
        <v>show blot</v>
      </c>
      <c r="J438" s="5" t="s">
        <v>875</v>
      </c>
      <c r="L438" s="11">
        <v>4.0849936023951434</v>
      </c>
      <c r="N438" s="12"/>
    </row>
    <row r="439" spans="1:14" s="5" customFormat="1" ht="15" customHeight="1" x14ac:dyDescent="0.25">
      <c r="A439" s="9" t="s">
        <v>876</v>
      </c>
      <c r="C439" s="9" t="str">
        <f>HYPERLINK("http://www.ncbi.nlm.nih.gov/protein/238776830","Apol10b")</f>
        <v>Apol10b</v>
      </c>
      <c r="D439" s="10">
        <f t="shared" si="6"/>
        <v>5.7713152509694581</v>
      </c>
      <c r="F439" s="8" t="str">
        <f>HYPERLINK("https://esbl.nhlbi.nih.gov/Databases/mpkFractions/proteomic_fractions_log_files/Yang_log_img/238776830.jpg","show blot")</f>
        <v>show blot</v>
      </c>
      <c r="H439" s="8" t="str">
        <f>HYPERLINK("https://esbl.nhlbi.nih.gov/Databases/mpkFractions/proteomic_fractions_linear_files/Yang_linear_img/238776830.jpg","show blot")</f>
        <v>show blot</v>
      </c>
      <c r="J439" s="5" t="s">
        <v>877</v>
      </c>
      <c r="L439" s="11">
        <v>5.7713152509694581</v>
      </c>
      <c r="N439" s="12"/>
    </row>
    <row r="440" spans="1:14" s="5" customFormat="1" ht="15" customHeight="1" x14ac:dyDescent="0.25">
      <c r="A440" s="9" t="s">
        <v>878</v>
      </c>
      <c r="C440" s="9" t="str">
        <f>HYPERLINK("http://www.ncbi.nlm.nih.gov/protein/161484642","Apoo")</f>
        <v>Apoo</v>
      </c>
      <c r="D440" s="10">
        <f t="shared" si="6"/>
        <v>4.9567072494161177</v>
      </c>
      <c r="F440" s="8" t="str">
        <f>HYPERLINK("https://esbl.nhlbi.nih.gov/Databases/mpkFractions/proteomic_fractions_log_files/Yang_log_img/161484642.jpg","show blot")</f>
        <v>show blot</v>
      </c>
      <c r="H440" s="8" t="str">
        <f>HYPERLINK("https://esbl.nhlbi.nih.gov/Databases/mpkFractions/proteomic_fractions_linear_files/Yang_linear_img/161484642.jpg","show blot")</f>
        <v>show blot</v>
      </c>
      <c r="J440" s="5" t="s">
        <v>879</v>
      </c>
      <c r="L440" s="11">
        <v>4.9567072494161177</v>
      </c>
      <c r="N440" s="12"/>
    </row>
    <row r="441" spans="1:14" s="5" customFormat="1" ht="15" customHeight="1" x14ac:dyDescent="0.25">
      <c r="A441" s="9" t="s">
        <v>880</v>
      </c>
      <c r="C441" s="9" t="str">
        <f>HYPERLINK("http://www.ncbi.nlm.nih.gov/protein/313569763","Apoo")</f>
        <v>Apoo</v>
      </c>
      <c r="D441" s="10">
        <f t="shared" si="6"/>
        <v>4.9567072494161177</v>
      </c>
      <c r="F441" s="8" t="str">
        <f>HYPERLINK("https://esbl.nhlbi.nih.gov/Databases/mpkFractions/proteomic_fractions_log_files/Yang_log_img/313569763.jpg","show blot")</f>
        <v>show blot</v>
      </c>
      <c r="H441" s="8" t="str">
        <f>HYPERLINK("https://esbl.nhlbi.nih.gov/Databases/mpkFractions/proteomic_fractions_linear_files/Yang_linear_img/313569763.jpg","show blot")</f>
        <v>show blot</v>
      </c>
      <c r="J441" s="5" t="s">
        <v>881</v>
      </c>
      <c r="L441" s="11">
        <v>4.9567072494161177</v>
      </c>
      <c r="N441" s="12"/>
    </row>
    <row r="442" spans="1:14" s="5" customFormat="1" ht="15" customHeight="1" x14ac:dyDescent="0.25">
      <c r="A442" s="9" t="s">
        <v>882</v>
      </c>
      <c r="C442" s="9" t="str">
        <f>HYPERLINK("http://www.ncbi.nlm.nih.gov/protein/313569872","Apoo")</f>
        <v>Apoo</v>
      </c>
      <c r="D442" s="10">
        <f t="shared" si="6"/>
        <v>4.9567072494161177</v>
      </c>
      <c r="F442" s="8" t="str">
        <f>HYPERLINK("https://esbl.nhlbi.nih.gov/Databases/mpkFractions/proteomic_fractions_log_files/Yang_log_img/313569872.jpg","show blot")</f>
        <v>show blot</v>
      </c>
      <c r="H442" s="8" t="str">
        <f>HYPERLINK("https://esbl.nhlbi.nih.gov/Databases/mpkFractions/proteomic_fractions_linear_files/Yang_linear_img/313569872.jpg","show blot")</f>
        <v>show blot</v>
      </c>
      <c r="J442" s="5" t="s">
        <v>883</v>
      </c>
      <c r="L442" s="11">
        <v>4.9567072494161177</v>
      </c>
      <c r="N442" s="12"/>
    </row>
    <row r="443" spans="1:14" s="5" customFormat="1" ht="15" customHeight="1" x14ac:dyDescent="0.25">
      <c r="A443" s="9" t="s">
        <v>884</v>
      </c>
      <c r="C443" s="9" t="str">
        <f>HYPERLINK("http://www.ncbi.nlm.nih.gov/protein/13386062","Apool")</f>
        <v>Apool</v>
      </c>
      <c r="D443" s="10">
        <f t="shared" si="6"/>
        <v>5.1157388180774488</v>
      </c>
      <c r="F443" s="8" t="str">
        <f>HYPERLINK("https://esbl.nhlbi.nih.gov/Databases/mpkFractions/proteomic_fractions_log_files/Yang_log_img/13386062.jpg","show blot")</f>
        <v>show blot</v>
      </c>
      <c r="H443" s="8" t="str">
        <f>HYPERLINK("https://esbl.nhlbi.nih.gov/Databases/mpkFractions/proteomic_fractions_linear_files/Yang_linear_img/13386062.jpg","show blot")</f>
        <v>show blot</v>
      </c>
      <c r="J443" s="5" t="s">
        <v>885</v>
      </c>
      <c r="L443" s="11">
        <v>5.1157388180774488</v>
      </c>
      <c r="N443" s="12"/>
    </row>
    <row r="444" spans="1:14" s="5" customFormat="1" ht="15" customHeight="1" x14ac:dyDescent="0.25">
      <c r="A444" s="9" t="s">
        <v>886</v>
      </c>
      <c r="C444" s="9" t="str">
        <f>HYPERLINK("http://www.ncbi.nlm.nih.gov/protein/311893401","App")</f>
        <v>App</v>
      </c>
      <c r="D444" s="10">
        <f t="shared" si="6"/>
        <v>5.0862497006679153</v>
      </c>
      <c r="F444" s="8" t="str">
        <f>HYPERLINK("https://esbl.nhlbi.nih.gov/Databases/mpkFractions/proteomic_fractions_log_files/Yang_log_img/311893401.jpg","show blot")</f>
        <v>show blot</v>
      </c>
      <c r="H444" s="8" t="str">
        <f>HYPERLINK("https://esbl.nhlbi.nih.gov/Databases/mpkFractions/proteomic_fractions_linear_files/Yang_linear_img/311893401.jpg","show blot")</f>
        <v>show blot</v>
      </c>
      <c r="J444" s="5" t="s">
        <v>887</v>
      </c>
      <c r="L444" s="11">
        <v>5.0862497006679153</v>
      </c>
      <c r="N444" s="12"/>
    </row>
    <row r="445" spans="1:14" s="5" customFormat="1" ht="15" customHeight="1" x14ac:dyDescent="0.25">
      <c r="A445" s="9" t="s">
        <v>888</v>
      </c>
      <c r="C445" s="9" t="str">
        <f>HYPERLINK("http://www.ncbi.nlm.nih.gov/protein/311893404","App")</f>
        <v>App</v>
      </c>
      <c r="D445" s="10">
        <f t="shared" si="6"/>
        <v>5.0862497006679153</v>
      </c>
      <c r="F445" s="8" t="str">
        <f>HYPERLINK("https://esbl.nhlbi.nih.gov/Databases/mpkFractions/proteomic_fractions_log_files/Yang_log_img/311893404.jpg","show blot")</f>
        <v>show blot</v>
      </c>
      <c r="H445" s="8" t="str">
        <f>HYPERLINK("https://esbl.nhlbi.nih.gov/Databases/mpkFractions/proteomic_fractions_linear_files/Yang_linear_img/311893404.jpg","show blot")</f>
        <v>show blot</v>
      </c>
      <c r="J445" s="5" t="s">
        <v>889</v>
      </c>
      <c r="L445" s="11">
        <v>5.0862497006679153</v>
      </c>
      <c r="N445" s="12"/>
    </row>
    <row r="446" spans="1:14" s="5" customFormat="1" ht="15" customHeight="1" x14ac:dyDescent="0.25">
      <c r="A446" s="9" t="s">
        <v>890</v>
      </c>
      <c r="C446" s="9" t="str">
        <f>HYPERLINK("http://www.ncbi.nlm.nih.gov/protein/311893406","App")</f>
        <v>App</v>
      </c>
      <c r="D446" s="10">
        <f t="shared" si="6"/>
        <v>5.0862497006679153</v>
      </c>
      <c r="F446" s="8" t="str">
        <f>HYPERLINK("https://esbl.nhlbi.nih.gov/Databases/mpkFractions/proteomic_fractions_log_files/Yang_log_img/311893406.jpg","show blot")</f>
        <v>show blot</v>
      </c>
      <c r="H446" s="8" t="str">
        <f>HYPERLINK("https://esbl.nhlbi.nih.gov/Databases/mpkFractions/proteomic_fractions_linear_files/Yang_linear_img/311893406.jpg","show blot")</f>
        <v>show blot</v>
      </c>
      <c r="J446" s="5" t="s">
        <v>891</v>
      </c>
      <c r="L446" s="11">
        <v>5.0862497006679153</v>
      </c>
      <c r="N446" s="12"/>
    </row>
    <row r="447" spans="1:14" s="5" customFormat="1" ht="15" customHeight="1" x14ac:dyDescent="0.25">
      <c r="A447" s="9" t="s">
        <v>892</v>
      </c>
      <c r="C447" s="9" t="str">
        <f>HYPERLINK("http://www.ncbi.nlm.nih.gov/protein/311893408","App")</f>
        <v>App</v>
      </c>
      <c r="D447" s="10">
        <f t="shared" si="6"/>
        <v>5.0862497006679153</v>
      </c>
      <c r="F447" s="8" t="str">
        <f>HYPERLINK("https://esbl.nhlbi.nih.gov/Databases/mpkFractions/proteomic_fractions_log_files/Yang_log_img/311893408.jpg","show blot")</f>
        <v>show blot</v>
      </c>
      <c r="H447" s="8" t="str">
        <f>HYPERLINK("https://esbl.nhlbi.nih.gov/Databases/mpkFractions/proteomic_fractions_linear_files/Yang_linear_img/311893408.jpg","show blot")</f>
        <v>show blot</v>
      </c>
      <c r="J447" s="5" t="s">
        <v>893</v>
      </c>
      <c r="L447" s="11">
        <v>5.0862497006679153</v>
      </c>
      <c r="N447" s="12"/>
    </row>
    <row r="448" spans="1:14" s="5" customFormat="1" ht="15" customHeight="1" x14ac:dyDescent="0.25">
      <c r="A448" s="9" t="s">
        <v>894</v>
      </c>
      <c r="C448" s="9" t="str">
        <f>HYPERLINK("http://www.ncbi.nlm.nih.gov/protein/47271504","App")</f>
        <v>App</v>
      </c>
      <c r="D448" s="10">
        <f t="shared" si="6"/>
        <v>5.0862497006679153</v>
      </c>
      <c r="F448" s="8" t="str">
        <f>HYPERLINK("https://esbl.nhlbi.nih.gov/Databases/mpkFractions/proteomic_fractions_log_files/Yang_log_img/47271504.jpg","show blot")</f>
        <v>show blot</v>
      </c>
      <c r="H448" s="8" t="str">
        <f>HYPERLINK("https://esbl.nhlbi.nih.gov/Databases/mpkFractions/proteomic_fractions_linear_files/Yang_linear_img/47271504.jpg","show blot")</f>
        <v>show blot</v>
      </c>
      <c r="J448" s="5" t="s">
        <v>895</v>
      </c>
      <c r="L448" s="11">
        <v>5.0862497006679153</v>
      </c>
      <c r="N448" s="12"/>
    </row>
    <row r="449" spans="1:14" s="5" customFormat="1" ht="15" customHeight="1" x14ac:dyDescent="0.25">
      <c r="A449" s="9" t="s">
        <v>896</v>
      </c>
      <c r="C449" s="9" t="str">
        <f>HYPERLINK("http://www.ncbi.nlm.nih.gov/protein/21699066","Appl1")</f>
        <v>Appl1</v>
      </c>
      <c r="D449" s="10">
        <f t="shared" si="6"/>
        <v>3.9950694058769791</v>
      </c>
      <c r="F449" s="8" t="str">
        <f>HYPERLINK("https://esbl.nhlbi.nih.gov/Databases/mpkFractions/proteomic_fractions_log_files/Yang_log_img/21699066.jpg","show blot")</f>
        <v>show blot</v>
      </c>
      <c r="H449" s="8" t="str">
        <f>HYPERLINK("https://esbl.nhlbi.nih.gov/Databases/mpkFractions/proteomic_fractions_linear_files/Yang_linear_img/21699066.jpg","show blot")</f>
        <v>show blot</v>
      </c>
      <c r="J449" s="5" t="s">
        <v>897</v>
      </c>
      <c r="L449" s="11">
        <v>3.9950694058769791</v>
      </c>
      <c r="N449" s="12"/>
    </row>
    <row r="450" spans="1:14" s="5" customFormat="1" ht="15" customHeight="1" x14ac:dyDescent="0.25">
      <c r="A450" s="9" t="s">
        <v>898</v>
      </c>
      <c r="C450" s="9" t="str">
        <f>HYPERLINK("http://www.ncbi.nlm.nih.gov/protein/21644587","Appl2")</f>
        <v>Appl2</v>
      </c>
      <c r="D450" s="10">
        <f t="shared" si="6"/>
        <v>2.189118372479677</v>
      </c>
      <c r="F450" s="8" t="str">
        <f>HYPERLINK("https://esbl.nhlbi.nih.gov/Databases/mpkFractions/proteomic_fractions_log_files/Yang_log_img/21644587.jpg","show blot")</f>
        <v>show blot</v>
      </c>
      <c r="H450" s="8" t="str">
        <f>HYPERLINK("https://esbl.nhlbi.nih.gov/Databases/mpkFractions/proteomic_fractions_linear_files/Yang_linear_img/21644587.jpg","show blot")</f>
        <v>show blot</v>
      </c>
      <c r="J450" s="5" t="s">
        <v>899</v>
      </c>
      <c r="L450" s="11">
        <v>2.189118372479677</v>
      </c>
      <c r="N450" s="12"/>
    </row>
    <row r="451" spans="1:14" s="5" customFormat="1" ht="15" customHeight="1" x14ac:dyDescent="0.25">
      <c r="A451" s="9" t="s">
        <v>900</v>
      </c>
      <c r="C451" s="9" t="str">
        <f>HYPERLINK("http://www.ncbi.nlm.nih.gov/protein/118601013","Aprt")</f>
        <v>Aprt</v>
      </c>
      <c r="D451" s="10">
        <f t="shared" si="6"/>
        <v>5.8851209795681738</v>
      </c>
      <c r="F451" s="8" t="str">
        <f>HYPERLINK("https://esbl.nhlbi.nih.gov/Databases/mpkFractions/proteomic_fractions_log_files/Yang_log_img/118601013.jpg","show blot")</f>
        <v>show blot</v>
      </c>
      <c r="H451" s="8" t="str">
        <f>HYPERLINK("https://esbl.nhlbi.nih.gov/Databases/mpkFractions/proteomic_fractions_linear_files/Yang_linear_img/118601013.jpg","show blot")</f>
        <v>show blot</v>
      </c>
      <c r="J451" s="5" t="s">
        <v>901</v>
      </c>
      <c r="L451" s="11">
        <v>5.8851209795681738</v>
      </c>
      <c r="N451" s="12"/>
    </row>
    <row r="452" spans="1:14" s="5" customFormat="1" ht="15" customHeight="1" x14ac:dyDescent="0.25">
      <c r="A452" s="9" t="s">
        <v>902</v>
      </c>
      <c r="C452" s="9" t="str">
        <f>HYPERLINK("http://www.ncbi.nlm.nih.gov/protein/160415209","Aqp2")</f>
        <v>Aqp2</v>
      </c>
      <c r="D452" s="10">
        <f t="shared" si="6"/>
        <v>6.1472555966488294</v>
      </c>
      <c r="F452" s="8" t="str">
        <f>HYPERLINK("https://esbl.nhlbi.nih.gov/Databases/mpkFractions/proteomic_fractions_log_files/Yang_log_img/160415209.jpg","show blot")</f>
        <v>show blot</v>
      </c>
      <c r="H452" s="8" t="str">
        <f>HYPERLINK("https://esbl.nhlbi.nih.gov/Databases/mpkFractions/proteomic_fractions_linear_files/Yang_linear_img/160415209.jpg","show blot")</f>
        <v>show blot</v>
      </c>
      <c r="J452" s="5" t="s">
        <v>903</v>
      </c>
      <c r="L452" s="11">
        <v>6.1472555966488294</v>
      </c>
      <c r="N452" s="12"/>
    </row>
    <row r="453" spans="1:14" s="5" customFormat="1" ht="15" customHeight="1" x14ac:dyDescent="0.25">
      <c r="A453" s="9" t="s">
        <v>904</v>
      </c>
      <c r="C453" s="9" t="str">
        <f>HYPERLINK("http://www.ncbi.nlm.nih.gov/protein/163644327","Aqr")</f>
        <v>Aqr</v>
      </c>
      <c r="D453" s="10">
        <f t="shared" ref="D453:D516" si="7">L453</f>
        <v>2.826291105891801</v>
      </c>
      <c r="F453" s="8" t="str">
        <f>HYPERLINK("https://esbl.nhlbi.nih.gov/Databases/mpkFractions/proteomic_fractions_log_files/Yang_log_img/163644327.jpg","show blot")</f>
        <v>show blot</v>
      </c>
      <c r="H453" s="8" t="str">
        <f>HYPERLINK("https://esbl.nhlbi.nih.gov/Databases/mpkFractions/proteomic_fractions_linear_files/Yang_linear_img/163644327.jpg","show blot")</f>
        <v>show blot</v>
      </c>
      <c r="J453" s="5" t="s">
        <v>905</v>
      </c>
      <c r="L453" s="11">
        <v>2.826291105891801</v>
      </c>
      <c r="N453" s="12"/>
    </row>
    <row r="454" spans="1:14" s="5" customFormat="1" ht="15" customHeight="1" x14ac:dyDescent="0.25">
      <c r="A454" s="9" t="s">
        <v>906</v>
      </c>
      <c r="C454" s="9" t="str">
        <f>HYPERLINK("http://www.ncbi.nlm.nih.gov/protein/227496776","Araf")</f>
        <v>Araf</v>
      </c>
      <c r="D454" s="10">
        <f t="shared" si="7"/>
        <v>5.4619567213126663</v>
      </c>
      <c r="F454" s="8" t="str">
        <f>HYPERLINK("https://esbl.nhlbi.nih.gov/Databases/mpkFractions/proteomic_fractions_log_files/Yang_log_img/227496776.jpg","show blot")</f>
        <v>show blot</v>
      </c>
      <c r="H454" s="8" t="str">
        <f>HYPERLINK("https://esbl.nhlbi.nih.gov/Databases/mpkFractions/proteomic_fractions_linear_files/Yang_linear_img/227496776.jpg","show blot")</f>
        <v>show blot</v>
      </c>
      <c r="J454" s="5" t="s">
        <v>907</v>
      </c>
      <c r="L454" s="11">
        <v>5.4619567213126663</v>
      </c>
      <c r="N454" s="12"/>
    </row>
    <row r="455" spans="1:14" s="5" customFormat="1" ht="15" customHeight="1" x14ac:dyDescent="0.25">
      <c r="A455" s="9" t="s">
        <v>908</v>
      </c>
      <c r="C455" s="9" t="str">
        <f>HYPERLINK("http://www.ncbi.nlm.nih.gov/protein/27545181","Araf")</f>
        <v>Araf</v>
      </c>
      <c r="D455" s="10">
        <f t="shared" si="7"/>
        <v>5.4619567213126663</v>
      </c>
      <c r="F455" s="8" t="str">
        <f>HYPERLINK("https://esbl.nhlbi.nih.gov/Databases/mpkFractions/proteomic_fractions_log_files/Yang_log_img/27545181.jpg","show blot")</f>
        <v>show blot</v>
      </c>
      <c r="H455" s="8" t="str">
        <f>HYPERLINK("https://esbl.nhlbi.nih.gov/Databases/mpkFractions/proteomic_fractions_linear_files/Yang_linear_img/27545181.jpg","show blot")</f>
        <v>show blot</v>
      </c>
      <c r="J455" s="5" t="s">
        <v>909</v>
      </c>
      <c r="L455" s="11">
        <v>5.4619567213126663</v>
      </c>
      <c r="N455" s="12"/>
    </row>
    <row r="456" spans="1:14" s="5" customFormat="1" ht="15" customHeight="1" x14ac:dyDescent="0.25">
      <c r="A456" s="9" t="s">
        <v>910</v>
      </c>
      <c r="C456" s="9" t="str">
        <f>HYPERLINK("http://www.ncbi.nlm.nih.gov/protein/148747410","Arcn1")</f>
        <v>Arcn1</v>
      </c>
      <c r="D456" s="10">
        <f t="shared" si="7"/>
        <v>5.8676321905300606</v>
      </c>
      <c r="F456" s="8" t="str">
        <f>HYPERLINK("https://esbl.nhlbi.nih.gov/Databases/mpkFractions/proteomic_fractions_log_files/Yang_log_img/148747410.jpg","show blot")</f>
        <v>show blot</v>
      </c>
      <c r="H456" s="8" t="str">
        <f>HYPERLINK("https://esbl.nhlbi.nih.gov/Databases/mpkFractions/proteomic_fractions_linear_files/Yang_linear_img/148747410.jpg","show blot")</f>
        <v>show blot</v>
      </c>
      <c r="J456" s="5" t="s">
        <v>911</v>
      </c>
      <c r="L456" s="11">
        <v>5.8676321905300606</v>
      </c>
      <c r="N456" s="12"/>
    </row>
    <row r="457" spans="1:14" s="5" customFormat="1" ht="15" customHeight="1" x14ac:dyDescent="0.25">
      <c r="A457" s="9" t="s">
        <v>912</v>
      </c>
      <c r="C457" s="9" t="str">
        <f>HYPERLINK("http://www.ncbi.nlm.nih.gov/protein/6680716","Arf1")</f>
        <v>Arf1</v>
      </c>
      <c r="D457" s="10">
        <f t="shared" si="7"/>
        <v>6.8937871331029479</v>
      </c>
      <c r="F457" s="8" t="str">
        <f>HYPERLINK("https://esbl.nhlbi.nih.gov/Databases/mpkFractions/proteomic_fractions_log_files/Yang_log_img/6680716.jpg","show blot")</f>
        <v>show blot</v>
      </c>
      <c r="H457" s="8" t="str">
        <f>HYPERLINK("https://esbl.nhlbi.nih.gov/Databases/mpkFractions/proteomic_fractions_linear_files/Yang_linear_img/6680716.jpg","show blot")</f>
        <v>show blot</v>
      </c>
      <c r="J457" s="5" t="s">
        <v>913</v>
      </c>
      <c r="L457" s="11">
        <v>6.8937871331029479</v>
      </c>
      <c r="N457" s="12"/>
    </row>
    <row r="458" spans="1:14" s="5" customFormat="1" ht="15" customHeight="1" x14ac:dyDescent="0.25">
      <c r="A458" s="9" t="s">
        <v>914</v>
      </c>
      <c r="C458" s="9" t="str">
        <f>HYPERLINK("http://www.ncbi.nlm.nih.gov/protein/6671571","Arf2")</f>
        <v>Arf2</v>
      </c>
      <c r="D458" s="10">
        <f t="shared" si="7"/>
        <v>6.8336351775280653</v>
      </c>
      <c r="F458" s="8" t="str">
        <f>HYPERLINK("https://esbl.nhlbi.nih.gov/Databases/mpkFractions/proteomic_fractions_log_files/Yang_log_img/6671571.jpg","show blot")</f>
        <v>show blot</v>
      </c>
      <c r="H458" s="8" t="str">
        <f>HYPERLINK("https://esbl.nhlbi.nih.gov/Databases/mpkFractions/proteomic_fractions_linear_files/Yang_linear_img/6671571.jpg","show blot")</f>
        <v>show blot</v>
      </c>
      <c r="J458" s="5" t="s">
        <v>915</v>
      </c>
      <c r="L458" s="11">
        <v>6.8336351775280653</v>
      </c>
      <c r="N458" s="12"/>
    </row>
    <row r="459" spans="1:14" s="5" customFormat="1" ht="15" customHeight="1" x14ac:dyDescent="0.25">
      <c r="A459" s="9" t="s">
        <v>916</v>
      </c>
      <c r="C459" s="9" t="str">
        <f>HYPERLINK("http://www.ncbi.nlm.nih.gov/protein/6680718","Arf3")</f>
        <v>Arf3</v>
      </c>
      <c r="D459" s="10">
        <f t="shared" si="7"/>
        <v>6.8846481669115267</v>
      </c>
      <c r="F459" s="8" t="str">
        <f>HYPERLINK("https://esbl.nhlbi.nih.gov/Databases/mpkFractions/proteomic_fractions_log_files/Yang_log_img/6680718.jpg","show blot")</f>
        <v>show blot</v>
      </c>
      <c r="H459" s="8" t="str">
        <f>HYPERLINK("https://esbl.nhlbi.nih.gov/Databases/mpkFractions/proteomic_fractions_linear_files/Yang_linear_img/6680718.jpg","show blot")</f>
        <v>show blot</v>
      </c>
      <c r="J459" s="5" t="s">
        <v>917</v>
      </c>
      <c r="L459" s="11">
        <v>6.8846481669115267</v>
      </c>
      <c r="N459" s="12"/>
    </row>
    <row r="460" spans="1:14" s="5" customFormat="1" ht="15" customHeight="1" x14ac:dyDescent="0.25">
      <c r="A460" s="9" t="s">
        <v>918</v>
      </c>
      <c r="C460" s="9" t="str">
        <f>HYPERLINK("http://www.ncbi.nlm.nih.gov/protein/6680720","Arf4")</f>
        <v>Arf4</v>
      </c>
      <c r="D460" s="10">
        <f t="shared" si="7"/>
        <v>6.5126910992920486</v>
      </c>
      <c r="F460" s="8" t="str">
        <f>HYPERLINK("https://esbl.nhlbi.nih.gov/Databases/mpkFractions/proteomic_fractions_log_files/Yang_log_img/6680720.jpg","show blot")</f>
        <v>show blot</v>
      </c>
      <c r="H460" s="8" t="str">
        <f>HYPERLINK("https://esbl.nhlbi.nih.gov/Databases/mpkFractions/proteomic_fractions_linear_files/Yang_linear_img/6680720.jpg","show blot")</f>
        <v>show blot</v>
      </c>
      <c r="J460" s="5" t="s">
        <v>919</v>
      </c>
      <c r="L460" s="11">
        <v>6.5126910992920486</v>
      </c>
      <c r="N460" s="12"/>
    </row>
    <row r="461" spans="1:14" s="5" customFormat="1" ht="15" customHeight="1" x14ac:dyDescent="0.25">
      <c r="A461" s="9" t="s">
        <v>920</v>
      </c>
      <c r="C461" s="9" t="str">
        <f>HYPERLINK("http://www.ncbi.nlm.nih.gov/protein/6680722","Arf5")</f>
        <v>Arf5</v>
      </c>
      <c r="D461" s="10">
        <f t="shared" si="7"/>
        <v>6.5543251953864257</v>
      </c>
      <c r="F461" s="8" t="str">
        <f>HYPERLINK("https://esbl.nhlbi.nih.gov/Databases/mpkFractions/proteomic_fractions_log_files/Yang_log_img/6680722.jpg","show blot")</f>
        <v>show blot</v>
      </c>
      <c r="H461" s="8" t="str">
        <f>HYPERLINK("https://esbl.nhlbi.nih.gov/Databases/mpkFractions/proteomic_fractions_linear_files/Yang_linear_img/6680722.jpg","show blot")</f>
        <v>show blot</v>
      </c>
      <c r="J461" s="5" t="s">
        <v>921</v>
      </c>
      <c r="L461" s="11">
        <v>6.5543251953864257</v>
      </c>
      <c r="N461" s="12"/>
    </row>
    <row r="462" spans="1:14" s="5" customFormat="1" ht="15" customHeight="1" x14ac:dyDescent="0.25">
      <c r="A462" s="9" t="s">
        <v>922</v>
      </c>
      <c r="C462" s="9" t="str">
        <f>HYPERLINK("http://www.ncbi.nlm.nih.gov/protein/6680724","Arf6")</f>
        <v>Arf6</v>
      </c>
      <c r="D462" s="10">
        <f t="shared" si="7"/>
        <v>6.0736211475505</v>
      </c>
      <c r="F462" s="8" t="str">
        <f>HYPERLINK("https://esbl.nhlbi.nih.gov/Databases/mpkFractions/proteomic_fractions_log_files/Yang_log_img/6680724.jpg","show blot")</f>
        <v>show blot</v>
      </c>
      <c r="H462" s="8" t="str">
        <f>HYPERLINK("https://esbl.nhlbi.nih.gov/Databases/mpkFractions/proteomic_fractions_linear_files/Yang_linear_img/6680724.jpg","show blot")</f>
        <v>show blot</v>
      </c>
      <c r="J462" s="5" t="s">
        <v>923</v>
      </c>
      <c r="L462" s="11">
        <v>6.0736211475505</v>
      </c>
      <c r="N462" s="12"/>
    </row>
    <row r="463" spans="1:14" s="5" customFormat="1" ht="15" customHeight="1" x14ac:dyDescent="0.25">
      <c r="A463" s="9" t="s">
        <v>924</v>
      </c>
      <c r="C463" s="9" t="str">
        <f>HYPERLINK("http://www.ncbi.nlm.nih.gov/protein/295148126","Arfgap1")</f>
        <v>Arfgap1</v>
      </c>
      <c r="D463" s="10">
        <f t="shared" si="7"/>
        <v>4.3939620122675942</v>
      </c>
      <c r="F463" s="8" t="str">
        <f>HYPERLINK("https://esbl.nhlbi.nih.gov/Databases/mpkFractions/proteomic_fractions_log_files/Yang_log_img/295148126.jpg","show blot")</f>
        <v>show blot</v>
      </c>
      <c r="H463" s="8" t="str">
        <f>HYPERLINK("https://esbl.nhlbi.nih.gov/Databases/mpkFractions/proteomic_fractions_linear_files/Yang_linear_img/295148126.jpg","show blot")</f>
        <v>show blot</v>
      </c>
      <c r="J463" s="5" t="s">
        <v>925</v>
      </c>
      <c r="L463" s="11">
        <v>4.3939620122675942</v>
      </c>
      <c r="N463" s="12"/>
    </row>
    <row r="464" spans="1:14" s="5" customFormat="1" ht="15" customHeight="1" x14ac:dyDescent="0.25">
      <c r="A464" s="9" t="s">
        <v>926</v>
      </c>
      <c r="C464" s="9" t="str">
        <f>HYPERLINK("http://www.ncbi.nlm.nih.gov/protein/295148131","Arfgap1")</f>
        <v>Arfgap1</v>
      </c>
      <c r="D464" s="10">
        <f t="shared" si="7"/>
        <v>4.3939620122675942</v>
      </c>
      <c r="F464" s="8" t="str">
        <f>HYPERLINK("https://esbl.nhlbi.nih.gov/Databases/mpkFractions/proteomic_fractions_log_files/Yang_log_img/295148131.jpg","show blot")</f>
        <v>show blot</v>
      </c>
      <c r="H464" s="8" t="str">
        <f>HYPERLINK("https://esbl.nhlbi.nih.gov/Databases/mpkFractions/proteomic_fractions_linear_files/Yang_linear_img/295148131.jpg","show blot")</f>
        <v>show blot</v>
      </c>
      <c r="J464" s="5" t="s">
        <v>927</v>
      </c>
      <c r="L464" s="11">
        <v>4.3939620122675942</v>
      </c>
      <c r="N464" s="12"/>
    </row>
    <row r="465" spans="1:14" s="5" customFormat="1" ht="15" customHeight="1" x14ac:dyDescent="0.25">
      <c r="A465" s="9" t="s">
        <v>928</v>
      </c>
      <c r="C465" s="9" t="str">
        <f>HYPERLINK("http://www.ncbi.nlm.nih.gov/protein/295148135","Arfgap1")</f>
        <v>Arfgap1</v>
      </c>
      <c r="D465" s="10">
        <f t="shared" si="7"/>
        <v>4.3939620122675942</v>
      </c>
      <c r="F465" s="8" t="str">
        <f>HYPERLINK("https://esbl.nhlbi.nih.gov/Databases/mpkFractions/proteomic_fractions_log_files/Yang_log_img/295148135.jpg","show blot")</f>
        <v>show blot</v>
      </c>
      <c r="H465" s="8" t="str">
        <f>HYPERLINK("https://esbl.nhlbi.nih.gov/Databases/mpkFractions/proteomic_fractions_linear_files/Yang_linear_img/295148135.jpg","show blot")</f>
        <v>show blot</v>
      </c>
      <c r="J465" s="5" t="s">
        <v>929</v>
      </c>
      <c r="L465" s="11">
        <v>4.3939620122675942</v>
      </c>
      <c r="N465" s="12"/>
    </row>
    <row r="466" spans="1:14" s="5" customFormat="1" ht="15" customHeight="1" x14ac:dyDescent="0.25">
      <c r="A466" s="9" t="s">
        <v>930</v>
      </c>
      <c r="C466" s="9" t="str">
        <f>HYPERLINK("http://www.ncbi.nlm.nih.gov/protein/31542139","Arfgap1")</f>
        <v>Arfgap1</v>
      </c>
      <c r="D466" s="10">
        <f t="shared" si="7"/>
        <v>4.3939620122675942</v>
      </c>
      <c r="F466" s="8" t="str">
        <f>HYPERLINK("https://esbl.nhlbi.nih.gov/Databases/mpkFractions/proteomic_fractions_log_files/Yang_log_img/31542139.jpg","show blot")</f>
        <v>show blot</v>
      </c>
      <c r="H466" s="8" t="str">
        <f>HYPERLINK("https://esbl.nhlbi.nih.gov/Databases/mpkFractions/proteomic_fractions_linear_files/Yang_linear_img/31542139.jpg","show blot")</f>
        <v>show blot</v>
      </c>
      <c r="J466" s="5" t="s">
        <v>931</v>
      </c>
      <c r="L466" s="11">
        <v>4.3939620122675942</v>
      </c>
      <c r="N466" s="12"/>
    </row>
    <row r="467" spans="1:14" s="5" customFormat="1" ht="15" customHeight="1" x14ac:dyDescent="0.25">
      <c r="A467" s="9" t="s">
        <v>932</v>
      </c>
      <c r="C467" s="9" t="str">
        <f>HYPERLINK("http://www.ncbi.nlm.nih.gov/protein/260763915","Arfgap2")</f>
        <v>Arfgap2</v>
      </c>
      <c r="D467" s="10">
        <f t="shared" si="7"/>
        <v>4.1152016452472804</v>
      </c>
      <c r="F467" s="8" t="str">
        <f>HYPERLINK("https://esbl.nhlbi.nih.gov/Databases/mpkFractions/proteomic_fractions_log_files/Yang_log_img/260763915.jpg","show blot")</f>
        <v>show blot</v>
      </c>
      <c r="H467" s="8" t="str">
        <f>HYPERLINK("https://esbl.nhlbi.nih.gov/Databases/mpkFractions/proteomic_fractions_linear_files/Yang_linear_img/260763915.jpg","show blot")</f>
        <v>show blot</v>
      </c>
      <c r="J467" s="5" t="s">
        <v>933</v>
      </c>
      <c r="L467" s="11">
        <v>4.1152016452472804</v>
      </c>
      <c r="N467" s="12"/>
    </row>
    <row r="468" spans="1:14" s="5" customFormat="1" ht="15" customHeight="1" x14ac:dyDescent="0.25">
      <c r="A468" s="9" t="s">
        <v>934</v>
      </c>
      <c r="C468" s="9" t="str">
        <f>HYPERLINK("http://www.ncbi.nlm.nih.gov/protein/260763917","Arfgap2")</f>
        <v>Arfgap2</v>
      </c>
      <c r="D468" s="10">
        <f t="shared" si="7"/>
        <v>4.1152016452472804</v>
      </c>
      <c r="F468" s="8" t="str">
        <f>HYPERLINK("https://esbl.nhlbi.nih.gov/Databases/mpkFractions/proteomic_fractions_log_files/Yang_log_img/260763917.jpg","show blot")</f>
        <v>show blot</v>
      </c>
      <c r="H468" s="8" t="str">
        <f>HYPERLINK("https://esbl.nhlbi.nih.gov/Databases/mpkFractions/proteomic_fractions_linear_files/Yang_linear_img/260763917.jpg","show blot")</f>
        <v>show blot</v>
      </c>
      <c r="J468" s="5" t="s">
        <v>935</v>
      </c>
      <c r="L468" s="11">
        <v>4.1152016452472804</v>
      </c>
      <c r="N468" s="12"/>
    </row>
    <row r="469" spans="1:14" s="5" customFormat="1" ht="15" customHeight="1" x14ac:dyDescent="0.25">
      <c r="A469" s="9" t="s">
        <v>936</v>
      </c>
      <c r="C469" s="9" t="str">
        <f>HYPERLINK("http://www.ncbi.nlm.nih.gov/protein/30841021","Arfgap3")</f>
        <v>Arfgap3</v>
      </c>
      <c r="D469" s="10">
        <f t="shared" si="7"/>
        <v>3.101809443578083</v>
      </c>
      <c r="F469" s="8" t="str">
        <f>HYPERLINK("https://esbl.nhlbi.nih.gov/Databases/mpkFractions/proteomic_fractions_log_files/Yang_log_img/30841021.jpg","show blot")</f>
        <v>show blot</v>
      </c>
      <c r="H469" s="8" t="str">
        <f>HYPERLINK("https://esbl.nhlbi.nih.gov/Databases/mpkFractions/proteomic_fractions_linear_files/Yang_linear_img/30841021.jpg","show blot")</f>
        <v>show blot</v>
      </c>
      <c r="J469" s="5" t="s">
        <v>937</v>
      </c>
      <c r="L469" s="11">
        <v>3.101809443578083</v>
      </c>
      <c r="N469" s="12"/>
    </row>
    <row r="470" spans="1:14" s="5" customFormat="1" ht="15" customHeight="1" x14ac:dyDescent="0.25">
      <c r="A470" s="9" t="s">
        <v>938</v>
      </c>
      <c r="C470" s="9" t="str">
        <f>HYPERLINK("http://www.ncbi.nlm.nih.gov/protein/156231075","Arfgef1")</f>
        <v>Arfgef1</v>
      </c>
      <c r="D470" s="10">
        <f t="shared" si="7"/>
        <v>5.4193122370516544</v>
      </c>
      <c r="F470" s="8" t="str">
        <f>HYPERLINK("https://esbl.nhlbi.nih.gov/Databases/mpkFractions/proteomic_fractions_log_files/Yang_log_img/156231075.jpg","show blot")</f>
        <v>show blot</v>
      </c>
      <c r="H470" s="8" t="str">
        <f>HYPERLINK("https://esbl.nhlbi.nih.gov/Databases/mpkFractions/proteomic_fractions_linear_files/Yang_linear_img/156231075.jpg","show blot")</f>
        <v>show blot</v>
      </c>
      <c r="J470" s="5" t="s">
        <v>939</v>
      </c>
      <c r="L470" s="11">
        <v>5.4193122370516544</v>
      </c>
      <c r="N470" s="12"/>
    </row>
    <row r="471" spans="1:14" s="5" customFormat="1" ht="15" customHeight="1" x14ac:dyDescent="0.25">
      <c r="A471" s="9" t="s">
        <v>940</v>
      </c>
      <c r="C471" s="9" t="str">
        <f>HYPERLINK("http://www.ncbi.nlm.nih.gov/protein/148229140","Arfgef2")</f>
        <v>Arfgef2</v>
      </c>
      <c r="D471" s="10">
        <f t="shared" si="7"/>
        <v>4.9459525292762994</v>
      </c>
      <c r="F471" s="8" t="str">
        <f>HYPERLINK("https://esbl.nhlbi.nih.gov/Databases/mpkFractions/proteomic_fractions_log_files/Yang_log_img/148229140.jpg","show blot")</f>
        <v>show blot</v>
      </c>
      <c r="H471" s="8" t="str">
        <f>HYPERLINK("https://esbl.nhlbi.nih.gov/Databases/mpkFractions/proteomic_fractions_linear_files/Yang_linear_img/148229140.jpg","show blot")</f>
        <v>show blot</v>
      </c>
      <c r="J471" s="5" t="s">
        <v>941</v>
      </c>
      <c r="L471" s="11">
        <v>4.9459525292762994</v>
      </c>
      <c r="N471" s="12"/>
    </row>
    <row r="472" spans="1:14" s="5" customFormat="1" ht="15" customHeight="1" x14ac:dyDescent="0.25">
      <c r="A472" s="9" t="s">
        <v>942</v>
      </c>
      <c r="C472" s="9" t="str">
        <f>HYPERLINK("http://www.ncbi.nlm.nih.gov/protein/124487362","Arfip1")</f>
        <v>Arfip1</v>
      </c>
      <c r="D472" s="10">
        <f t="shared" si="7"/>
        <v>6.0261757655819777</v>
      </c>
      <c r="F472" s="8" t="str">
        <f>HYPERLINK("https://esbl.nhlbi.nih.gov/Databases/mpkFractions/proteomic_fractions_log_files/Yang_log_img/124487362.jpg","show blot")</f>
        <v>show blot</v>
      </c>
      <c r="H472" s="8" t="str">
        <f>HYPERLINK("https://esbl.nhlbi.nih.gov/Databases/mpkFractions/proteomic_fractions_linear_files/Yang_linear_img/124487362.jpg","show blot")</f>
        <v>show blot</v>
      </c>
      <c r="J472" s="5" t="s">
        <v>943</v>
      </c>
      <c r="L472" s="11">
        <v>6.0261757655819777</v>
      </c>
      <c r="N472" s="12"/>
    </row>
    <row r="473" spans="1:14" s="5" customFormat="1" ht="15" customHeight="1" x14ac:dyDescent="0.25">
      <c r="A473" s="9" t="s">
        <v>944</v>
      </c>
      <c r="C473" s="9" t="str">
        <f>HYPERLINK("http://www.ncbi.nlm.nih.gov/protein/228008331","Arfip2")</f>
        <v>Arfip2</v>
      </c>
      <c r="D473" s="10">
        <f t="shared" si="7"/>
        <v>4.6381421201773216</v>
      </c>
      <c r="F473" s="8" t="str">
        <f>HYPERLINK("https://esbl.nhlbi.nih.gov/Databases/mpkFractions/proteomic_fractions_log_files/Yang_log_img/228008331.jpg","show blot")</f>
        <v>show blot</v>
      </c>
      <c r="H473" s="8" t="str">
        <f>HYPERLINK("https://esbl.nhlbi.nih.gov/Databases/mpkFractions/proteomic_fractions_linear_files/Yang_linear_img/228008331.jpg","show blot")</f>
        <v>show blot</v>
      </c>
      <c r="J473" s="5" t="s">
        <v>945</v>
      </c>
      <c r="L473" s="11">
        <v>4.6381421201773216</v>
      </c>
      <c r="N473" s="12"/>
    </row>
    <row r="474" spans="1:14" s="5" customFormat="1" ht="15" customHeight="1" x14ac:dyDescent="0.25">
      <c r="A474" s="9" t="s">
        <v>946</v>
      </c>
      <c r="C474" s="9" t="str">
        <f>HYPERLINK("http://www.ncbi.nlm.nih.gov/protein/260763870","Arfrp1")</f>
        <v>Arfrp1</v>
      </c>
      <c r="D474" s="10">
        <f t="shared" si="7"/>
        <v>4.378159896090823</v>
      </c>
      <c r="F474" s="8" t="str">
        <f>HYPERLINK("https://esbl.nhlbi.nih.gov/Databases/mpkFractions/proteomic_fractions_log_files/Yang_log_img/260763870.jpg","show blot")</f>
        <v>show blot</v>
      </c>
      <c r="H474" s="8" t="str">
        <f>HYPERLINK("https://esbl.nhlbi.nih.gov/Databases/mpkFractions/proteomic_fractions_linear_files/Yang_linear_img/260763870.jpg","show blot")</f>
        <v>show blot</v>
      </c>
      <c r="J474" s="5" t="s">
        <v>947</v>
      </c>
      <c r="L474" s="11">
        <v>4.378159896090823</v>
      </c>
      <c r="N474" s="12"/>
    </row>
    <row r="475" spans="1:14" s="5" customFormat="1" ht="15" customHeight="1" x14ac:dyDescent="0.25">
      <c r="A475" s="9" t="s">
        <v>948</v>
      </c>
      <c r="C475" s="9" t="str">
        <f>HYPERLINK("http://www.ncbi.nlm.nih.gov/protein/260763882","Arfrp1")</f>
        <v>Arfrp1</v>
      </c>
      <c r="D475" s="10">
        <f t="shared" si="7"/>
        <v>4.378159896090823</v>
      </c>
      <c r="F475" s="8" t="str">
        <f>HYPERLINK("https://esbl.nhlbi.nih.gov/Databases/mpkFractions/proteomic_fractions_log_files/Yang_log_img/260763882.jpg","show blot")</f>
        <v>show blot</v>
      </c>
      <c r="H475" s="8" t="str">
        <f>HYPERLINK("https://esbl.nhlbi.nih.gov/Databases/mpkFractions/proteomic_fractions_linear_files/Yang_linear_img/260763882.jpg","show blot")</f>
        <v>show blot</v>
      </c>
      <c r="J475" s="5" t="s">
        <v>949</v>
      </c>
      <c r="L475" s="11">
        <v>4.378159896090823</v>
      </c>
      <c r="N475" s="12"/>
    </row>
    <row r="476" spans="1:14" s="5" customFormat="1" ht="15" customHeight="1" x14ac:dyDescent="0.25">
      <c r="A476" s="9" t="s">
        <v>950</v>
      </c>
      <c r="C476" s="9" t="str">
        <f>HYPERLINK("http://www.ncbi.nlm.nih.gov/protein/7106255","Arg1")</f>
        <v>Arg1</v>
      </c>
      <c r="D476" s="10">
        <f t="shared" si="7"/>
        <v>3.8628943035002821</v>
      </c>
      <c r="F476" s="8" t="str">
        <f>HYPERLINK("https://esbl.nhlbi.nih.gov/Databases/mpkFractions/proteomic_fractions_log_files/Yang_log_img/7106255.jpg","show blot")</f>
        <v>show blot</v>
      </c>
      <c r="H476" s="8" t="str">
        <f>HYPERLINK("https://esbl.nhlbi.nih.gov/Databases/mpkFractions/proteomic_fractions_linear_files/Yang_linear_img/7106255.jpg","show blot")</f>
        <v>show blot</v>
      </c>
      <c r="J476" s="5" t="s">
        <v>951</v>
      </c>
      <c r="L476" s="11">
        <v>3.8628943035002821</v>
      </c>
      <c r="N476" s="12"/>
    </row>
    <row r="477" spans="1:14" s="5" customFormat="1" ht="15" customHeight="1" x14ac:dyDescent="0.25">
      <c r="A477" s="9" t="s">
        <v>952</v>
      </c>
      <c r="C477" s="9" t="str">
        <f>HYPERLINK("http://www.ncbi.nlm.nih.gov/protein/6753110","Arg2")</f>
        <v>Arg2</v>
      </c>
      <c r="D477" s="10">
        <f t="shared" si="7"/>
        <v>5.8968889010867542</v>
      </c>
      <c r="F477" s="8" t="str">
        <f>HYPERLINK("https://esbl.nhlbi.nih.gov/Databases/mpkFractions/proteomic_fractions_log_files/Yang_log_img/6753110.jpg","show blot")</f>
        <v>show blot</v>
      </c>
      <c r="H477" s="8" t="str">
        <f>HYPERLINK("https://esbl.nhlbi.nih.gov/Databases/mpkFractions/proteomic_fractions_linear_files/Yang_linear_img/6753110.jpg","show blot")</f>
        <v>show blot</v>
      </c>
      <c r="J477" s="5" t="s">
        <v>953</v>
      </c>
      <c r="L477" s="11">
        <v>5.8968889010867542</v>
      </c>
      <c r="N477" s="12"/>
    </row>
    <row r="478" spans="1:14" s="5" customFormat="1" ht="15" customHeight="1" x14ac:dyDescent="0.25">
      <c r="A478" s="9" t="s">
        <v>954</v>
      </c>
      <c r="C478" s="9" t="str">
        <f>HYPERLINK("http://www.ncbi.nlm.nih.gov/protein/134152669","Arglu1")</f>
        <v>Arglu1</v>
      </c>
      <c r="D478" s="10">
        <f t="shared" si="7"/>
        <v>4.1312120975483531</v>
      </c>
      <c r="F478" s="8" t="str">
        <f>HYPERLINK("https://esbl.nhlbi.nih.gov/Databases/mpkFractions/proteomic_fractions_log_files/Yang_log_img/134152669.jpg","show blot")</f>
        <v>show blot</v>
      </c>
      <c r="H478" s="8" t="str">
        <f>HYPERLINK("https://esbl.nhlbi.nih.gov/Databases/mpkFractions/proteomic_fractions_linear_files/Yang_linear_img/134152669.jpg","show blot")</f>
        <v>show blot</v>
      </c>
      <c r="J478" s="5" t="s">
        <v>955</v>
      </c>
      <c r="L478" s="11">
        <v>4.1312120975483531</v>
      </c>
      <c r="N478" s="12"/>
    </row>
    <row r="479" spans="1:14" s="5" customFormat="1" ht="15" customHeight="1" x14ac:dyDescent="0.25">
      <c r="A479" s="9" t="s">
        <v>956</v>
      </c>
      <c r="C479" s="9" t="str">
        <f>HYPERLINK("http://www.ncbi.nlm.nih.gov/protein/225543420","Arhgap1")</f>
        <v>Arhgap1</v>
      </c>
      <c r="D479" s="10">
        <f t="shared" si="7"/>
        <v>5.7299137344924684</v>
      </c>
      <c r="F479" s="8" t="str">
        <f>HYPERLINK("https://esbl.nhlbi.nih.gov/Databases/mpkFractions/proteomic_fractions_log_files/Yang_log_img/225543420.jpg","show blot")</f>
        <v>show blot</v>
      </c>
      <c r="H479" s="8" t="str">
        <f>HYPERLINK("https://esbl.nhlbi.nih.gov/Databases/mpkFractions/proteomic_fractions_linear_files/Yang_linear_img/225543420.jpg","show blot")</f>
        <v>show blot</v>
      </c>
      <c r="J479" s="5" t="s">
        <v>957</v>
      </c>
      <c r="L479" s="11">
        <v>5.7299137344924684</v>
      </c>
      <c r="N479" s="12"/>
    </row>
    <row r="480" spans="1:14" s="5" customFormat="1" ht="15" customHeight="1" x14ac:dyDescent="0.25">
      <c r="A480" s="9" t="s">
        <v>958</v>
      </c>
      <c r="C480" s="9" t="str">
        <f>HYPERLINK("http://www.ncbi.nlm.nih.gov/protein/225543424","Arhgap1")</f>
        <v>Arhgap1</v>
      </c>
      <c r="D480" s="10">
        <f t="shared" si="7"/>
        <v>5.7299137344924684</v>
      </c>
      <c r="F480" s="8" t="str">
        <f>HYPERLINK("https://esbl.nhlbi.nih.gov/Databases/mpkFractions/proteomic_fractions_log_files/Yang_log_img/225543424.jpg","show blot")</f>
        <v>show blot</v>
      </c>
      <c r="H480" s="8" t="str">
        <f>HYPERLINK("https://esbl.nhlbi.nih.gov/Databases/mpkFractions/proteomic_fractions_linear_files/Yang_linear_img/225543424.jpg","show blot")</f>
        <v>show blot</v>
      </c>
      <c r="J480" s="5" t="s">
        <v>959</v>
      </c>
      <c r="L480" s="11">
        <v>5.7299137344924684</v>
      </c>
      <c r="N480" s="12"/>
    </row>
    <row r="481" spans="1:14" s="5" customFormat="1" ht="15" customHeight="1" x14ac:dyDescent="0.25">
      <c r="A481" s="9" t="s">
        <v>960</v>
      </c>
      <c r="C481" s="9" t="str">
        <f>HYPERLINK("http://www.ncbi.nlm.nih.gov/protein/116174786","Arhgap10")</f>
        <v>Arhgap10</v>
      </c>
      <c r="D481" s="10">
        <f t="shared" si="7"/>
        <v>3.5861143938196611</v>
      </c>
      <c r="F481" s="8" t="str">
        <f>HYPERLINK("https://esbl.nhlbi.nih.gov/Databases/mpkFractions/proteomic_fractions_log_files/Yang_log_img/116174786.jpg","show blot")</f>
        <v>show blot</v>
      </c>
      <c r="H481" s="8" t="str">
        <f>HYPERLINK("https://esbl.nhlbi.nih.gov/Databases/mpkFractions/proteomic_fractions_linear_files/Yang_linear_img/116174786.jpg","show blot")</f>
        <v>show blot</v>
      </c>
      <c r="J481" s="5" t="s">
        <v>961</v>
      </c>
      <c r="L481" s="11">
        <v>3.5861143938196611</v>
      </c>
      <c r="N481" s="12"/>
    </row>
    <row r="482" spans="1:14" s="5" customFormat="1" ht="15" customHeight="1" x14ac:dyDescent="0.25">
      <c r="A482" s="9" t="s">
        <v>962</v>
      </c>
      <c r="C482" s="9" t="str">
        <f>HYPERLINK("http://www.ncbi.nlm.nih.gov/protein/169790939","Arhgap17")</f>
        <v>Arhgap17</v>
      </c>
      <c r="D482" s="10">
        <f t="shared" si="7"/>
        <v>1.353627758985543</v>
      </c>
      <c r="F482" s="8" t="str">
        <f>HYPERLINK("https://esbl.nhlbi.nih.gov/Databases/mpkFractions/proteomic_fractions_log_files/Yang_log_img/169790939.jpg","show blot")</f>
        <v>show blot</v>
      </c>
      <c r="H482" s="8" t="str">
        <f>HYPERLINK("https://esbl.nhlbi.nih.gov/Databases/mpkFractions/proteomic_fractions_linear_files/Yang_linear_img/169790939.jpg","show blot")</f>
        <v>show blot</v>
      </c>
      <c r="J482" s="5" t="s">
        <v>963</v>
      </c>
      <c r="L482" s="11">
        <v>1.353627758985543</v>
      </c>
      <c r="N482" s="12"/>
    </row>
    <row r="483" spans="1:14" s="5" customFormat="1" ht="15" customHeight="1" x14ac:dyDescent="0.25">
      <c r="A483" s="9" t="s">
        <v>964</v>
      </c>
      <c r="C483" s="9" t="str">
        <f>HYPERLINK("http://www.ncbi.nlm.nih.gov/protein/169790941","Arhgap17")</f>
        <v>Arhgap17</v>
      </c>
      <c r="D483" s="10">
        <f t="shared" si="7"/>
        <v>1.353627758985543</v>
      </c>
      <c r="F483" s="8" t="str">
        <f>HYPERLINK("https://esbl.nhlbi.nih.gov/Databases/mpkFractions/proteomic_fractions_log_files/Yang_log_img/169790941.jpg","show blot")</f>
        <v>show blot</v>
      </c>
      <c r="H483" s="8" t="str">
        <f>HYPERLINK("https://esbl.nhlbi.nih.gov/Databases/mpkFractions/proteomic_fractions_linear_files/Yang_linear_img/169790941.jpg","show blot")</f>
        <v>show blot</v>
      </c>
      <c r="J483" s="5" t="s">
        <v>965</v>
      </c>
      <c r="L483" s="11">
        <v>1.353627758985543</v>
      </c>
      <c r="N483" s="12"/>
    </row>
    <row r="484" spans="1:14" s="5" customFormat="1" ht="15" customHeight="1" x14ac:dyDescent="0.25">
      <c r="A484" s="9" t="s">
        <v>966</v>
      </c>
      <c r="C484" s="9" t="str">
        <f>HYPERLINK("http://www.ncbi.nlm.nih.gov/protein/169790943","Arhgap17")</f>
        <v>Arhgap17</v>
      </c>
      <c r="D484" s="10">
        <f t="shared" si="7"/>
        <v>1.353627758985543</v>
      </c>
      <c r="F484" s="8" t="str">
        <f>HYPERLINK("https://esbl.nhlbi.nih.gov/Databases/mpkFractions/proteomic_fractions_log_files/Yang_log_img/169790943.jpg","show blot")</f>
        <v>show blot</v>
      </c>
      <c r="H484" s="8" t="str">
        <f>HYPERLINK("https://esbl.nhlbi.nih.gov/Databases/mpkFractions/proteomic_fractions_linear_files/Yang_linear_img/169790943.jpg","show blot")</f>
        <v>show blot</v>
      </c>
      <c r="J484" s="5" t="s">
        <v>967</v>
      </c>
      <c r="L484" s="11">
        <v>1.353627758985543</v>
      </c>
      <c r="N484" s="12"/>
    </row>
    <row r="485" spans="1:14" s="5" customFormat="1" ht="15" customHeight="1" x14ac:dyDescent="0.25">
      <c r="A485" s="9" t="s">
        <v>968</v>
      </c>
      <c r="C485" s="9" t="str">
        <f>HYPERLINK("http://www.ncbi.nlm.nih.gov/protein/169790945","Arhgap17")</f>
        <v>Arhgap17</v>
      </c>
      <c r="D485" s="10">
        <f t="shared" si="7"/>
        <v>1.353627758985543</v>
      </c>
      <c r="F485" s="8" t="str">
        <f>HYPERLINK("https://esbl.nhlbi.nih.gov/Databases/mpkFractions/proteomic_fractions_log_files/Yang_log_img/169790945.jpg","show blot")</f>
        <v>show blot</v>
      </c>
      <c r="H485" s="8" t="str">
        <f>HYPERLINK("https://esbl.nhlbi.nih.gov/Databases/mpkFractions/proteomic_fractions_linear_files/Yang_linear_img/169790945.jpg","show blot")</f>
        <v>show blot</v>
      </c>
      <c r="J485" s="5" t="s">
        <v>969</v>
      </c>
      <c r="L485" s="11">
        <v>1.353627758985543</v>
      </c>
      <c r="N485" s="12"/>
    </row>
    <row r="486" spans="1:14" s="5" customFormat="1" ht="15" customHeight="1" x14ac:dyDescent="0.25">
      <c r="A486" s="9" t="s">
        <v>970</v>
      </c>
      <c r="C486" s="9" t="str">
        <f>HYPERLINK("http://www.ncbi.nlm.nih.gov/protein/169790947","Arhgap17")</f>
        <v>Arhgap17</v>
      </c>
      <c r="D486" s="10">
        <f t="shared" si="7"/>
        <v>1.353627758985543</v>
      </c>
      <c r="F486" s="8" t="str">
        <f>HYPERLINK("https://esbl.nhlbi.nih.gov/Databases/mpkFractions/proteomic_fractions_log_files/Yang_log_img/169790947.jpg","show blot")</f>
        <v>show blot</v>
      </c>
      <c r="H486" s="8" t="str">
        <f>HYPERLINK("https://esbl.nhlbi.nih.gov/Databases/mpkFractions/proteomic_fractions_linear_files/Yang_linear_img/169790947.jpg","show blot")</f>
        <v>show blot</v>
      </c>
      <c r="J486" s="5" t="s">
        <v>971</v>
      </c>
      <c r="L486" s="11">
        <v>1.353627758985543</v>
      </c>
      <c r="N486" s="12"/>
    </row>
    <row r="487" spans="1:14" s="5" customFormat="1" ht="15" customHeight="1" x14ac:dyDescent="0.25">
      <c r="A487" s="9" t="s">
        <v>972</v>
      </c>
      <c r="C487" s="9" t="str">
        <f>HYPERLINK("http://www.ncbi.nlm.nih.gov/protein/33563313","Arhgap18")</f>
        <v>Arhgap18</v>
      </c>
      <c r="D487" s="10">
        <f t="shared" si="7"/>
        <v>3.4457690517019062</v>
      </c>
      <c r="F487" s="8" t="str">
        <f>HYPERLINK("https://esbl.nhlbi.nih.gov/Databases/mpkFractions/proteomic_fractions_log_files/Yang_log_img/33563313.jpg","show blot")</f>
        <v>show blot</v>
      </c>
      <c r="H487" s="8" t="str">
        <f>HYPERLINK("https://esbl.nhlbi.nih.gov/Databases/mpkFractions/proteomic_fractions_linear_files/Yang_linear_img/33563313.jpg","show blot")</f>
        <v>show blot</v>
      </c>
      <c r="J487" s="5" t="s">
        <v>973</v>
      </c>
      <c r="L487" s="11">
        <v>3.4457690517019062</v>
      </c>
      <c r="N487" s="12"/>
    </row>
    <row r="488" spans="1:14" s="5" customFormat="1" ht="15" customHeight="1" x14ac:dyDescent="0.25">
      <c r="A488" s="9" t="s">
        <v>974</v>
      </c>
      <c r="C488" s="9" t="str">
        <f>HYPERLINK("http://www.ncbi.nlm.nih.gov/protein/83582811","Arhgap25")</f>
        <v>Arhgap25</v>
      </c>
      <c r="D488" s="10">
        <f t="shared" si="7"/>
        <v>2.5525465479556599</v>
      </c>
      <c r="F488" s="8" t="str">
        <f>HYPERLINK("https://esbl.nhlbi.nih.gov/Databases/mpkFractions/proteomic_fractions_log_files/Yang_log_img/83582811.jpg","show blot")</f>
        <v>show blot</v>
      </c>
      <c r="H488" s="8" t="str">
        <f>HYPERLINK("https://esbl.nhlbi.nih.gov/Databases/mpkFractions/proteomic_fractions_linear_files/Yang_linear_img/83582811.jpg","show blot")</f>
        <v>show blot</v>
      </c>
      <c r="J488" s="5" t="s">
        <v>975</v>
      </c>
      <c r="L488" s="11">
        <v>2.5525465479556599</v>
      </c>
      <c r="N488" s="12"/>
    </row>
    <row r="489" spans="1:14" s="5" customFormat="1" ht="15" customHeight="1" x14ac:dyDescent="0.25">
      <c r="A489" s="9" t="s">
        <v>976</v>
      </c>
      <c r="C489" s="9" t="str">
        <f>HYPERLINK("http://www.ncbi.nlm.nih.gov/protein/83582813","Arhgap25")</f>
        <v>Arhgap25</v>
      </c>
      <c r="D489" s="10">
        <f t="shared" si="7"/>
        <v>2.5525465479556599</v>
      </c>
      <c r="F489" s="8" t="str">
        <f>HYPERLINK("https://esbl.nhlbi.nih.gov/Databases/mpkFractions/proteomic_fractions_log_files/Yang_log_img/83582813.jpg","show blot")</f>
        <v>show blot</v>
      </c>
      <c r="H489" s="8" t="str">
        <f>HYPERLINK("https://esbl.nhlbi.nih.gov/Databases/mpkFractions/proteomic_fractions_linear_files/Yang_linear_img/83582813.jpg","show blot")</f>
        <v>show blot</v>
      </c>
      <c r="J489" s="5" t="s">
        <v>977</v>
      </c>
      <c r="L489" s="11">
        <v>2.5525465479556599</v>
      </c>
      <c r="N489" s="12"/>
    </row>
    <row r="490" spans="1:14" s="5" customFormat="1" ht="15" customHeight="1" x14ac:dyDescent="0.25">
      <c r="A490" s="9" t="s">
        <v>978</v>
      </c>
      <c r="C490" s="9" t="str">
        <f>HYPERLINK("http://www.ncbi.nlm.nih.gov/protein/83776555","Arhgap27")</f>
        <v>Arhgap27</v>
      </c>
      <c r="D490" s="10">
        <f t="shared" si="7"/>
        <v>4.6458007654217992</v>
      </c>
      <c r="F490" s="8" t="str">
        <f>HYPERLINK("https://esbl.nhlbi.nih.gov/Databases/mpkFractions/proteomic_fractions_log_files/Yang_log_img/83776555.jpg","show blot")</f>
        <v>show blot</v>
      </c>
      <c r="H490" s="8" t="str">
        <f>HYPERLINK("https://esbl.nhlbi.nih.gov/Databases/mpkFractions/proteomic_fractions_linear_files/Yang_linear_img/83776555.jpg","show blot")</f>
        <v>show blot</v>
      </c>
      <c r="J490" s="5" t="s">
        <v>979</v>
      </c>
      <c r="L490" s="11">
        <v>4.6458007654217992</v>
      </c>
      <c r="N490" s="12"/>
    </row>
    <row r="491" spans="1:14" s="5" customFormat="1" ht="15" customHeight="1" x14ac:dyDescent="0.25">
      <c r="A491" s="9" t="s">
        <v>980</v>
      </c>
      <c r="C491" s="9" t="str">
        <f>HYPERLINK("http://www.ncbi.nlm.nih.gov/protein/118130870","Arhgap27")</f>
        <v>Arhgap27</v>
      </c>
      <c r="D491" s="10">
        <f t="shared" si="7"/>
        <v>4.6458007654217992</v>
      </c>
      <c r="F491" s="8" t="str">
        <f>HYPERLINK("https://esbl.nhlbi.nih.gov/Databases/mpkFractions/proteomic_fractions_log_files/Yang_log_img/118130870.jpg","show blot")</f>
        <v>show blot</v>
      </c>
      <c r="H491" s="8" t="str">
        <f>HYPERLINK("https://esbl.nhlbi.nih.gov/Databases/mpkFractions/proteomic_fractions_linear_files/Yang_linear_img/118130870.jpg","show blot")</f>
        <v>show blot</v>
      </c>
      <c r="J491" s="5" t="s">
        <v>981</v>
      </c>
      <c r="L491" s="11">
        <v>4.6458007654217992</v>
      </c>
      <c r="N491" s="12"/>
    </row>
    <row r="492" spans="1:14" s="5" customFormat="1" ht="15" customHeight="1" x14ac:dyDescent="0.25">
      <c r="A492" s="9" t="s">
        <v>982</v>
      </c>
      <c r="C492" s="9" t="str">
        <f>HYPERLINK("http://www.ncbi.nlm.nih.gov/protein/327412300","Arhgap27")</f>
        <v>Arhgap27</v>
      </c>
      <c r="D492" s="10">
        <f t="shared" si="7"/>
        <v>4.6458007654217992</v>
      </c>
      <c r="F492" s="8" t="str">
        <f>HYPERLINK("https://esbl.nhlbi.nih.gov/Databases/mpkFractions/proteomic_fractions_log_files/Yang_log_img/327412300.jpg","show blot")</f>
        <v>show blot</v>
      </c>
      <c r="H492" s="8" t="str">
        <f>HYPERLINK("https://esbl.nhlbi.nih.gov/Databases/mpkFractions/proteomic_fractions_linear_files/Yang_linear_img/327412300.jpg","show blot")</f>
        <v>show blot</v>
      </c>
      <c r="J492" s="5" t="s">
        <v>983</v>
      </c>
      <c r="L492" s="11">
        <v>4.6458007654217992</v>
      </c>
      <c r="N492" s="12"/>
    </row>
    <row r="493" spans="1:14" s="5" customFormat="1" ht="15" customHeight="1" x14ac:dyDescent="0.25">
      <c r="A493" s="9" t="s">
        <v>984</v>
      </c>
      <c r="C493" s="9" t="str">
        <f>HYPERLINK("http://www.ncbi.nlm.nih.gov/protein/33563303","Arhgap29")</f>
        <v>Arhgap29</v>
      </c>
      <c r="D493" s="10">
        <f t="shared" si="7"/>
        <v>3.7875761816799902</v>
      </c>
      <c r="F493" s="8" t="str">
        <f>HYPERLINK("https://esbl.nhlbi.nih.gov/Databases/mpkFractions/proteomic_fractions_log_files/Yang_log_img/33563303.jpg","show blot")</f>
        <v>show blot</v>
      </c>
      <c r="H493" s="8" t="str">
        <f>HYPERLINK("https://esbl.nhlbi.nih.gov/Databases/mpkFractions/proteomic_fractions_linear_files/Yang_linear_img/33563303.jpg","show blot")</f>
        <v>show blot</v>
      </c>
      <c r="J493" s="5" t="s">
        <v>985</v>
      </c>
      <c r="L493" s="11">
        <v>3.7875761816799902</v>
      </c>
      <c r="N493" s="12"/>
    </row>
    <row r="494" spans="1:14" s="5" customFormat="1" ht="15" customHeight="1" x14ac:dyDescent="0.25">
      <c r="A494" s="9" t="s">
        <v>986</v>
      </c>
      <c r="C494" s="9" t="str">
        <f>HYPERLINK("http://www.ncbi.nlm.nih.gov/protein/229608953","Arhgap30")</f>
        <v>Arhgap30</v>
      </c>
      <c r="D494" s="10">
        <f t="shared" si="7"/>
        <v>3.883926046317892</v>
      </c>
      <c r="F494" s="8" t="str">
        <f>HYPERLINK("https://esbl.nhlbi.nih.gov/Databases/mpkFractions/proteomic_fractions_log_files/Yang_log_img/229608953.jpg","show blot")</f>
        <v>show blot</v>
      </c>
      <c r="H494" s="8" t="str">
        <f>HYPERLINK("https://esbl.nhlbi.nih.gov/Databases/mpkFractions/proteomic_fractions_linear_files/Yang_linear_img/229608953.jpg","show blot")</f>
        <v>show blot</v>
      </c>
      <c r="J494" s="5" t="s">
        <v>987</v>
      </c>
      <c r="L494" s="11">
        <v>3.883926046317892</v>
      </c>
      <c r="N494" s="12"/>
    </row>
    <row r="495" spans="1:14" s="5" customFormat="1" ht="15" customHeight="1" x14ac:dyDescent="0.25">
      <c r="A495" s="9" t="s">
        <v>988</v>
      </c>
      <c r="C495" s="9" t="str">
        <f>HYPERLINK("http://www.ncbi.nlm.nih.gov/protein/30142699","Arhgap33")</f>
        <v>Arhgap33</v>
      </c>
      <c r="D495" s="10">
        <f t="shared" si="7"/>
        <v>2.3843556396062602</v>
      </c>
      <c r="F495" s="8" t="str">
        <f>HYPERLINK("https://esbl.nhlbi.nih.gov/Databases/mpkFractions/proteomic_fractions_log_files/Yang_log_img/30142699.jpg","show blot")</f>
        <v>show blot</v>
      </c>
      <c r="H495" s="8" t="str">
        <f>HYPERLINK("https://esbl.nhlbi.nih.gov/Databases/mpkFractions/proteomic_fractions_linear_files/Yang_linear_img/30142699.jpg","show blot")</f>
        <v>show blot</v>
      </c>
      <c r="J495" s="5" t="s">
        <v>989</v>
      </c>
      <c r="L495" s="11">
        <v>2.3843556396062602</v>
      </c>
      <c r="N495" s="12"/>
    </row>
    <row r="496" spans="1:14" s="5" customFormat="1" ht="15" customHeight="1" x14ac:dyDescent="0.25">
      <c r="A496" s="9" t="s">
        <v>990</v>
      </c>
      <c r="C496" s="9" t="str">
        <f>HYPERLINK("http://www.ncbi.nlm.nih.gov/protein/86262151","Arhgap5")</f>
        <v>Arhgap5</v>
      </c>
      <c r="D496" s="10">
        <f t="shared" si="7"/>
        <v>4.0672405599216486</v>
      </c>
      <c r="F496" s="8" t="str">
        <f>HYPERLINK("https://esbl.nhlbi.nih.gov/Databases/mpkFractions/proteomic_fractions_log_files/Yang_log_img/86262151.jpg","show blot")</f>
        <v>show blot</v>
      </c>
      <c r="H496" s="8" t="str">
        <f>HYPERLINK("https://esbl.nhlbi.nih.gov/Databases/mpkFractions/proteomic_fractions_linear_files/Yang_linear_img/86262151.jpg","show blot")</f>
        <v>show blot</v>
      </c>
      <c r="J496" s="5" t="s">
        <v>991</v>
      </c>
      <c r="L496" s="11">
        <v>4.0672405599216486</v>
      </c>
      <c r="N496" s="12"/>
    </row>
    <row r="497" spans="1:14" s="5" customFormat="1" ht="15" customHeight="1" x14ac:dyDescent="0.25">
      <c r="A497" s="9" t="s">
        <v>992</v>
      </c>
      <c r="C497" s="9" t="str">
        <f>HYPERLINK("http://www.ncbi.nlm.nih.gov/protein/31982030","Arhgdia")</f>
        <v>Arhgdia</v>
      </c>
      <c r="D497" s="10">
        <f t="shared" si="7"/>
        <v>6.7317181873618326</v>
      </c>
      <c r="F497" s="8" t="str">
        <f>HYPERLINK("https://esbl.nhlbi.nih.gov/Databases/mpkFractions/proteomic_fractions_log_files/Yang_log_img/31982030.jpg","show blot")</f>
        <v>show blot</v>
      </c>
      <c r="H497" s="8" t="str">
        <f>HYPERLINK("https://esbl.nhlbi.nih.gov/Databases/mpkFractions/proteomic_fractions_linear_files/Yang_linear_img/31982030.jpg","show blot")</f>
        <v>show blot</v>
      </c>
      <c r="J497" s="5" t="s">
        <v>993</v>
      </c>
      <c r="L497" s="11">
        <v>6.7317181873618326</v>
      </c>
      <c r="N497" s="12"/>
    </row>
    <row r="498" spans="1:14" s="5" customFormat="1" ht="15" customHeight="1" x14ac:dyDescent="0.25">
      <c r="A498" s="9" t="s">
        <v>994</v>
      </c>
      <c r="C498" s="9" t="str">
        <f>HYPERLINK("http://www.ncbi.nlm.nih.gov/protein/33563236","Arhgdib")</f>
        <v>Arhgdib</v>
      </c>
      <c r="D498" s="10">
        <f t="shared" si="7"/>
        <v>5.7413215253353798</v>
      </c>
      <c r="F498" s="8" t="str">
        <f>HYPERLINK("https://esbl.nhlbi.nih.gov/Databases/mpkFractions/proteomic_fractions_log_files/Yang_log_img/33563236.jpg","show blot")</f>
        <v>show blot</v>
      </c>
      <c r="H498" s="8" t="str">
        <f>HYPERLINK("https://esbl.nhlbi.nih.gov/Databases/mpkFractions/proteomic_fractions_linear_files/Yang_linear_img/33563236.jpg","show blot")</f>
        <v>show blot</v>
      </c>
      <c r="J498" s="5" t="s">
        <v>995</v>
      </c>
      <c r="L498" s="11">
        <v>5.7413215253353798</v>
      </c>
      <c r="N498" s="12"/>
    </row>
    <row r="499" spans="1:14" s="5" customFormat="1" ht="15" customHeight="1" x14ac:dyDescent="0.25">
      <c r="A499" s="9" t="s">
        <v>996</v>
      </c>
      <c r="C499" s="9" t="str">
        <f>HYPERLINK("http://www.ncbi.nlm.nih.gov/protein/194306547","Arhgef1")</f>
        <v>Arhgef1</v>
      </c>
      <c r="D499" s="10">
        <f t="shared" si="7"/>
        <v>4.0630023209103143</v>
      </c>
      <c r="F499" s="8" t="str">
        <f>HYPERLINK("https://esbl.nhlbi.nih.gov/Databases/mpkFractions/proteomic_fractions_log_files/Yang_log_img/194306547.jpg","show blot")</f>
        <v>show blot</v>
      </c>
      <c r="H499" s="8" t="str">
        <f>HYPERLINK("https://esbl.nhlbi.nih.gov/Databases/mpkFractions/proteomic_fractions_linear_files/Yang_linear_img/194306547.jpg","show blot")</f>
        <v>show blot</v>
      </c>
      <c r="J499" s="5" t="s">
        <v>997</v>
      </c>
      <c r="L499" s="11">
        <v>4.0630023209103143</v>
      </c>
      <c r="N499" s="12"/>
    </row>
    <row r="500" spans="1:14" s="5" customFormat="1" ht="15" customHeight="1" x14ac:dyDescent="0.25">
      <c r="A500" s="9" t="s">
        <v>998</v>
      </c>
      <c r="C500" s="9" t="str">
        <f>HYPERLINK("http://www.ncbi.nlm.nih.gov/protein/194306549","Arhgef1")</f>
        <v>Arhgef1</v>
      </c>
      <c r="D500" s="10">
        <f t="shared" si="7"/>
        <v>4.0630023209103143</v>
      </c>
      <c r="F500" s="8" t="str">
        <f>HYPERLINK("https://esbl.nhlbi.nih.gov/Databases/mpkFractions/proteomic_fractions_log_files/Yang_log_img/194306549.jpg","show blot")</f>
        <v>show blot</v>
      </c>
      <c r="H500" s="8" t="str">
        <f>HYPERLINK("https://esbl.nhlbi.nih.gov/Databases/mpkFractions/proteomic_fractions_linear_files/Yang_linear_img/194306549.jpg","show blot")</f>
        <v>show blot</v>
      </c>
      <c r="J500" s="5" t="s">
        <v>999</v>
      </c>
      <c r="L500" s="11">
        <v>4.0630023209103143</v>
      </c>
      <c r="N500" s="12"/>
    </row>
    <row r="501" spans="1:14" s="5" customFormat="1" ht="15" customHeight="1" x14ac:dyDescent="0.25">
      <c r="A501" s="9" t="s">
        <v>1000</v>
      </c>
      <c r="C501" s="9" t="str">
        <f>HYPERLINK("http://www.ncbi.nlm.nih.gov/protein/194306551","Arhgef1")</f>
        <v>Arhgef1</v>
      </c>
      <c r="D501" s="10">
        <f t="shared" si="7"/>
        <v>4.0630023209103143</v>
      </c>
      <c r="F501" s="8" t="str">
        <f>HYPERLINK("https://esbl.nhlbi.nih.gov/Databases/mpkFractions/proteomic_fractions_log_files/Yang_log_img/194306551.jpg","show blot")</f>
        <v>show blot</v>
      </c>
      <c r="H501" s="8" t="str">
        <f>HYPERLINK("https://esbl.nhlbi.nih.gov/Databases/mpkFractions/proteomic_fractions_linear_files/Yang_linear_img/194306551.jpg","show blot")</f>
        <v>show blot</v>
      </c>
      <c r="J501" s="5" t="s">
        <v>1001</v>
      </c>
      <c r="L501" s="11">
        <v>4.0630023209103143</v>
      </c>
      <c r="N501" s="12"/>
    </row>
    <row r="502" spans="1:14" s="5" customFormat="1" ht="15" customHeight="1" x14ac:dyDescent="0.25">
      <c r="A502" s="9" t="s">
        <v>1002</v>
      </c>
      <c r="C502" s="9" t="str">
        <f>HYPERLINK("http://www.ncbi.nlm.nih.gov/protein/6678668","Arhgef1")</f>
        <v>Arhgef1</v>
      </c>
      <c r="D502" s="10">
        <f t="shared" si="7"/>
        <v>4.0630023209103143</v>
      </c>
      <c r="F502" s="8" t="str">
        <f>HYPERLINK("https://esbl.nhlbi.nih.gov/Databases/mpkFractions/proteomic_fractions_log_files/Yang_log_img/6678668.jpg","show blot")</f>
        <v>show blot</v>
      </c>
      <c r="H502" s="8" t="str">
        <f>HYPERLINK("https://esbl.nhlbi.nih.gov/Databases/mpkFractions/proteomic_fractions_linear_files/Yang_linear_img/6678668.jpg","show blot")</f>
        <v>show blot</v>
      </c>
      <c r="J502" s="5" t="s">
        <v>1003</v>
      </c>
      <c r="L502" s="11">
        <v>4.0630023209103143</v>
      </c>
      <c r="N502" s="12"/>
    </row>
    <row r="503" spans="1:14" s="5" customFormat="1" ht="15" customHeight="1" x14ac:dyDescent="0.25">
      <c r="A503" s="9" t="s">
        <v>1004</v>
      </c>
      <c r="C503" s="9" t="str">
        <f>HYPERLINK("http://www.ncbi.nlm.nih.gov/protein/111378383","Arhgef10")</f>
        <v>Arhgef10</v>
      </c>
      <c r="D503" s="10">
        <f t="shared" si="7"/>
        <v>2.7152978555939811</v>
      </c>
      <c r="F503" s="8" t="str">
        <f>HYPERLINK("https://esbl.nhlbi.nih.gov/Databases/mpkFractions/proteomic_fractions_log_files/Yang_log_img/111378383.jpg","show blot")</f>
        <v>show blot</v>
      </c>
      <c r="H503" s="8" t="str">
        <f>HYPERLINK("https://esbl.nhlbi.nih.gov/Databases/mpkFractions/proteomic_fractions_linear_files/Yang_linear_img/111378383.jpg","show blot")</f>
        <v>show blot</v>
      </c>
      <c r="J503" s="5" t="s">
        <v>1005</v>
      </c>
      <c r="L503" s="11">
        <v>2.7152978555939811</v>
      </c>
      <c r="N503" s="12"/>
    </row>
    <row r="504" spans="1:14" s="5" customFormat="1" ht="15" customHeight="1" x14ac:dyDescent="0.25">
      <c r="A504" s="9" t="s">
        <v>1006</v>
      </c>
      <c r="C504" s="9" t="str">
        <f>HYPERLINK("http://www.ncbi.nlm.nih.gov/protein/111378388","Arhgef10")</f>
        <v>Arhgef10</v>
      </c>
      <c r="D504" s="10">
        <f t="shared" si="7"/>
        <v>2.7152978555939811</v>
      </c>
      <c r="F504" s="8" t="str">
        <f>HYPERLINK("https://esbl.nhlbi.nih.gov/Databases/mpkFractions/proteomic_fractions_log_files/Yang_log_img/111378388.jpg","show blot")</f>
        <v>show blot</v>
      </c>
      <c r="H504" s="8" t="str">
        <f>HYPERLINK("https://esbl.nhlbi.nih.gov/Databases/mpkFractions/proteomic_fractions_linear_files/Yang_linear_img/111378388.jpg","show blot")</f>
        <v>show blot</v>
      </c>
      <c r="J504" s="5" t="s">
        <v>1007</v>
      </c>
      <c r="L504" s="11">
        <v>2.7152978555939811</v>
      </c>
      <c r="N504" s="12"/>
    </row>
    <row r="505" spans="1:14" s="5" customFormat="1" ht="15" customHeight="1" x14ac:dyDescent="0.25">
      <c r="A505" s="9" t="s">
        <v>1008</v>
      </c>
      <c r="C505" s="9" t="str">
        <f>HYPERLINK("http://www.ncbi.nlm.nih.gov/protein/163310755","Arhgef10l")</f>
        <v>Arhgef10l</v>
      </c>
      <c r="D505" s="10">
        <f t="shared" si="7"/>
        <v>4.0324051290825738</v>
      </c>
      <c r="F505" s="8" t="str">
        <f>HYPERLINK("https://esbl.nhlbi.nih.gov/Databases/mpkFractions/proteomic_fractions_log_files/Yang_log_img/163310755.jpg","show blot")</f>
        <v>show blot</v>
      </c>
      <c r="H505" s="8" t="str">
        <f>HYPERLINK("https://esbl.nhlbi.nih.gov/Databases/mpkFractions/proteomic_fractions_linear_files/Yang_linear_img/163310755.jpg","show blot")</f>
        <v>show blot</v>
      </c>
      <c r="J505" s="5" t="s">
        <v>1009</v>
      </c>
      <c r="L505" s="11">
        <v>4.0324051290825738</v>
      </c>
      <c r="N505" s="12"/>
    </row>
    <row r="506" spans="1:14" s="5" customFormat="1" ht="15" customHeight="1" x14ac:dyDescent="0.25">
      <c r="A506" s="9" t="s">
        <v>1010</v>
      </c>
      <c r="C506" s="9" t="str">
        <f>HYPERLINK("http://www.ncbi.nlm.nih.gov/protein/163310757","Arhgef10l")</f>
        <v>Arhgef10l</v>
      </c>
      <c r="D506" s="10">
        <f t="shared" si="7"/>
        <v>4.0324051290825738</v>
      </c>
      <c r="F506" s="8" t="str">
        <f>HYPERLINK("https://esbl.nhlbi.nih.gov/Databases/mpkFractions/proteomic_fractions_log_files/Yang_log_img/163310757.jpg","show blot")</f>
        <v>show blot</v>
      </c>
      <c r="H506" s="8" t="str">
        <f>HYPERLINK("https://esbl.nhlbi.nih.gov/Databases/mpkFractions/proteomic_fractions_linear_files/Yang_linear_img/163310757.jpg","show blot")</f>
        <v>show blot</v>
      </c>
      <c r="J506" s="5" t="s">
        <v>1011</v>
      </c>
      <c r="L506" s="11">
        <v>4.0324051290825738</v>
      </c>
      <c r="N506" s="12"/>
    </row>
    <row r="507" spans="1:14" s="5" customFormat="1" ht="15" customHeight="1" x14ac:dyDescent="0.25">
      <c r="A507" s="9" t="s">
        <v>1012</v>
      </c>
      <c r="C507" s="9" t="str">
        <f>HYPERLINK("http://www.ncbi.nlm.nih.gov/protein/163310759","Arhgef10l")</f>
        <v>Arhgef10l</v>
      </c>
      <c r="D507" s="10">
        <f t="shared" si="7"/>
        <v>4.0324051290825738</v>
      </c>
      <c r="F507" s="8" t="str">
        <f>HYPERLINK("https://esbl.nhlbi.nih.gov/Databases/mpkFractions/proteomic_fractions_log_files/Yang_log_img/163310759.jpg","show blot")</f>
        <v>show blot</v>
      </c>
      <c r="H507" s="8" t="str">
        <f>HYPERLINK("https://esbl.nhlbi.nih.gov/Databases/mpkFractions/proteomic_fractions_linear_files/Yang_linear_img/163310759.jpg","show blot")</f>
        <v>show blot</v>
      </c>
      <c r="J507" s="5" t="s">
        <v>1013</v>
      </c>
      <c r="L507" s="11">
        <v>4.0324051290825738</v>
      </c>
      <c r="N507" s="12"/>
    </row>
    <row r="508" spans="1:14" s="5" customFormat="1" ht="15" customHeight="1" x14ac:dyDescent="0.25">
      <c r="A508" s="9" t="s">
        <v>1014</v>
      </c>
      <c r="C508" s="9" t="str">
        <f>HYPERLINK("http://www.ncbi.nlm.nih.gov/protein/51491850","Arhgef11")</f>
        <v>Arhgef11</v>
      </c>
      <c r="D508" s="10">
        <f t="shared" si="7"/>
        <v>3.1093908124833418</v>
      </c>
      <c r="F508" s="8" t="str">
        <f>HYPERLINK("https://esbl.nhlbi.nih.gov/Databases/mpkFractions/proteomic_fractions_log_files/Yang_log_img/51491850.jpg","show blot")</f>
        <v>show blot</v>
      </c>
      <c r="H508" s="8" t="str">
        <f>HYPERLINK("https://esbl.nhlbi.nih.gov/Databases/mpkFractions/proteomic_fractions_linear_files/Yang_linear_img/51491850.jpg","show blot")</f>
        <v>show blot</v>
      </c>
      <c r="J508" s="5" t="s">
        <v>1015</v>
      </c>
      <c r="L508" s="11">
        <v>3.1093908124833418</v>
      </c>
      <c r="N508" s="12"/>
    </row>
    <row r="509" spans="1:14" s="5" customFormat="1" ht="15" customHeight="1" x14ac:dyDescent="0.25">
      <c r="A509" s="9" t="s">
        <v>1016</v>
      </c>
      <c r="C509" s="9" t="str">
        <f>HYPERLINK("http://www.ncbi.nlm.nih.gov/protein/145046273","Arhgef12")</f>
        <v>Arhgef12</v>
      </c>
      <c r="D509" s="10">
        <f t="shared" si="7"/>
        <v>3.8818366789940031</v>
      </c>
      <c r="F509" s="8" t="str">
        <f>HYPERLINK("https://esbl.nhlbi.nih.gov/Databases/mpkFractions/proteomic_fractions_log_files/Yang_log_img/145046273.jpg","show blot")</f>
        <v>show blot</v>
      </c>
      <c r="H509" s="8" t="str">
        <f>HYPERLINK("https://esbl.nhlbi.nih.gov/Databases/mpkFractions/proteomic_fractions_linear_files/Yang_linear_img/145046273.jpg","show blot")</f>
        <v>show blot</v>
      </c>
      <c r="J509" s="5" t="s">
        <v>1017</v>
      </c>
      <c r="L509" s="11">
        <v>3.8818366789940031</v>
      </c>
      <c r="N509" s="12"/>
    </row>
    <row r="510" spans="1:14" s="5" customFormat="1" ht="15" customHeight="1" x14ac:dyDescent="0.25">
      <c r="A510" s="9" t="s">
        <v>1018</v>
      </c>
      <c r="C510" s="9" t="str">
        <f>HYPERLINK("http://www.ncbi.nlm.nih.gov/protein/163838664","Arhgef16")</f>
        <v>Arhgef16</v>
      </c>
      <c r="D510" s="10">
        <f t="shared" si="7"/>
        <v>4.2438425367898134</v>
      </c>
      <c r="F510" s="8" t="str">
        <f>HYPERLINK("https://esbl.nhlbi.nih.gov/Databases/mpkFractions/proteomic_fractions_log_files/Yang_log_img/163838664.jpg","show blot")</f>
        <v>show blot</v>
      </c>
      <c r="H510" s="8" t="str">
        <f>HYPERLINK("https://esbl.nhlbi.nih.gov/Databases/mpkFractions/proteomic_fractions_linear_files/Yang_linear_img/163838664.jpg","show blot")</f>
        <v>show blot</v>
      </c>
      <c r="J510" s="5" t="s">
        <v>1019</v>
      </c>
      <c r="L510" s="11">
        <v>4.2438425367898134</v>
      </c>
      <c r="N510" s="12"/>
    </row>
    <row r="511" spans="1:14" s="5" customFormat="1" ht="15" customHeight="1" x14ac:dyDescent="0.25">
      <c r="A511" s="9" t="s">
        <v>1020</v>
      </c>
      <c r="C511" s="9" t="str">
        <f>HYPERLINK("http://www.ncbi.nlm.nih.gov/protein/41056261","Arhgef18")</f>
        <v>Arhgef18</v>
      </c>
      <c r="D511" s="10">
        <f t="shared" si="7"/>
        <v>3.3579737005658821</v>
      </c>
      <c r="F511" s="8" t="str">
        <f>HYPERLINK("https://esbl.nhlbi.nih.gov/Databases/mpkFractions/proteomic_fractions_log_files/Yang_log_img/41056261.jpg","show blot")</f>
        <v>show blot</v>
      </c>
      <c r="H511" s="8" t="str">
        <f>HYPERLINK("https://esbl.nhlbi.nih.gov/Databases/mpkFractions/proteomic_fractions_linear_files/Yang_linear_img/41056261.jpg","show blot")</f>
        <v>show blot</v>
      </c>
      <c r="J511" s="5" t="s">
        <v>1021</v>
      </c>
      <c r="L511" s="11">
        <v>3.3579737005658821</v>
      </c>
      <c r="N511" s="12"/>
    </row>
    <row r="512" spans="1:14" s="5" customFormat="1" ht="15" customHeight="1" x14ac:dyDescent="0.25">
      <c r="A512" s="9" t="s">
        <v>1022</v>
      </c>
      <c r="C512" s="9" t="str">
        <f>HYPERLINK("http://www.ncbi.nlm.nih.gov/protein/170650647","Arhgef2")</f>
        <v>Arhgef2</v>
      </c>
      <c r="D512" s="10">
        <f t="shared" si="7"/>
        <v>5.015886083695376</v>
      </c>
      <c r="F512" s="8" t="str">
        <f>HYPERLINK("https://esbl.nhlbi.nih.gov/Databases/mpkFractions/proteomic_fractions_log_files/Yang_log_img/170650647.jpg","show blot")</f>
        <v>show blot</v>
      </c>
      <c r="H512" s="8" t="str">
        <f>HYPERLINK("https://esbl.nhlbi.nih.gov/Databases/mpkFractions/proteomic_fractions_linear_files/Yang_linear_img/170650647.jpg","show blot")</f>
        <v>show blot</v>
      </c>
      <c r="J512" s="5" t="s">
        <v>1023</v>
      </c>
      <c r="L512" s="11">
        <v>5.015886083695376</v>
      </c>
      <c r="N512" s="12"/>
    </row>
    <row r="513" spans="1:14" s="5" customFormat="1" ht="15" customHeight="1" x14ac:dyDescent="0.25">
      <c r="A513" s="9" t="s">
        <v>1024</v>
      </c>
      <c r="C513" s="9" t="str">
        <f>HYPERLINK("http://www.ncbi.nlm.nih.gov/protein/312032458","Arhgef2")</f>
        <v>Arhgef2</v>
      </c>
      <c r="D513" s="10">
        <f t="shared" si="7"/>
        <v>5.015886083695376</v>
      </c>
      <c r="F513" s="8" t="str">
        <f>HYPERLINK("https://esbl.nhlbi.nih.gov/Databases/mpkFractions/proteomic_fractions_log_files/Yang_log_img/312032458.jpg","show blot")</f>
        <v>show blot</v>
      </c>
      <c r="H513" s="8" t="str">
        <f>HYPERLINK("https://esbl.nhlbi.nih.gov/Databases/mpkFractions/proteomic_fractions_linear_files/Yang_linear_img/312032458.jpg","show blot")</f>
        <v>show blot</v>
      </c>
      <c r="J513" s="5" t="s">
        <v>1025</v>
      </c>
      <c r="L513" s="11">
        <v>5.015886083695376</v>
      </c>
      <c r="N513" s="12"/>
    </row>
    <row r="514" spans="1:14" s="5" customFormat="1" ht="15" customHeight="1" x14ac:dyDescent="0.25">
      <c r="A514" s="9" t="s">
        <v>1026</v>
      </c>
      <c r="C514" s="9" t="str">
        <f>HYPERLINK("http://www.ncbi.nlm.nih.gov/protein/312032460","Arhgef2")</f>
        <v>Arhgef2</v>
      </c>
      <c r="D514" s="10">
        <f t="shared" si="7"/>
        <v>5.015886083695376</v>
      </c>
      <c r="F514" s="8" t="str">
        <f>HYPERLINK("https://esbl.nhlbi.nih.gov/Databases/mpkFractions/proteomic_fractions_log_files/Yang_log_img/312032460.jpg","show blot")</f>
        <v>show blot</v>
      </c>
      <c r="H514" s="8" t="str">
        <f>HYPERLINK("https://esbl.nhlbi.nih.gov/Databases/mpkFractions/proteomic_fractions_linear_files/Yang_linear_img/312032460.jpg","show blot")</f>
        <v>show blot</v>
      </c>
      <c r="J514" s="5" t="s">
        <v>1027</v>
      </c>
      <c r="L514" s="11">
        <v>5.015886083695376</v>
      </c>
      <c r="N514" s="12"/>
    </row>
    <row r="515" spans="1:14" s="5" customFormat="1" ht="15" customHeight="1" x14ac:dyDescent="0.25">
      <c r="A515" s="9" t="s">
        <v>1028</v>
      </c>
      <c r="C515" s="9" t="str">
        <f>HYPERLINK("http://www.ncbi.nlm.nih.gov/protein/312032462","Arhgef2")</f>
        <v>Arhgef2</v>
      </c>
      <c r="D515" s="10">
        <f t="shared" si="7"/>
        <v>5.015886083695376</v>
      </c>
      <c r="F515" s="8" t="str">
        <f>HYPERLINK("https://esbl.nhlbi.nih.gov/Databases/mpkFractions/proteomic_fractions_log_files/Yang_log_img/312032462.jpg","show blot")</f>
        <v>show blot</v>
      </c>
      <c r="H515" s="8" t="str">
        <f>HYPERLINK("https://esbl.nhlbi.nih.gov/Databases/mpkFractions/proteomic_fractions_linear_files/Yang_linear_img/312032462.jpg","show blot")</f>
        <v>show blot</v>
      </c>
      <c r="J515" s="5" t="s">
        <v>1029</v>
      </c>
      <c r="L515" s="11">
        <v>5.015886083695376</v>
      </c>
      <c r="N515" s="12"/>
    </row>
    <row r="516" spans="1:14" s="5" customFormat="1" ht="15" customHeight="1" x14ac:dyDescent="0.25">
      <c r="A516" s="9" t="s">
        <v>1030</v>
      </c>
      <c r="C516" s="9" t="str">
        <f>HYPERLINK("http://www.ncbi.nlm.nih.gov/protein/123702010","Arhgef28")</f>
        <v>Arhgef28</v>
      </c>
      <c r="D516" s="10">
        <f t="shared" si="7"/>
        <v>3.7400212853174861</v>
      </c>
      <c r="F516" s="8" t="str">
        <f>HYPERLINK("https://esbl.nhlbi.nih.gov/Databases/mpkFractions/proteomic_fractions_log_files/Yang_log_img/123702010.jpg","show blot")</f>
        <v>show blot</v>
      </c>
      <c r="H516" s="8" t="str">
        <f>HYPERLINK("https://esbl.nhlbi.nih.gov/Databases/mpkFractions/proteomic_fractions_linear_files/Yang_linear_img/123702010.jpg","show blot")</f>
        <v>show blot</v>
      </c>
      <c r="J516" s="5" t="s">
        <v>1031</v>
      </c>
      <c r="L516" s="11">
        <v>3.7400212853174861</v>
      </c>
      <c r="N516" s="12"/>
    </row>
    <row r="517" spans="1:14" s="5" customFormat="1" ht="15" customHeight="1" x14ac:dyDescent="0.25">
      <c r="A517" s="9" t="s">
        <v>1032</v>
      </c>
      <c r="C517" s="9" t="str">
        <f>HYPERLINK("http://www.ncbi.nlm.nih.gov/protein/160333547","Arhgef37")</f>
        <v>Arhgef37</v>
      </c>
      <c r="D517" s="10">
        <f t="shared" ref="D517:D580" si="8">L517</f>
        <v>2.73292529407601</v>
      </c>
      <c r="F517" s="8" t="str">
        <f>HYPERLINK("https://esbl.nhlbi.nih.gov/Databases/mpkFractions/proteomic_fractions_log_files/Yang_log_img/160333547.jpg","show blot")</f>
        <v>show blot</v>
      </c>
      <c r="H517" s="8" t="str">
        <f>HYPERLINK("https://esbl.nhlbi.nih.gov/Databases/mpkFractions/proteomic_fractions_linear_files/Yang_linear_img/160333547.jpg","show blot")</f>
        <v>show blot</v>
      </c>
      <c r="J517" s="5" t="s">
        <v>1033</v>
      </c>
      <c r="L517" s="11">
        <v>2.73292529407601</v>
      </c>
      <c r="N517" s="12"/>
    </row>
    <row r="518" spans="1:14" s="5" customFormat="1" ht="15" customHeight="1" x14ac:dyDescent="0.25">
      <c r="A518" s="9" t="s">
        <v>1034</v>
      </c>
      <c r="C518" s="9" t="str">
        <f>HYPERLINK("http://www.ncbi.nlm.nih.gov/protein/56699448","Arhgef4")</f>
        <v>Arhgef4</v>
      </c>
      <c r="D518" s="10">
        <f t="shared" si="8"/>
        <v>2.1376649878921699</v>
      </c>
      <c r="F518" s="8" t="str">
        <f>HYPERLINK("https://esbl.nhlbi.nih.gov/Databases/mpkFractions/proteomic_fractions_log_files/Yang_log_img/56699448.jpg","show blot")</f>
        <v>show blot</v>
      </c>
      <c r="H518" s="8" t="str">
        <f>HYPERLINK("https://esbl.nhlbi.nih.gov/Databases/mpkFractions/proteomic_fractions_linear_files/Yang_linear_img/56699448.jpg","show blot")</f>
        <v>show blot</v>
      </c>
      <c r="J518" s="5" t="s">
        <v>1035</v>
      </c>
      <c r="L518" s="11">
        <v>2.1376649878921699</v>
      </c>
      <c r="N518" s="12"/>
    </row>
    <row r="519" spans="1:14" s="5" customFormat="1" ht="15" customHeight="1" x14ac:dyDescent="0.25">
      <c r="A519" s="9" t="s">
        <v>1036</v>
      </c>
      <c r="C519" s="9" t="str">
        <f>HYPERLINK("http://www.ncbi.nlm.nih.gov/protein/110625819","Arhgef40")</f>
        <v>Arhgef40</v>
      </c>
      <c r="D519" s="10">
        <f t="shared" si="8"/>
        <v>2.3499934743304491</v>
      </c>
      <c r="F519" s="8" t="str">
        <f>HYPERLINK("https://esbl.nhlbi.nih.gov/Databases/mpkFractions/proteomic_fractions_log_files/Yang_log_img/110625819.jpg","show blot")</f>
        <v>show blot</v>
      </c>
      <c r="H519" s="8" t="str">
        <f>HYPERLINK("https://esbl.nhlbi.nih.gov/Databases/mpkFractions/proteomic_fractions_linear_files/Yang_linear_img/110625819.jpg","show blot")</f>
        <v>show blot</v>
      </c>
      <c r="J519" s="5" t="s">
        <v>1037</v>
      </c>
      <c r="L519" s="11">
        <v>2.3499934743304491</v>
      </c>
      <c r="N519" s="12"/>
    </row>
    <row r="520" spans="1:14" s="5" customFormat="1" ht="15" customHeight="1" x14ac:dyDescent="0.25">
      <c r="A520" s="9" t="s">
        <v>1038</v>
      </c>
      <c r="C520" s="9" t="str">
        <f>HYPERLINK("http://www.ncbi.nlm.nih.gov/protein/225543507","Arhgef40")</f>
        <v>Arhgef40</v>
      </c>
      <c r="D520" s="10">
        <f t="shared" si="8"/>
        <v>2.3499934743304491</v>
      </c>
      <c r="F520" s="8" t="str">
        <f>HYPERLINK("https://esbl.nhlbi.nih.gov/Databases/mpkFractions/proteomic_fractions_log_files/Yang_log_img/225543507.jpg","show blot")</f>
        <v>show blot</v>
      </c>
      <c r="H520" s="8" t="str">
        <f>HYPERLINK("https://esbl.nhlbi.nih.gov/Databases/mpkFractions/proteomic_fractions_linear_files/Yang_linear_img/225543507.jpg","show blot")</f>
        <v>show blot</v>
      </c>
      <c r="J520" s="5" t="s">
        <v>1039</v>
      </c>
      <c r="L520" s="11">
        <v>2.3499934743304491</v>
      </c>
      <c r="N520" s="12"/>
    </row>
    <row r="521" spans="1:14" s="5" customFormat="1" ht="15" customHeight="1" x14ac:dyDescent="0.25">
      <c r="A521" s="9" t="s">
        <v>1040</v>
      </c>
      <c r="C521" s="9" t="str">
        <f>HYPERLINK("http://www.ncbi.nlm.nih.gov/protein/225543509","Arhgef40")</f>
        <v>Arhgef40</v>
      </c>
      <c r="D521" s="10">
        <f t="shared" si="8"/>
        <v>2.3499934743304491</v>
      </c>
      <c r="F521" s="8" t="str">
        <f>HYPERLINK("https://esbl.nhlbi.nih.gov/Databases/mpkFractions/proteomic_fractions_log_files/Yang_log_img/225543509.jpg","show blot")</f>
        <v>show blot</v>
      </c>
      <c r="H521" s="8" t="str">
        <f>HYPERLINK("https://esbl.nhlbi.nih.gov/Databases/mpkFractions/proteomic_fractions_linear_files/Yang_linear_img/225543509.jpg","show blot")</f>
        <v>show blot</v>
      </c>
      <c r="J521" s="5" t="s">
        <v>1041</v>
      </c>
      <c r="L521" s="11">
        <v>2.3499934743304491</v>
      </c>
      <c r="N521" s="12"/>
    </row>
    <row r="522" spans="1:14" s="5" customFormat="1" ht="15" customHeight="1" x14ac:dyDescent="0.25">
      <c r="A522" s="9" t="s">
        <v>1042</v>
      </c>
      <c r="C522" s="9" t="str">
        <f>HYPERLINK("http://www.ncbi.nlm.nih.gov/protein/169234803","Arhgef5")</f>
        <v>Arhgef5</v>
      </c>
      <c r="D522" s="10">
        <f t="shared" si="8"/>
        <v>2.448077173445943</v>
      </c>
      <c r="F522" s="8" t="str">
        <f>HYPERLINK("https://esbl.nhlbi.nih.gov/Databases/mpkFractions/proteomic_fractions_log_files/Yang_log_img/169234803.jpg","show blot")</f>
        <v>show blot</v>
      </c>
      <c r="H522" s="8" t="str">
        <f>HYPERLINK("https://esbl.nhlbi.nih.gov/Databases/mpkFractions/proteomic_fractions_linear_files/Yang_linear_img/169234803.jpg","show blot")</f>
        <v>show blot</v>
      </c>
      <c r="J522" s="5" t="s">
        <v>1043</v>
      </c>
      <c r="L522" s="11">
        <v>2.448077173445943</v>
      </c>
      <c r="N522" s="12"/>
    </row>
    <row r="523" spans="1:14" s="5" customFormat="1" ht="15" customHeight="1" x14ac:dyDescent="0.25">
      <c r="A523" s="9" t="s">
        <v>1044</v>
      </c>
      <c r="C523" s="9" t="str">
        <f>HYPERLINK("http://www.ncbi.nlm.nih.gov/protein/270132620","Arhgef6")</f>
        <v>Arhgef6</v>
      </c>
      <c r="D523" s="10">
        <f t="shared" si="8"/>
        <v>4.0616139453289541</v>
      </c>
      <c r="F523" s="8" t="str">
        <f>HYPERLINK("https://esbl.nhlbi.nih.gov/Databases/mpkFractions/proteomic_fractions_log_files/Yang_log_img/270132620.jpg","show blot")</f>
        <v>show blot</v>
      </c>
      <c r="H523" s="8" t="str">
        <f>HYPERLINK("https://esbl.nhlbi.nih.gov/Databases/mpkFractions/proteomic_fractions_linear_files/Yang_linear_img/270132620.jpg","show blot")</f>
        <v>show blot</v>
      </c>
      <c r="J523" s="5" t="s">
        <v>1045</v>
      </c>
      <c r="L523" s="11">
        <v>4.0616139453289541</v>
      </c>
      <c r="N523" s="12"/>
    </row>
    <row r="524" spans="1:14" s="5" customFormat="1" ht="15" customHeight="1" x14ac:dyDescent="0.25">
      <c r="A524" s="9" t="s">
        <v>1046</v>
      </c>
      <c r="C524" s="9" t="str">
        <f>HYPERLINK("http://www.ncbi.nlm.nih.gov/protein/165377085","Arhgef7")</f>
        <v>Arhgef7</v>
      </c>
      <c r="D524" s="10">
        <f t="shared" si="8"/>
        <v>4.5654227943268806</v>
      </c>
      <c r="F524" s="8" t="str">
        <f>HYPERLINK("https://esbl.nhlbi.nih.gov/Databases/mpkFractions/proteomic_fractions_log_files/Yang_log_img/165377085.jpg","show blot")</f>
        <v>show blot</v>
      </c>
      <c r="H524" s="8" t="str">
        <f>HYPERLINK("https://esbl.nhlbi.nih.gov/Databases/mpkFractions/proteomic_fractions_linear_files/Yang_linear_img/165377085.jpg","show blot")</f>
        <v>show blot</v>
      </c>
      <c r="J524" s="5" t="s">
        <v>1047</v>
      </c>
      <c r="L524" s="11">
        <v>4.5654227943268806</v>
      </c>
      <c r="N524" s="12"/>
    </row>
    <row r="525" spans="1:14" s="5" customFormat="1" ht="15" customHeight="1" x14ac:dyDescent="0.25">
      <c r="A525" s="9" t="s">
        <v>1048</v>
      </c>
      <c r="C525" s="9" t="str">
        <f>HYPERLINK("http://www.ncbi.nlm.nih.gov/protein/165377089","Arhgef7")</f>
        <v>Arhgef7</v>
      </c>
      <c r="D525" s="10">
        <f t="shared" si="8"/>
        <v>4.5654227943268806</v>
      </c>
      <c r="F525" s="8" t="str">
        <f>HYPERLINK("https://esbl.nhlbi.nih.gov/Databases/mpkFractions/proteomic_fractions_log_files/Yang_log_img/165377089.jpg","show blot")</f>
        <v>show blot</v>
      </c>
      <c r="H525" s="8" t="str">
        <f>HYPERLINK("https://esbl.nhlbi.nih.gov/Databases/mpkFractions/proteomic_fractions_linear_files/Yang_linear_img/165377089.jpg","show blot")</f>
        <v>show blot</v>
      </c>
      <c r="J525" s="5" t="s">
        <v>1049</v>
      </c>
      <c r="L525" s="11">
        <v>4.5654227943268806</v>
      </c>
      <c r="N525" s="12"/>
    </row>
    <row r="526" spans="1:14" s="5" customFormat="1" ht="15" customHeight="1" x14ac:dyDescent="0.25">
      <c r="A526" s="9" t="s">
        <v>1050</v>
      </c>
      <c r="C526" s="9" t="str">
        <f>HYPERLINK("http://www.ncbi.nlm.nih.gov/protein/31980859","Arhgef7")</f>
        <v>Arhgef7</v>
      </c>
      <c r="D526" s="10">
        <f t="shared" si="8"/>
        <v>4.5654227943268806</v>
      </c>
      <c r="F526" s="8" t="str">
        <f>HYPERLINK("https://esbl.nhlbi.nih.gov/Databases/mpkFractions/proteomic_fractions_log_files/Yang_log_img/31980859.jpg","show blot")</f>
        <v>show blot</v>
      </c>
      <c r="H526" s="8" t="str">
        <f>HYPERLINK("https://esbl.nhlbi.nih.gov/Databases/mpkFractions/proteomic_fractions_linear_files/Yang_linear_img/31980859.jpg","show blot")</f>
        <v>show blot</v>
      </c>
      <c r="J526" s="5" t="s">
        <v>1051</v>
      </c>
      <c r="L526" s="11">
        <v>4.5654227943268806</v>
      </c>
      <c r="N526" s="12"/>
    </row>
    <row r="527" spans="1:14" s="5" customFormat="1" ht="15" customHeight="1" x14ac:dyDescent="0.25">
      <c r="A527" s="9" t="s">
        <v>1052</v>
      </c>
      <c r="C527" s="9" t="str">
        <f>HYPERLINK("http://www.ncbi.nlm.nih.gov/protein/84370312","Arhgef9")</f>
        <v>Arhgef9</v>
      </c>
      <c r="D527" s="10">
        <f t="shared" si="8"/>
        <v>2.1082100085538942</v>
      </c>
      <c r="F527" s="8" t="str">
        <f>HYPERLINK("https://esbl.nhlbi.nih.gov/Databases/mpkFractions/proteomic_fractions_log_files/Yang_log_img/84370312.jpg","show blot")</f>
        <v>show blot</v>
      </c>
      <c r="H527" s="8" t="str">
        <f>HYPERLINK("https://esbl.nhlbi.nih.gov/Databases/mpkFractions/proteomic_fractions_linear_files/Yang_linear_img/84370312.jpg","show blot")</f>
        <v>show blot</v>
      </c>
      <c r="J527" s="5" t="s">
        <v>1053</v>
      </c>
      <c r="L527" s="11">
        <v>2.1082100085538942</v>
      </c>
      <c r="N527" s="12"/>
    </row>
    <row r="528" spans="1:14" s="5" customFormat="1" ht="15" customHeight="1" x14ac:dyDescent="0.25">
      <c r="A528" s="9" t="s">
        <v>1054</v>
      </c>
      <c r="C528" s="9" t="str">
        <f>HYPERLINK("http://www.ncbi.nlm.nih.gov/protein/124249109","Arid1a")</f>
        <v>Arid1a</v>
      </c>
      <c r="D528" s="10">
        <f t="shared" si="8"/>
        <v>4.8031185711598781</v>
      </c>
      <c r="F528" s="8" t="str">
        <f>HYPERLINK("https://esbl.nhlbi.nih.gov/Databases/mpkFractions/proteomic_fractions_log_files/Yang_log_img/124249109.jpg","show blot")</f>
        <v>show blot</v>
      </c>
      <c r="H528" s="8" t="str">
        <f>HYPERLINK("https://esbl.nhlbi.nih.gov/Databases/mpkFractions/proteomic_fractions_linear_files/Yang_linear_img/124249109.jpg","show blot")</f>
        <v>show blot</v>
      </c>
      <c r="J528" s="5" t="s">
        <v>1055</v>
      </c>
      <c r="L528" s="11">
        <v>4.8031185711598781</v>
      </c>
      <c r="N528" s="12"/>
    </row>
    <row r="529" spans="1:14" s="5" customFormat="1" ht="15" customHeight="1" x14ac:dyDescent="0.25">
      <c r="A529" s="9" t="s">
        <v>1056</v>
      </c>
      <c r="C529" s="9" t="str">
        <f>HYPERLINK("http://www.ncbi.nlm.nih.gov/protein/163954953","Arih1")</f>
        <v>Arih1</v>
      </c>
      <c r="D529" s="10">
        <f t="shared" si="8"/>
        <v>4.6368423007202049</v>
      </c>
      <c r="F529" s="8" t="str">
        <f>HYPERLINK("https://esbl.nhlbi.nih.gov/Databases/mpkFractions/proteomic_fractions_log_files/Yang_log_img/163954953.jpg","show blot")</f>
        <v>show blot</v>
      </c>
      <c r="H529" s="8" t="str">
        <f>HYPERLINK("https://esbl.nhlbi.nih.gov/Databases/mpkFractions/proteomic_fractions_linear_files/Yang_linear_img/163954953.jpg","show blot")</f>
        <v>show blot</v>
      </c>
      <c r="J529" s="5" t="s">
        <v>1057</v>
      </c>
      <c r="L529" s="11">
        <v>4.6368423007202049</v>
      </c>
      <c r="N529" s="12"/>
    </row>
    <row r="530" spans="1:14" s="5" customFormat="1" ht="15" customHeight="1" x14ac:dyDescent="0.25">
      <c r="A530" s="9" t="s">
        <v>1058</v>
      </c>
      <c r="C530" s="9" t="str">
        <f>HYPERLINK("http://www.ncbi.nlm.nih.gov/protein/6753118","Arih2")</f>
        <v>Arih2</v>
      </c>
      <c r="D530" s="10">
        <f t="shared" si="8"/>
        <v>4.1877433286371044</v>
      </c>
      <c r="F530" s="8" t="str">
        <f>HYPERLINK("https://esbl.nhlbi.nih.gov/Databases/mpkFractions/proteomic_fractions_log_files/Yang_log_img/6753118.jpg","show blot")</f>
        <v>show blot</v>
      </c>
      <c r="H530" s="8" t="str">
        <f>HYPERLINK("https://esbl.nhlbi.nih.gov/Databases/mpkFractions/proteomic_fractions_linear_files/Yang_linear_img/6753118.jpg","show blot")</f>
        <v>show blot</v>
      </c>
      <c r="J530" s="5" t="s">
        <v>1059</v>
      </c>
      <c r="L530" s="11">
        <v>4.1877433286371044</v>
      </c>
      <c r="N530" s="12"/>
    </row>
    <row r="531" spans="1:14" s="5" customFormat="1" ht="15" customHeight="1" x14ac:dyDescent="0.25">
      <c r="A531" s="9" t="s">
        <v>1060</v>
      </c>
      <c r="C531" s="9" t="str">
        <f>HYPERLINK("http://www.ncbi.nlm.nih.gov/protein/153792526","Arl1")</f>
        <v>Arl1</v>
      </c>
      <c r="D531" s="10">
        <f t="shared" si="8"/>
        <v>5.8595333243504601</v>
      </c>
      <c r="F531" s="8" t="str">
        <f>HYPERLINK("https://esbl.nhlbi.nih.gov/Databases/mpkFractions/proteomic_fractions_log_files/Yang_log_img/153792526.jpg","show blot")</f>
        <v>show blot</v>
      </c>
      <c r="H531" s="8" t="str">
        <f>HYPERLINK("https://esbl.nhlbi.nih.gov/Databases/mpkFractions/proteomic_fractions_linear_files/Yang_linear_img/153792526.jpg","show blot")</f>
        <v>show blot</v>
      </c>
      <c r="J531" s="5" t="s">
        <v>1061</v>
      </c>
      <c r="L531" s="11">
        <v>5.8595333243504601</v>
      </c>
      <c r="N531" s="12"/>
    </row>
    <row r="532" spans="1:14" s="5" customFormat="1" ht="15" customHeight="1" x14ac:dyDescent="0.25">
      <c r="A532" s="9" t="s">
        <v>1062</v>
      </c>
      <c r="C532" s="9" t="str">
        <f>HYPERLINK("http://www.ncbi.nlm.nih.gov/protein/255683326","Arl13b")</f>
        <v>Arl13b</v>
      </c>
      <c r="D532" s="10">
        <f t="shared" si="8"/>
        <v>1.8765065042658811</v>
      </c>
      <c r="F532" s="8" t="str">
        <f>HYPERLINK("https://esbl.nhlbi.nih.gov/Databases/mpkFractions/proteomic_fractions_log_files/Yang_log_img/255683326.jpg","show blot")</f>
        <v>show blot</v>
      </c>
      <c r="H532" s="8" t="str">
        <f>HYPERLINK("https://esbl.nhlbi.nih.gov/Databases/mpkFractions/proteomic_fractions_linear_files/Yang_linear_img/255683326.jpg","show blot")</f>
        <v>show blot</v>
      </c>
      <c r="J532" s="5" t="s">
        <v>1063</v>
      </c>
      <c r="L532" s="11">
        <v>1.8765065042658811</v>
      </c>
      <c r="N532" s="12"/>
    </row>
    <row r="533" spans="1:14" s="5" customFormat="1" ht="15" customHeight="1" x14ac:dyDescent="0.25">
      <c r="A533" s="9" t="s">
        <v>1064</v>
      </c>
      <c r="C533" s="9" t="str">
        <f>HYPERLINK("http://www.ncbi.nlm.nih.gov/protein/27369856","Arl15")</f>
        <v>Arl15</v>
      </c>
      <c r="D533" s="10">
        <f t="shared" si="8"/>
        <v>4.6939010646562602</v>
      </c>
      <c r="F533" s="8" t="str">
        <f>HYPERLINK("https://esbl.nhlbi.nih.gov/Databases/mpkFractions/proteomic_fractions_log_files/Yang_log_img/27369856.jpg","show blot")</f>
        <v>show blot</v>
      </c>
      <c r="H533" s="8" t="str">
        <f>HYPERLINK("https://esbl.nhlbi.nih.gov/Databases/mpkFractions/proteomic_fractions_linear_files/Yang_linear_img/27369856.jpg","show blot")</f>
        <v>show blot</v>
      </c>
      <c r="J533" s="5" t="s">
        <v>1065</v>
      </c>
      <c r="L533" s="11">
        <v>4.6939010646562602</v>
      </c>
      <c r="N533" s="12"/>
    </row>
    <row r="534" spans="1:14" s="5" customFormat="1" ht="15" customHeight="1" x14ac:dyDescent="0.25">
      <c r="A534" s="9" t="s">
        <v>1066</v>
      </c>
      <c r="C534" s="9" t="str">
        <f>HYPERLINK("http://www.ncbi.nlm.nih.gov/protein/31980988","Arl2")</f>
        <v>Arl2</v>
      </c>
      <c r="D534" s="10">
        <f t="shared" si="8"/>
        <v>5.5519564334655733</v>
      </c>
      <c r="F534" s="8" t="str">
        <f>HYPERLINK("https://esbl.nhlbi.nih.gov/Databases/mpkFractions/proteomic_fractions_log_files/Yang_log_img/31980988.jpg","show blot")</f>
        <v>show blot</v>
      </c>
      <c r="H534" s="8" t="str">
        <f>HYPERLINK("https://esbl.nhlbi.nih.gov/Databases/mpkFractions/proteomic_fractions_linear_files/Yang_linear_img/31980988.jpg","show blot")</f>
        <v>show blot</v>
      </c>
      <c r="J534" s="5" t="s">
        <v>1067</v>
      </c>
      <c r="L534" s="11">
        <v>5.5519564334655733</v>
      </c>
      <c r="N534" s="12"/>
    </row>
    <row r="535" spans="1:14" s="5" customFormat="1" ht="15" customHeight="1" x14ac:dyDescent="0.25">
      <c r="A535" s="9" t="s">
        <v>1068</v>
      </c>
      <c r="C535" s="9" t="str">
        <f>HYPERLINK("http://www.ncbi.nlm.nih.gov/protein/18859591","Arl2bp")</f>
        <v>Arl2bp</v>
      </c>
      <c r="D535" s="10">
        <f t="shared" si="8"/>
        <v>4.5894079696730277</v>
      </c>
      <c r="F535" s="8" t="str">
        <f>HYPERLINK("https://esbl.nhlbi.nih.gov/Databases/mpkFractions/proteomic_fractions_log_files/Yang_log_img/18859591.jpg","show blot")</f>
        <v>show blot</v>
      </c>
      <c r="H535" s="8" t="str">
        <f>HYPERLINK("https://esbl.nhlbi.nih.gov/Databases/mpkFractions/proteomic_fractions_linear_files/Yang_linear_img/18859591.jpg","show blot")</f>
        <v>show blot</v>
      </c>
      <c r="J535" s="5" t="s">
        <v>1069</v>
      </c>
      <c r="L535" s="11">
        <v>4.5894079696730277</v>
      </c>
      <c r="N535" s="12"/>
    </row>
    <row r="536" spans="1:14" s="5" customFormat="1" ht="15" customHeight="1" x14ac:dyDescent="0.25">
      <c r="A536" s="9" t="s">
        <v>1070</v>
      </c>
      <c r="C536" s="9" t="str">
        <f>HYPERLINK("http://www.ncbi.nlm.nih.gov/protein/30348958","Arl2bp")</f>
        <v>Arl2bp</v>
      </c>
      <c r="D536" s="10">
        <f t="shared" si="8"/>
        <v>4.5894079696730277</v>
      </c>
      <c r="F536" s="8" t="str">
        <f>HYPERLINK("https://esbl.nhlbi.nih.gov/Databases/mpkFractions/proteomic_fractions_log_files/Yang_log_img/30348958.jpg","show blot")</f>
        <v>show blot</v>
      </c>
      <c r="H536" s="8" t="str">
        <f>HYPERLINK("https://esbl.nhlbi.nih.gov/Databases/mpkFractions/proteomic_fractions_linear_files/Yang_linear_img/30348958.jpg","show blot")</f>
        <v>show blot</v>
      </c>
      <c r="J536" s="5" t="s">
        <v>1071</v>
      </c>
      <c r="L536" s="11">
        <v>4.5894079696730277</v>
      </c>
      <c r="N536" s="12"/>
    </row>
    <row r="537" spans="1:14" s="5" customFormat="1" ht="15" customHeight="1" x14ac:dyDescent="0.25">
      <c r="A537" s="9" t="s">
        <v>1072</v>
      </c>
      <c r="C537" s="9" t="str">
        <f>HYPERLINK("http://www.ncbi.nlm.nih.gov/protein/9789881","Arl3")</f>
        <v>Arl3</v>
      </c>
      <c r="D537" s="10">
        <f t="shared" si="8"/>
        <v>5.918406060349148</v>
      </c>
      <c r="F537" s="8" t="str">
        <f>HYPERLINK("https://esbl.nhlbi.nih.gov/Databases/mpkFractions/proteomic_fractions_log_files/Yang_log_img/9789881.jpg","show blot")</f>
        <v>show blot</v>
      </c>
      <c r="H537" s="8" t="str">
        <f>HYPERLINK("https://esbl.nhlbi.nih.gov/Databases/mpkFractions/proteomic_fractions_linear_files/Yang_linear_img/9789881.jpg","show blot")</f>
        <v>show blot</v>
      </c>
      <c r="J537" s="5" t="s">
        <v>1073</v>
      </c>
      <c r="L537" s="11">
        <v>5.918406060349148</v>
      </c>
      <c r="N537" s="12"/>
    </row>
    <row r="538" spans="1:14" s="5" customFormat="1" ht="15" customHeight="1" x14ac:dyDescent="0.25">
      <c r="A538" s="9" t="s">
        <v>1074</v>
      </c>
      <c r="C538" s="9" t="str">
        <f>HYPERLINK("http://www.ncbi.nlm.nih.gov/protein/113462000","Arl4c")</f>
        <v>Arl4c</v>
      </c>
      <c r="D538" s="10">
        <f t="shared" si="8"/>
        <v>2.001445240874181</v>
      </c>
      <c r="F538" s="8" t="str">
        <f>HYPERLINK("https://esbl.nhlbi.nih.gov/Databases/mpkFractions/proteomic_fractions_log_files/Yang_log_img/113462000.jpg","show blot")</f>
        <v>show blot</v>
      </c>
      <c r="H538" s="8" t="str">
        <f>HYPERLINK("https://esbl.nhlbi.nih.gov/Databases/mpkFractions/proteomic_fractions_linear_files/Yang_linear_img/113462000.jpg","show blot")</f>
        <v>show blot</v>
      </c>
      <c r="J538" s="5" t="s">
        <v>1075</v>
      </c>
      <c r="L538" s="11">
        <v>2.001445240874181</v>
      </c>
      <c r="N538" s="12"/>
    </row>
    <row r="539" spans="1:14" s="5" customFormat="1" ht="15" customHeight="1" x14ac:dyDescent="0.25">
      <c r="A539" s="9" t="s">
        <v>1076</v>
      </c>
      <c r="C539" s="9" t="str">
        <f>HYPERLINK("http://www.ncbi.nlm.nih.gov/protein/33695144","Arl5a")</f>
        <v>Arl5a</v>
      </c>
      <c r="D539" s="10">
        <f t="shared" si="8"/>
        <v>4.4117881158073908</v>
      </c>
      <c r="F539" s="8" t="str">
        <f>HYPERLINK("https://esbl.nhlbi.nih.gov/Databases/mpkFractions/proteomic_fractions_log_files/Yang_log_img/33695144.jpg","show blot")</f>
        <v>show blot</v>
      </c>
      <c r="H539" s="8" t="str">
        <f>HYPERLINK("https://esbl.nhlbi.nih.gov/Databases/mpkFractions/proteomic_fractions_linear_files/Yang_linear_img/33695144.jpg","show blot")</f>
        <v>show blot</v>
      </c>
      <c r="J539" s="5" t="s">
        <v>1077</v>
      </c>
      <c r="L539" s="11">
        <v>4.4117881158073908</v>
      </c>
      <c r="N539" s="12"/>
    </row>
    <row r="540" spans="1:14" s="5" customFormat="1" ht="15" customHeight="1" x14ac:dyDescent="0.25">
      <c r="A540" s="9" t="s">
        <v>1078</v>
      </c>
      <c r="C540" s="9" t="str">
        <f>HYPERLINK("http://www.ncbi.nlm.nih.gov/protein/27229225","Arl5b")</f>
        <v>Arl5b</v>
      </c>
      <c r="D540" s="10">
        <f t="shared" si="8"/>
        <v>4.2570117307992996</v>
      </c>
      <c r="F540" s="8" t="str">
        <f>HYPERLINK("https://esbl.nhlbi.nih.gov/Databases/mpkFractions/proteomic_fractions_log_files/Yang_log_img/27229225.jpg","show blot")</f>
        <v>show blot</v>
      </c>
      <c r="H540" s="8" t="str">
        <f>HYPERLINK("https://esbl.nhlbi.nih.gov/Databases/mpkFractions/proteomic_fractions_linear_files/Yang_linear_img/27229225.jpg","show blot")</f>
        <v>show blot</v>
      </c>
      <c r="J540" s="5" t="s">
        <v>1079</v>
      </c>
      <c r="L540" s="11">
        <v>4.2570117307992996</v>
      </c>
      <c r="N540" s="12"/>
    </row>
    <row r="541" spans="1:14" s="5" customFormat="1" ht="15" customHeight="1" x14ac:dyDescent="0.25">
      <c r="A541" s="9" t="s">
        <v>1080</v>
      </c>
      <c r="C541" s="9" t="str">
        <f>HYPERLINK("http://www.ncbi.nlm.nih.gov/protein/46402217","Arl5c")</f>
        <v>Arl5c</v>
      </c>
      <c r="D541" s="10">
        <f t="shared" si="8"/>
        <v>4.2570117307992996</v>
      </c>
      <c r="F541" s="8" t="str">
        <f>HYPERLINK("https://esbl.nhlbi.nih.gov/Databases/mpkFractions/proteomic_fractions_log_files/Yang_log_img/46402217.jpg","show blot")</f>
        <v>show blot</v>
      </c>
      <c r="H541" s="8" t="str">
        <f>HYPERLINK("https://esbl.nhlbi.nih.gov/Databases/mpkFractions/proteomic_fractions_linear_files/Yang_linear_img/46402217.jpg","show blot")</f>
        <v>show blot</v>
      </c>
      <c r="J541" s="5" t="s">
        <v>1081</v>
      </c>
      <c r="L541" s="11">
        <v>4.2570117307992996</v>
      </c>
      <c r="N541" s="12"/>
    </row>
    <row r="542" spans="1:14" s="5" customFormat="1" ht="15" customHeight="1" x14ac:dyDescent="0.25">
      <c r="A542" s="9" t="s">
        <v>1082</v>
      </c>
      <c r="C542" s="9" t="str">
        <f>HYPERLINK("http://www.ncbi.nlm.nih.gov/protein/188528681","Arl6")</f>
        <v>Arl6</v>
      </c>
      <c r="D542" s="10">
        <f t="shared" si="8"/>
        <v>5.1166755850193386</v>
      </c>
      <c r="F542" s="8" t="str">
        <f>HYPERLINK("https://esbl.nhlbi.nih.gov/Databases/mpkFractions/proteomic_fractions_log_files/Yang_log_img/188528681.jpg","show blot")</f>
        <v>show blot</v>
      </c>
      <c r="H542" s="8" t="str">
        <f>HYPERLINK("https://esbl.nhlbi.nih.gov/Databases/mpkFractions/proteomic_fractions_linear_files/Yang_linear_img/188528681.jpg","show blot")</f>
        <v>show blot</v>
      </c>
      <c r="J542" s="5" t="s">
        <v>1083</v>
      </c>
      <c r="L542" s="11">
        <v>5.1166755850193386</v>
      </c>
      <c r="N542" s="12"/>
    </row>
    <row r="543" spans="1:14" s="5" customFormat="1" ht="15" customHeight="1" x14ac:dyDescent="0.25">
      <c r="A543" s="9" t="s">
        <v>1084</v>
      </c>
      <c r="C543" s="9" t="str">
        <f>HYPERLINK("http://www.ncbi.nlm.nih.gov/protein/45433590","Arl6ip1")</f>
        <v>Arl6ip1</v>
      </c>
      <c r="D543" s="10">
        <f t="shared" si="8"/>
        <v>5.1008092604083872</v>
      </c>
      <c r="F543" s="8" t="str">
        <f>HYPERLINK("https://esbl.nhlbi.nih.gov/Databases/mpkFractions/proteomic_fractions_log_files/Yang_log_img/45433590.jpg","show blot")</f>
        <v>show blot</v>
      </c>
      <c r="H543" s="8" t="str">
        <f>HYPERLINK("https://esbl.nhlbi.nih.gov/Databases/mpkFractions/proteomic_fractions_linear_files/Yang_linear_img/45433590.jpg","show blot")</f>
        <v>show blot</v>
      </c>
      <c r="J543" s="5" t="s">
        <v>1085</v>
      </c>
      <c r="L543" s="11">
        <v>5.1008092604083872</v>
      </c>
      <c r="N543" s="12"/>
    </row>
    <row r="544" spans="1:14" s="5" customFormat="1" ht="15" customHeight="1" x14ac:dyDescent="0.25">
      <c r="A544" s="9" t="s">
        <v>1086</v>
      </c>
      <c r="C544" s="9" t="str">
        <f>HYPERLINK("http://www.ncbi.nlm.nih.gov/protein/21362283","Arl6ip4")</f>
        <v>Arl6ip4</v>
      </c>
      <c r="D544" s="10">
        <f t="shared" si="8"/>
        <v>4.6284251163892982</v>
      </c>
      <c r="F544" s="8" t="str">
        <f>HYPERLINK("https://esbl.nhlbi.nih.gov/Databases/mpkFractions/proteomic_fractions_log_files/Yang_log_img/21362283.jpg","show blot")</f>
        <v>show blot</v>
      </c>
      <c r="H544" s="8" t="str">
        <f>HYPERLINK("https://esbl.nhlbi.nih.gov/Databases/mpkFractions/proteomic_fractions_linear_files/Yang_linear_img/21362283.jpg","show blot")</f>
        <v>show blot</v>
      </c>
      <c r="J544" s="5" t="s">
        <v>1087</v>
      </c>
      <c r="L544" s="11">
        <v>4.6284251163892982</v>
      </c>
      <c r="N544" s="12"/>
    </row>
    <row r="545" spans="1:14" s="5" customFormat="1" ht="15" customHeight="1" x14ac:dyDescent="0.25">
      <c r="A545" s="9" t="s">
        <v>1088</v>
      </c>
      <c r="C545" s="9" t="str">
        <f>HYPERLINK("http://www.ncbi.nlm.nih.gov/protein/14149750","Arl6ip5")</f>
        <v>Arl6ip5</v>
      </c>
      <c r="D545" s="10">
        <f t="shared" si="8"/>
        <v>4.6811281741513771</v>
      </c>
      <c r="F545" s="8" t="str">
        <f>HYPERLINK("https://esbl.nhlbi.nih.gov/Databases/mpkFractions/proteomic_fractions_log_files/Yang_log_img/14149750.jpg","show blot")</f>
        <v>show blot</v>
      </c>
      <c r="H545" s="8" t="str">
        <f>HYPERLINK("https://esbl.nhlbi.nih.gov/Databases/mpkFractions/proteomic_fractions_linear_files/Yang_linear_img/14149750.jpg","show blot")</f>
        <v>show blot</v>
      </c>
      <c r="J545" s="5" t="s">
        <v>1089</v>
      </c>
      <c r="L545" s="11">
        <v>4.6811281741513771</v>
      </c>
      <c r="N545" s="12"/>
    </row>
    <row r="546" spans="1:14" s="5" customFormat="1" ht="15" customHeight="1" x14ac:dyDescent="0.25">
      <c r="A546" s="9" t="s">
        <v>1090</v>
      </c>
      <c r="C546" s="9" t="str">
        <f>HYPERLINK("http://www.ncbi.nlm.nih.gov/protein/254281227","Arl6ip6")</f>
        <v>Arl6ip6</v>
      </c>
      <c r="D546" s="10">
        <f t="shared" si="8"/>
        <v>4.1556045977196554</v>
      </c>
      <c r="F546" s="8" t="str">
        <f>HYPERLINK("https://esbl.nhlbi.nih.gov/Databases/mpkFractions/proteomic_fractions_log_files/Yang_log_img/254281227.jpg","show blot")</f>
        <v>show blot</v>
      </c>
      <c r="H546" s="8" t="str">
        <f>HYPERLINK("https://esbl.nhlbi.nih.gov/Databases/mpkFractions/proteomic_fractions_linear_files/Yang_linear_img/254281227.jpg","show blot")</f>
        <v>show blot</v>
      </c>
      <c r="J546" s="5" t="s">
        <v>1091</v>
      </c>
      <c r="L546" s="11">
        <v>4.1556045977196554</v>
      </c>
      <c r="N546" s="12"/>
    </row>
    <row r="547" spans="1:14" s="5" customFormat="1" ht="15" customHeight="1" x14ac:dyDescent="0.25">
      <c r="A547" s="9" t="s">
        <v>1092</v>
      </c>
      <c r="C547" s="9" t="str">
        <f>HYPERLINK("http://www.ncbi.nlm.nih.gov/protein/23956194","Arl8a")</f>
        <v>Arl8a</v>
      </c>
      <c r="D547" s="10">
        <f t="shared" si="8"/>
        <v>6.2306495114398484</v>
      </c>
      <c r="F547" s="8" t="str">
        <f>HYPERLINK("https://esbl.nhlbi.nih.gov/Databases/mpkFractions/proteomic_fractions_log_files/Yang_log_img/23956194.jpg","show blot")</f>
        <v>show blot</v>
      </c>
      <c r="H547" s="8" t="str">
        <f>HYPERLINK("https://esbl.nhlbi.nih.gov/Databases/mpkFractions/proteomic_fractions_linear_files/Yang_linear_img/23956194.jpg","show blot")</f>
        <v>show blot</v>
      </c>
      <c r="J547" s="5" t="s">
        <v>1093</v>
      </c>
      <c r="L547" s="11">
        <v>6.2306495114398484</v>
      </c>
      <c r="N547" s="12"/>
    </row>
    <row r="548" spans="1:14" s="5" customFormat="1" ht="15" customHeight="1" x14ac:dyDescent="0.25">
      <c r="A548" s="9" t="s">
        <v>1094</v>
      </c>
      <c r="C548" s="9" t="str">
        <f>HYPERLINK("http://www.ncbi.nlm.nih.gov/protein/13385518","Arl8b")</f>
        <v>Arl8b</v>
      </c>
      <c r="D548" s="10">
        <f t="shared" si="8"/>
        <v>6.2926059959102689</v>
      </c>
      <c r="F548" s="8" t="str">
        <f>HYPERLINK("https://esbl.nhlbi.nih.gov/Databases/mpkFractions/proteomic_fractions_log_files/Yang_log_img/13385518.jpg","show blot")</f>
        <v>show blot</v>
      </c>
      <c r="H548" s="8" t="str">
        <f>HYPERLINK("https://esbl.nhlbi.nih.gov/Databases/mpkFractions/proteomic_fractions_linear_files/Yang_linear_img/13385518.jpg","show blot")</f>
        <v>show blot</v>
      </c>
      <c r="J548" s="5" t="s">
        <v>1095</v>
      </c>
      <c r="L548" s="11">
        <v>6.2926059959102689</v>
      </c>
      <c r="N548" s="12"/>
    </row>
    <row r="549" spans="1:14" s="5" customFormat="1" ht="15" customHeight="1" x14ac:dyDescent="0.25">
      <c r="A549" s="9" t="s">
        <v>1096</v>
      </c>
      <c r="C549" s="9" t="str">
        <f>HYPERLINK("http://www.ncbi.nlm.nih.gov/protein/21312676","Armc1")</f>
        <v>Armc1</v>
      </c>
      <c r="D549" s="10">
        <f t="shared" si="8"/>
        <v>4.6249021880625634</v>
      </c>
      <c r="F549" s="8" t="str">
        <f>HYPERLINK("https://esbl.nhlbi.nih.gov/Databases/mpkFractions/proteomic_fractions_log_files/Yang_log_img/21312676.jpg","show blot")</f>
        <v>show blot</v>
      </c>
      <c r="H549" s="8" t="str">
        <f>HYPERLINK("https://esbl.nhlbi.nih.gov/Databases/mpkFractions/proteomic_fractions_linear_files/Yang_linear_img/21312676.jpg","show blot")</f>
        <v>show blot</v>
      </c>
      <c r="J549" s="5" t="s">
        <v>1097</v>
      </c>
      <c r="L549" s="11">
        <v>4.6249021880625634</v>
      </c>
      <c r="N549" s="12"/>
    </row>
    <row r="550" spans="1:14" s="5" customFormat="1" ht="15" customHeight="1" x14ac:dyDescent="0.25">
      <c r="A550" s="9" t="s">
        <v>1098</v>
      </c>
      <c r="C550" s="9" t="str">
        <f>HYPERLINK("http://www.ncbi.nlm.nih.gov/protein/377833866","Armc1")</f>
        <v>Armc1</v>
      </c>
      <c r="D550" s="10">
        <f t="shared" si="8"/>
        <v>4.6249021880625634</v>
      </c>
      <c r="F550" s="8" t="str">
        <f>HYPERLINK("https://esbl.nhlbi.nih.gov/Databases/mpkFractions/proteomic_fractions_log_files/Yang_log_img/377833866.jpg","show blot")</f>
        <v>show blot</v>
      </c>
      <c r="H550" s="8" t="str">
        <f>HYPERLINK("https://esbl.nhlbi.nih.gov/Databases/mpkFractions/proteomic_fractions_linear_files/Yang_linear_img/377833866.jpg","show blot")</f>
        <v>show blot</v>
      </c>
      <c r="J550" s="5" t="s">
        <v>1099</v>
      </c>
      <c r="L550" s="11">
        <v>4.6249021880625634</v>
      </c>
      <c r="N550" s="12"/>
    </row>
    <row r="551" spans="1:14" s="5" customFormat="1" ht="15" customHeight="1" x14ac:dyDescent="0.25">
      <c r="A551" s="9" t="s">
        <v>1100</v>
      </c>
      <c r="C551" s="9" t="str">
        <f>HYPERLINK("http://www.ncbi.nlm.nih.gov/protein/13385536","Armc10")</f>
        <v>Armc10</v>
      </c>
      <c r="D551" s="10">
        <f t="shared" si="8"/>
        <v>5.244835135604788</v>
      </c>
      <c r="F551" s="8" t="str">
        <f>HYPERLINK("https://esbl.nhlbi.nih.gov/Databases/mpkFractions/proteomic_fractions_log_files/Yang_log_img/13385536.jpg","show blot")</f>
        <v>show blot</v>
      </c>
      <c r="H551" s="8" t="str">
        <f>HYPERLINK("https://esbl.nhlbi.nih.gov/Databases/mpkFractions/proteomic_fractions_linear_files/Yang_linear_img/13385536.jpg","show blot")</f>
        <v>show blot</v>
      </c>
      <c r="J551" s="5" t="s">
        <v>1101</v>
      </c>
      <c r="L551" s="11">
        <v>5.244835135604788</v>
      </c>
      <c r="N551" s="12"/>
    </row>
    <row r="552" spans="1:14" s="5" customFormat="1" ht="15" customHeight="1" x14ac:dyDescent="0.25">
      <c r="A552" s="9" t="s">
        <v>1102</v>
      </c>
      <c r="C552" s="9" t="str">
        <f>HYPERLINK("http://www.ncbi.nlm.nih.gov/protein/113199755","Armc6")</f>
        <v>Armc6</v>
      </c>
      <c r="D552" s="10">
        <f t="shared" si="8"/>
        <v>4.4233705940371602</v>
      </c>
      <c r="F552" s="8" t="str">
        <f>HYPERLINK("https://esbl.nhlbi.nih.gov/Databases/mpkFractions/proteomic_fractions_log_files/Yang_log_img/113199755.jpg","show blot")</f>
        <v>show blot</v>
      </c>
      <c r="H552" s="8" t="str">
        <f>HYPERLINK("https://esbl.nhlbi.nih.gov/Databases/mpkFractions/proteomic_fractions_linear_files/Yang_linear_img/113199755.jpg","show blot")</f>
        <v>show blot</v>
      </c>
      <c r="J552" s="5" t="s">
        <v>1103</v>
      </c>
      <c r="L552" s="11">
        <v>4.4233705940371602</v>
      </c>
      <c r="N552" s="12"/>
    </row>
    <row r="553" spans="1:14" s="5" customFormat="1" ht="15" customHeight="1" x14ac:dyDescent="0.25">
      <c r="A553" s="9" t="s">
        <v>1104</v>
      </c>
      <c r="C553" s="9" t="str">
        <f>HYPERLINK("http://www.ncbi.nlm.nih.gov/protein/29244300","Armc7")</f>
        <v>Armc7</v>
      </c>
      <c r="D553" s="10">
        <f t="shared" si="8"/>
        <v>3.5687755878410181</v>
      </c>
      <c r="F553" s="8" t="str">
        <f>HYPERLINK("https://esbl.nhlbi.nih.gov/Databases/mpkFractions/proteomic_fractions_log_files/Yang_log_img/29244300.jpg","show blot")</f>
        <v>show blot</v>
      </c>
      <c r="H553" s="8" t="str">
        <f>HYPERLINK("https://esbl.nhlbi.nih.gov/Databases/mpkFractions/proteomic_fractions_linear_files/Yang_linear_img/29244300.jpg","show blot")</f>
        <v>show blot</v>
      </c>
      <c r="J553" s="5" t="s">
        <v>1105</v>
      </c>
      <c r="L553" s="11">
        <v>3.5687755878410181</v>
      </c>
      <c r="N553" s="12"/>
    </row>
    <row r="554" spans="1:14" s="5" customFormat="1" ht="15" customHeight="1" x14ac:dyDescent="0.25">
      <c r="A554" s="9" t="s">
        <v>1106</v>
      </c>
      <c r="C554" s="9" t="str">
        <f>HYPERLINK("http://www.ncbi.nlm.nih.gov/protein/260763997","Armc8")</f>
        <v>Armc8</v>
      </c>
      <c r="D554" s="10">
        <f t="shared" si="8"/>
        <v>5.2805753005305478</v>
      </c>
      <c r="F554" s="8" t="str">
        <f>HYPERLINK("https://esbl.nhlbi.nih.gov/Databases/mpkFractions/proteomic_fractions_log_files/Yang_log_img/260763997.jpg","show blot")</f>
        <v>show blot</v>
      </c>
      <c r="H554" s="8" t="str">
        <f>HYPERLINK("https://esbl.nhlbi.nih.gov/Databases/mpkFractions/proteomic_fractions_linear_files/Yang_linear_img/260763997.jpg","show blot")</f>
        <v>show blot</v>
      </c>
      <c r="J554" s="5" t="s">
        <v>1107</v>
      </c>
      <c r="L554" s="11">
        <v>5.2805753005305478</v>
      </c>
      <c r="N554" s="12"/>
    </row>
    <row r="555" spans="1:14" s="5" customFormat="1" ht="15" customHeight="1" x14ac:dyDescent="0.25">
      <c r="A555" s="9" t="s">
        <v>1108</v>
      </c>
      <c r="C555" s="9" t="str">
        <f>HYPERLINK("http://www.ncbi.nlm.nih.gov/protein/260763999","Armc8")</f>
        <v>Armc8</v>
      </c>
      <c r="D555" s="10">
        <f t="shared" si="8"/>
        <v>5.2805753005305478</v>
      </c>
      <c r="F555" s="8" t="str">
        <f>HYPERLINK("https://esbl.nhlbi.nih.gov/Databases/mpkFractions/proteomic_fractions_log_files/Yang_log_img/260763999.jpg","show blot")</f>
        <v>show blot</v>
      </c>
      <c r="H555" s="8" t="str">
        <f>HYPERLINK("https://esbl.nhlbi.nih.gov/Databases/mpkFractions/proteomic_fractions_linear_files/Yang_linear_img/260763999.jpg","show blot")</f>
        <v>show blot</v>
      </c>
      <c r="J555" s="5" t="s">
        <v>1109</v>
      </c>
      <c r="L555" s="11">
        <v>5.2805753005305478</v>
      </c>
      <c r="N555" s="12"/>
    </row>
    <row r="556" spans="1:14" s="5" customFormat="1" ht="15" customHeight="1" x14ac:dyDescent="0.25">
      <c r="A556" s="9" t="s">
        <v>1110</v>
      </c>
      <c r="C556" s="9" t="str">
        <f>HYPERLINK("http://www.ncbi.nlm.nih.gov/protein/83627702","Arnt")</f>
        <v>Arnt</v>
      </c>
      <c r="D556" s="10">
        <f t="shared" si="8"/>
        <v>2.5081889622006441</v>
      </c>
      <c r="F556" s="8" t="str">
        <f>HYPERLINK("https://esbl.nhlbi.nih.gov/Databases/mpkFractions/proteomic_fractions_log_files/Yang_log_img/83627702.jpg","show blot")</f>
        <v>show blot</v>
      </c>
      <c r="H556" s="8" t="str">
        <f>HYPERLINK("https://esbl.nhlbi.nih.gov/Databases/mpkFractions/proteomic_fractions_linear_files/Yang_linear_img/83627702.jpg","show blot")</f>
        <v>show blot</v>
      </c>
      <c r="J556" s="5" t="s">
        <v>1111</v>
      </c>
      <c r="L556" s="11">
        <v>2.5081889622006441</v>
      </c>
      <c r="N556" s="12"/>
    </row>
    <row r="557" spans="1:14" s="5" customFormat="1" ht="15" customHeight="1" x14ac:dyDescent="0.25">
      <c r="A557" s="9" t="s">
        <v>1112</v>
      </c>
      <c r="C557" s="9" t="str">
        <f>HYPERLINK("http://www.ncbi.nlm.nih.gov/protein/83627709","Arnt")</f>
        <v>Arnt</v>
      </c>
      <c r="D557" s="10">
        <f t="shared" si="8"/>
        <v>2.5081889622006441</v>
      </c>
      <c r="F557" s="8" t="str">
        <f>HYPERLINK("https://esbl.nhlbi.nih.gov/Databases/mpkFractions/proteomic_fractions_log_files/Yang_log_img/83627709.jpg","show blot")</f>
        <v>show blot</v>
      </c>
      <c r="H557" s="8" t="str">
        <f>HYPERLINK("https://esbl.nhlbi.nih.gov/Databases/mpkFractions/proteomic_fractions_linear_files/Yang_linear_img/83627709.jpg","show blot")</f>
        <v>show blot</v>
      </c>
      <c r="J557" s="5" t="s">
        <v>1113</v>
      </c>
      <c r="L557" s="11">
        <v>2.5081889622006441</v>
      </c>
      <c r="N557" s="12"/>
    </row>
    <row r="558" spans="1:14" s="5" customFormat="1" ht="15" customHeight="1" x14ac:dyDescent="0.25">
      <c r="A558" s="9" t="s">
        <v>1114</v>
      </c>
      <c r="C558" s="9" t="str">
        <f>HYPERLINK("http://www.ncbi.nlm.nih.gov/protein/34328095","Arnt2")</f>
        <v>Arnt2</v>
      </c>
      <c r="D558" s="10">
        <f t="shared" si="8"/>
        <v>2.5455132852244571</v>
      </c>
      <c r="F558" s="8" t="str">
        <f>HYPERLINK("https://esbl.nhlbi.nih.gov/Databases/mpkFractions/proteomic_fractions_log_files/Yang_log_img/34328095.jpg","show blot")</f>
        <v>show blot</v>
      </c>
      <c r="H558" s="8" t="str">
        <f>HYPERLINK("https://esbl.nhlbi.nih.gov/Databases/mpkFractions/proteomic_fractions_linear_files/Yang_linear_img/34328095.jpg","show blot")</f>
        <v>show blot</v>
      </c>
      <c r="J558" s="5" t="s">
        <v>1115</v>
      </c>
      <c r="L558" s="11">
        <v>2.5455132852244571</v>
      </c>
      <c r="N558" s="12"/>
    </row>
    <row r="559" spans="1:14" s="5" customFormat="1" ht="15" customHeight="1" x14ac:dyDescent="0.25">
      <c r="A559" s="9" t="s">
        <v>1116</v>
      </c>
      <c r="C559" s="9" t="str">
        <f>HYPERLINK("http://www.ncbi.nlm.nih.gov/protein/9790221","Arpc1a")</f>
        <v>Arpc1a</v>
      </c>
      <c r="D559" s="10">
        <f t="shared" si="8"/>
        <v>5.0202042521818262</v>
      </c>
      <c r="F559" s="8" t="str">
        <f>HYPERLINK("https://esbl.nhlbi.nih.gov/Databases/mpkFractions/proteomic_fractions_log_files/Yang_log_img/9790221.jpg","show blot")</f>
        <v>show blot</v>
      </c>
      <c r="H559" s="8" t="str">
        <f>HYPERLINK("https://esbl.nhlbi.nih.gov/Databases/mpkFractions/proteomic_fractions_linear_files/Yang_linear_img/9790221.jpg","show blot")</f>
        <v>show blot</v>
      </c>
      <c r="J559" s="5" t="s">
        <v>1117</v>
      </c>
      <c r="L559" s="11">
        <v>5.0202042521818262</v>
      </c>
      <c r="N559" s="12"/>
    </row>
    <row r="560" spans="1:14" s="5" customFormat="1" ht="15" customHeight="1" x14ac:dyDescent="0.25">
      <c r="A560" s="9" t="s">
        <v>1118</v>
      </c>
      <c r="C560" s="9" t="str">
        <f>HYPERLINK("http://www.ncbi.nlm.nih.gov/protein/160837788","Arpc1b")</f>
        <v>Arpc1b</v>
      </c>
      <c r="D560" s="10">
        <f t="shared" si="8"/>
        <v>6.0851052043116676</v>
      </c>
      <c r="F560" s="8" t="str">
        <f>HYPERLINK("https://esbl.nhlbi.nih.gov/Databases/mpkFractions/proteomic_fractions_log_files/Yang_log_img/160837788.jpg","show blot")</f>
        <v>show blot</v>
      </c>
      <c r="H560" s="8" t="str">
        <f>HYPERLINK("https://esbl.nhlbi.nih.gov/Databases/mpkFractions/proteomic_fractions_linear_files/Yang_linear_img/160837788.jpg","show blot")</f>
        <v>show blot</v>
      </c>
      <c r="J560" s="5" t="s">
        <v>1119</v>
      </c>
      <c r="L560" s="11">
        <v>6.0851052043116676</v>
      </c>
      <c r="N560" s="12"/>
    </row>
    <row r="561" spans="1:14" s="5" customFormat="1" ht="15" customHeight="1" x14ac:dyDescent="0.25">
      <c r="A561" s="9" t="s">
        <v>1120</v>
      </c>
      <c r="C561" s="9" t="str">
        <f>HYPERLINK("http://www.ncbi.nlm.nih.gov/protein/112363072","Arpc2")</f>
        <v>Arpc2</v>
      </c>
      <c r="D561" s="10">
        <f t="shared" si="8"/>
        <v>6.2077539079999751</v>
      </c>
      <c r="F561" s="8" t="str">
        <f>HYPERLINK("https://esbl.nhlbi.nih.gov/Databases/mpkFractions/proteomic_fractions_log_files/Yang_log_img/112363072.jpg","show blot")</f>
        <v>show blot</v>
      </c>
      <c r="H561" s="8" t="str">
        <f>HYPERLINK("https://esbl.nhlbi.nih.gov/Databases/mpkFractions/proteomic_fractions_linear_files/Yang_linear_img/112363072.jpg","show blot")</f>
        <v>show blot</v>
      </c>
      <c r="J561" s="5" t="s">
        <v>1121</v>
      </c>
      <c r="L561" s="11">
        <v>6.2077539079999751</v>
      </c>
      <c r="N561" s="12"/>
    </row>
    <row r="562" spans="1:14" s="5" customFormat="1" ht="15" customHeight="1" x14ac:dyDescent="0.25">
      <c r="A562" s="9" t="s">
        <v>1122</v>
      </c>
      <c r="C562" s="9" t="str">
        <f>HYPERLINK("http://www.ncbi.nlm.nih.gov/protein/9790141","Arpc3")</f>
        <v>Arpc3</v>
      </c>
      <c r="D562" s="10">
        <f t="shared" si="8"/>
        <v>6.206434791668447</v>
      </c>
      <c r="F562" s="8" t="str">
        <f>HYPERLINK("https://esbl.nhlbi.nih.gov/Databases/mpkFractions/proteomic_fractions_log_files/Yang_log_img/9790141.jpg","show blot")</f>
        <v>show blot</v>
      </c>
      <c r="H562" s="8" t="str">
        <f>HYPERLINK("https://esbl.nhlbi.nih.gov/Databases/mpkFractions/proteomic_fractions_linear_files/Yang_linear_img/9790141.jpg","show blot")</f>
        <v>show blot</v>
      </c>
      <c r="J562" s="5" t="s">
        <v>1123</v>
      </c>
      <c r="L562" s="11">
        <v>6.206434791668447</v>
      </c>
      <c r="N562" s="12"/>
    </row>
    <row r="563" spans="1:14" s="5" customFormat="1" ht="15" customHeight="1" x14ac:dyDescent="0.25">
      <c r="A563" s="9" t="s">
        <v>1124</v>
      </c>
      <c r="C563" s="9" t="str">
        <f>HYPERLINK("http://www.ncbi.nlm.nih.gov/protein/13386054","Arpc4")</f>
        <v>Arpc4</v>
      </c>
      <c r="D563" s="10">
        <f t="shared" si="8"/>
        <v>6.7896776204110107</v>
      </c>
      <c r="F563" s="8" t="str">
        <f>HYPERLINK("https://esbl.nhlbi.nih.gov/Databases/mpkFractions/proteomic_fractions_log_files/Yang_log_img/13386054.jpg","show blot")</f>
        <v>show blot</v>
      </c>
      <c r="H563" s="8" t="str">
        <f>HYPERLINK("https://esbl.nhlbi.nih.gov/Databases/mpkFractions/proteomic_fractions_linear_files/Yang_linear_img/13386054.jpg","show blot")</f>
        <v>show blot</v>
      </c>
      <c r="J563" s="5" t="s">
        <v>1125</v>
      </c>
      <c r="L563" s="11">
        <v>6.7896776204110107</v>
      </c>
      <c r="N563" s="12"/>
    </row>
    <row r="564" spans="1:14" s="5" customFormat="1" ht="15" customHeight="1" x14ac:dyDescent="0.25">
      <c r="A564" s="9" t="s">
        <v>1126</v>
      </c>
      <c r="C564" s="9" t="str">
        <f>HYPERLINK("http://www.ncbi.nlm.nih.gov/protein/281427242","Arpc4")</f>
        <v>Arpc4</v>
      </c>
      <c r="D564" s="10">
        <f t="shared" si="8"/>
        <v>6.7896776204110107</v>
      </c>
      <c r="F564" s="8" t="str">
        <f>HYPERLINK("https://esbl.nhlbi.nih.gov/Databases/mpkFractions/proteomic_fractions_log_files/Yang_log_img/281427242.jpg","show blot")</f>
        <v>show blot</v>
      </c>
      <c r="H564" s="8" t="str">
        <f>HYPERLINK("https://esbl.nhlbi.nih.gov/Databases/mpkFractions/proteomic_fractions_linear_files/Yang_linear_img/281427242.jpg","show blot")</f>
        <v>show blot</v>
      </c>
      <c r="J564" s="5" t="s">
        <v>1127</v>
      </c>
      <c r="L564" s="11">
        <v>6.7896776204110107</v>
      </c>
      <c r="N564" s="12"/>
    </row>
    <row r="565" spans="1:14" s="5" customFormat="1" ht="15" customHeight="1" x14ac:dyDescent="0.25">
      <c r="A565" s="9" t="s">
        <v>1128</v>
      </c>
      <c r="C565" s="9" t="str">
        <f>HYPERLINK("http://www.ncbi.nlm.nih.gov/protein/281427244","Arpc4")</f>
        <v>Arpc4</v>
      </c>
      <c r="D565" s="10">
        <f t="shared" si="8"/>
        <v>6.7896776204110107</v>
      </c>
      <c r="F565" s="8" t="str">
        <f>HYPERLINK("https://esbl.nhlbi.nih.gov/Databases/mpkFractions/proteomic_fractions_log_files/Yang_log_img/281427244.jpg","show blot")</f>
        <v>show blot</v>
      </c>
      <c r="H565" s="8" t="str">
        <f>HYPERLINK("https://esbl.nhlbi.nih.gov/Databases/mpkFractions/proteomic_fractions_linear_files/Yang_linear_img/281427244.jpg","show blot")</f>
        <v>show blot</v>
      </c>
      <c r="J565" s="5" t="s">
        <v>1129</v>
      </c>
      <c r="L565" s="11">
        <v>6.7896776204110107</v>
      </c>
      <c r="N565" s="12"/>
    </row>
    <row r="566" spans="1:14" s="5" customFormat="1" ht="15" customHeight="1" x14ac:dyDescent="0.25">
      <c r="A566" s="9" t="s">
        <v>1130</v>
      </c>
      <c r="C566" s="9" t="str">
        <f>HYPERLINK("http://www.ncbi.nlm.nih.gov/protein/224809382","Arpc5")</f>
        <v>Arpc5</v>
      </c>
      <c r="D566" s="10">
        <f t="shared" si="8"/>
        <v>6.3064777044184597</v>
      </c>
      <c r="F566" s="8" t="str">
        <f>HYPERLINK("https://esbl.nhlbi.nih.gov/Databases/mpkFractions/proteomic_fractions_log_files/Yang_log_img/224809382.jpg","show blot")</f>
        <v>show blot</v>
      </c>
      <c r="H566" s="8" t="str">
        <f>HYPERLINK("https://esbl.nhlbi.nih.gov/Databases/mpkFractions/proteomic_fractions_linear_files/Yang_linear_img/224809382.jpg","show blot")</f>
        <v>show blot</v>
      </c>
      <c r="J566" s="5" t="s">
        <v>1131</v>
      </c>
      <c r="L566" s="11">
        <v>6.3064777044184597</v>
      </c>
      <c r="N566" s="12"/>
    </row>
    <row r="567" spans="1:14" s="5" customFormat="1" ht="15" customHeight="1" x14ac:dyDescent="0.25">
      <c r="A567" s="9" t="s">
        <v>1132</v>
      </c>
      <c r="C567" s="9" t="str">
        <f>HYPERLINK("http://www.ncbi.nlm.nih.gov/protein/21312654","Arpc5l")</f>
        <v>Arpc5l</v>
      </c>
      <c r="D567" s="10">
        <f t="shared" si="8"/>
        <v>5.5128870700819332</v>
      </c>
      <c r="F567" s="8" t="str">
        <f>HYPERLINK("https://esbl.nhlbi.nih.gov/Databases/mpkFractions/proteomic_fractions_log_files/Yang_log_img/21312654.jpg","show blot")</f>
        <v>show blot</v>
      </c>
      <c r="H567" s="8" t="str">
        <f>HYPERLINK("https://esbl.nhlbi.nih.gov/Databases/mpkFractions/proteomic_fractions_linear_files/Yang_linear_img/21312654.jpg","show blot")</f>
        <v>show blot</v>
      </c>
      <c r="J567" s="5" t="s">
        <v>1133</v>
      </c>
      <c r="L567" s="11">
        <v>5.5128870700819332</v>
      </c>
      <c r="N567" s="12"/>
    </row>
    <row r="568" spans="1:14" s="5" customFormat="1" ht="15" customHeight="1" x14ac:dyDescent="0.25">
      <c r="A568" s="9" t="s">
        <v>1134</v>
      </c>
      <c r="C568" s="9" t="str">
        <f>HYPERLINK("http://www.ncbi.nlm.nih.gov/protein/10946986","Arpp19")</f>
        <v>Arpp19</v>
      </c>
      <c r="D568" s="10">
        <f t="shared" si="8"/>
        <v>4.8818633952606971</v>
      </c>
      <c r="F568" s="8" t="str">
        <f>HYPERLINK("https://esbl.nhlbi.nih.gov/Databases/mpkFractions/proteomic_fractions_log_files/Yang_log_img/10946986.jpg","show blot")</f>
        <v>show blot</v>
      </c>
      <c r="H568" s="8" t="str">
        <f>HYPERLINK("https://esbl.nhlbi.nih.gov/Databases/mpkFractions/proteomic_fractions_linear_files/Yang_linear_img/10946986.jpg","show blot")</f>
        <v>show blot</v>
      </c>
      <c r="J568" s="5" t="s">
        <v>1135</v>
      </c>
      <c r="L568" s="11">
        <v>4.8818633952606971</v>
      </c>
      <c r="N568" s="12"/>
    </row>
    <row r="569" spans="1:14" s="5" customFormat="1" ht="15" customHeight="1" x14ac:dyDescent="0.25">
      <c r="A569" s="9" t="s">
        <v>1136</v>
      </c>
      <c r="C569" s="9" t="str">
        <f>HYPERLINK("http://www.ncbi.nlm.nih.gov/protein/217416411","Arpp19")</f>
        <v>Arpp19</v>
      </c>
      <c r="D569" s="10">
        <f t="shared" si="8"/>
        <v>4.8818633952606971</v>
      </c>
      <c r="F569" s="8" t="str">
        <f>HYPERLINK("https://esbl.nhlbi.nih.gov/Databases/mpkFractions/proteomic_fractions_log_files/Yang_log_img/217416411.jpg","show blot")</f>
        <v>show blot</v>
      </c>
      <c r="H569" s="8" t="str">
        <f>HYPERLINK("https://esbl.nhlbi.nih.gov/Databases/mpkFractions/proteomic_fractions_linear_files/Yang_linear_img/217416411.jpg","show blot")</f>
        <v>show blot</v>
      </c>
      <c r="J569" s="5" t="s">
        <v>1137</v>
      </c>
      <c r="L569" s="11">
        <v>4.8818633952606971</v>
      </c>
      <c r="N569" s="12"/>
    </row>
    <row r="570" spans="1:14" s="5" customFormat="1" ht="15" customHeight="1" x14ac:dyDescent="0.25">
      <c r="A570" s="9" t="s">
        <v>1138</v>
      </c>
      <c r="C570" s="9" t="str">
        <f>HYPERLINK("http://www.ncbi.nlm.nih.gov/protein/244798004","Arrdc1")</f>
        <v>Arrdc1</v>
      </c>
      <c r="D570" s="10">
        <f t="shared" si="8"/>
        <v>2.811840963894729</v>
      </c>
      <c r="F570" s="8" t="str">
        <f>HYPERLINK("https://esbl.nhlbi.nih.gov/Databases/mpkFractions/proteomic_fractions_log_files/Yang_log_img/244798004.jpg","show blot")</f>
        <v>show blot</v>
      </c>
      <c r="H570" s="8" t="str">
        <f>HYPERLINK("https://esbl.nhlbi.nih.gov/Databases/mpkFractions/proteomic_fractions_linear_files/Yang_linear_img/244798004.jpg","show blot")</f>
        <v>show blot</v>
      </c>
      <c r="J570" s="5" t="s">
        <v>1139</v>
      </c>
      <c r="L570" s="11">
        <v>2.811840963894729</v>
      </c>
      <c r="N570" s="12"/>
    </row>
    <row r="571" spans="1:14" s="5" customFormat="1" ht="15" customHeight="1" x14ac:dyDescent="0.25">
      <c r="A571" s="9" t="s">
        <v>1140</v>
      </c>
      <c r="C571" s="9" t="str">
        <f>HYPERLINK("http://www.ncbi.nlm.nih.gov/protein/244798112","Arrdc1")</f>
        <v>Arrdc1</v>
      </c>
      <c r="D571" s="10">
        <f t="shared" si="8"/>
        <v>2.811840963894729</v>
      </c>
      <c r="F571" s="8" t="str">
        <f>HYPERLINK("https://esbl.nhlbi.nih.gov/Databases/mpkFractions/proteomic_fractions_log_files/Yang_log_img/244798112.jpg","show blot")</f>
        <v>show blot</v>
      </c>
      <c r="H571" s="8" t="str">
        <f>HYPERLINK("https://esbl.nhlbi.nih.gov/Databases/mpkFractions/proteomic_fractions_linear_files/Yang_linear_img/244798112.jpg","show blot")</f>
        <v>show blot</v>
      </c>
      <c r="J571" s="5" t="s">
        <v>1141</v>
      </c>
      <c r="L571" s="11">
        <v>2.811840963894729</v>
      </c>
      <c r="N571" s="12"/>
    </row>
    <row r="572" spans="1:14" s="5" customFormat="1" ht="15" customHeight="1" x14ac:dyDescent="0.25">
      <c r="A572" s="9" t="s">
        <v>1142</v>
      </c>
      <c r="C572" s="9" t="str">
        <f>HYPERLINK("http://www.ncbi.nlm.nih.gov/protein/67972647","Arsa")</f>
        <v>Arsa</v>
      </c>
      <c r="D572" s="10">
        <f t="shared" si="8"/>
        <v>4.9735001463798687</v>
      </c>
      <c r="F572" s="8" t="str">
        <f>HYPERLINK("https://esbl.nhlbi.nih.gov/Databases/mpkFractions/proteomic_fractions_log_files/Yang_log_img/67972647.jpg","show blot")</f>
        <v>show blot</v>
      </c>
      <c r="H572" s="8" t="str">
        <f>HYPERLINK("https://esbl.nhlbi.nih.gov/Databases/mpkFractions/proteomic_fractions_linear_files/Yang_linear_img/67972647.jpg","show blot")</f>
        <v>show blot</v>
      </c>
      <c r="J572" s="5" t="s">
        <v>1143</v>
      </c>
      <c r="L572" s="11">
        <v>4.9735001463798687</v>
      </c>
      <c r="N572" s="12"/>
    </row>
    <row r="573" spans="1:14" s="5" customFormat="1" ht="15" customHeight="1" x14ac:dyDescent="0.25">
      <c r="A573" s="9" t="s">
        <v>1144</v>
      </c>
      <c r="C573" s="9" t="str">
        <f>HYPERLINK("http://www.ncbi.nlm.nih.gov/protein/125656171","Arsb")</f>
        <v>Arsb</v>
      </c>
      <c r="D573" s="10">
        <f t="shared" si="8"/>
        <v>4.0606321460021038</v>
      </c>
      <c r="F573" s="8" t="str">
        <f>HYPERLINK("https://esbl.nhlbi.nih.gov/Databases/mpkFractions/proteomic_fractions_log_files/Yang_log_img/125656171.jpg","show blot")</f>
        <v>show blot</v>
      </c>
      <c r="H573" s="8" t="str">
        <f>HYPERLINK("https://esbl.nhlbi.nih.gov/Databases/mpkFractions/proteomic_fractions_linear_files/Yang_linear_img/125656171.jpg","show blot")</f>
        <v>show blot</v>
      </c>
      <c r="J573" s="5" t="s">
        <v>1145</v>
      </c>
      <c r="L573" s="11">
        <v>4.0606321460021038</v>
      </c>
      <c r="N573" s="12"/>
    </row>
    <row r="574" spans="1:14" s="5" customFormat="1" ht="15" customHeight="1" x14ac:dyDescent="0.25">
      <c r="A574" s="9" t="s">
        <v>1146</v>
      </c>
      <c r="C574" s="9" t="str">
        <f>HYPERLINK("http://www.ncbi.nlm.nih.gov/protein/433809355;40254129","Arvcf")</f>
        <v>Arvcf</v>
      </c>
      <c r="D574" s="10">
        <f t="shared" si="8"/>
        <v>3.6981245198350532</v>
      </c>
      <c r="F574" s="8" t="str">
        <f>HYPERLINK("https://esbl.nhlbi.nih.gov/Databases/mpkFractions/proteomic_fractions_log_files/Yang_log_img/433809355;40254129.jpg","show blot")</f>
        <v>show blot</v>
      </c>
      <c r="H574" s="8" t="str">
        <f>HYPERLINK("https://esbl.nhlbi.nih.gov/Databases/mpkFractions/proteomic_fractions_linear_files/Yang_linear_img/433809355;40254129.jpg","show blot")</f>
        <v>show blot</v>
      </c>
      <c r="J574" s="5" t="s">
        <v>1147</v>
      </c>
      <c r="L574" s="11">
        <v>3.6981245198350532</v>
      </c>
      <c r="N574" s="12"/>
    </row>
    <row r="575" spans="1:14" s="5" customFormat="1" ht="15" customHeight="1" x14ac:dyDescent="0.25">
      <c r="A575" s="9" t="s">
        <v>1148</v>
      </c>
      <c r="C575" s="9" t="str">
        <f>HYPERLINK("http://www.ncbi.nlm.nih.gov/protein/40254129","Arvcf")</f>
        <v>Arvcf</v>
      </c>
      <c r="D575" s="10">
        <f t="shared" si="8"/>
        <v>3.6981245198350532</v>
      </c>
      <c r="F575" s="8" t="str">
        <f>HYPERLINK("https://esbl.nhlbi.nih.gov/Databases/mpkFractions/proteomic_fractions_log_files/Yang_log_img/40254129.jpg","show blot")</f>
        <v>show blot</v>
      </c>
      <c r="H575" s="8" t="str">
        <f>HYPERLINK("https://esbl.nhlbi.nih.gov/Databases/mpkFractions/proteomic_fractions_linear_files/Yang_linear_img/40254129.jpg","show blot")</f>
        <v>show blot</v>
      </c>
      <c r="J575" s="5" t="s">
        <v>1147</v>
      </c>
      <c r="L575" s="11">
        <v>3.6981245198350532</v>
      </c>
      <c r="N575" s="12"/>
    </row>
    <row r="576" spans="1:14" s="5" customFormat="1" ht="15" customHeight="1" x14ac:dyDescent="0.25">
      <c r="A576" s="9" t="s">
        <v>1149</v>
      </c>
      <c r="C576" s="9" t="str">
        <f>HYPERLINK("http://www.ncbi.nlm.nih.gov/protein/433809348","Arvcf")</f>
        <v>Arvcf</v>
      </c>
      <c r="D576" s="10">
        <f t="shared" si="8"/>
        <v>3.6981245198350532</v>
      </c>
      <c r="F576" s="8" t="str">
        <f>HYPERLINK("https://esbl.nhlbi.nih.gov/Databases/mpkFractions/proteomic_fractions_log_files/Yang_log_img/433809348.jpg","show blot")</f>
        <v>show blot</v>
      </c>
      <c r="H576" s="8" t="str">
        <f>HYPERLINK("https://esbl.nhlbi.nih.gov/Databases/mpkFractions/proteomic_fractions_linear_files/Yang_linear_img/433809348.jpg","show blot")</f>
        <v>show blot</v>
      </c>
      <c r="J576" s="5" t="s">
        <v>1150</v>
      </c>
      <c r="L576" s="11">
        <v>3.6981245198350532</v>
      </c>
      <c r="N576" s="12"/>
    </row>
    <row r="577" spans="1:14" s="5" customFormat="1" ht="15" customHeight="1" x14ac:dyDescent="0.25">
      <c r="A577" s="9" t="s">
        <v>1151</v>
      </c>
      <c r="C577" s="9" t="str">
        <f>HYPERLINK("http://www.ncbi.nlm.nih.gov/protein/433809350","Arvcf")</f>
        <v>Arvcf</v>
      </c>
      <c r="D577" s="10">
        <f t="shared" si="8"/>
        <v>3.6981245198350532</v>
      </c>
      <c r="F577" s="8" t="str">
        <f>HYPERLINK("https://esbl.nhlbi.nih.gov/Databases/mpkFractions/proteomic_fractions_log_files/Yang_log_img/433809350.jpg","show blot")</f>
        <v>show blot</v>
      </c>
      <c r="H577" s="8" t="str">
        <f>HYPERLINK("https://esbl.nhlbi.nih.gov/Databases/mpkFractions/proteomic_fractions_linear_files/Yang_linear_img/433809350.jpg","show blot")</f>
        <v>show blot</v>
      </c>
      <c r="J577" s="5" t="s">
        <v>1152</v>
      </c>
      <c r="L577" s="11">
        <v>3.6981245198350532</v>
      </c>
      <c r="N577" s="12"/>
    </row>
    <row r="578" spans="1:14" s="5" customFormat="1" ht="15" customHeight="1" x14ac:dyDescent="0.25">
      <c r="A578" s="9" t="s">
        <v>1153</v>
      </c>
      <c r="C578" s="9" t="str">
        <f>HYPERLINK("http://www.ncbi.nlm.nih.gov/protein/433809357","Arvcf")</f>
        <v>Arvcf</v>
      </c>
      <c r="D578" s="10">
        <f t="shared" si="8"/>
        <v>3.6981245198350532</v>
      </c>
      <c r="F578" s="8" t="str">
        <f>HYPERLINK("https://esbl.nhlbi.nih.gov/Databases/mpkFractions/proteomic_fractions_log_files/Yang_log_img/433809357.jpg","show blot")</f>
        <v>show blot</v>
      </c>
      <c r="H578" s="8" t="str">
        <f>HYPERLINK("https://esbl.nhlbi.nih.gov/Databases/mpkFractions/proteomic_fractions_linear_files/Yang_linear_img/433809357.jpg","show blot")</f>
        <v>show blot</v>
      </c>
      <c r="J578" s="5" t="s">
        <v>1154</v>
      </c>
      <c r="L578" s="11">
        <v>3.6981245198350532</v>
      </c>
      <c r="N578" s="12"/>
    </row>
    <row r="579" spans="1:14" s="5" customFormat="1" ht="15" customHeight="1" x14ac:dyDescent="0.25">
      <c r="A579" s="9" t="s">
        <v>1155</v>
      </c>
      <c r="C579" s="9" t="str">
        <f>HYPERLINK("http://www.ncbi.nlm.nih.gov/protein/21624631","Arxes2")</f>
        <v>Arxes2</v>
      </c>
      <c r="D579" s="10">
        <f t="shared" si="8"/>
        <v>3.61844558199508</v>
      </c>
      <c r="F579" s="8" t="str">
        <f>HYPERLINK("https://esbl.nhlbi.nih.gov/Databases/mpkFractions/proteomic_fractions_log_files/Yang_log_img/21624631.jpg","show blot")</f>
        <v>show blot</v>
      </c>
      <c r="H579" s="8" t="str">
        <f>HYPERLINK("https://esbl.nhlbi.nih.gov/Databases/mpkFractions/proteomic_fractions_linear_files/Yang_linear_img/21624631.jpg","show blot")</f>
        <v>show blot</v>
      </c>
      <c r="J579" s="5" t="s">
        <v>1156</v>
      </c>
      <c r="L579" s="11">
        <v>3.61844558199508</v>
      </c>
      <c r="N579" s="12"/>
    </row>
    <row r="580" spans="1:14" s="5" customFormat="1" ht="15" customHeight="1" x14ac:dyDescent="0.25">
      <c r="A580" s="9" t="s">
        <v>1157</v>
      </c>
      <c r="C580" s="9" t="str">
        <f>HYPERLINK("http://www.ncbi.nlm.nih.gov/protein/9790019","Asah1")</f>
        <v>Asah1</v>
      </c>
      <c r="D580" s="10">
        <f t="shared" si="8"/>
        <v>6.6253375093138693</v>
      </c>
      <c r="F580" s="8" t="str">
        <f>HYPERLINK("https://esbl.nhlbi.nih.gov/Databases/mpkFractions/proteomic_fractions_log_files/Yang_log_img/9790019.jpg","show blot")</f>
        <v>show blot</v>
      </c>
      <c r="H580" s="8" t="str">
        <f>HYPERLINK("https://esbl.nhlbi.nih.gov/Databases/mpkFractions/proteomic_fractions_linear_files/Yang_linear_img/9790019.jpg","show blot")</f>
        <v>show blot</v>
      </c>
      <c r="J580" s="5" t="s">
        <v>1158</v>
      </c>
      <c r="L580" s="11">
        <v>6.6253375093138693</v>
      </c>
      <c r="N580" s="12"/>
    </row>
    <row r="581" spans="1:14" s="5" customFormat="1" ht="15" customHeight="1" x14ac:dyDescent="0.25">
      <c r="A581" s="9" t="s">
        <v>1159</v>
      </c>
      <c r="C581" s="9" t="str">
        <f>HYPERLINK("http://www.ncbi.nlm.nih.gov/protein/9055168","Asah2")</f>
        <v>Asah2</v>
      </c>
      <c r="D581" s="10">
        <f t="shared" ref="D581:D644" si="9">L581</f>
        <v>3.1996278503114999</v>
      </c>
      <c r="F581" s="8" t="str">
        <f>HYPERLINK("https://esbl.nhlbi.nih.gov/Databases/mpkFractions/proteomic_fractions_log_files/Yang_log_img/9055168.jpg","show blot")</f>
        <v>show blot</v>
      </c>
      <c r="H581" s="8" t="str">
        <f>HYPERLINK("https://esbl.nhlbi.nih.gov/Databases/mpkFractions/proteomic_fractions_linear_files/Yang_linear_img/9055168.jpg","show blot")</f>
        <v>show blot</v>
      </c>
      <c r="J581" s="5" t="s">
        <v>1160</v>
      </c>
      <c r="L581" s="11">
        <v>3.1996278503114999</v>
      </c>
      <c r="N581" s="12"/>
    </row>
    <row r="582" spans="1:14" s="5" customFormat="1" ht="15" customHeight="1" x14ac:dyDescent="0.25">
      <c r="A582" s="9" t="s">
        <v>1161</v>
      </c>
      <c r="C582" s="9" t="str">
        <f>HYPERLINK("http://www.ncbi.nlm.nih.gov/protein/451327597","Asap1")</f>
        <v>Asap1</v>
      </c>
      <c r="D582" s="10">
        <f t="shared" si="9"/>
        <v>2.669123269523062</v>
      </c>
      <c r="F582" s="8" t="str">
        <f>HYPERLINK("https://esbl.nhlbi.nih.gov/Databases/mpkFractions/proteomic_fractions_log_files/Yang_log_img/451327597.jpg","show blot")</f>
        <v>show blot</v>
      </c>
      <c r="H582" s="8" t="str">
        <f>HYPERLINK("https://esbl.nhlbi.nih.gov/Databases/mpkFractions/proteomic_fractions_linear_files/Yang_linear_img/451327597.jpg","show blot")</f>
        <v>show blot</v>
      </c>
      <c r="J582" s="5" t="s">
        <v>1162</v>
      </c>
      <c r="L582" s="11">
        <v>2.669123269523062</v>
      </c>
      <c r="N582" s="12"/>
    </row>
    <row r="583" spans="1:14" s="5" customFormat="1" ht="15" customHeight="1" x14ac:dyDescent="0.25">
      <c r="A583" s="9" t="s">
        <v>1163</v>
      </c>
      <c r="C583" s="9" t="str">
        <f>HYPERLINK("http://www.ncbi.nlm.nih.gov/protein/451327599","Asap1")</f>
        <v>Asap1</v>
      </c>
      <c r="D583" s="10">
        <f t="shared" si="9"/>
        <v>2.669123269523062</v>
      </c>
      <c r="F583" s="8" t="str">
        <f>HYPERLINK("https://esbl.nhlbi.nih.gov/Databases/mpkFractions/proteomic_fractions_log_files/Yang_log_img/451327599.jpg","show blot")</f>
        <v>show blot</v>
      </c>
      <c r="H583" s="8" t="str">
        <f>HYPERLINK("https://esbl.nhlbi.nih.gov/Databases/mpkFractions/proteomic_fractions_linear_files/Yang_linear_img/451327599.jpg","show blot")</f>
        <v>show blot</v>
      </c>
      <c r="J583" s="5" t="s">
        <v>1164</v>
      </c>
      <c r="L583" s="11">
        <v>2.669123269523062</v>
      </c>
      <c r="N583" s="12"/>
    </row>
    <row r="584" spans="1:14" s="5" customFormat="1" ht="15" customHeight="1" x14ac:dyDescent="0.25">
      <c r="A584" s="9" t="s">
        <v>1165</v>
      </c>
      <c r="C584" s="9" t="str">
        <f>HYPERLINK("http://www.ncbi.nlm.nih.gov/protein/451327601","Asap1")</f>
        <v>Asap1</v>
      </c>
      <c r="D584" s="10">
        <f t="shared" si="9"/>
        <v>2.669123269523062</v>
      </c>
      <c r="F584" s="8" t="str">
        <f>HYPERLINK("https://esbl.nhlbi.nih.gov/Databases/mpkFractions/proteomic_fractions_log_files/Yang_log_img/451327601.jpg","show blot")</f>
        <v>show blot</v>
      </c>
      <c r="H584" s="8" t="str">
        <f>HYPERLINK("https://esbl.nhlbi.nih.gov/Databases/mpkFractions/proteomic_fractions_linear_files/Yang_linear_img/451327601.jpg","show blot")</f>
        <v>show blot</v>
      </c>
      <c r="J584" s="5" t="s">
        <v>1166</v>
      </c>
      <c r="L584" s="11">
        <v>2.669123269523062</v>
      </c>
      <c r="N584" s="12"/>
    </row>
    <row r="585" spans="1:14" s="5" customFormat="1" ht="15" customHeight="1" x14ac:dyDescent="0.25">
      <c r="A585" s="9" t="s">
        <v>1167</v>
      </c>
      <c r="C585" s="9" t="str">
        <f>HYPERLINK("http://www.ncbi.nlm.nih.gov/protein/451327606","Asap1")</f>
        <v>Asap1</v>
      </c>
      <c r="D585" s="10">
        <f t="shared" si="9"/>
        <v>2.669123269523062</v>
      </c>
      <c r="F585" s="8" t="str">
        <f>HYPERLINK("https://esbl.nhlbi.nih.gov/Databases/mpkFractions/proteomic_fractions_log_files/Yang_log_img/451327606.jpg","show blot")</f>
        <v>show blot</v>
      </c>
      <c r="H585" s="8" t="str">
        <f>HYPERLINK("https://esbl.nhlbi.nih.gov/Databases/mpkFractions/proteomic_fractions_linear_files/Yang_linear_img/451327606.jpg","show blot")</f>
        <v>show blot</v>
      </c>
      <c r="J585" s="5" t="s">
        <v>1168</v>
      </c>
      <c r="L585" s="11">
        <v>2.669123269523062</v>
      </c>
      <c r="N585" s="12"/>
    </row>
    <row r="586" spans="1:14" s="5" customFormat="1" ht="15" customHeight="1" x14ac:dyDescent="0.25">
      <c r="A586" s="9" t="s">
        <v>1169</v>
      </c>
      <c r="C586" s="9" t="str">
        <f>HYPERLINK("http://www.ncbi.nlm.nih.gov/protein/65301464","Asap1")</f>
        <v>Asap1</v>
      </c>
      <c r="D586" s="10">
        <f t="shared" si="9"/>
        <v>2.669123269523062</v>
      </c>
      <c r="F586" s="8" t="str">
        <f>HYPERLINK("https://esbl.nhlbi.nih.gov/Databases/mpkFractions/proteomic_fractions_log_files/Yang_log_img/65301464.jpg","show blot")</f>
        <v>show blot</v>
      </c>
      <c r="H586" s="8" t="str">
        <f>HYPERLINK("https://esbl.nhlbi.nih.gov/Databases/mpkFractions/proteomic_fractions_linear_files/Yang_linear_img/65301464.jpg","show blot")</f>
        <v>show blot</v>
      </c>
      <c r="J586" s="5" t="s">
        <v>1170</v>
      </c>
      <c r="L586" s="11">
        <v>2.669123269523062</v>
      </c>
      <c r="N586" s="12"/>
    </row>
    <row r="587" spans="1:14" s="5" customFormat="1" ht="15" customHeight="1" x14ac:dyDescent="0.25">
      <c r="A587" s="9" t="s">
        <v>1171</v>
      </c>
      <c r="C587" s="9" t="str">
        <f>HYPERLINK("http://www.ncbi.nlm.nih.gov/protein/147907212","Asap2")</f>
        <v>Asap2</v>
      </c>
      <c r="D587" s="10">
        <f t="shared" si="9"/>
        <v>5.2021468865949121</v>
      </c>
      <c r="F587" s="8" t="str">
        <f>HYPERLINK("https://esbl.nhlbi.nih.gov/Databases/mpkFractions/proteomic_fractions_log_files/Yang_log_img/147907212.jpg","show blot")</f>
        <v>show blot</v>
      </c>
      <c r="H587" s="8" t="str">
        <f>HYPERLINK("https://esbl.nhlbi.nih.gov/Databases/mpkFractions/proteomic_fractions_linear_files/Yang_linear_img/147907212.jpg","show blot")</f>
        <v>show blot</v>
      </c>
      <c r="J587" s="5" t="s">
        <v>1172</v>
      </c>
      <c r="L587" s="11">
        <v>5.2021468865949121</v>
      </c>
      <c r="N587" s="12"/>
    </row>
    <row r="588" spans="1:14" s="5" customFormat="1" ht="15" customHeight="1" x14ac:dyDescent="0.25">
      <c r="A588" s="9" t="s">
        <v>1173</v>
      </c>
      <c r="C588" s="9" t="str">
        <f>HYPERLINK("http://www.ncbi.nlm.nih.gov/protein/148223355","Asap2")</f>
        <v>Asap2</v>
      </c>
      <c r="D588" s="10">
        <f t="shared" si="9"/>
        <v>5.2021468865949121</v>
      </c>
      <c r="F588" s="8" t="str">
        <f>HYPERLINK("https://esbl.nhlbi.nih.gov/Databases/mpkFractions/proteomic_fractions_log_files/Yang_log_img/148223355.jpg","show blot")</f>
        <v>show blot</v>
      </c>
      <c r="H588" s="8" t="str">
        <f>HYPERLINK("https://esbl.nhlbi.nih.gov/Databases/mpkFractions/proteomic_fractions_linear_files/Yang_linear_img/148223355.jpg","show blot")</f>
        <v>show blot</v>
      </c>
      <c r="J588" s="5" t="s">
        <v>1174</v>
      </c>
      <c r="L588" s="11">
        <v>5.2021468865949121</v>
      </c>
      <c r="N588" s="12"/>
    </row>
    <row r="589" spans="1:14" s="5" customFormat="1" ht="15" customHeight="1" x14ac:dyDescent="0.25">
      <c r="A589" s="9" t="s">
        <v>1175</v>
      </c>
      <c r="C589" s="9" t="str">
        <f>HYPERLINK("http://www.ncbi.nlm.nih.gov/protein/206597526","Asap2")</f>
        <v>Asap2</v>
      </c>
      <c r="D589" s="10">
        <f t="shared" si="9"/>
        <v>5.2021468865949121</v>
      </c>
      <c r="F589" s="8" t="str">
        <f>HYPERLINK("https://esbl.nhlbi.nih.gov/Databases/mpkFractions/proteomic_fractions_log_files/Yang_log_img/206597526.jpg","show blot")</f>
        <v>show blot</v>
      </c>
      <c r="H589" s="8" t="str">
        <f>HYPERLINK("https://esbl.nhlbi.nih.gov/Databases/mpkFractions/proteomic_fractions_linear_files/Yang_linear_img/206597526.jpg","show blot")</f>
        <v>show blot</v>
      </c>
      <c r="J589" s="5" t="s">
        <v>1176</v>
      </c>
      <c r="L589" s="11">
        <v>5.2021468865949121</v>
      </c>
      <c r="N589" s="12"/>
    </row>
    <row r="590" spans="1:14" s="5" customFormat="1" ht="15" customHeight="1" x14ac:dyDescent="0.25">
      <c r="A590" s="9" t="s">
        <v>1177</v>
      </c>
      <c r="C590" s="9" t="str">
        <f>HYPERLINK("http://www.ncbi.nlm.nih.gov/protein/282721040","Asb14")</f>
        <v>Asb14</v>
      </c>
      <c r="D590" s="10">
        <f t="shared" si="9"/>
        <v>2.3126944017198481</v>
      </c>
      <c r="F590" s="8" t="str">
        <f>HYPERLINK("https://esbl.nhlbi.nih.gov/Databases/mpkFractions/proteomic_fractions_log_files/Yang_log_img/282721040.jpg","show blot")</f>
        <v>show blot</v>
      </c>
      <c r="H590" s="8" t="str">
        <f>HYPERLINK("https://esbl.nhlbi.nih.gov/Databases/mpkFractions/proteomic_fractions_linear_files/Yang_linear_img/282721040.jpg","show blot")</f>
        <v>show blot</v>
      </c>
      <c r="J590" s="5" t="s">
        <v>1178</v>
      </c>
      <c r="L590" s="11">
        <v>2.3126944017198481</v>
      </c>
      <c r="N590" s="12"/>
    </row>
    <row r="591" spans="1:14" s="5" customFormat="1" ht="15" customHeight="1" x14ac:dyDescent="0.25">
      <c r="A591" s="9" t="s">
        <v>1179</v>
      </c>
      <c r="C591" s="9" t="str">
        <f>HYPERLINK("http://www.ncbi.nlm.nih.gov/protein/268370092","Asb15")</f>
        <v>Asb15</v>
      </c>
      <c r="D591" s="10">
        <f t="shared" si="9"/>
        <v>4.5172559801710079</v>
      </c>
      <c r="F591" s="8" t="str">
        <f>HYPERLINK("https://esbl.nhlbi.nih.gov/Databases/mpkFractions/proteomic_fractions_log_files/Yang_log_img/268370092.jpg","show blot")</f>
        <v>show blot</v>
      </c>
      <c r="H591" s="8" t="str">
        <f>HYPERLINK("https://esbl.nhlbi.nih.gov/Databases/mpkFractions/proteomic_fractions_linear_files/Yang_linear_img/268370092.jpg","show blot")</f>
        <v>show blot</v>
      </c>
      <c r="J591" s="5" t="s">
        <v>1180</v>
      </c>
      <c r="L591" s="11">
        <v>4.5172559801710079</v>
      </c>
      <c r="N591" s="12"/>
    </row>
    <row r="592" spans="1:14" s="5" customFormat="1" ht="15" customHeight="1" x14ac:dyDescent="0.25">
      <c r="A592" s="9" t="s">
        <v>1181</v>
      </c>
      <c r="C592" s="9" t="str">
        <f>HYPERLINK("http://www.ncbi.nlm.nih.gov/protein/17505202","Asb4")</f>
        <v>Asb4</v>
      </c>
      <c r="D592" s="10">
        <f t="shared" si="9"/>
        <v>3.2612182472041629</v>
      </c>
      <c r="F592" s="8" t="str">
        <f>HYPERLINK("https://esbl.nhlbi.nih.gov/Databases/mpkFractions/proteomic_fractions_log_files/Yang_log_img/17505202.jpg","show blot")</f>
        <v>show blot</v>
      </c>
      <c r="H592" s="8" t="str">
        <f>HYPERLINK("https://esbl.nhlbi.nih.gov/Databases/mpkFractions/proteomic_fractions_linear_files/Yang_linear_img/17505202.jpg","show blot")</f>
        <v>show blot</v>
      </c>
      <c r="J592" s="5" t="s">
        <v>1182</v>
      </c>
      <c r="L592" s="11">
        <v>3.2612182472041629</v>
      </c>
      <c r="N592" s="12"/>
    </row>
    <row r="593" spans="1:14" s="5" customFormat="1" ht="15" customHeight="1" x14ac:dyDescent="0.25">
      <c r="A593" s="9" t="s">
        <v>1183</v>
      </c>
      <c r="C593" s="9" t="str">
        <f>HYPERLINK("http://www.ncbi.nlm.nih.gov/protein/58037141","Ascc1")</f>
        <v>Ascc1</v>
      </c>
      <c r="D593" s="10">
        <f t="shared" si="9"/>
        <v>3.728718372653788</v>
      </c>
      <c r="F593" s="8" t="str">
        <f>HYPERLINK("https://esbl.nhlbi.nih.gov/Databases/mpkFractions/proteomic_fractions_log_files/Yang_log_img/58037141.jpg","show blot")</f>
        <v>show blot</v>
      </c>
      <c r="H593" s="8" t="str">
        <f>HYPERLINK("https://esbl.nhlbi.nih.gov/Databases/mpkFractions/proteomic_fractions_linear_files/Yang_linear_img/58037141.jpg","show blot")</f>
        <v>show blot</v>
      </c>
      <c r="J593" s="5" t="s">
        <v>1184</v>
      </c>
      <c r="L593" s="11">
        <v>3.728718372653788</v>
      </c>
      <c r="N593" s="12"/>
    </row>
    <row r="594" spans="1:14" s="5" customFormat="1" ht="15" customHeight="1" x14ac:dyDescent="0.25">
      <c r="A594" s="9" t="s">
        <v>1185</v>
      </c>
      <c r="C594" s="9" t="str">
        <f>HYPERLINK("http://www.ncbi.nlm.nih.gov/protein/20270208","Ascc2")</f>
        <v>Ascc2</v>
      </c>
      <c r="D594" s="10">
        <f t="shared" si="9"/>
        <v>3.0678178308993358</v>
      </c>
      <c r="F594" s="8" t="str">
        <f>HYPERLINK("https://esbl.nhlbi.nih.gov/Databases/mpkFractions/proteomic_fractions_log_files/Yang_log_img/20270208.jpg","show blot")</f>
        <v>show blot</v>
      </c>
      <c r="H594" s="8" t="str">
        <f>HYPERLINK("https://esbl.nhlbi.nih.gov/Databases/mpkFractions/proteomic_fractions_linear_files/Yang_linear_img/20270208.jpg","show blot")</f>
        <v>show blot</v>
      </c>
      <c r="J594" s="5" t="s">
        <v>1186</v>
      </c>
      <c r="L594" s="11">
        <v>3.0678178308993358</v>
      </c>
      <c r="N594" s="12"/>
    </row>
    <row r="595" spans="1:14" s="5" customFormat="1" ht="15" customHeight="1" x14ac:dyDescent="0.25">
      <c r="A595" s="9" t="s">
        <v>1187</v>
      </c>
      <c r="C595" s="9" t="str">
        <f>HYPERLINK("http://www.ncbi.nlm.nih.gov/protein/225703058","Ascc3")</f>
        <v>Ascc3</v>
      </c>
      <c r="D595" s="10">
        <f t="shared" si="9"/>
        <v>3.907764236629427</v>
      </c>
      <c r="F595" s="8" t="str">
        <f>HYPERLINK("https://esbl.nhlbi.nih.gov/Databases/mpkFractions/proteomic_fractions_log_files/Yang_log_img/225703058.jpg","show blot")</f>
        <v>show blot</v>
      </c>
      <c r="H595" s="8" t="str">
        <f>HYPERLINK("https://esbl.nhlbi.nih.gov/Databases/mpkFractions/proteomic_fractions_linear_files/Yang_linear_img/225703058.jpg","show blot")</f>
        <v>show blot</v>
      </c>
      <c r="J595" s="5" t="s">
        <v>1188</v>
      </c>
      <c r="L595" s="11">
        <v>3.907764236629427</v>
      </c>
      <c r="N595" s="12"/>
    </row>
    <row r="596" spans="1:14" s="5" customFormat="1" ht="15" customHeight="1" x14ac:dyDescent="0.25">
      <c r="A596" s="9" t="s">
        <v>1189</v>
      </c>
      <c r="C596" s="9" t="str">
        <f>HYPERLINK("http://www.ncbi.nlm.nih.gov/protein/13384964","Asf1a")</f>
        <v>Asf1a</v>
      </c>
      <c r="D596" s="10">
        <f t="shared" si="9"/>
        <v>4.3912399392542474</v>
      </c>
      <c r="F596" s="8" t="str">
        <f>HYPERLINK("https://esbl.nhlbi.nih.gov/Databases/mpkFractions/proteomic_fractions_log_files/Yang_log_img/13384964.jpg","show blot")</f>
        <v>show blot</v>
      </c>
      <c r="H596" s="8" t="str">
        <f>HYPERLINK("https://esbl.nhlbi.nih.gov/Databases/mpkFractions/proteomic_fractions_linear_files/Yang_linear_img/13384964.jpg","show blot")</f>
        <v>show blot</v>
      </c>
      <c r="J596" s="5" t="s">
        <v>1190</v>
      </c>
      <c r="L596" s="11">
        <v>4.3912399392542474</v>
      </c>
      <c r="N596" s="12"/>
    </row>
    <row r="597" spans="1:14" s="5" customFormat="1" ht="15" customHeight="1" x14ac:dyDescent="0.25">
      <c r="A597" s="9" t="s">
        <v>1191</v>
      </c>
      <c r="C597" s="9" t="str">
        <f>HYPERLINK("http://www.ncbi.nlm.nih.gov/protein/21313226","Asf1b")</f>
        <v>Asf1b</v>
      </c>
      <c r="D597" s="10">
        <f t="shared" si="9"/>
        <v>4.339191435453313</v>
      </c>
      <c r="F597" s="8" t="str">
        <f>HYPERLINK("https://esbl.nhlbi.nih.gov/Databases/mpkFractions/proteomic_fractions_log_files/Yang_log_img/21313226.jpg","show blot")</f>
        <v>show blot</v>
      </c>
      <c r="H597" s="8" t="str">
        <f>HYPERLINK("https://esbl.nhlbi.nih.gov/Databases/mpkFractions/proteomic_fractions_linear_files/Yang_linear_img/21313226.jpg","show blot")</f>
        <v>show blot</v>
      </c>
      <c r="J597" s="5" t="s">
        <v>1192</v>
      </c>
      <c r="L597" s="11">
        <v>4.339191435453313</v>
      </c>
      <c r="N597" s="12"/>
    </row>
    <row r="598" spans="1:14" s="5" customFormat="1" ht="15" customHeight="1" x14ac:dyDescent="0.25">
      <c r="A598" s="9" t="s">
        <v>1193</v>
      </c>
      <c r="C598" s="9" t="str">
        <f>HYPERLINK("http://www.ncbi.nlm.nih.gov/protein/124248550","Ash2l")</f>
        <v>Ash2l</v>
      </c>
      <c r="D598" s="10">
        <f t="shared" si="9"/>
        <v>4.374347303312307</v>
      </c>
      <c r="F598" s="8" t="str">
        <f>HYPERLINK("https://esbl.nhlbi.nih.gov/Databases/mpkFractions/proteomic_fractions_log_files/Yang_log_img/124248550.jpg","show blot")</f>
        <v>show blot</v>
      </c>
      <c r="H598" s="8" t="str">
        <f>HYPERLINK("https://esbl.nhlbi.nih.gov/Databases/mpkFractions/proteomic_fractions_linear_files/Yang_linear_img/124248550.jpg","show blot")</f>
        <v>show blot</v>
      </c>
      <c r="J598" s="5" t="s">
        <v>1194</v>
      </c>
      <c r="L598" s="11">
        <v>4.374347303312307</v>
      </c>
      <c r="N598" s="12"/>
    </row>
    <row r="599" spans="1:14" s="5" customFormat="1" ht="15" customHeight="1" x14ac:dyDescent="0.25">
      <c r="A599" s="9" t="s">
        <v>1195</v>
      </c>
      <c r="C599" s="9" t="str">
        <f>HYPERLINK("http://www.ncbi.nlm.nih.gov/protein/124248552","Ash2l")</f>
        <v>Ash2l</v>
      </c>
      <c r="D599" s="10">
        <f t="shared" si="9"/>
        <v>4.374347303312307</v>
      </c>
      <c r="F599" s="8" t="str">
        <f>HYPERLINK("https://esbl.nhlbi.nih.gov/Databases/mpkFractions/proteomic_fractions_log_files/Yang_log_img/124248552.jpg","show blot")</f>
        <v>show blot</v>
      </c>
      <c r="H599" s="8" t="str">
        <f>HYPERLINK("https://esbl.nhlbi.nih.gov/Databases/mpkFractions/proteomic_fractions_linear_files/Yang_linear_img/124248552.jpg","show blot")</f>
        <v>show blot</v>
      </c>
      <c r="J599" s="5" t="s">
        <v>1196</v>
      </c>
      <c r="L599" s="11">
        <v>4.374347303312307</v>
      </c>
      <c r="N599" s="12"/>
    </row>
    <row r="600" spans="1:14" s="5" customFormat="1" ht="15" customHeight="1" x14ac:dyDescent="0.25">
      <c r="A600" s="9" t="s">
        <v>1197</v>
      </c>
      <c r="C600" s="9" t="str">
        <f>HYPERLINK("http://www.ncbi.nlm.nih.gov/protein/19526986","Asl")</f>
        <v>Asl</v>
      </c>
      <c r="D600" s="10">
        <f t="shared" si="9"/>
        <v>5.8493807595590317</v>
      </c>
      <c r="F600" s="8" t="str">
        <f>HYPERLINK("https://esbl.nhlbi.nih.gov/Databases/mpkFractions/proteomic_fractions_log_files/Yang_log_img/19526986.jpg","show blot")</f>
        <v>show blot</v>
      </c>
      <c r="H600" s="8" t="str">
        <f>HYPERLINK("https://esbl.nhlbi.nih.gov/Databases/mpkFractions/proteomic_fractions_linear_files/Yang_linear_img/19526986.jpg","show blot")</f>
        <v>show blot</v>
      </c>
      <c r="J600" s="5" t="s">
        <v>1198</v>
      </c>
      <c r="L600" s="11">
        <v>5.8493807595590317</v>
      </c>
      <c r="N600" s="12"/>
    </row>
    <row r="601" spans="1:14" s="5" customFormat="1" ht="15" customHeight="1" x14ac:dyDescent="0.25">
      <c r="A601" s="9" t="s">
        <v>1199</v>
      </c>
      <c r="C601" s="9" t="str">
        <f>HYPERLINK("http://www.ncbi.nlm.nih.gov/protein/12025542","Asna1")</f>
        <v>Asna1</v>
      </c>
      <c r="D601" s="10">
        <f t="shared" si="9"/>
        <v>5.8622080683107436</v>
      </c>
      <c r="F601" s="8" t="str">
        <f>HYPERLINK("https://esbl.nhlbi.nih.gov/Databases/mpkFractions/proteomic_fractions_log_files/Yang_log_img/12025542.jpg","show blot")</f>
        <v>show blot</v>
      </c>
      <c r="H601" s="8" t="str">
        <f>HYPERLINK("https://esbl.nhlbi.nih.gov/Databases/mpkFractions/proteomic_fractions_linear_files/Yang_linear_img/12025542.jpg","show blot")</f>
        <v>show blot</v>
      </c>
      <c r="J601" s="5" t="s">
        <v>1200</v>
      </c>
      <c r="L601" s="11">
        <v>5.8622080683107436</v>
      </c>
      <c r="N601" s="12"/>
    </row>
    <row r="602" spans="1:14" s="5" customFormat="1" ht="15" customHeight="1" x14ac:dyDescent="0.25">
      <c r="A602" s="9" t="s">
        <v>1201</v>
      </c>
      <c r="C602" s="9" t="str">
        <f>HYPERLINK("http://www.ncbi.nlm.nih.gov/protein/33469123","Asns")</f>
        <v>Asns</v>
      </c>
      <c r="D602" s="10">
        <f t="shared" si="9"/>
        <v>3.8559837632413489</v>
      </c>
      <c r="F602" s="8" t="str">
        <f>HYPERLINK("https://esbl.nhlbi.nih.gov/Databases/mpkFractions/proteomic_fractions_log_files/Yang_log_img/33469123.jpg","show blot")</f>
        <v>show blot</v>
      </c>
      <c r="H602" s="8" t="str">
        <f>HYPERLINK("https://esbl.nhlbi.nih.gov/Databases/mpkFractions/proteomic_fractions_linear_files/Yang_linear_img/33469123.jpg","show blot")</f>
        <v>show blot</v>
      </c>
      <c r="J602" s="5" t="s">
        <v>1202</v>
      </c>
      <c r="L602" s="11">
        <v>3.8559837632413489</v>
      </c>
      <c r="N602" s="12"/>
    </row>
    <row r="603" spans="1:14" s="5" customFormat="1" ht="15" customHeight="1" x14ac:dyDescent="0.25">
      <c r="A603" s="9" t="s">
        <v>1203</v>
      </c>
      <c r="C603" s="9" t="str">
        <f>HYPERLINK("http://www.ncbi.nlm.nih.gov/protein/125628654","Asph")</f>
        <v>Asph</v>
      </c>
      <c r="D603" s="10">
        <f t="shared" si="9"/>
        <v>5.4018938963721039</v>
      </c>
      <c r="F603" s="8" t="str">
        <f>HYPERLINK("https://esbl.nhlbi.nih.gov/Databases/mpkFractions/proteomic_fractions_log_files/Yang_log_img/125628654.jpg","show blot")</f>
        <v>show blot</v>
      </c>
      <c r="H603" s="8" t="str">
        <f>HYPERLINK("https://esbl.nhlbi.nih.gov/Databases/mpkFractions/proteomic_fractions_linear_files/Yang_linear_img/125628654.jpg","show blot")</f>
        <v>show blot</v>
      </c>
      <c r="J603" s="5" t="s">
        <v>1204</v>
      </c>
      <c r="L603" s="11">
        <v>5.4018938963721039</v>
      </c>
      <c r="N603" s="12"/>
    </row>
    <row r="604" spans="1:14" s="5" customFormat="1" ht="15" customHeight="1" x14ac:dyDescent="0.25">
      <c r="A604" s="9" t="s">
        <v>1205</v>
      </c>
      <c r="C604" s="9" t="str">
        <f>HYPERLINK("http://www.ncbi.nlm.nih.gov/protein/295390570","Asph")</f>
        <v>Asph</v>
      </c>
      <c r="D604" s="10">
        <f t="shared" si="9"/>
        <v>5.4018938963721039</v>
      </c>
      <c r="F604" s="8" t="str">
        <f>HYPERLINK("https://esbl.nhlbi.nih.gov/Databases/mpkFractions/proteomic_fractions_log_files/Yang_log_img/295390570.jpg","show blot")</f>
        <v>show blot</v>
      </c>
      <c r="H604" s="8" t="str">
        <f>HYPERLINK("https://esbl.nhlbi.nih.gov/Databases/mpkFractions/proteomic_fractions_linear_files/Yang_linear_img/295390570.jpg","show blot")</f>
        <v>show blot</v>
      </c>
      <c r="J604" s="5" t="s">
        <v>1206</v>
      </c>
      <c r="L604" s="11">
        <v>5.4018938963721039</v>
      </c>
      <c r="N604" s="12"/>
    </row>
    <row r="605" spans="1:14" s="5" customFormat="1" ht="15" customHeight="1" x14ac:dyDescent="0.25">
      <c r="A605" s="9" t="s">
        <v>1207</v>
      </c>
      <c r="C605" s="9" t="str">
        <f>HYPERLINK("http://www.ncbi.nlm.nih.gov/protein/295390587","Asph")</f>
        <v>Asph</v>
      </c>
      <c r="D605" s="10">
        <f t="shared" si="9"/>
        <v>5.4018938963721039</v>
      </c>
      <c r="F605" s="8" t="str">
        <f>HYPERLINK("https://esbl.nhlbi.nih.gov/Databases/mpkFractions/proteomic_fractions_log_files/Yang_log_img/295390587.jpg","show blot")</f>
        <v>show blot</v>
      </c>
      <c r="H605" s="8" t="str">
        <f>HYPERLINK("https://esbl.nhlbi.nih.gov/Databases/mpkFractions/proteomic_fractions_linear_files/Yang_linear_img/295390587.jpg","show blot")</f>
        <v>show blot</v>
      </c>
      <c r="J605" s="5" t="s">
        <v>1208</v>
      </c>
      <c r="L605" s="11">
        <v>5.4018938963721039</v>
      </c>
      <c r="N605" s="12"/>
    </row>
    <row r="606" spans="1:14" s="5" customFormat="1" ht="15" customHeight="1" x14ac:dyDescent="0.25">
      <c r="A606" s="9" t="s">
        <v>1209</v>
      </c>
      <c r="C606" s="9" t="str">
        <f>HYPERLINK("http://www.ncbi.nlm.nih.gov/protein/295390598","Asph")</f>
        <v>Asph</v>
      </c>
      <c r="D606" s="10">
        <f t="shared" si="9"/>
        <v>5.4018938963721039</v>
      </c>
      <c r="F606" s="8" t="str">
        <f>HYPERLINK("https://esbl.nhlbi.nih.gov/Databases/mpkFractions/proteomic_fractions_log_files/Yang_log_img/295390598.jpg","show blot")</f>
        <v>show blot</v>
      </c>
      <c r="H606" s="8" t="str">
        <f>HYPERLINK("https://esbl.nhlbi.nih.gov/Databases/mpkFractions/proteomic_fractions_linear_files/Yang_linear_img/295390598.jpg","show blot")</f>
        <v>show blot</v>
      </c>
      <c r="J606" s="5" t="s">
        <v>1210</v>
      </c>
      <c r="L606" s="11">
        <v>5.4018938963721039</v>
      </c>
      <c r="N606" s="12"/>
    </row>
    <row r="607" spans="1:14" s="5" customFormat="1" ht="15" customHeight="1" x14ac:dyDescent="0.25">
      <c r="A607" s="9" t="s">
        <v>1211</v>
      </c>
      <c r="C607" s="9" t="str">
        <f>HYPERLINK("http://www.ncbi.nlm.nih.gov/protein/125628659","Asph")</f>
        <v>Asph</v>
      </c>
      <c r="D607" s="10">
        <f t="shared" si="9"/>
        <v>5.4018938963721039</v>
      </c>
      <c r="F607" s="8" t="str">
        <f>HYPERLINK("https://esbl.nhlbi.nih.gov/Databases/mpkFractions/proteomic_fractions_log_files/Yang_log_img/125628659.jpg","show blot")</f>
        <v>show blot</v>
      </c>
      <c r="H607" s="8" t="str">
        <f>HYPERLINK("https://esbl.nhlbi.nih.gov/Databases/mpkFractions/proteomic_fractions_linear_files/Yang_linear_img/125628659.jpg","show blot")</f>
        <v>show blot</v>
      </c>
      <c r="J607" s="5" t="s">
        <v>1212</v>
      </c>
      <c r="L607" s="11">
        <v>5.4018938963721039</v>
      </c>
      <c r="N607" s="12"/>
    </row>
    <row r="608" spans="1:14" s="5" customFormat="1" ht="15" customHeight="1" x14ac:dyDescent="0.25">
      <c r="A608" s="9" t="s">
        <v>1213</v>
      </c>
      <c r="C608" s="9" t="str">
        <f>HYPERLINK("http://www.ncbi.nlm.nih.gov/protein/295390525","Asph")</f>
        <v>Asph</v>
      </c>
      <c r="D608" s="10">
        <f t="shared" si="9"/>
        <v>5.4018938963721039</v>
      </c>
      <c r="F608" s="8" t="str">
        <f>HYPERLINK("https://esbl.nhlbi.nih.gov/Databases/mpkFractions/proteomic_fractions_log_files/Yang_log_img/295390525.jpg","show blot")</f>
        <v>show blot</v>
      </c>
      <c r="H608" s="8" t="str">
        <f>HYPERLINK("https://esbl.nhlbi.nih.gov/Databases/mpkFractions/proteomic_fractions_linear_files/Yang_linear_img/295390525.jpg","show blot")</f>
        <v>show blot</v>
      </c>
      <c r="J608" s="5" t="s">
        <v>1214</v>
      </c>
      <c r="L608" s="11">
        <v>5.4018938963721039</v>
      </c>
      <c r="N608" s="12"/>
    </row>
    <row r="609" spans="1:14" s="5" customFormat="1" ht="15" customHeight="1" x14ac:dyDescent="0.25">
      <c r="A609" s="9" t="s">
        <v>1215</v>
      </c>
      <c r="C609" s="9" t="str">
        <f>HYPERLINK("http://www.ncbi.nlm.nih.gov/protein/295390538","Asph")</f>
        <v>Asph</v>
      </c>
      <c r="D609" s="10">
        <f t="shared" si="9"/>
        <v>5.4018938963721039</v>
      </c>
      <c r="F609" s="8" t="str">
        <f>HYPERLINK("https://esbl.nhlbi.nih.gov/Databases/mpkFractions/proteomic_fractions_log_files/Yang_log_img/295390538.jpg","show blot")</f>
        <v>show blot</v>
      </c>
      <c r="H609" s="8" t="str">
        <f>HYPERLINK("https://esbl.nhlbi.nih.gov/Databases/mpkFractions/proteomic_fractions_linear_files/Yang_linear_img/295390538.jpg","show blot")</f>
        <v>show blot</v>
      </c>
      <c r="J609" s="5" t="s">
        <v>1216</v>
      </c>
      <c r="L609" s="11">
        <v>5.4018938963721039</v>
      </c>
      <c r="N609" s="12"/>
    </row>
    <row r="610" spans="1:14" s="5" customFormat="1" ht="15" customHeight="1" x14ac:dyDescent="0.25">
      <c r="A610" s="9" t="s">
        <v>1217</v>
      </c>
      <c r="C610" s="9" t="str">
        <f>HYPERLINK("http://www.ncbi.nlm.nih.gov/protein/295390552","Asph")</f>
        <v>Asph</v>
      </c>
      <c r="D610" s="10">
        <f t="shared" si="9"/>
        <v>5.4018938963721039</v>
      </c>
      <c r="F610" s="8" t="str">
        <f>HYPERLINK("https://esbl.nhlbi.nih.gov/Databases/mpkFractions/proteomic_fractions_log_files/Yang_log_img/295390552.jpg","show blot")</f>
        <v>show blot</v>
      </c>
      <c r="H610" s="8" t="str">
        <f>HYPERLINK("https://esbl.nhlbi.nih.gov/Databases/mpkFractions/proteomic_fractions_linear_files/Yang_linear_img/295390552.jpg","show blot")</f>
        <v>show blot</v>
      </c>
      <c r="J610" s="5" t="s">
        <v>1218</v>
      </c>
      <c r="L610" s="11">
        <v>5.4018938963721039</v>
      </c>
      <c r="N610" s="12"/>
    </row>
    <row r="611" spans="1:14" s="5" customFormat="1" ht="15" customHeight="1" x14ac:dyDescent="0.25">
      <c r="A611" s="9" t="s">
        <v>1219</v>
      </c>
      <c r="C611" s="9" t="str">
        <f>HYPERLINK("http://www.ncbi.nlm.nih.gov/protein/295390613","Asph")</f>
        <v>Asph</v>
      </c>
      <c r="D611" s="10">
        <f t="shared" si="9"/>
        <v>5.4018938963721039</v>
      </c>
      <c r="F611" s="8" t="str">
        <f>HYPERLINK("https://esbl.nhlbi.nih.gov/Databases/mpkFractions/proteomic_fractions_log_files/Yang_log_img/295390613.jpg","show blot")</f>
        <v>show blot</v>
      </c>
      <c r="H611" s="8" t="str">
        <f>HYPERLINK("https://esbl.nhlbi.nih.gov/Databases/mpkFractions/proteomic_fractions_linear_files/Yang_linear_img/295390613.jpg","show blot")</f>
        <v>show blot</v>
      </c>
      <c r="J611" s="5" t="s">
        <v>1220</v>
      </c>
      <c r="L611" s="11">
        <v>5.4018938963721039</v>
      </c>
      <c r="N611" s="12"/>
    </row>
    <row r="612" spans="1:14" s="5" customFormat="1" ht="15" customHeight="1" x14ac:dyDescent="0.25">
      <c r="A612" s="9" t="s">
        <v>1221</v>
      </c>
      <c r="C612" s="9" t="str">
        <f>HYPERLINK("http://www.ncbi.nlm.nih.gov/protein/295390633","Asph")</f>
        <v>Asph</v>
      </c>
      <c r="D612" s="10">
        <f t="shared" si="9"/>
        <v>5.4018938963721039</v>
      </c>
      <c r="F612" s="8" t="str">
        <f>HYPERLINK("https://esbl.nhlbi.nih.gov/Databases/mpkFractions/proteomic_fractions_log_files/Yang_log_img/295390633.jpg","show blot")</f>
        <v>show blot</v>
      </c>
      <c r="H612" s="8" t="str">
        <f>HYPERLINK("https://esbl.nhlbi.nih.gov/Databases/mpkFractions/proteomic_fractions_linear_files/Yang_linear_img/295390633.jpg","show blot")</f>
        <v>show blot</v>
      </c>
      <c r="J612" s="5" t="s">
        <v>1222</v>
      </c>
      <c r="L612" s="11">
        <v>5.4018938963721039</v>
      </c>
      <c r="N612" s="12"/>
    </row>
    <row r="613" spans="1:14" s="5" customFormat="1" ht="15" customHeight="1" x14ac:dyDescent="0.25">
      <c r="A613" s="9" t="s">
        <v>1223</v>
      </c>
      <c r="C613" s="9" t="str">
        <f>HYPERLINK("http://www.ncbi.nlm.nih.gov/protein/87298845","Aspm")</f>
        <v>Aspm</v>
      </c>
      <c r="D613" s="10">
        <f t="shared" si="9"/>
        <v>0.69561636232843105</v>
      </c>
      <c r="F613" s="8" t="str">
        <f>HYPERLINK("https://esbl.nhlbi.nih.gov/Databases/mpkFractions/proteomic_fractions_log_files/Yang_log_img/87298845.jpg","show blot")</f>
        <v>show blot</v>
      </c>
      <c r="H613" s="8" t="str">
        <f>HYPERLINK("https://esbl.nhlbi.nih.gov/Databases/mpkFractions/proteomic_fractions_linear_files/Yang_linear_img/87298845.jpg","show blot")</f>
        <v>show blot</v>
      </c>
      <c r="J613" s="5" t="s">
        <v>1224</v>
      </c>
      <c r="L613" s="11">
        <v>0.69561636232843105</v>
      </c>
      <c r="N613" s="12"/>
    </row>
    <row r="614" spans="1:14" s="5" customFormat="1" ht="15" customHeight="1" x14ac:dyDescent="0.25">
      <c r="A614" s="9" t="s">
        <v>1225</v>
      </c>
      <c r="C614" s="9" t="str">
        <f>HYPERLINK("http://www.ncbi.nlm.nih.gov/protein/255982537","Aspscr1")</f>
        <v>Aspscr1</v>
      </c>
      <c r="D614" s="10">
        <f t="shared" si="9"/>
        <v>4.6694404793908371</v>
      </c>
      <c r="F614" s="8" t="str">
        <f>HYPERLINK("https://esbl.nhlbi.nih.gov/Databases/mpkFractions/proteomic_fractions_log_files/Yang_log_img/255982537.jpg","show blot")</f>
        <v>show blot</v>
      </c>
      <c r="H614" s="8" t="str">
        <f>HYPERLINK("https://esbl.nhlbi.nih.gov/Databases/mpkFractions/proteomic_fractions_linear_files/Yang_linear_img/255982537.jpg","show blot")</f>
        <v>show blot</v>
      </c>
      <c r="J614" s="5" t="s">
        <v>1226</v>
      </c>
      <c r="L614" s="11">
        <v>4.6694404793908371</v>
      </c>
      <c r="N614" s="12"/>
    </row>
    <row r="615" spans="1:14" s="5" customFormat="1" ht="15" customHeight="1" x14ac:dyDescent="0.25">
      <c r="A615" s="9" t="s">
        <v>1227</v>
      </c>
      <c r="C615" s="9" t="str">
        <f>HYPERLINK("http://www.ncbi.nlm.nih.gov/protein/38016200","Aspscr1")</f>
        <v>Aspscr1</v>
      </c>
      <c r="D615" s="10">
        <f t="shared" si="9"/>
        <v>4.6694404793908371</v>
      </c>
      <c r="F615" s="8" t="str">
        <f>HYPERLINK("https://esbl.nhlbi.nih.gov/Databases/mpkFractions/proteomic_fractions_log_files/Yang_log_img/38016200.jpg","show blot")</f>
        <v>show blot</v>
      </c>
      <c r="H615" s="8" t="str">
        <f>HYPERLINK("https://esbl.nhlbi.nih.gov/Databases/mpkFractions/proteomic_fractions_linear_files/Yang_linear_img/38016200.jpg","show blot")</f>
        <v>show blot</v>
      </c>
      <c r="J615" s="5" t="s">
        <v>1228</v>
      </c>
      <c r="L615" s="11">
        <v>4.6694404793908371</v>
      </c>
      <c r="N615" s="12"/>
    </row>
    <row r="616" spans="1:14" s="5" customFormat="1" ht="15" customHeight="1" x14ac:dyDescent="0.25">
      <c r="A616" s="9" t="s">
        <v>1229</v>
      </c>
      <c r="C616" s="9" t="str">
        <f>HYPERLINK("http://www.ncbi.nlm.nih.gov/protein/30794438","Aspscr1")</f>
        <v>Aspscr1</v>
      </c>
      <c r="D616" s="10">
        <f t="shared" si="9"/>
        <v>4.6694404793908371</v>
      </c>
      <c r="F616" s="8" t="str">
        <f>HYPERLINK("https://esbl.nhlbi.nih.gov/Databases/mpkFractions/proteomic_fractions_log_files/Yang_log_img/30794438.jpg","show blot")</f>
        <v>show blot</v>
      </c>
      <c r="H616" s="8" t="str">
        <f>HYPERLINK("https://esbl.nhlbi.nih.gov/Databases/mpkFractions/proteomic_fractions_linear_files/Yang_linear_img/30794438.jpg","show blot")</f>
        <v>show blot</v>
      </c>
      <c r="J616" s="5" t="s">
        <v>1230</v>
      </c>
      <c r="L616" s="11">
        <v>4.6694404793908371</v>
      </c>
      <c r="N616" s="12"/>
    </row>
    <row r="617" spans="1:14" s="5" customFormat="1" ht="15" customHeight="1" x14ac:dyDescent="0.25">
      <c r="A617" s="9" t="s">
        <v>1231</v>
      </c>
      <c r="C617" s="9" t="str">
        <f>HYPERLINK("http://www.ncbi.nlm.nih.gov/protein/6996911","Ass1")</f>
        <v>Ass1</v>
      </c>
      <c r="D617" s="10">
        <f t="shared" si="9"/>
        <v>5.4443073051883646</v>
      </c>
      <c r="F617" s="8" t="str">
        <f>HYPERLINK("https://esbl.nhlbi.nih.gov/Databases/mpkFractions/proteomic_fractions_log_files/Yang_log_img/6996911.jpg","show blot")</f>
        <v>show blot</v>
      </c>
      <c r="H617" s="8" t="str">
        <f>HYPERLINK("https://esbl.nhlbi.nih.gov/Databases/mpkFractions/proteomic_fractions_linear_files/Yang_linear_img/6996911.jpg","show blot")</f>
        <v>show blot</v>
      </c>
      <c r="J617" s="5" t="s">
        <v>1232</v>
      </c>
      <c r="L617" s="11">
        <v>5.4443073051883646</v>
      </c>
      <c r="N617" s="12"/>
    </row>
    <row r="618" spans="1:14" s="5" customFormat="1" ht="15" customHeight="1" x14ac:dyDescent="0.25">
      <c r="A618" s="9" t="s">
        <v>1233</v>
      </c>
      <c r="C618" s="9" t="str">
        <f>HYPERLINK("http://www.ncbi.nlm.nih.gov/protein/31560168","Atad1")</f>
        <v>Atad1</v>
      </c>
      <c r="D618" s="10">
        <f t="shared" si="9"/>
        <v>4.4544489984096964</v>
      </c>
      <c r="F618" s="8" t="str">
        <f>HYPERLINK("https://esbl.nhlbi.nih.gov/Databases/mpkFractions/proteomic_fractions_log_files/Yang_log_img/31560168.jpg","show blot")</f>
        <v>show blot</v>
      </c>
      <c r="H618" s="8" t="str">
        <f>HYPERLINK("https://esbl.nhlbi.nih.gov/Databases/mpkFractions/proteomic_fractions_linear_files/Yang_linear_img/31560168.jpg","show blot")</f>
        <v>show blot</v>
      </c>
      <c r="J618" s="5" t="s">
        <v>1234</v>
      </c>
      <c r="L618" s="11">
        <v>4.4544489984096964</v>
      </c>
      <c r="N618" s="12"/>
    </row>
    <row r="619" spans="1:14" s="5" customFormat="1" ht="15" customHeight="1" x14ac:dyDescent="0.25">
      <c r="A619" s="9" t="s">
        <v>1235</v>
      </c>
      <c r="C619" s="9" t="str">
        <f>HYPERLINK("http://www.ncbi.nlm.nih.gov/protein/91199557","Atad2")</f>
        <v>Atad2</v>
      </c>
      <c r="D619" s="10">
        <f t="shared" si="9"/>
        <v>2.7472171389501461</v>
      </c>
      <c r="F619" s="8" t="str">
        <f>HYPERLINK("https://esbl.nhlbi.nih.gov/Databases/mpkFractions/proteomic_fractions_log_files/Yang_log_img/91199557.jpg","show blot")</f>
        <v>show blot</v>
      </c>
      <c r="H619" s="8" t="str">
        <f>HYPERLINK("https://esbl.nhlbi.nih.gov/Databases/mpkFractions/proteomic_fractions_linear_files/Yang_linear_img/91199557.jpg","show blot")</f>
        <v>show blot</v>
      </c>
      <c r="J619" s="5" t="s">
        <v>1236</v>
      </c>
      <c r="L619" s="11">
        <v>2.7472171389501461</v>
      </c>
      <c r="N619" s="12"/>
    </row>
    <row r="620" spans="1:14" s="5" customFormat="1" ht="15" customHeight="1" x14ac:dyDescent="0.25">
      <c r="A620" s="9" t="s">
        <v>1237</v>
      </c>
      <c r="C620" s="9" t="str">
        <f>HYPERLINK("http://www.ncbi.nlm.nih.gov/protein/239985513","Atad3a")</f>
        <v>Atad3a</v>
      </c>
      <c r="D620" s="10">
        <f t="shared" si="9"/>
        <v>4.380017625766877</v>
      </c>
      <c r="F620" s="8" t="str">
        <f>HYPERLINK("https://esbl.nhlbi.nih.gov/Databases/mpkFractions/proteomic_fractions_log_files/Yang_log_img/239985513.jpg","show blot")</f>
        <v>show blot</v>
      </c>
      <c r="H620" s="8" t="str">
        <f>HYPERLINK("https://esbl.nhlbi.nih.gov/Databases/mpkFractions/proteomic_fractions_linear_files/Yang_linear_img/239985513.jpg","show blot")</f>
        <v>show blot</v>
      </c>
      <c r="J620" s="5" t="s">
        <v>1238</v>
      </c>
      <c r="L620" s="11">
        <v>4.380017625766877</v>
      </c>
      <c r="N620" s="12"/>
    </row>
    <row r="621" spans="1:14" s="5" customFormat="1" ht="15" customHeight="1" x14ac:dyDescent="0.25">
      <c r="A621" s="9" t="s">
        <v>1239</v>
      </c>
      <c r="C621" s="9" t="str">
        <f>HYPERLINK("http://www.ncbi.nlm.nih.gov/protein/209862913","Ate1")</f>
        <v>Ate1</v>
      </c>
      <c r="D621" s="10">
        <f t="shared" si="9"/>
        <v>3.423402881673161</v>
      </c>
      <c r="F621" s="8" t="str">
        <f>HYPERLINK("https://esbl.nhlbi.nih.gov/Databases/mpkFractions/proteomic_fractions_log_files/Yang_log_img/209862913.jpg","show blot")</f>
        <v>show blot</v>
      </c>
      <c r="H621" s="8" t="str">
        <f>HYPERLINK("https://esbl.nhlbi.nih.gov/Databases/mpkFractions/proteomic_fractions_linear_files/Yang_linear_img/209862913.jpg","show blot")</f>
        <v>show blot</v>
      </c>
      <c r="J621" s="5" t="s">
        <v>1240</v>
      </c>
      <c r="L621" s="11">
        <v>3.423402881673161</v>
      </c>
      <c r="N621" s="12"/>
    </row>
    <row r="622" spans="1:14" s="5" customFormat="1" ht="15" customHeight="1" x14ac:dyDescent="0.25">
      <c r="A622" s="9" t="s">
        <v>1241</v>
      </c>
      <c r="C622" s="9" t="str">
        <f>HYPERLINK("http://www.ncbi.nlm.nih.gov/protein/31542151","Ate1")</f>
        <v>Ate1</v>
      </c>
      <c r="D622" s="10">
        <f t="shared" si="9"/>
        <v>3.423402881673161</v>
      </c>
      <c r="F622" s="8" t="str">
        <f>HYPERLINK("https://esbl.nhlbi.nih.gov/Databases/mpkFractions/proteomic_fractions_log_files/Yang_log_img/31542151.jpg","show blot")</f>
        <v>show blot</v>
      </c>
      <c r="H622" s="8" t="str">
        <f>HYPERLINK("https://esbl.nhlbi.nih.gov/Databases/mpkFractions/proteomic_fractions_linear_files/Yang_linear_img/31542151.jpg","show blot")</f>
        <v>show blot</v>
      </c>
      <c r="J622" s="5" t="s">
        <v>1242</v>
      </c>
      <c r="L622" s="11">
        <v>3.423402881673161</v>
      </c>
      <c r="N622" s="12"/>
    </row>
    <row r="623" spans="1:14" s="5" customFormat="1" ht="15" customHeight="1" x14ac:dyDescent="0.25">
      <c r="A623" s="9" t="s">
        <v>1243</v>
      </c>
      <c r="C623" s="9" t="str">
        <f>HYPERLINK("http://www.ncbi.nlm.nih.gov/protein/405113032","Ate1")</f>
        <v>Ate1</v>
      </c>
      <c r="D623" s="10">
        <f t="shared" si="9"/>
        <v>3.423402881673161</v>
      </c>
      <c r="F623" s="8" t="str">
        <f>HYPERLINK("https://esbl.nhlbi.nih.gov/Databases/mpkFractions/proteomic_fractions_log_files/Yang_log_img/405113032.jpg","show blot")</f>
        <v>show blot</v>
      </c>
      <c r="H623" s="8" t="str">
        <f>HYPERLINK("https://esbl.nhlbi.nih.gov/Databases/mpkFractions/proteomic_fractions_linear_files/Yang_linear_img/405113032.jpg","show blot")</f>
        <v>show blot</v>
      </c>
      <c r="J623" s="5" t="s">
        <v>1244</v>
      </c>
      <c r="L623" s="11">
        <v>3.423402881673161</v>
      </c>
      <c r="N623" s="12"/>
    </row>
    <row r="624" spans="1:14" s="5" customFormat="1" ht="15" customHeight="1" x14ac:dyDescent="0.25">
      <c r="A624" s="9" t="s">
        <v>1245</v>
      </c>
      <c r="C624" s="9" t="str">
        <f>HYPERLINK("http://www.ncbi.nlm.nih.gov/protein/71274127","Ate1")</f>
        <v>Ate1</v>
      </c>
      <c r="D624" s="10">
        <f t="shared" si="9"/>
        <v>3.423402881673161</v>
      </c>
      <c r="F624" s="8" t="str">
        <f>HYPERLINK("https://esbl.nhlbi.nih.gov/Databases/mpkFractions/proteomic_fractions_log_files/Yang_log_img/71274127.jpg","show blot")</f>
        <v>show blot</v>
      </c>
      <c r="H624" s="8" t="str">
        <f>HYPERLINK("https://esbl.nhlbi.nih.gov/Databases/mpkFractions/proteomic_fractions_linear_files/Yang_linear_img/71274127.jpg","show blot")</f>
        <v>show blot</v>
      </c>
      <c r="J624" s="5" t="s">
        <v>1246</v>
      </c>
      <c r="L624" s="11">
        <v>3.423402881673161</v>
      </c>
      <c r="N624" s="12"/>
    </row>
    <row r="625" spans="1:14" s="5" customFormat="1" ht="15" customHeight="1" x14ac:dyDescent="0.25">
      <c r="A625" s="9" t="s">
        <v>1247</v>
      </c>
      <c r="C625" s="9" t="str">
        <f>HYPERLINK("http://www.ncbi.nlm.nih.gov/protein/124486811","Atf6")</f>
        <v>Atf6</v>
      </c>
      <c r="D625" s="10">
        <f t="shared" si="9"/>
        <v>3.8776136931478109</v>
      </c>
      <c r="F625" s="8" t="str">
        <f>HYPERLINK("https://esbl.nhlbi.nih.gov/Databases/mpkFractions/proteomic_fractions_log_files/Yang_log_img/124486811.jpg","show blot")</f>
        <v>show blot</v>
      </c>
      <c r="H625" s="8" t="str">
        <f>HYPERLINK("https://esbl.nhlbi.nih.gov/Databases/mpkFractions/proteomic_fractions_linear_files/Yang_linear_img/124486811.jpg","show blot")</f>
        <v>show blot</v>
      </c>
      <c r="J625" s="5" t="s">
        <v>1248</v>
      </c>
      <c r="L625" s="11">
        <v>3.8776136931478109</v>
      </c>
      <c r="N625" s="12"/>
    </row>
    <row r="626" spans="1:14" s="5" customFormat="1" ht="15" customHeight="1" x14ac:dyDescent="0.25">
      <c r="A626" s="9" t="s">
        <v>1249</v>
      </c>
      <c r="C626" s="9" t="str">
        <f>HYPERLINK("http://www.ncbi.nlm.nih.gov/protein/34328232","Atf7ip")</f>
        <v>Atf7ip</v>
      </c>
      <c r="D626" s="10">
        <f t="shared" si="9"/>
        <v>3.5723333156051358</v>
      </c>
      <c r="F626" s="8" t="str">
        <f>HYPERLINK("https://esbl.nhlbi.nih.gov/Databases/mpkFractions/proteomic_fractions_log_files/Yang_log_img/34328232.jpg","show blot")</f>
        <v>show blot</v>
      </c>
      <c r="H626" s="8" t="str">
        <f>HYPERLINK("https://esbl.nhlbi.nih.gov/Databases/mpkFractions/proteomic_fractions_linear_files/Yang_linear_img/34328232.jpg","show blot")</f>
        <v>show blot</v>
      </c>
      <c r="J626" s="5" t="s">
        <v>1250</v>
      </c>
      <c r="L626" s="11">
        <v>3.5723333156051358</v>
      </c>
      <c r="N626" s="12"/>
    </row>
    <row r="627" spans="1:14" s="5" customFormat="1" ht="15" customHeight="1" x14ac:dyDescent="0.25">
      <c r="A627" s="9" t="s">
        <v>1251</v>
      </c>
      <c r="C627" s="9" t="str">
        <f>HYPERLINK("http://www.ncbi.nlm.nih.gov/protein/27777650","Atg16l1")</f>
        <v>Atg16l1</v>
      </c>
      <c r="D627" s="10">
        <f t="shared" si="9"/>
        <v>3.527612652889053</v>
      </c>
      <c r="F627" s="8" t="str">
        <f>HYPERLINK("https://esbl.nhlbi.nih.gov/Databases/mpkFractions/proteomic_fractions_log_files/Yang_log_img/27777650.jpg","show blot")</f>
        <v>show blot</v>
      </c>
      <c r="H627" s="8" t="str">
        <f>HYPERLINK("https://esbl.nhlbi.nih.gov/Databases/mpkFractions/proteomic_fractions_linear_files/Yang_linear_img/27777650.jpg","show blot")</f>
        <v>show blot</v>
      </c>
      <c r="J627" s="5" t="s">
        <v>1252</v>
      </c>
      <c r="L627" s="11">
        <v>3.527612652889053</v>
      </c>
      <c r="N627" s="12"/>
    </row>
    <row r="628" spans="1:14" s="5" customFormat="1" ht="15" customHeight="1" x14ac:dyDescent="0.25">
      <c r="A628" s="9" t="s">
        <v>1253</v>
      </c>
      <c r="C628" s="9" t="str">
        <f>HYPERLINK("http://www.ncbi.nlm.nih.gov/protein/329663747","Atg16l1")</f>
        <v>Atg16l1</v>
      </c>
      <c r="D628" s="10">
        <f t="shared" si="9"/>
        <v>3.527612652889053</v>
      </c>
      <c r="F628" s="8" t="str">
        <f>HYPERLINK("https://esbl.nhlbi.nih.gov/Databases/mpkFractions/proteomic_fractions_log_files/Yang_log_img/329663747.jpg","show blot")</f>
        <v>show blot</v>
      </c>
      <c r="H628" s="8" t="str">
        <f>HYPERLINK("https://esbl.nhlbi.nih.gov/Databases/mpkFractions/proteomic_fractions_linear_files/Yang_linear_img/329663747.jpg","show blot")</f>
        <v>show blot</v>
      </c>
      <c r="J628" s="5" t="s">
        <v>1254</v>
      </c>
      <c r="L628" s="11">
        <v>3.527612652889053</v>
      </c>
      <c r="N628" s="12"/>
    </row>
    <row r="629" spans="1:14" s="5" customFormat="1" ht="15" customHeight="1" x14ac:dyDescent="0.25">
      <c r="A629" s="9" t="s">
        <v>1255</v>
      </c>
      <c r="C629" s="9" t="str">
        <f>HYPERLINK("http://www.ncbi.nlm.nih.gov/protein/329663755","Atg16l1")</f>
        <v>Atg16l1</v>
      </c>
      <c r="D629" s="10">
        <f t="shared" si="9"/>
        <v>3.527612652889053</v>
      </c>
      <c r="F629" s="8" t="str">
        <f>HYPERLINK("https://esbl.nhlbi.nih.gov/Databases/mpkFractions/proteomic_fractions_log_files/Yang_log_img/329663755.jpg","show blot")</f>
        <v>show blot</v>
      </c>
      <c r="H629" s="8" t="str">
        <f>HYPERLINK("https://esbl.nhlbi.nih.gov/Databases/mpkFractions/proteomic_fractions_linear_files/Yang_linear_img/329663755.jpg","show blot")</f>
        <v>show blot</v>
      </c>
      <c r="J629" s="5" t="s">
        <v>1256</v>
      </c>
      <c r="L629" s="11">
        <v>3.527612652889053</v>
      </c>
      <c r="N629" s="12"/>
    </row>
    <row r="630" spans="1:14" s="5" customFormat="1" ht="15" customHeight="1" x14ac:dyDescent="0.25">
      <c r="A630" s="9" t="s">
        <v>1257</v>
      </c>
      <c r="C630" s="9" t="str">
        <f>HYPERLINK("http://www.ncbi.nlm.nih.gov/protein/118197274","Atg2b")</f>
        <v>Atg2b</v>
      </c>
      <c r="D630" s="10">
        <f t="shared" si="9"/>
        <v>3.3237768383891959</v>
      </c>
      <c r="F630" s="8" t="str">
        <f>HYPERLINK("https://esbl.nhlbi.nih.gov/Databases/mpkFractions/proteomic_fractions_log_files/Yang_log_img/118197274.jpg","show blot")</f>
        <v>show blot</v>
      </c>
      <c r="H630" s="8" t="str">
        <f>HYPERLINK("https://esbl.nhlbi.nih.gov/Databases/mpkFractions/proteomic_fractions_linear_files/Yang_linear_img/118197274.jpg","show blot")</f>
        <v>show blot</v>
      </c>
      <c r="J630" s="5" t="s">
        <v>1258</v>
      </c>
      <c r="L630" s="11">
        <v>3.3237768383891959</v>
      </c>
      <c r="N630" s="12"/>
    </row>
    <row r="631" spans="1:14" s="5" customFormat="1" ht="15" customHeight="1" x14ac:dyDescent="0.25">
      <c r="A631" s="9" t="s">
        <v>1259</v>
      </c>
      <c r="C631" s="9" t="str">
        <f>HYPERLINK("http://www.ncbi.nlm.nih.gov/protein/13385890","Atg3")</f>
        <v>Atg3</v>
      </c>
      <c r="D631" s="10">
        <f t="shared" si="9"/>
        <v>5.2687326282201399</v>
      </c>
      <c r="F631" s="8" t="str">
        <f>HYPERLINK("https://esbl.nhlbi.nih.gov/Databases/mpkFractions/proteomic_fractions_log_files/Yang_log_img/13385890.jpg","show blot")</f>
        <v>show blot</v>
      </c>
      <c r="H631" s="8" t="str">
        <f>HYPERLINK("https://esbl.nhlbi.nih.gov/Databases/mpkFractions/proteomic_fractions_linear_files/Yang_linear_img/13385890.jpg","show blot")</f>
        <v>show blot</v>
      </c>
      <c r="J631" s="5" t="s">
        <v>1260</v>
      </c>
      <c r="L631" s="11">
        <v>5.2687326282201399</v>
      </c>
      <c r="N631" s="12"/>
    </row>
    <row r="632" spans="1:14" s="5" customFormat="1" ht="15" customHeight="1" x14ac:dyDescent="0.25">
      <c r="A632" s="9" t="s">
        <v>1261</v>
      </c>
      <c r="C632" s="9" t="str">
        <f>HYPERLINK("http://www.ncbi.nlm.nih.gov/protein/27883848","Atg4b")</f>
        <v>Atg4b</v>
      </c>
      <c r="D632" s="10">
        <f t="shared" si="9"/>
        <v>4.4028352462287037</v>
      </c>
      <c r="F632" s="8" t="str">
        <f>HYPERLINK("https://esbl.nhlbi.nih.gov/Databases/mpkFractions/proteomic_fractions_log_files/Yang_log_img/27883848.jpg","show blot")</f>
        <v>show blot</v>
      </c>
      <c r="H632" s="8" t="str">
        <f>HYPERLINK("https://esbl.nhlbi.nih.gov/Databases/mpkFractions/proteomic_fractions_linear_files/Yang_linear_img/27883848.jpg","show blot")</f>
        <v>show blot</v>
      </c>
      <c r="J632" s="5" t="s">
        <v>1262</v>
      </c>
      <c r="L632" s="11">
        <v>4.4028352462287037</v>
      </c>
      <c r="N632" s="12"/>
    </row>
    <row r="633" spans="1:14" s="5" customFormat="1" ht="15" customHeight="1" x14ac:dyDescent="0.25">
      <c r="A633" s="9" t="s">
        <v>1263</v>
      </c>
      <c r="C633" s="9" t="str">
        <f>HYPERLINK("http://www.ncbi.nlm.nih.gov/protein/16716341","Atg5")</f>
        <v>Atg5</v>
      </c>
      <c r="D633" s="10">
        <f t="shared" si="9"/>
        <v>5.0448111302654892</v>
      </c>
      <c r="F633" s="8" t="str">
        <f>HYPERLINK("https://esbl.nhlbi.nih.gov/Databases/mpkFractions/proteomic_fractions_log_files/Yang_log_img/16716341.jpg","show blot")</f>
        <v>show blot</v>
      </c>
      <c r="H633" s="8" t="str">
        <f>HYPERLINK("https://esbl.nhlbi.nih.gov/Databases/mpkFractions/proteomic_fractions_linear_files/Yang_linear_img/16716341.jpg","show blot")</f>
        <v>show blot</v>
      </c>
      <c r="J633" s="5" t="s">
        <v>1264</v>
      </c>
      <c r="L633" s="11">
        <v>5.0448111302654892</v>
      </c>
      <c r="N633" s="12"/>
    </row>
    <row r="634" spans="1:14" s="5" customFormat="1" ht="15" customHeight="1" x14ac:dyDescent="0.25">
      <c r="A634" s="9" t="s">
        <v>1265</v>
      </c>
      <c r="C634" s="9" t="str">
        <f>HYPERLINK("http://www.ncbi.nlm.nih.gov/protein/22550098","Atg7")</f>
        <v>Atg7</v>
      </c>
      <c r="D634" s="10">
        <f t="shared" si="9"/>
        <v>4.5436977566544412</v>
      </c>
      <c r="F634" s="8" t="str">
        <f>HYPERLINK("https://esbl.nhlbi.nih.gov/Databases/mpkFractions/proteomic_fractions_log_files/Yang_log_img/22550098.jpg","show blot")</f>
        <v>show blot</v>
      </c>
      <c r="H634" s="8" t="str">
        <f>HYPERLINK("https://esbl.nhlbi.nih.gov/Databases/mpkFractions/proteomic_fractions_linear_files/Yang_linear_img/22550098.jpg","show blot")</f>
        <v>show blot</v>
      </c>
      <c r="J634" s="5" t="s">
        <v>1266</v>
      </c>
      <c r="L634" s="11">
        <v>4.5436977566544412</v>
      </c>
      <c r="N634" s="12"/>
    </row>
    <row r="635" spans="1:14" s="5" customFormat="1" ht="15" customHeight="1" x14ac:dyDescent="0.25">
      <c r="A635" s="9" t="s">
        <v>1267</v>
      </c>
      <c r="C635" s="9" t="str">
        <f>HYPERLINK("http://www.ncbi.nlm.nih.gov/protein/22550098;358679371","Atg7")</f>
        <v>Atg7</v>
      </c>
      <c r="D635" s="10">
        <f t="shared" si="9"/>
        <v>4.5436977566544412</v>
      </c>
      <c r="F635" s="8" t="str">
        <f>HYPERLINK("https://esbl.nhlbi.nih.gov/Databases/mpkFractions/proteomic_fractions_log_files/Yang_log_img/22550098;358679371.jpg","show blot")</f>
        <v>show blot</v>
      </c>
      <c r="H635" s="8" t="str">
        <f>HYPERLINK("https://esbl.nhlbi.nih.gov/Databases/mpkFractions/proteomic_fractions_linear_files/Yang_linear_img/22550098;358679371.jpg","show blot")</f>
        <v>show blot</v>
      </c>
      <c r="J635" s="5" t="s">
        <v>1266</v>
      </c>
      <c r="L635" s="11">
        <v>4.5436977566544412</v>
      </c>
      <c r="N635" s="12"/>
    </row>
    <row r="636" spans="1:14" s="5" customFormat="1" ht="15" customHeight="1" x14ac:dyDescent="0.25">
      <c r="A636" s="9" t="s">
        <v>1268</v>
      </c>
      <c r="C636" s="9" t="str">
        <f>HYPERLINK("http://www.ncbi.nlm.nih.gov/protein/358679369","Atg7")</f>
        <v>Atg7</v>
      </c>
      <c r="D636" s="10">
        <f t="shared" si="9"/>
        <v>4.5436977566544412</v>
      </c>
      <c r="F636" s="8" t="str">
        <f>HYPERLINK("https://esbl.nhlbi.nih.gov/Databases/mpkFractions/proteomic_fractions_log_files/Yang_log_img/358679369.jpg","show blot")</f>
        <v>show blot</v>
      </c>
      <c r="H636" s="8" t="str">
        <f>HYPERLINK("https://esbl.nhlbi.nih.gov/Databases/mpkFractions/proteomic_fractions_linear_files/Yang_linear_img/358679369.jpg","show blot")</f>
        <v>show blot</v>
      </c>
      <c r="J636" s="5" t="s">
        <v>1269</v>
      </c>
      <c r="L636" s="11">
        <v>4.5436977566544412</v>
      </c>
      <c r="N636" s="12"/>
    </row>
    <row r="637" spans="1:14" s="5" customFormat="1" ht="15" customHeight="1" x14ac:dyDescent="0.25">
      <c r="A637" s="9" t="s">
        <v>1270</v>
      </c>
      <c r="C637" s="9" t="str">
        <f>HYPERLINK("http://www.ncbi.nlm.nih.gov/protein/227908823","Atic")</f>
        <v>Atic</v>
      </c>
      <c r="D637" s="10">
        <f t="shared" si="9"/>
        <v>5.6892295606740673</v>
      </c>
      <c r="F637" s="8" t="str">
        <f>HYPERLINK("https://esbl.nhlbi.nih.gov/Databases/mpkFractions/proteomic_fractions_log_files/Yang_log_img/227908823.jpg","show blot")</f>
        <v>show blot</v>
      </c>
      <c r="H637" s="8" t="str">
        <f>HYPERLINK("https://esbl.nhlbi.nih.gov/Databases/mpkFractions/proteomic_fractions_linear_files/Yang_linear_img/227908823.jpg","show blot")</f>
        <v>show blot</v>
      </c>
      <c r="J637" s="5" t="s">
        <v>1271</v>
      </c>
      <c r="L637" s="11">
        <v>5.6892295606740673</v>
      </c>
      <c r="N637" s="12"/>
    </row>
    <row r="638" spans="1:14" s="5" customFormat="1" ht="15" customHeight="1" x14ac:dyDescent="0.25">
      <c r="A638" s="9" t="s">
        <v>1272</v>
      </c>
      <c r="C638" s="9" t="str">
        <f>HYPERLINK("http://www.ncbi.nlm.nih.gov/protein/30519971","Atl1")</f>
        <v>Atl1</v>
      </c>
      <c r="D638" s="10">
        <f t="shared" si="9"/>
        <v>3.0959671242709041</v>
      </c>
      <c r="F638" s="8" t="str">
        <f>HYPERLINK("https://esbl.nhlbi.nih.gov/Databases/mpkFractions/proteomic_fractions_log_files/Yang_log_img/30519971.jpg","show blot")</f>
        <v>show blot</v>
      </c>
      <c r="H638" s="8" t="str">
        <f>HYPERLINK("https://esbl.nhlbi.nih.gov/Databases/mpkFractions/proteomic_fractions_linear_files/Yang_linear_img/30519971.jpg","show blot")</f>
        <v>show blot</v>
      </c>
      <c r="J638" s="5" t="s">
        <v>1273</v>
      </c>
      <c r="L638" s="11">
        <v>3.0959671242709041</v>
      </c>
      <c r="N638" s="12"/>
    </row>
    <row r="639" spans="1:14" s="5" customFormat="1" ht="15" customHeight="1" x14ac:dyDescent="0.25">
      <c r="A639" s="9" t="s">
        <v>1274</v>
      </c>
      <c r="C639" s="9" t="str">
        <f>HYPERLINK("http://www.ncbi.nlm.nih.gov/protein/557786119","Atl2")</f>
        <v>Atl2</v>
      </c>
      <c r="D639" s="10">
        <f t="shared" si="9"/>
        <v>3.7325300682312101</v>
      </c>
      <c r="F639" s="8" t="str">
        <f>HYPERLINK("https://esbl.nhlbi.nih.gov/Databases/mpkFractions/proteomic_fractions_log_files/Yang_log_img/557786119.jpg","show blot")</f>
        <v>show blot</v>
      </c>
      <c r="H639" s="8" t="str">
        <f>HYPERLINK("https://esbl.nhlbi.nih.gov/Databases/mpkFractions/proteomic_fractions_linear_files/Yang_linear_img/557786119.jpg","show blot")</f>
        <v>show blot</v>
      </c>
      <c r="J639" s="5" t="s">
        <v>1275</v>
      </c>
      <c r="L639" s="11">
        <v>3.7325300682312101</v>
      </c>
      <c r="N639" s="12"/>
    </row>
    <row r="640" spans="1:14" s="5" customFormat="1" ht="15" customHeight="1" x14ac:dyDescent="0.25">
      <c r="A640" s="9" t="s">
        <v>1276</v>
      </c>
      <c r="C640" s="9" t="str">
        <f>HYPERLINK("http://www.ncbi.nlm.nih.gov/protein/119372300","Atl2")</f>
        <v>Atl2</v>
      </c>
      <c r="D640" s="10">
        <f t="shared" si="9"/>
        <v>3.7325300682312101</v>
      </c>
      <c r="F640" s="8" t="str">
        <f>HYPERLINK("https://esbl.nhlbi.nih.gov/Databases/mpkFractions/proteomic_fractions_log_files/Yang_log_img/119372300.jpg","show blot")</f>
        <v>show blot</v>
      </c>
      <c r="H640" s="8" t="str">
        <f>HYPERLINK("https://esbl.nhlbi.nih.gov/Databases/mpkFractions/proteomic_fractions_linear_files/Yang_linear_img/119372300.jpg","show blot")</f>
        <v>show blot</v>
      </c>
      <c r="J640" s="5" t="s">
        <v>1277</v>
      </c>
      <c r="L640" s="11">
        <v>3.7325300682312101</v>
      </c>
      <c r="N640" s="12"/>
    </row>
    <row r="641" spans="1:14" s="5" customFormat="1" ht="15" customHeight="1" x14ac:dyDescent="0.25">
      <c r="A641" s="9" t="s">
        <v>1278</v>
      </c>
      <c r="C641" s="9" t="str">
        <f>HYPERLINK("http://www.ncbi.nlm.nih.gov/protein/119372304","Atl2")</f>
        <v>Atl2</v>
      </c>
      <c r="D641" s="10">
        <f t="shared" si="9"/>
        <v>3.7325300682312101</v>
      </c>
      <c r="F641" s="8" t="str">
        <f>HYPERLINK("https://esbl.nhlbi.nih.gov/Databases/mpkFractions/proteomic_fractions_log_files/Yang_log_img/119372304.jpg","show blot")</f>
        <v>show blot</v>
      </c>
      <c r="H641" s="8" t="str">
        <f>HYPERLINK("https://esbl.nhlbi.nih.gov/Databases/mpkFractions/proteomic_fractions_linear_files/Yang_linear_img/119372304.jpg","show blot")</f>
        <v>show blot</v>
      </c>
      <c r="J641" s="5" t="s">
        <v>1279</v>
      </c>
      <c r="L641" s="11">
        <v>3.7325300682312101</v>
      </c>
      <c r="N641" s="12"/>
    </row>
    <row r="642" spans="1:14" s="5" customFormat="1" ht="15" customHeight="1" x14ac:dyDescent="0.25">
      <c r="A642" s="9" t="s">
        <v>1280</v>
      </c>
      <c r="C642" s="9" t="str">
        <f>HYPERLINK("http://www.ncbi.nlm.nih.gov/protein/254826716","Atl3")</f>
        <v>Atl3</v>
      </c>
      <c r="D642" s="10">
        <f t="shared" si="9"/>
        <v>5.3973177147001206</v>
      </c>
      <c r="F642" s="8" t="str">
        <f>HYPERLINK("https://esbl.nhlbi.nih.gov/Databases/mpkFractions/proteomic_fractions_log_files/Yang_log_img/254826716.jpg","show blot")</f>
        <v>show blot</v>
      </c>
      <c r="H642" s="8" t="str">
        <f>HYPERLINK("https://esbl.nhlbi.nih.gov/Databases/mpkFractions/proteomic_fractions_linear_files/Yang_linear_img/254826716.jpg","show blot")</f>
        <v>show blot</v>
      </c>
      <c r="J642" s="5" t="s">
        <v>1281</v>
      </c>
      <c r="L642" s="11">
        <v>5.3973177147001206</v>
      </c>
      <c r="N642" s="12"/>
    </row>
    <row r="643" spans="1:14" s="5" customFormat="1" ht="15" customHeight="1" x14ac:dyDescent="0.25">
      <c r="A643" s="9" t="s">
        <v>1282</v>
      </c>
      <c r="C643" s="9" t="str">
        <f>HYPERLINK("http://www.ncbi.nlm.nih.gov/protein/254826718","Atl3")</f>
        <v>Atl3</v>
      </c>
      <c r="D643" s="10">
        <f t="shared" si="9"/>
        <v>5.3973177147001206</v>
      </c>
      <c r="F643" s="8" t="str">
        <f>HYPERLINK("https://esbl.nhlbi.nih.gov/Databases/mpkFractions/proteomic_fractions_log_files/Yang_log_img/254826718.jpg","show blot")</f>
        <v>show blot</v>
      </c>
      <c r="H643" s="8" t="str">
        <f>HYPERLINK("https://esbl.nhlbi.nih.gov/Databases/mpkFractions/proteomic_fractions_linear_files/Yang_linear_img/254826718.jpg","show blot")</f>
        <v>show blot</v>
      </c>
      <c r="J643" s="5" t="s">
        <v>1283</v>
      </c>
      <c r="L643" s="11">
        <v>5.3973177147001206</v>
      </c>
      <c r="N643" s="12"/>
    </row>
    <row r="644" spans="1:14" s="5" customFormat="1" ht="15" customHeight="1" x14ac:dyDescent="0.25">
      <c r="A644" s="9" t="s">
        <v>1284</v>
      </c>
      <c r="C644" s="9" t="str">
        <f>HYPERLINK("http://www.ncbi.nlm.nih.gov/protein/163838660","Atm")</f>
        <v>Atm</v>
      </c>
      <c r="D644" s="10">
        <f t="shared" si="9"/>
        <v>1.969671034627716</v>
      </c>
      <c r="F644" s="8" t="str">
        <f>HYPERLINK("https://esbl.nhlbi.nih.gov/Databases/mpkFractions/proteomic_fractions_log_files/Yang_log_img/163838660.jpg","show blot")</f>
        <v>show blot</v>
      </c>
      <c r="H644" s="8" t="str">
        <f>HYPERLINK("https://esbl.nhlbi.nih.gov/Databases/mpkFractions/proteomic_fractions_linear_files/Yang_linear_img/163838660.jpg","show blot")</f>
        <v>show blot</v>
      </c>
      <c r="J644" s="5" t="s">
        <v>1285</v>
      </c>
      <c r="L644" s="11">
        <v>1.969671034627716</v>
      </c>
      <c r="N644" s="12"/>
    </row>
    <row r="645" spans="1:14" s="5" customFormat="1" ht="15" customHeight="1" x14ac:dyDescent="0.25">
      <c r="A645" s="9" t="s">
        <v>1286</v>
      </c>
      <c r="C645" s="9" t="str">
        <f>HYPERLINK("http://www.ncbi.nlm.nih.gov/protein/239049657","Atmin")</f>
        <v>Atmin</v>
      </c>
      <c r="D645" s="10">
        <f t="shared" ref="D645:D708" si="10">L645</f>
        <v>3.7419337855822161</v>
      </c>
      <c r="F645" s="8" t="str">
        <f>HYPERLINK("https://esbl.nhlbi.nih.gov/Databases/mpkFractions/proteomic_fractions_log_files/Yang_log_img/239049657.jpg","show blot")</f>
        <v>show blot</v>
      </c>
      <c r="H645" s="8" t="str">
        <f>HYPERLINK("https://esbl.nhlbi.nih.gov/Databases/mpkFractions/proteomic_fractions_linear_files/Yang_linear_img/239049657.jpg","show blot")</f>
        <v>show blot</v>
      </c>
      <c r="J645" s="5" t="s">
        <v>1287</v>
      </c>
      <c r="L645" s="11">
        <v>3.7419337855822161</v>
      </c>
      <c r="N645" s="12"/>
    </row>
    <row r="646" spans="1:14" s="5" customFormat="1" ht="15" customHeight="1" x14ac:dyDescent="0.25">
      <c r="A646" s="9" t="s">
        <v>1288</v>
      </c>
      <c r="C646" s="9" t="str">
        <f>HYPERLINK("http://www.ncbi.nlm.nih.gov/protein/6753136","Atox1")</f>
        <v>Atox1</v>
      </c>
      <c r="D646" s="10">
        <f t="shared" si="10"/>
        <v>4.6307472317725944</v>
      </c>
      <c r="F646" s="8" t="str">
        <f>HYPERLINK("https://esbl.nhlbi.nih.gov/Databases/mpkFractions/proteomic_fractions_log_files/Yang_log_img/6753136.jpg","show blot")</f>
        <v>show blot</v>
      </c>
      <c r="H646" s="8" t="str">
        <f>HYPERLINK("https://esbl.nhlbi.nih.gov/Databases/mpkFractions/proteomic_fractions_linear_files/Yang_linear_img/6753136.jpg","show blot")</f>
        <v>show blot</v>
      </c>
      <c r="J646" s="5" t="s">
        <v>1289</v>
      </c>
      <c r="L646" s="11">
        <v>4.6307472317725944</v>
      </c>
      <c r="N646" s="12"/>
    </row>
    <row r="647" spans="1:14" s="5" customFormat="1" ht="15" customHeight="1" x14ac:dyDescent="0.25">
      <c r="A647" s="9" t="s">
        <v>1290</v>
      </c>
      <c r="C647" s="9" t="str">
        <f>HYPERLINK("http://www.ncbi.nlm.nih.gov/protein/7656914","Atp11a")</f>
        <v>Atp11a</v>
      </c>
      <c r="D647" s="10">
        <f t="shared" si="10"/>
        <v>3.7752316858553741</v>
      </c>
      <c r="F647" s="8" t="str">
        <f>HYPERLINK("https://esbl.nhlbi.nih.gov/Databases/mpkFractions/proteomic_fractions_log_files/Yang_log_img/7656914.jpg","show blot")</f>
        <v>show blot</v>
      </c>
      <c r="H647" s="8" t="str">
        <f>HYPERLINK("https://esbl.nhlbi.nih.gov/Databases/mpkFractions/proteomic_fractions_linear_files/Yang_linear_img/7656914.jpg","show blot")</f>
        <v>show blot</v>
      </c>
      <c r="J647" s="5" t="s">
        <v>1291</v>
      </c>
      <c r="L647" s="11">
        <v>3.7752316858553741</v>
      </c>
      <c r="N647" s="12"/>
    </row>
    <row r="648" spans="1:14" s="5" customFormat="1" ht="15" customHeight="1" x14ac:dyDescent="0.25">
      <c r="A648" s="9" t="s">
        <v>1292</v>
      </c>
      <c r="C648" s="9" t="str">
        <f>HYPERLINK("http://www.ncbi.nlm.nih.gov/protein/62632754","Atp11b")</f>
        <v>Atp11b</v>
      </c>
      <c r="D648" s="10">
        <f t="shared" si="10"/>
        <v>3.215651475326851</v>
      </c>
      <c r="F648" s="8" t="str">
        <f>HYPERLINK("https://esbl.nhlbi.nih.gov/Databases/mpkFractions/proteomic_fractions_log_files/Yang_log_img/62632754.jpg","show blot")</f>
        <v>show blot</v>
      </c>
      <c r="H648" s="8" t="str">
        <f>HYPERLINK("https://esbl.nhlbi.nih.gov/Databases/mpkFractions/proteomic_fractions_linear_files/Yang_linear_img/62632754.jpg","show blot")</f>
        <v>show blot</v>
      </c>
      <c r="J648" s="5" t="s">
        <v>1293</v>
      </c>
      <c r="L648" s="11">
        <v>3.215651475326851</v>
      </c>
      <c r="N648" s="12"/>
    </row>
    <row r="649" spans="1:14" s="5" customFormat="1" ht="15" customHeight="1" x14ac:dyDescent="0.25">
      <c r="A649" s="9" t="s">
        <v>1294</v>
      </c>
      <c r="C649" s="9" t="str">
        <f>HYPERLINK("http://www.ncbi.nlm.nih.gov/protein/157168326","Atp12a")</f>
        <v>Atp12a</v>
      </c>
      <c r="D649" s="10">
        <f t="shared" si="10"/>
        <v>5.5018596465896019</v>
      </c>
      <c r="F649" s="8" t="str">
        <f>HYPERLINK("https://esbl.nhlbi.nih.gov/Databases/mpkFractions/proteomic_fractions_log_files/Yang_log_img/157168326.jpg","show blot")</f>
        <v>show blot</v>
      </c>
      <c r="H649" s="8" t="str">
        <f>HYPERLINK("https://esbl.nhlbi.nih.gov/Databases/mpkFractions/proteomic_fractions_linear_files/Yang_linear_img/157168326.jpg","show blot")</f>
        <v>show blot</v>
      </c>
      <c r="J649" s="5" t="s">
        <v>1295</v>
      </c>
      <c r="L649" s="11">
        <v>5.5018596465896019</v>
      </c>
      <c r="N649" s="12"/>
    </row>
    <row r="650" spans="1:14" s="5" customFormat="1" ht="15" customHeight="1" x14ac:dyDescent="0.25">
      <c r="A650" s="9" t="s">
        <v>1296</v>
      </c>
      <c r="C650" s="9" t="str">
        <f>HYPERLINK("http://www.ncbi.nlm.nih.gov/protein/283135194","Atp13a1")</f>
        <v>Atp13a1</v>
      </c>
      <c r="D650" s="10">
        <f t="shared" si="10"/>
        <v>4.4905413832161614</v>
      </c>
      <c r="F650" s="8" t="str">
        <f>HYPERLINK("https://esbl.nhlbi.nih.gov/Databases/mpkFractions/proteomic_fractions_log_files/Yang_log_img/283135194.jpg","show blot")</f>
        <v>show blot</v>
      </c>
      <c r="H650" s="8" t="str">
        <f>HYPERLINK("https://esbl.nhlbi.nih.gov/Databases/mpkFractions/proteomic_fractions_linear_files/Yang_linear_img/283135194.jpg","show blot")</f>
        <v>show blot</v>
      </c>
      <c r="J650" s="5" t="s">
        <v>1297</v>
      </c>
      <c r="L650" s="11">
        <v>4.4905413832161614</v>
      </c>
      <c r="N650" s="12"/>
    </row>
    <row r="651" spans="1:14" s="5" customFormat="1" ht="15" customHeight="1" x14ac:dyDescent="0.25">
      <c r="A651" s="9" t="s">
        <v>1298</v>
      </c>
      <c r="C651" s="9" t="str">
        <f>HYPERLINK("http://www.ncbi.nlm.nih.gov/protein/189339252","Atp13a3")</f>
        <v>Atp13a3</v>
      </c>
      <c r="D651" s="10">
        <f t="shared" si="10"/>
        <v>2.3546831531426089</v>
      </c>
      <c r="F651" s="8" t="str">
        <f>HYPERLINK("https://esbl.nhlbi.nih.gov/Databases/mpkFractions/proteomic_fractions_log_files/Yang_log_img/189339252.jpg","show blot")</f>
        <v>show blot</v>
      </c>
      <c r="H651" s="8" t="str">
        <f>HYPERLINK("https://esbl.nhlbi.nih.gov/Databases/mpkFractions/proteomic_fractions_linear_files/Yang_linear_img/189339252.jpg","show blot")</f>
        <v>show blot</v>
      </c>
      <c r="J651" s="5" t="s">
        <v>1299</v>
      </c>
      <c r="L651" s="11">
        <v>2.3546831531426089</v>
      </c>
      <c r="N651" s="12"/>
    </row>
    <row r="652" spans="1:14" s="5" customFormat="1" ht="15" customHeight="1" x14ac:dyDescent="0.25">
      <c r="A652" s="9" t="s">
        <v>1300</v>
      </c>
      <c r="C652" s="9" t="str">
        <f>HYPERLINK("http://www.ncbi.nlm.nih.gov/protein/189339254","Atp13a3")</f>
        <v>Atp13a3</v>
      </c>
      <c r="D652" s="10">
        <f t="shared" si="10"/>
        <v>2.3546831531426089</v>
      </c>
      <c r="F652" s="8" t="str">
        <f>HYPERLINK("https://esbl.nhlbi.nih.gov/Databases/mpkFractions/proteomic_fractions_log_files/Yang_log_img/189339254.jpg","show blot")</f>
        <v>show blot</v>
      </c>
      <c r="H652" s="8" t="str">
        <f>HYPERLINK("https://esbl.nhlbi.nih.gov/Databases/mpkFractions/proteomic_fractions_linear_files/Yang_linear_img/189339254.jpg","show blot")</f>
        <v>show blot</v>
      </c>
      <c r="J652" s="5" t="s">
        <v>1301</v>
      </c>
      <c r="L652" s="11">
        <v>2.3546831531426089</v>
      </c>
      <c r="N652" s="12"/>
    </row>
    <row r="653" spans="1:14" s="5" customFormat="1" ht="15" customHeight="1" x14ac:dyDescent="0.25">
      <c r="A653" s="9" t="s">
        <v>1302</v>
      </c>
      <c r="C653" s="9" t="str">
        <f>HYPERLINK("http://www.ncbi.nlm.nih.gov/protein/21450277","Atp1a1")</f>
        <v>Atp1a1</v>
      </c>
      <c r="D653" s="10">
        <f t="shared" si="10"/>
        <v>6.7039749994723481</v>
      </c>
      <c r="F653" s="8" t="str">
        <f>HYPERLINK("https://esbl.nhlbi.nih.gov/Databases/mpkFractions/proteomic_fractions_log_files/Yang_log_img/21450277.jpg","show blot")</f>
        <v>show blot</v>
      </c>
      <c r="H653" s="8" t="str">
        <f>HYPERLINK("https://esbl.nhlbi.nih.gov/Databases/mpkFractions/proteomic_fractions_linear_files/Yang_linear_img/21450277.jpg","show blot")</f>
        <v>show blot</v>
      </c>
      <c r="J653" s="5" t="s">
        <v>1303</v>
      </c>
      <c r="L653" s="11">
        <v>6.7039749994723481</v>
      </c>
      <c r="N653" s="12"/>
    </row>
    <row r="654" spans="1:14" s="5" customFormat="1" ht="15" customHeight="1" x14ac:dyDescent="0.25">
      <c r="A654" s="9" t="s">
        <v>1304</v>
      </c>
      <c r="C654" s="9" t="str">
        <f>HYPERLINK("http://www.ncbi.nlm.nih.gov/protein/30409956","Atp1a2")</f>
        <v>Atp1a2</v>
      </c>
      <c r="D654" s="10">
        <f t="shared" si="10"/>
        <v>6.2572266224355628</v>
      </c>
      <c r="F654" s="8" t="str">
        <f>HYPERLINK("https://esbl.nhlbi.nih.gov/Databases/mpkFractions/proteomic_fractions_log_files/Yang_log_img/30409956.jpg","show blot")</f>
        <v>show blot</v>
      </c>
      <c r="H654" s="8" t="str">
        <f>HYPERLINK("https://esbl.nhlbi.nih.gov/Databases/mpkFractions/proteomic_fractions_linear_files/Yang_linear_img/30409956.jpg","show blot")</f>
        <v>show blot</v>
      </c>
      <c r="J654" s="5" t="s">
        <v>1305</v>
      </c>
      <c r="L654" s="11">
        <v>6.2572266224355628</v>
      </c>
      <c r="N654" s="12"/>
    </row>
    <row r="655" spans="1:14" s="5" customFormat="1" ht="15" customHeight="1" x14ac:dyDescent="0.25">
      <c r="A655" s="9" t="s">
        <v>1306</v>
      </c>
      <c r="C655" s="9" t="str">
        <f>HYPERLINK("http://www.ncbi.nlm.nih.gov/protein/21450321","Atp1a3")</f>
        <v>Atp1a3</v>
      </c>
      <c r="D655" s="10">
        <f t="shared" si="10"/>
        <v>6.2332943011656106</v>
      </c>
      <c r="F655" s="8" t="str">
        <f>HYPERLINK("https://esbl.nhlbi.nih.gov/Databases/mpkFractions/proteomic_fractions_log_files/Yang_log_img/21450321.jpg","show blot")</f>
        <v>show blot</v>
      </c>
      <c r="H655" s="8" t="str">
        <f>HYPERLINK("https://esbl.nhlbi.nih.gov/Databases/mpkFractions/proteomic_fractions_linear_files/Yang_linear_img/21450321.jpg","show blot")</f>
        <v>show blot</v>
      </c>
      <c r="J655" s="5" t="s">
        <v>1307</v>
      </c>
      <c r="L655" s="11">
        <v>6.2332943011656106</v>
      </c>
      <c r="N655" s="12"/>
    </row>
    <row r="656" spans="1:14" s="5" customFormat="1" ht="15" customHeight="1" x14ac:dyDescent="0.25">
      <c r="A656" s="9" t="s">
        <v>1308</v>
      </c>
      <c r="C656" s="9" t="str">
        <f>HYPERLINK("http://www.ncbi.nlm.nih.gov/protein/226958351","Atp1a4")</f>
        <v>Atp1a4</v>
      </c>
      <c r="D656" s="10">
        <f t="shared" si="10"/>
        <v>5.7573516939884124</v>
      </c>
      <c r="F656" s="8" t="str">
        <f>HYPERLINK("https://esbl.nhlbi.nih.gov/Databases/mpkFractions/proteomic_fractions_log_files/Yang_log_img/226958351.jpg","show blot")</f>
        <v>show blot</v>
      </c>
      <c r="H656" s="8" t="str">
        <f>HYPERLINK("https://esbl.nhlbi.nih.gov/Databases/mpkFractions/proteomic_fractions_linear_files/Yang_linear_img/226958351.jpg","show blot")</f>
        <v>show blot</v>
      </c>
      <c r="J656" s="5" t="s">
        <v>1309</v>
      </c>
      <c r="L656" s="11">
        <v>5.7573516939884124</v>
      </c>
      <c r="N656" s="12"/>
    </row>
    <row r="657" spans="1:14" s="5" customFormat="1" ht="15" customHeight="1" x14ac:dyDescent="0.25">
      <c r="A657" s="9" t="s">
        <v>1310</v>
      </c>
      <c r="C657" s="9" t="str">
        <f>HYPERLINK("http://www.ncbi.nlm.nih.gov/protein/6753138","Atp1b1")</f>
        <v>Atp1b1</v>
      </c>
      <c r="D657" s="10">
        <f t="shared" si="10"/>
        <v>6.5114828302001646</v>
      </c>
      <c r="F657" s="8" t="str">
        <f>HYPERLINK("https://esbl.nhlbi.nih.gov/Databases/mpkFractions/proteomic_fractions_log_files/Yang_log_img/6753138.jpg","show blot")</f>
        <v>show blot</v>
      </c>
      <c r="H657" s="8" t="str">
        <f>HYPERLINK("https://esbl.nhlbi.nih.gov/Databases/mpkFractions/proteomic_fractions_linear_files/Yang_linear_img/6753138.jpg","show blot")</f>
        <v>show blot</v>
      </c>
      <c r="J657" s="5" t="s">
        <v>1311</v>
      </c>
      <c r="L657" s="11">
        <v>6.5114828302001646</v>
      </c>
      <c r="N657" s="12"/>
    </row>
    <row r="658" spans="1:14" s="5" customFormat="1" ht="15" customHeight="1" x14ac:dyDescent="0.25">
      <c r="A658" s="9" t="s">
        <v>1312</v>
      </c>
      <c r="C658" s="9" t="str">
        <f>HYPERLINK("http://www.ncbi.nlm.nih.gov/protein/6680744","Atp1b3")</f>
        <v>Atp1b3</v>
      </c>
      <c r="D658" s="10">
        <f t="shared" si="10"/>
        <v>5.0641285513046403</v>
      </c>
      <c r="F658" s="8" t="str">
        <f>HYPERLINK("https://esbl.nhlbi.nih.gov/Databases/mpkFractions/proteomic_fractions_log_files/Yang_log_img/6680744.jpg","show blot")</f>
        <v>show blot</v>
      </c>
      <c r="H658" s="8" t="str">
        <f>HYPERLINK("https://esbl.nhlbi.nih.gov/Databases/mpkFractions/proteomic_fractions_linear_files/Yang_linear_img/6680744.jpg","show blot")</f>
        <v>show blot</v>
      </c>
      <c r="J658" s="5" t="s">
        <v>1313</v>
      </c>
      <c r="L658" s="11">
        <v>5.0641285513046403</v>
      </c>
      <c r="N658" s="12"/>
    </row>
    <row r="659" spans="1:14" s="5" customFormat="1" ht="15" customHeight="1" x14ac:dyDescent="0.25">
      <c r="A659" s="9" t="s">
        <v>1314</v>
      </c>
      <c r="C659" s="9" t="str">
        <f>HYPERLINK("http://www.ncbi.nlm.nih.gov/protein/36031132","Atp2a1")</f>
        <v>Atp2a1</v>
      </c>
      <c r="D659" s="10">
        <f t="shared" si="10"/>
        <v>4.9669271942355442</v>
      </c>
      <c r="F659" s="8" t="str">
        <f>HYPERLINK("https://esbl.nhlbi.nih.gov/Databases/mpkFractions/proteomic_fractions_log_files/Yang_log_img/36031132.jpg","show blot")</f>
        <v>show blot</v>
      </c>
      <c r="H659" s="8" t="str">
        <f>HYPERLINK("https://esbl.nhlbi.nih.gov/Databases/mpkFractions/proteomic_fractions_linear_files/Yang_linear_img/36031132.jpg","show blot")</f>
        <v>show blot</v>
      </c>
      <c r="J659" s="5" t="s">
        <v>1315</v>
      </c>
      <c r="L659" s="11">
        <v>4.9669271942355442</v>
      </c>
      <c r="N659" s="12"/>
    </row>
    <row r="660" spans="1:14" s="5" customFormat="1" ht="15" customHeight="1" x14ac:dyDescent="0.25">
      <c r="A660" s="9" t="s">
        <v>1316</v>
      </c>
      <c r="C660" s="9" t="str">
        <f>HYPERLINK("http://www.ncbi.nlm.nih.gov/protein/158635979","Atp2a2")</f>
        <v>Atp2a2</v>
      </c>
      <c r="D660" s="10">
        <f t="shared" si="10"/>
        <v>5.5356566300654544</v>
      </c>
      <c r="F660" s="8" t="str">
        <f>HYPERLINK("https://esbl.nhlbi.nih.gov/Databases/mpkFractions/proteomic_fractions_log_files/Yang_log_img/158635979.jpg","show blot")</f>
        <v>show blot</v>
      </c>
      <c r="H660" s="8" t="str">
        <f>HYPERLINK("https://esbl.nhlbi.nih.gov/Databases/mpkFractions/proteomic_fractions_linear_files/Yang_linear_img/158635979.jpg","show blot")</f>
        <v>show blot</v>
      </c>
      <c r="J660" s="5" t="s">
        <v>1317</v>
      </c>
      <c r="L660" s="11">
        <v>5.5356566300654544</v>
      </c>
      <c r="N660" s="12"/>
    </row>
    <row r="661" spans="1:14" s="5" customFormat="1" ht="15" customHeight="1" x14ac:dyDescent="0.25">
      <c r="A661" s="9" t="s">
        <v>1318</v>
      </c>
      <c r="C661" s="9" t="str">
        <f>HYPERLINK("http://www.ncbi.nlm.nih.gov/protein/6806903","Atp2a2")</f>
        <v>Atp2a2</v>
      </c>
      <c r="D661" s="10">
        <f t="shared" si="10"/>
        <v>5.5356566300654544</v>
      </c>
      <c r="F661" s="8" t="str">
        <f>HYPERLINK("https://esbl.nhlbi.nih.gov/Databases/mpkFractions/proteomic_fractions_log_files/Yang_log_img/6806903.jpg","show blot")</f>
        <v>show blot</v>
      </c>
      <c r="H661" s="8" t="str">
        <f>HYPERLINK("https://esbl.nhlbi.nih.gov/Databases/mpkFractions/proteomic_fractions_linear_files/Yang_linear_img/6806903.jpg","show blot")</f>
        <v>show blot</v>
      </c>
      <c r="J661" s="5" t="s">
        <v>1319</v>
      </c>
      <c r="L661" s="11">
        <v>5.5356566300654544</v>
      </c>
      <c r="N661" s="12"/>
    </row>
    <row r="662" spans="1:14" s="5" customFormat="1" ht="15" customHeight="1" x14ac:dyDescent="0.25">
      <c r="A662" s="9" t="s">
        <v>1320</v>
      </c>
      <c r="C662" s="9" t="str">
        <f>HYPERLINK("http://www.ncbi.nlm.nih.gov/protein/254039658","Atp2a3")</f>
        <v>Atp2a3</v>
      </c>
      <c r="D662" s="10">
        <f t="shared" si="10"/>
        <v>5.2684366721429257</v>
      </c>
      <c r="F662" s="8" t="str">
        <f>HYPERLINK("https://esbl.nhlbi.nih.gov/Databases/mpkFractions/proteomic_fractions_log_files/Yang_log_img/254039658.jpg","show blot")</f>
        <v>show blot</v>
      </c>
      <c r="H662" s="8" t="str">
        <f>HYPERLINK("https://esbl.nhlbi.nih.gov/Databases/mpkFractions/proteomic_fractions_linear_files/Yang_linear_img/254039658.jpg","show blot")</f>
        <v>show blot</v>
      </c>
      <c r="J662" s="5" t="s">
        <v>1321</v>
      </c>
      <c r="L662" s="11">
        <v>5.2684366721429257</v>
      </c>
      <c r="N662" s="12"/>
    </row>
    <row r="663" spans="1:14" s="5" customFormat="1" ht="15" customHeight="1" x14ac:dyDescent="0.25">
      <c r="A663" s="9" t="s">
        <v>1322</v>
      </c>
      <c r="C663" s="9" t="str">
        <f>HYPERLINK("http://www.ncbi.nlm.nih.gov/protein/254039660","Atp2a3")</f>
        <v>Atp2a3</v>
      </c>
      <c r="D663" s="10">
        <f t="shared" si="10"/>
        <v>5.2684366721429257</v>
      </c>
      <c r="F663" s="8" t="str">
        <f>HYPERLINK("https://esbl.nhlbi.nih.gov/Databases/mpkFractions/proteomic_fractions_log_files/Yang_log_img/254039660.jpg","show blot")</f>
        <v>show blot</v>
      </c>
      <c r="H663" s="8" t="str">
        <f>HYPERLINK("https://esbl.nhlbi.nih.gov/Databases/mpkFractions/proteomic_fractions_linear_files/Yang_linear_img/254039660.jpg","show blot")</f>
        <v>show blot</v>
      </c>
      <c r="J663" s="5" t="s">
        <v>1323</v>
      </c>
      <c r="L663" s="11">
        <v>5.2684366721429257</v>
      </c>
      <c r="N663" s="12"/>
    </row>
    <row r="664" spans="1:14" s="5" customFormat="1" ht="15" customHeight="1" x14ac:dyDescent="0.25">
      <c r="A664" s="9" t="s">
        <v>1324</v>
      </c>
      <c r="C664" s="9" t="str">
        <f>HYPERLINK("http://www.ncbi.nlm.nih.gov/protein/31542159","Atp2a3")</f>
        <v>Atp2a3</v>
      </c>
      <c r="D664" s="10">
        <f t="shared" si="10"/>
        <v>5.2684366721429257</v>
      </c>
      <c r="F664" s="8" t="str">
        <f>HYPERLINK("https://esbl.nhlbi.nih.gov/Databases/mpkFractions/proteomic_fractions_log_files/Yang_log_img/31542159.jpg","show blot")</f>
        <v>show blot</v>
      </c>
      <c r="H664" s="8" t="str">
        <f>HYPERLINK("https://esbl.nhlbi.nih.gov/Databases/mpkFractions/proteomic_fractions_linear_files/Yang_linear_img/31542159.jpg","show blot")</f>
        <v>show blot</v>
      </c>
      <c r="J664" s="5" t="s">
        <v>1325</v>
      </c>
      <c r="L664" s="11">
        <v>5.2684366721429257</v>
      </c>
      <c r="N664" s="12"/>
    </row>
    <row r="665" spans="1:14" s="5" customFormat="1" ht="15" customHeight="1" x14ac:dyDescent="0.25">
      <c r="A665" s="9" t="s">
        <v>1326</v>
      </c>
      <c r="C665" s="9" t="str">
        <f>HYPERLINK("http://www.ncbi.nlm.nih.gov/protein/62234487","Atp2b1")</f>
        <v>Atp2b1</v>
      </c>
      <c r="D665" s="10">
        <f t="shared" si="10"/>
        <v>4.7362929195738239</v>
      </c>
      <c r="F665" s="8" t="str">
        <f>HYPERLINK("https://esbl.nhlbi.nih.gov/Databases/mpkFractions/proteomic_fractions_log_files/Yang_log_img/62234487.jpg","show blot")</f>
        <v>show blot</v>
      </c>
      <c r="H665" s="8" t="str">
        <f>HYPERLINK("https://esbl.nhlbi.nih.gov/Databases/mpkFractions/proteomic_fractions_linear_files/Yang_linear_img/62234487.jpg","show blot")</f>
        <v>show blot</v>
      </c>
      <c r="J665" s="5" t="s">
        <v>1327</v>
      </c>
      <c r="L665" s="11">
        <v>4.7362929195738239</v>
      </c>
      <c r="N665" s="12"/>
    </row>
    <row r="666" spans="1:14" s="5" customFormat="1" ht="15" customHeight="1" x14ac:dyDescent="0.25">
      <c r="A666" s="9" t="s">
        <v>1328</v>
      </c>
      <c r="C666" s="9" t="str">
        <f>HYPERLINK("http://www.ncbi.nlm.nih.gov/protein/6753140","Atp2b2")</f>
        <v>Atp2b2</v>
      </c>
      <c r="D666" s="10">
        <f t="shared" si="10"/>
        <v>4.3668636768878537</v>
      </c>
      <c r="F666" s="8" t="str">
        <f>HYPERLINK("https://esbl.nhlbi.nih.gov/Databases/mpkFractions/proteomic_fractions_log_files/Yang_log_img/6753140.jpg","show blot")</f>
        <v>show blot</v>
      </c>
      <c r="H666" s="8" t="str">
        <f>HYPERLINK("https://esbl.nhlbi.nih.gov/Databases/mpkFractions/proteomic_fractions_linear_files/Yang_linear_img/6753140.jpg","show blot")</f>
        <v>show blot</v>
      </c>
      <c r="J666" s="5" t="s">
        <v>1329</v>
      </c>
      <c r="L666" s="11">
        <v>4.3668636768878537</v>
      </c>
      <c r="N666" s="12"/>
    </row>
    <row r="667" spans="1:14" s="5" customFormat="1" ht="15" customHeight="1" x14ac:dyDescent="0.25">
      <c r="A667" s="9" t="s">
        <v>1330</v>
      </c>
      <c r="C667" s="9" t="str">
        <f>HYPERLINK("http://www.ncbi.nlm.nih.gov/protein/80861454","Atp2b2")</f>
        <v>Atp2b2</v>
      </c>
      <c r="D667" s="10">
        <f t="shared" si="10"/>
        <v>4.3668636768878537</v>
      </c>
      <c r="F667" s="8" t="str">
        <f>HYPERLINK("https://esbl.nhlbi.nih.gov/Databases/mpkFractions/proteomic_fractions_log_files/Yang_log_img/80861454.jpg","show blot")</f>
        <v>show blot</v>
      </c>
      <c r="H667" s="8" t="str">
        <f>HYPERLINK("https://esbl.nhlbi.nih.gov/Databases/mpkFractions/proteomic_fractions_linear_files/Yang_linear_img/80861454.jpg","show blot")</f>
        <v>show blot</v>
      </c>
      <c r="J667" s="5" t="s">
        <v>1329</v>
      </c>
      <c r="L667" s="11">
        <v>4.3668636768878537</v>
      </c>
      <c r="N667" s="12"/>
    </row>
    <row r="668" spans="1:14" s="5" customFormat="1" ht="15" customHeight="1" x14ac:dyDescent="0.25">
      <c r="A668" s="9" t="s">
        <v>1331</v>
      </c>
      <c r="C668" s="9" t="str">
        <f>HYPERLINK("http://www.ncbi.nlm.nih.gov/protein/56699478","Atp2b3")</f>
        <v>Atp2b3</v>
      </c>
      <c r="D668" s="10">
        <f t="shared" si="10"/>
        <v>4.3646886718934104</v>
      </c>
      <c r="F668" s="8" t="str">
        <f>HYPERLINK("https://esbl.nhlbi.nih.gov/Databases/mpkFractions/proteomic_fractions_log_files/Yang_log_img/56699478.jpg","show blot")</f>
        <v>show blot</v>
      </c>
      <c r="H668" s="8" t="str">
        <f>HYPERLINK("https://esbl.nhlbi.nih.gov/Databases/mpkFractions/proteomic_fractions_linear_files/Yang_linear_img/56699478.jpg","show blot")</f>
        <v>show blot</v>
      </c>
      <c r="J668" s="5" t="s">
        <v>1332</v>
      </c>
      <c r="L668" s="11">
        <v>4.3646886718934104</v>
      </c>
      <c r="N668" s="12"/>
    </row>
    <row r="669" spans="1:14" s="5" customFormat="1" ht="15" customHeight="1" x14ac:dyDescent="0.25">
      <c r="A669" s="9" t="s">
        <v>1333</v>
      </c>
      <c r="C669" s="9" t="str">
        <f>HYPERLINK("http://www.ncbi.nlm.nih.gov/protein/269784615","Atp2b4")</f>
        <v>Atp2b4</v>
      </c>
      <c r="D669" s="10">
        <f t="shared" si="10"/>
        <v>4.0900327027080028</v>
      </c>
      <c r="F669" s="8" t="str">
        <f>HYPERLINK("https://esbl.nhlbi.nih.gov/Databases/mpkFractions/proteomic_fractions_log_files/Yang_log_img/269784615.jpg","show blot")</f>
        <v>show blot</v>
      </c>
      <c r="H669" s="8" t="str">
        <f>HYPERLINK("https://esbl.nhlbi.nih.gov/Databases/mpkFractions/proteomic_fractions_linear_files/Yang_linear_img/269784615.jpg","show blot")</f>
        <v>show blot</v>
      </c>
      <c r="J669" s="5" t="s">
        <v>1334</v>
      </c>
      <c r="L669" s="11">
        <v>4.0900327027080028</v>
      </c>
      <c r="N669" s="12"/>
    </row>
    <row r="670" spans="1:14" s="5" customFormat="1" ht="15" customHeight="1" x14ac:dyDescent="0.25">
      <c r="A670" s="9" t="s">
        <v>1335</v>
      </c>
      <c r="C670" s="9" t="str">
        <f>HYPERLINK("http://www.ncbi.nlm.nih.gov/protein/54261793","Atp2b4")</f>
        <v>Atp2b4</v>
      </c>
      <c r="D670" s="10">
        <f t="shared" si="10"/>
        <v>4.0900327027080028</v>
      </c>
      <c r="F670" s="8" t="str">
        <f>HYPERLINK("https://esbl.nhlbi.nih.gov/Databases/mpkFractions/proteomic_fractions_log_files/Yang_log_img/54261793.jpg","show blot")</f>
        <v>show blot</v>
      </c>
      <c r="H670" s="8" t="str">
        <f>HYPERLINK("https://esbl.nhlbi.nih.gov/Databases/mpkFractions/proteomic_fractions_linear_files/Yang_linear_img/54261793.jpg","show blot")</f>
        <v>show blot</v>
      </c>
      <c r="J670" s="5" t="s">
        <v>1336</v>
      </c>
      <c r="L670" s="11">
        <v>4.0900327027080028</v>
      </c>
      <c r="N670" s="12"/>
    </row>
    <row r="671" spans="1:14" s="5" customFormat="1" ht="15" customHeight="1" x14ac:dyDescent="0.25">
      <c r="A671" s="9" t="s">
        <v>1337</v>
      </c>
      <c r="C671" s="9" t="str">
        <f>HYPERLINK("http://www.ncbi.nlm.nih.gov/protein/225690606","Atp2c1")</f>
        <v>Atp2c1</v>
      </c>
      <c r="D671" s="10">
        <f t="shared" si="10"/>
        <v>3.572382010263861</v>
      </c>
      <c r="F671" s="8" t="str">
        <f>HYPERLINK("https://esbl.nhlbi.nih.gov/Databases/mpkFractions/proteomic_fractions_log_files/Yang_log_img/225690606.jpg","show blot")</f>
        <v>show blot</v>
      </c>
      <c r="H671" s="8" t="str">
        <f>HYPERLINK("https://esbl.nhlbi.nih.gov/Databases/mpkFractions/proteomic_fractions_linear_files/Yang_linear_img/225690606.jpg","show blot")</f>
        <v>show blot</v>
      </c>
      <c r="J671" s="5" t="s">
        <v>1338</v>
      </c>
      <c r="L671" s="11">
        <v>3.572382010263861</v>
      </c>
      <c r="N671" s="12"/>
    </row>
    <row r="672" spans="1:14" s="5" customFormat="1" ht="15" customHeight="1" x14ac:dyDescent="0.25">
      <c r="A672" s="9" t="s">
        <v>1339</v>
      </c>
      <c r="C672" s="9" t="str">
        <f>HYPERLINK("http://www.ncbi.nlm.nih.gov/protein/359465596","Atp2c1")</f>
        <v>Atp2c1</v>
      </c>
      <c r="D672" s="10">
        <f t="shared" si="10"/>
        <v>3.572382010263861</v>
      </c>
      <c r="F672" s="8" t="str">
        <f>HYPERLINK("https://esbl.nhlbi.nih.gov/Databases/mpkFractions/proteomic_fractions_log_files/Yang_log_img/359465596.jpg","show blot")</f>
        <v>show blot</v>
      </c>
      <c r="H672" s="8" t="str">
        <f>HYPERLINK("https://esbl.nhlbi.nih.gov/Databases/mpkFractions/proteomic_fractions_linear_files/Yang_linear_img/359465596.jpg","show blot")</f>
        <v>show blot</v>
      </c>
      <c r="J672" s="5" t="s">
        <v>1340</v>
      </c>
      <c r="L672" s="11">
        <v>3.572382010263861</v>
      </c>
      <c r="N672" s="12"/>
    </row>
    <row r="673" spans="1:14" s="5" customFormat="1" ht="15" customHeight="1" x14ac:dyDescent="0.25">
      <c r="A673" s="9" t="s">
        <v>1341</v>
      </c>
      <c r="C673" s="9" t="str">
        <f>HYPERLINK("http://www.ncbi.nlm.nih.gov/protein/359465610","Atp2c1")</f>
        <v>Atp2c1</v>
      </c>
      <c r="D673" s="10">
        <f t="shared" si="10"/>
        <v>3.572382010263861</v>
      </c>
      <c r="F673" s="8" t="str">
        <f>HYPERLINK("https://esbl.nhlbi.nih.gov/Databases/mpkFractions/proteomic_fractions_log_files/Yang_log_img/359465610.jpg","show blot")</f>
        <v>show blot</v>
      </c>
      <c r="H673" s="8" t="str">
        <f>HYPERLINK("https://esbl.nhlbi.nih.gov/Databases/mpkFractions/proteomic_fractions_linear_files/Yang_linear_img/359465610.jpg","show blot")</f>
        <v>show blot</v>
      </c>
      <c r="J673" s="5" t="s">
        <v>1342</v>
      </c>
      <c r="L673" s="11">
        <v>3.572382010263861</v>
      </c>
      <c r="N673" s="12"/>
    </row>
    <row r="674" spans="1:14" s="5" customFormat="1" ht="15" customHeight="1" x14ac:dyDescent="0.25">
      <c r="A674" s="9" t="s">
        <v>1343</v>
      </c>
      <c r="C674" s="9" t="str">
        <f>HYPERLINK("http://www.ncbi.nlm.nih.gov/protein/110225337","Atp4a")</f>
        <v>Atp4a</v>
      </c>
      <c r="D674" s="10">
        <f t="shared" si="10"/>
        <v>5.7275001029339867</v>
      </c>
      <c r="F674" s="8" t="str">
        <f>HYPERLINK("https://esbl.nhlbi.nih.gov/Databases/mpkFractions/proteomic_fractions_log_files/Yang_log_img/110225337.jpg","show blot")</f>
        <v>show blot</v>
      </c>
      <c r="H674" s="8" t="str">
        <f>HYPERLINK("https://esbl.nhlbi.nih.gov/Databases/mpkFractions/proteomic_fractions_linear_files/Yang_linear_img/110225337.jpg","show blot")</f>
        <v>show blot</v>
      </c>
      <c r="J674" s="5" t="s">
        <v>1344</v>
      </c>
      <c r="L674" s="11">
        <v>5.7275001029339867</v>
      </c>
      <c r="N674" s="12"/>
    </row>
    <row r="675" spans="1:14" s="5" customFormat="1" ht="15" customHeight="1" x14ac:dyDescent="0.25">
      <c r="A675" s="9" t="s">
        <v>1345</v>
      </c>
      <c r="C675" s="9" t="str">
        <f>HYPERLINK("http://www.ncbi.nlm.nih.gov/protein/6680748","Atp5a1")</f>
        <v>Atp5a1</v>
      </c>
      <c r="D675" s="10">
        <f t="shared" si="10"/>
        <v>7.1464094948138586</v>
      </c>
      <c r="F675" s="8" t="str">
        <f>HYPERLINK("https://esbl.nhlbi.nih.gov/Databases/mpkFractions/proteomic_fractions_log_files/Yang_log_img/6680748.jpg","show blot")</f>
        <v>show blot</v>
      </c>
      <c r="H675" s="8" t="str">
        <f>HYPERLINK("https://esbl.nhlbi.nih.gov/Databases/mpkFractions/proteomic_fractions_linear_files/Yang_linear_img/6680748.jpg","show blot")</f>
        <v>show blot</v>
      </c>
      <c r="J675" s="5" t="s">
        <v>1346</v>
      </c>
      <c r="L675" s="11">
        <v>7.1464094948138586</v>
      </c>
      <c r="N675" s="12"/>
    </row>
    <row r="676" spans="1:14" s="5" customFormat="1" ht="15" customHeight="1" x14ac:dyDescent="0.25">
      <c r="A676" s="9" t="s">
        <v>1347</v>
      </c>
      <c r="C676" s="9" t="str">
        <f>HYPERLINK("http://www.ncbi.nlm.nih.gov/protein/31980648","Atp5b")</f>
        <v>Atp5b</v>
      </c>
      <c r="D676" s="10">
        <f t="shared" si="10"/>
        <v>7.1608577128288813</v>
      </c>
      <c r="F676" s="8" t="str">
        <f>HYPERLINK("https://esbl.nhlbi.nih.gov/Databases/mpkFractions/proteomic_fractions_log_files/Yang_log_img/31980648.jpg","show blot")</f>
        <v>show blot</v>
      </c>
      <c r="H676" s="8" t="str">
        <f>HYPERLINK("https://esbl.nhlbi.nih.gov/Databases/mpkFractions/proteomic_fractions_linear_files/Yang_linear_img/31980648.jpg","show blot")</f>
        <v>show blot</v>
      </c>
      <c r="J676" s="5" t="s">
        <v>1348</v>
      </c>
      <c r="L676" s="11">
        <v>7.1608577128288813</v>
      </c>
      <c r="N676" s="12"/>
    </row>
    <row r="677" spans="1:14" s="5" customFormat="1" ht="15" customHeight="1" x14ac:dyDescent="0.25">
      <c r="A677" s="9" t="s">
        <v>1349</v>
      </c>
      <c r="C677" s="9" t="str">
        <f>HYPERLINK("http://www.ncbi.nlm.nih.gov/protein/163838641","Atp5c1")</f>
        <v>Atp5c1</v>
      </c>
      <c r="D677" s="10">
        <f t="shared" si="10"/>
        <v>6.3637204759160051</v>
      </c>
      <c r="F677" s="8" t="str">
        <f>HYPERLINK("https://esbl.nhlbi.nih.gov/Databases/mpkFractions/proteomic_fractions_log_files/Yang_log_img/163838641.jpg","show blot")</f>
        <v>show blot</v>
      </c>
      <c r="H677" s="8" t="str">
        <f>HYPERLINK("https://esbl.nhlbi.nih.gov/Databases/mpkFractions/proteomic_fractions_linear_files/Yang_linear_img/163838641.jpg","show blot")</f>
        <v>show blot</v>
      </c>
      <c r="J677" s="5" t="s">
        <v>1350</v>
      </c>
      <c r="L677" s="11">
        <v>6.3637204759160051</v>
      </c>
      <c r="N677" s="12"/>
    </row>
    <row r="678" spans="1:14" s="5" customFormat="1" ht="15" customHeight="1" x14ac:dyDescent="0.25">
      <c r="A678" s="9" t="s">
        <v>1351</v>
      </c>
      <c r="C678" s="9" t="str">
        <f>HYPERLINK("http://www.ncbi.nlm.nih.gov/protein/163838648","Atp5c1")</f>
        <v>Atp5c1</v>
      </c>
      <c r="D678" s="10">
        <f t="shared" si="10"/>
        <v>6.3637204759160051</v>
      </c>
      <c r="F678" s="8" t="str">
        <f>HYPERLINK("https://esbl.nhlbi.nih.gov/Databases/mpkFractions/proteomic_fractions_log_files/Yang_log_img/163838648.jpg","show blot")</f>
        <v>show blot</v>
      </c>
      <c r="H678" s="8" t="str">
        <f>HYPERLINK("https://esbl.nhlbi.nih.gov/Databases/mpkFractions/proteomic_fractions_linear_files/Yang_linear_img/163838648.jpg","show blot")</f>
        <v>show blot</v>
      </c>
      <c r="J678" s="5" t="s">
        <v>1352</v>
      </c>
      <c r="L678" s="11">
        <v>6.3637204759160051</v>
      </c>
      <c r="N678" s="12"/>
    </row>
    <row r="679" spans="1:14" s="5" customFormat="1" ht="15" customHeight="1" x14ac:dyDescent="0.25">
      <c r="A679" s="9" t="s">
        <v>1353</v>
      </c>
      <c r="C679" s="9" t="str">
        <f>HYPERLINK("http://www.ncbi.nlm.nih.gov/protein/166851828","Atp5d")</f>
        <v>Atp5d</v>
      </c>
      <c r="D679" s="10">
        <f t="shared" si="10"/>
        <v>6.3550602576164392</v>
      </c>
      <c r="F679" s="8" t="str">
        <f>HYPERLINK("https://esbl.nhlbi.nih.gov/Databases/mpkFractions/proteomic_fractions_log_files/Yang_log_img/166851828.jpg","show blot")</f>
        <v>show blot</v>
      </c>
      <c r="H679" s="8" t="str">
        <f>HYPERLINK("https://esbl.nhlbi.nih.gov/Databases/mpkFractions/proteomic_fractions_linear_files/Yang_linear_img/166851828.jpg","show blot")</f>
        <v>show blot</v>
      </c>
      <c r="J679" s="5" t="s">
        <v>1354</v>
      </c>
      <c r="L679" s="11">
        <v>6.3550602576164392</v>
      </c>
      <c r="N679" s="12"/>
    </row>
    <row r="680" spans="1:14" s="5" customFormat="1" ht="15" customHeight="1" x14ac:dyDescent="0.25">
      <c r="A680" s="9" t="s">
        <v>1355</v>
      </c>
      <c r="C680" s="9" t="str">
        <f>HYPERLINK("http://www.ncbi.nlm.nih.gov/protein/13385484","Atp5e")</f>
        <v>Atp5e</v>
      </c>
      <c r="D680" s="10">
        <f t="shared" si="10"/>
        <v>6.1905671616627886</v>
      </c>
      <c r="F680" s="8" t="str">
        <f>HYPERLINK("https://esbl.nhlbi.nih.gov/Databases/mpkFractions/proteomic_fractions_log_files/Yang_log_img/13385484.jpg","show blot")</f>
        <v>show blot</v>
      </c>
      <c r="H680" s="8" t="str">
        <f>HYPERLINK("https://esbl.nhlbi.nih.gov/Databases/mpkFractions/proteomic_fractions_linear_files/Yang_linear_img/13385484.jpg","show blot")</f>
        <v>show blot</v>
      </c>
      <c r="J680" s="5" t="s">
        <v>1356</v>
      </c>
      <c r="L680" s="11">
        <v>6.1905671616627886</v>
      </c>
      <c r="N680" s="12"/>
    </row>
    <row r="681" spans="1:14" s="5" customFormat="1" ht="15" customHeight="1" x14ac:dyDescent="0.25">
      <c r="A681" s="9" t="s">
        <v>1357</v>
      </c>
      <c r="C681" s="9" t="str">
        <f>HYPERLINK("http://www.ncbi.nlm.nih.gov/protein/78214312","Atp5f1")</f>
        <v>Atp5f1</v>
      </c>
      <c r="D681" s="10">
        <f t="shared" si="10"/>
        <v>5.8978916253047959</v>
      </c>
      <c r="F681" s="8" t="str">
        <f>HYPERLINK("https://esbl.nhlbi.nih.gov/Databases/mpkFractions/proteomic_fractions_log_files/Yang_log_img/78214312.jpg","show blot")</f>
        <v>show blot</v>
      </c>
      <c r="H681" s="8" t="str">
        <f>HYPERLINK("https://esbl.nhlbi.nih.gov/Databases/mpkFractions/proteomic_fractions_linear_files/Yang_linear_img/78214312.jpg","show blot")</f>
        <v>show blot</v>
      </c>
      <c r="J681" s="5" t="s">
        <v>1358</v>
      </c>
      <c r="L681" s="11">
        <v>5.8978916253047959</v>
      </c>
      <c r="N681" s="12"/>
    </row>
    <row r="682" spans="1:14" s="5" customFormat="1" ht="15" customHeight="1" x14ac:dyDescent="0.25">
      <c r="A682" s="9" t="s">
        <v>1359</v>
      </c>
      <c r="C682" s="9" t="str">
        <f>HYPERLINK("http://www.ncbi.nlm.nih.gov/protein/21313679","Atp5h")</f>
        <v>Atp5h</v>
      </c>
      <c r="D682" s="10">
        <f t="shared" si="10"/>
        <v>6.2591669333915956</v>
      </c>
      <c r="F682" s="8" t="str">
        <f>HYPERLINK("https://esbl.nhlbi.nih.gov/Databases/mpkFractions/proteomic_fractions_log_files/Yang_log_img/21313679.jpg","show blot")</f>
        <v>show blot</v>
      </c>
      <c r="H682" s="8" t="str">
        <f>HYPERLINK("https://esbl.nhlbi.nih.gov/Databases/mpkFractions/proteomic_fractions_linear_files/Yang_linear_img/21313679.jpg","show blot")</f>
        <v>show blot</v>
      </c>
      <c r="J682" s="5" t="s">
        <v>1360</v>
      </c>
      <c r="L682" s="11">
        <v>6.2591669333915956</v>
      </c>
      <c r="N682" s="12"/>
    </row>
    <row r="683" spans="1:14" s="5" customFormat="1" ht="15" customHeight="1" x14ac:dyDescent="0.25">
      <c r="A683" s="9" t="s">
        <v>1361</v>
      </c>
      <c r="C683" s="9" t="str">
        <f>HYPERLINK("http://www.ncbi.nlm.nih.gov/protein/7949005","Atp5j")</f>
        <v>Atp5j</v>
      </c>
      <c r="D683" s="10">
        <f t="shared" si="10"/>
        <v>5.2698720459210779</v>
      </c>
      <c r="F683" s="8" t="str">
        <f>HYPERLINK("https://esbl.nhlbi.nih.gov/Databases/mpkFractions/proteomic_fractions_log_files/Yang_log_img/7949005.jpg","show blot")</f>
        <v>show blot</v>
      </c>
      <c r="H683" s="8" t="str">
        <f>HYPERLINK("https://esbl.nhlbi.nih.gov/Databases/mpkFractions/proteomic_fractions_linear_files/Yang_linear_img/7949005.jpg","show blot")</f>
        <v>show blot</v>
      </c>
      <c r="J683" s="5" t="s">
        <v>1362</v>
      </c>
      <c r="L683" s="11">
        <v>5.2698720459210779</v>
      </c>
      <c r="N683" s="12"/>
    </row>
    <row r="684" spans="1:14" s="5" customFormat="1" ht="15" customHeight="1" x14ac:dyDescent="0.25">
      <c r="A684" s="9" t="s">
        <v>1363</v>
      </c>
      <c r="C684" s="9" t="str">
        <f>HYPERLINK("http://www.ncbi.nlm.nih.gov/protein/10181184","Atp5j2")</f>
        <v>Atp5j2</v>
      </c>
      <c r="D684" s="10">
        <f t="shared" si="10"/>
        <v>6.1818731154895774</v>
      </c>
      <c r="F684" s="8" t="str">
        <f>HYPERLINK("https://esbl.nhlbi.nih.gov/Databases/mpkFractions/proteomic_fractions_log_files/Yang_log_img/10181184.jpg","show blot")</f>
        <v>show blot</v>
      </c>
      <c r="H684" s="8" t="str">
        <f>HYPERLINK("https://esbl.nhlbi.nih.gov/Databases/mpkFractions/proteomic_fractions_linear_files/Yang_linear_img/10181184.jpg","show blot")</f>
        <v>show blot</v>
      </c>
      <c r="J684" s="5" t="s">
        <v>1364</v>
      </c>
      <c r="L684" s="11">
        <v>6.1818731154895774</v>
      </c>
      <c r="N684" s="12"/>
    </row>
    <row r="685" spans="1:14" s="5" customFormat="1" ht="15" customHeight="1" x14ac:dyDescent="0.25">
      <c r="A685" s="9" t="s">
        <v>1365</v>
      </c>
      <c r="C685" s="9" t="str">
        <f>HYPERLINK("http://www.ncbi.nlm.nih.gov/protein/83715998","Atp5k")</f>
        <v>Atp5k</v>
      </c>
      <c r="D685" s="10">
        <f t="shared" si="10"/>
        <v>6.4867491618249371</v>
      </c>
      <c r="F685" s="8" t="str">
        <f>HYPERLINK("https://esbl.nhlbi.nih.gov/Databases/mpkFractions/proteomic_fractions_log_files/Yang_log_img/83715998.jpg","show blot")</f>
        <v>show blot</v>
      </c>
      <c r="H685" s="8" t="str">
        <f>HYPERLINK("https://esbl.nhlbi.nih.gov/Databases/mpkFractions/proteomic_fractions_linear_files/Yang_linear_img/83715998.jpg","show blot")</f>
        <v>show blot</v>
      </c>
      <c r="J685" s="5" t="s">
        <v>1366</v>
      </c>
      <c r="L685" s="11">
        <v>6.4867491618249371</v>
      </c>
      <c r="N685" s="12"/>
    </row>
    <row r="686" spans="1:14" s="5" customFormat="1" ht="15" customHeight="1" x14ac:dyDescent="0.25">
      <c r="A686" s="9" t="s">
        <v>1367</v>
      </c>
      <c r="C686" s="9" t="str">
        <f>HYPERLINK("http://www.ncbi.nlm.nih.gov/protein/31980744","Atp5l")</f>
        <v>Atp5l</v>
      </c>
      <c r="D686" s="10">
        <f t="shared" si="10"/>
        <v>5.6875524700527418</v>
      </c>
      <c r="F686" s="8" t="str">
        <f>HYPERLINK("https://esbl.nhlbi.nih.gov/Databases/mpkFractions/proteomic_fractions_log_files/Yang_log_img/31980744.jpg","show blot")</f>
        <v>show blot</v>
      </c>
      <c r="H686" s="8" t="str">
        <f>HYPERLINK("https://esbl.nhlbi.nih.gov/Databases/mpkFractions/proteomic_fractions_linear_files/Yang_linear_img/31980744.jpg","show blot")</f>
        <v>show blot</v>
      </c>
      <c r="J686" s="5" t="s">
        <v>1368</v>
      </c>
      <c r="L686" s="11">
        <v>5.6875524700527418</v>
      </c>
      <c r="N686" s="12"/>
    </row>
    <row r="687" spans="1:14" s="5" customFormat="1" ht="15" customHeight="1" x14ac:dyDescent="0.25">
      <c r="A687" s="9" t="s">
        <v>1369</v>
      </c>
      <c r="C687" s="9" t="str">
        <f>HYPERLINK("http://www.ncbi.nlm.nih.gov/protein/20070412;149251053","Atp5o")</f>
        <v>Atp5o</v>
      </c>
      <c r="D687" s="10">
        <f t="shared" si="10"/>
        <v>5.7870079478703813</v>
      </c>
      <c r="F687" s="8" t="str">
        <f>HYPERLINK("https://esbl.nhlbi.nih.gov/Databases/mpkFractions/proteomic_fractions_log_files/Yang_log_img/20070412;149251053.jpg","show blot")</f>
        <v>show blot</v>
      </c>
      <c r="H687" s="8" t="str">
        <f>HYPERLINK("https://esbl.nhlbi.nih.gov/Databases/mpkFractions/proteomic_fractions_linear_files/Yang_linear_img/20070412;149251053.jpg","show blot")</f>
        <v>show blot</v>
      </c>
      <c r="J687" s="5" t="s">
        <v>1370</v>
      </c>
      <c r="L687" s="11">
        <v>5.7870079478703813</v>
      </c>
      <c r="N687" s="12"/>
    </row>
    <row r="688" spans="1:14" s="5" customFormat="1" ht="15" customHeight="1" x14ac:dyDescent="0.25">
      <c r="A688" s="9" t="s">
        <v>1371</v>
      </c>
      <c r="C688" s="9" t="str">
        <f>HYPERLINK("http://www.ncbi.nlm.nih.gov/protein/13386040","Atp5s")</f>
        <v>Atp5s</v>
      </c>
      <c r="D688" s="10">
        <f t="shared" si="10"/>
        <v>3.7227616954334541</v>
      </c>
      <c r="F688" s="8" t="str">
        <f>HYPERLINK("https://esbl.nhlbi.nih.gov/Databases/mpkFractions/proteomic_fractions_log_files/Yang_log_img/13386040.jpg","show blot")</f>
        <v>show blot</v>
      </c>
      <c r="H688" s="8" t="str">
        <f>HYPERLINK("https://esbl.nhlbi.nih.gov/Databases/mpkFractions/proteomic_fractions_linear_files/Yang_linear_img/13386040.jpg","show blot")</f>
        <v>show blot</v>
      </c>
      <c r="J688" s="5" t="s">
        <v>1372</v>
      </c>
      <c r="L688" s="11">
        <v>3.7227616954334541</v>
      </c>
      <c r="N688" s="12"/>
    </row>
    <row r="689" spans="1:14" s="5" customFormat="1" ht="15" customHeight="1" x14ac:dyDescent="0.25">
      <c r="A689" s="9" t="s">
        <v>1373</v>
      </c>
      <c r="C689" s="9" t="str">
        <f>HYPERLINK("http://www.ncbi.nlm.nih.gov/protein/21361250","Atp6ap2")</f>
        <v>Atp6ap2</v>
      </c>
      <c r="D689" s="10">
        <f t="shared" si="10"/>
        <v>3.8198210798235448</v>
      </c>
      <c r="F689" s="8" t="str">
        <f>HYPERLINK("https://esbl.nhlbi.nih.gov/Databases/mpkFractions/proteomic_fractions_log_files/Yang_log_img/21361250.jpg","show blot")</f>
        <v>show blot</v>
      </c>
      <c r="H689" s="8" t="str">
        <f>HYPERLINK("https://esbl.nhlbi.nih.gov/Databases/mpkFractions/proteomic_fractions_linear_files/Yang_linear_img/21361250.jpg","show blot")</f>
        <v>show blot</v>
      </c>
      <c r="J689" s="5" t="s">
        <v>1374</v>
      </c>
      <c r="L689" s="11">
        <v>3.8198210798235448</v>
      </c>
      <c r="N689" s="12"/>
    </row>
    <row r="690" spans="1:14" s="5" customFormat="1" ht="15" customHeight="1" x14ac:dyDescent="0.25">
      <c r="A690" s="9" t="s">
        <v>1375</v>
      </c>
      <c r="C690" s="9" t="str">
        <f>HYPERLINK("http://www.ncbi.nlm.nih.gov/protein/12025532","Atp6v0a1")</f>
        <v>Atp6v0a1</v>
      </c>
      <c r="D690" s="10">
        <f t="shared" si="10"/>
        <v>4.246781406092726</v>
      </c>
      <c r="F690" s="8" t="str">
        <f>HYPERLINK("https://esbl.nhlbi.nih.gov/Databases/mpkFractions/proteomic_fractions_log_files/Yang_log_img/12025532.jpg","show blot")</f>
        <v>show blot</v>
      </c>
      <c r="H690" s="8" t="str">
        <f>HYPERLINK("https://esbl.nhlbi.nih.gov/Databases/mpkFractions/proteomic_fractions_linear_files/Yang_linear_img/12025532.jpg","show blot")</f>
        <v>show blot</v>
      </c>
      <c r="J690" s="5" t="s">
        <v>1376</v>
      </c>
      <c r="L690" s="11">
        <v>4.246781406092726</v>
      </c>
      <c r="N690" s="12"/>
    </row>
    <row r="691" spans="1:14" s="5" customFormat="1" ht="15" customHeight="1" x14ac:dyDescent="0.25">
      <c r="A691" s="9" t="s">
        <v>1377</v>
      </c>
      <c r="C691" s="9" t="str">
        <f>HYPERLINK("http://www.ncbi.nlm.nih.gov/protein/340007375","Atp6v0a1")</f>
        <v>Atp6v0a1</v>
      </c>
      <c r="D691" s="10">
        <f t="shared" si="10"/>
        <v>4.246781406092726</v>
      </c>
      <c r="F691" s="8" t="str">
        <f>HYPERLINK("https://esbl.nhlbi.nih.gov/Databases/mpkFractions/proteomic_fractions_log_files/Yang_log_img/340007375.jpg","show blot")</f>
        <v>show blot</v>
      </c>
      <c r="H691" s="8" t="str">
        <f>HYPERLINK("https://esbl.nhlbi.nih.gov/Databases/mpkFractions/proteomic_fractions_linear_files/Yang_linear_img/340007375.jpg","show blot")</f>
        <v>show blot</v>
      </c>
      <c r="J691" s="5" t="s">
        <v>1378</v>
      </c>
      <c r="L691" s="11">
        <v>4.246781406092726</v>
      </c>
      <c r="N691" s="12"/>
    </row>
    <row r="692" spans="1:14" s="5" customFormat="1" ht="15" customHeight="1" x14ac:dyDescent="0.25">
      <c r="A692" s="9" t="s">
        <v>1379</v>
      </c>
      <c r="C692" s="9" t="str">
        <f>HYPERLINK("http://www.ncbi.nlm.nih.gov/protein/340007377","Atp6v0a1")</f>
        <v>Atp6v0a1</v>
      </c>
      <c r="D692" s="10">
        <f t="shared" si="10"/>
        <v>4.246781406092726</v>
      </c>
      <c r="F692" s="8" t="str">
        <f>HYPERLINK("https://esbl.nhlbi.nih.gov/Databases/mpkFractions/proteomic_fractions_log_files/Yang_log_img/340007377.jpg","show blot")</f>
        <v>show blot</v>
      </c>
      <c r="H692" s="8" t="str">
        <f>HYPERLINK("https://esbl.nhlbi.nih.gov/Databases/mpkFractions/proteomic_fractions_linear_files/Yang_linear_img/340007377.jpg","show blot")</f>
        <v>show blot</v>
      </c>
      <c r="J692" s="5" t="s">
        <v>1380</v>
      </c>
      <c r="L692" s="11">
        <v>4.246781406092726</v>
      </c>
      <c r="N692" s="12"/>
    </row>
    <row r="693" spans="1:14" s="5" customFormat="1" ht="15" customHeight="1" x14ac:dyDescent="0.25">
      <c r="A693" s="9" t="s">
        <v>1381</v>
      </c>
      <c r="C693" s="9" t="str">
        <f>HYPERLINK("http://www.ncbi.nlm.nih.gov/protein/340007379","Atp6v0a1")</f>
        <v>Atp6v0a1</v>
      </c>
      <c r="D693" s="10">
        <f t="shared" si="10"/>
        <v>4.246781406092726</v>
      </c>
      <c r="F693" s="8" t="str">
        <f>HYPERLINK("https://esbl.nhlbi.nih.gov/Databases/mpkFractions/proteomic_fractions_log_files/Yang_log_img/340007379.jpg","show blot")</f>
        <v>show blot</v>
      </c>
      <c r="H693" s="8" t="str">
        <f>HYPERLINK("https://esbl.nhlbi.nih.gov/Databases/mpkFractions/proteomic_fractions_linear_files/Yang_linear_img/340007379.jpg","show blot")</f>
        <v>show blot</v>
      </c>
      <c r="J693" s="5" t="s">
        <v>1382</v>
      </c>
      <c r="L693" s="11">
        <v>4.246781406092726</v>
      </c>
      <c r="N693" s="12"/>
    </row>
    <row r="694" spans="1:14" s="5" customFormat="1" ht="15" customHeight="1" x14ac:dyDescent="0.25">
      <c r="A694" s="9" t="s">
        <v>1383</v>
      </c>
      <c r="C694" s="9" t="str">
        <f>HYPERLINK("http://www.ncbi.nlm.nih.gov/protein/83627707","Atp6v0a2")</f>
        <v>Atp6v0a2</v>
      </c>
      <c r="D694" s="10">
        <f t="shared" si="10"/>
        <v>4.085545689716275</v>
      </c>
      <c r="F694" s="8" t="str">
        <f>HYPERLINK("https://esbl.nhlbi.nih.gov/Databases/mpkFractions/proteomic_fractions_log_files/Yang_log_img/83627707.jpg","show blot")</f>
        <v>show blot</v>
      </c>
      <c r="H694" s="8" t="str">
        <f>HYPERLINK("https://esbl.nhlbi.nih.gov/Databases/mpkFractions/proteomic_fractions_linear_files/Yang_linear_img/83627707.jpg","show blot")</f>
        <v>show blot</v>
      </c>
      <c r="J694" s="5" t="s">
        <v>1384</v>
      </c>
      <c r="L694" s="11">
        <v>4.085545689716275</v>
      </c>
      <c r="N694" s="12"/>
    </row>
    <row r="695" spans="1:14" s="5" customFormat="1" ht="15" customHeight="1" x14ac:dyDescent="0.25">
      <c r="A695" s="9" t="s">
        <v>1385</v>
      </c>
      <c r="C695" s="9" t="str">
        <f>HYPERLINK("http://www.ncbi.nlm.nih.gov/protein/171543866","Atp6v0a4")</f>
        <v>Atp6v0a4</v>
      </c>
      <c r="D695" s="10">
        <f t="shared" si="10"/>
        <v>3.186584628907259</v>
      </c>
      <c r="F695" s="8" t="str">
        <f>HYPERLINK("https://esbl.nhlbi.nih.gov/Databases/mpkFractions/proteomic_fractions_log_files/Yang_log_img/171543866.jpg","show blot")</f>
        <v>show blot</v>
      </c>
      <c r="H695" s="8" t="str">
        <f>HYPERLINK("https://esbl.nhlbi.nih.gov/Databases/mpkFractions/proteomic_fractions_linear_files/Yang_linear_img/171543866.jpg","show blot")</f>
        <v>show blot</v>
      </c>
      <c r="J695" s="5" t="s">
        <v>1386</v>
      </c>
      <c r="L695" s="11">
        <v>3.186584628907259</v>
      </c>
      <c r="N695" s="12"/>
    </row>
    <row r="696" spans="1:14" s="5" customFormat="1" ht="15" customHeight="1" x14ac:dyDescent="0.25">
      <c r="A696" s="9" t="s">
        <v>1387</v>
      </c>
      <c r="C696" s="9" t="str">
        <f>HYPERLINK("http://www.ncbi.nlm.nih.gov/protein/6753144","Atp6v0c")</f>
        <v>Atp6v0c</v>
      </c>
      <c r="D696" s="10">
        <f t="shared" si="10"/>
        <v>5.543840076716374</v>
      </c>
      <c r="F696" s="8" t="str">
        <f>HYPERLINK("https://esbl.nhlbi.nih.gov/Databases/mpkFractions/proteomic_fractions_log_files/Yang_log_img/6753144.jpg","show blot")</f>
        <v>show blot</v>
      </c>
      <c r="H696" s="8" t="str">
        <f>HYPERLINK("https://esbl.nhlbi.nih.gov/Databases/mpkFractions/proteomic_fractions_linear_files/Yang_linear_img/6753144.jpg","show blot")</f>
        <v>show blot</v>
      </c>
      <c r="J696" s="5" t="s">
        <v>1388</v>
      </c>
      <c r="L696" s="11">
        <v>5.543840076716374</v>
      </c>
      <c r="N696" s="12"/>
    </row>
    <row r="697" spans="1:14" s="5" customFormat="1" ht="15" customHeight="1" x14ac:dyDescent="0.25">
      <c r="A697" s="9" t="s">
        <v>1389</v>
      </c>
      <c r="C697" s="9" t="str">
        <f>HYPERLINK("http://www.ncbi.nlm.nih.gov/protein/31981304","Atp6v0d1")</f>
        <v>Atp6v0d1</v>
      </c>
      <c r="D697" s="10">
        <f t="shared" si="10"/>
        <v>5.5808481921351971</v>
      </c>
      <c r="F697" s="8" t="str">
        <f>HYPERLINK("https://esbl.nhlbi.nih.gov/Databases/mpkFractions/proteomic_fractions_log_files/Yang_log_img/31981304.jpg","show blot")</f>
        <v>show blot</v>
      </c>
      <c r="H697" s="8" t="str">
        <f>HYPERLINK("https://esbl.nhlbi.nih.gov/Databases/mpkFractions/proteomic_fractions_linear_files/Yang_linear_img/31981304.jpg","show blot")</f>
        <v>show blot</v>
      </c>
      <c r="J697" s="5" t="s">
        <v>1390</v>
      </c>
      <c r="L697" s="11">
        <v>5.5808481921351971</v>
      </c>
      <c r="N697" s="12"/>
    </row>
    <row r="698" spans="1:14" s="5" customFormat="1" ht="15" customHeight="1" x14ac:dyDescent="0.25">
      <c r="A698" s="9" t="s">
        <v>1391</v>
      </c>
      <c r="C698" s="9" t="str">
        <f>HYPERLINK("http://www.ncbi.nlm.nih.gov/protein/31560731","Atp6v1a")</f>
        <v>Atp6v1a</v>
      </c>
      <c r="D698" s="10">
        <f t="shared" si="10"/>
        <v>6.0126520118803937</v>
      </c>
      <c r="F698" s="8" t="str">
        <f>HYPERLINK("https://esbl.nhlbi.nih.gov/Databases/mpkFractions/proteomic_fractions_log_files/Yang_log_img/31560731.jpg","show blot")</f>
        <v>show blot</v>
      </c>
      <c r="H698" s="8" t="str">
        <f>HYPERLINK("https://esbl.nhlbi.nih.gov/Databases/mpkFractions/proteomic_fractions_linear_files/Yang_linear_img/31560731.jpg","show blot")</f>
        <v>show blot</v>
      </c>
      <c r="J698" s="5" t="s">
        <v>1392</v>
      </c>
      <c r="L698" s="11">
        <v>6.0126520118803937</v>
      </c>
      <c r="N698" s="12"/>
    </row>
    <row r="699" spans="1:14" s="5" customFormat="1" ht="15" customHeight="1" x14ac:dyDescent="0.25">
      <c r="A699" s="9" t="s">
        <v>1393</v>
      </c>
      <c r="C699" s="9" t="str">
        <f>HYPERLINK("http://www.ncbi.nlm.nih.gov/protein/19527064","Atp6v1b1")</f>
        <v>Atp6v1b1</v>
      </c>
      <c r="D699" s="10">
        <f t="shared" si="10"/>
        <v>5.6190274607406394</v>
      </c>
      <c r="F699" s="8" t="str">
        <f>HYPERLINK("https://esbl.nhlbi.nih.gov/Databases/mpkFractions/proteomic_fractions_log_files/Yang_log_img/19527064.jpg","show blot")</f>
        <v>show blot</v>
      </c>
      <c r="H699" s="8" t="str">
        <f>HYPERLINK("https://esbl.nhlbi.nih.gov/Databases/mpkFractions/proteomic_fractions_linear_files/Yang_linear_img/19527064.jpg","show blot")</f>
        <v>show blot</v>
      </c>
      <c r="J699" s="5" t="s">
        <v>1394</v>
      </c>
      <c r="L699" s="11">
        <v>5.6190274607406394</v>
      </c>
      <c r="N699" s="12"/>
    </row>
    <row r="700" spans="1:14" s="5" customFormat="1" ht="15" customHeight="1" x14ac:dyDescent="0.25">
      <c r="A700" s="9" t="s">
        <v>1395</v>
      </c>
      <c r="C700" s="9" t="str">
        <f>HYPERLINK("http://www.ncbi.nlm.nih.gov/protein/19705578","Atp6v1b2")</f>
        <v>Atp6v1b2</v>
      </c>
      <c r="D700" s="10">
        <f t="shared" si="10"/>
        <v>5.9020955492637288</v>
      </c>
      <c r="F700" s="8" t="str">
        <f>HYPERLINK("https://esbl.nhlbi.nih.gov/Databases/mpkFractions/proteomic_fractions_log_files/Yang_log_img/19705578.jpg","show blot")</f>
        <v>show blot</v>
      </c>
      <c r="H700" s="8" t="str">
        <f>HYPERLINK("https://esbl.nhlbi.nih.gov/Databases/mpkFractions/proteomic_fractions_linear_files/Yang_linear_img/19705578.jpg","show blot")</f>
        <v>show blot</v>
      </c>
      <c r="J700" s="5" t="s">
        <v>1396</v>
      </c>
      <c r="L700" s="11">
        <v>5.9020955492637288</v>
      </c>
      <c r="N700" s="12"/>
    </row>
    <row r="701" spans="1:14" s="5" customFormat="1" ht="15" customHeight="1" x14ac:dyDescent="0.25">
      <c r="A701" s="9" t="s">
        <v>1397</v>
      </c>
      <c r="C701" s="9" t="str">
        <f>HYPERLINK("http://www.ncbi.nlm.nih.gov/protein/189339262","Atp6v1c1")</f>
        <v>Atp6v1c1</v>
      </c>
      <c r="D701" s="10">
        <f t="shared" si="10"/>
        <v>5.6050836803150572</v>
      </c>
      <c r="F701" s="8" t="str">
        <f>HYPERLINK("https://esbl.nhlbi.nih.gov/Databases/mpkFractions/proteomic_fractions_log_files/Yang_log_img/189339262.jpg","show blot")</f>
        <v>show blot</v>
      </c>
      <c r="H701" s="8" t="str">
        <f>HYPERLINK("https://esbl.nhlbi.nih.gov/Databases/mpkFractions/proteomic_fractions_linear_files/Yang_linear_img/189339262.jpg","show blot")</f>
        <v>show blot</v>
      </c>
      <c r="J701" s="5" t="s">
        <v>1398</v>
      </c>
      <c r="L701" s="11">
        <v>5.6050836803150572</v>
      </c>
      <c r="N701" s="12"/>
    </row>
    <row r="702" spans="1:14" s="5" customFormat="1" ht="15" customHeight="1" x14ac:dyDescent="0.25">
      <c r="A702" s="9" t="s">
        <v>1399</v>
      </c>
      <c r="C702" s="9" t="str">
        <f>HYPERLINK("http://www.ncbi.nlm.nih.gov/protein/19526870","Atp6v1c2")</f>
        <v>Atp6v1c2</v>
      </c>
      <c r="D702" s="10">
        <f t="shared" si="10"/>
        <v>3.6448979173603679</v>
      </c>
      <c r="F702" s="8" t="str">
        <f>HYPERLINK("https://esbl.nhlbi.nih.gov/Databases/mpkFractions/proteomic_fractions_log_files/Yang_log_img/19526870.jpg","show blot")</f>
        <v>show blot</v>
      </c>
      <c r="H702" s="8" t="str">
        <f>HYPERLINK("https://esbl.nhlbi.nih.gov/Databases/mpkFractions/proteomic_fractions_linear_files/Yang_linear_img/19526870.jpg","show blot")</f>
        <v>show blot</v>
      </c>
      <c r="J702" s="5" t="s">
        <v>1400</v>
      </c>
      <c r="L702" s="11">
        <v>3.6448979173603679</v>
      </c>
      <c r="N702" s="12"/>
    </row>
    <row r="703" spans="1:14" s="5" customFormat="1" ht="15" customHeight="1" x14ac:dyDescent="0.25">
      <c r="A703" s="9" t="s">
        <v>1401</v>
      </c>
      <c r="C703" s="9" t="str">
        <f>HYPERLINK("http://www.ncbi.nlm.nih.gov/protein/227499977","Atp6v1c2")</f>
        <v>Atp6v1c2</v>
      </c>
      <c r="D703" s="10">
        <f t="shared" si="10"/>
        <v>3.6448979173603679</v>
      </c>
      <c r="F703" s="8" t="str">
        <f>HYPERLINK("https://esbl.nhlbi.nih.gov/Databases/mpkFractions/proteomic_fractions_log_files/Yang_log_img/227499977.jpg","show blot")</f>
        <v>show blot</v>
      </c>
      <c r="H703" s="8" t="str">
        <f>HYPERLINK("https://esbl.nhlbi.nih.gov/Databases/mpkFractions/proteomic_fractions_linear_files/Yang_linear_img/227499977.jpg","show blot")</f>
        <v>show blot</v>
      </c>
      <c r="J703" s="5" t="s">
        <v>1402</v>
      </c>
      <c r="L703" s="11">
        <v>3.6448979173603679</v>
      </c>
      <c r="N703" s="12"/>
    </row>
    <row r="704" spans="1:14" s="5" customFormat="1" ht="15" customHeight="1" x14ac:dyDescent="0.25">
      <c r="A704" s="9" t="s">
        <v>1403</v>
      </c>
      <c r="C704" s="9" t="str">
        <f>HYPERLINK("http://www.ncbi.nlm.nih.gov/protein/12963799","Atp6v1d")</f>
        <v>Atp6v1d</v>
      </c>
      <c r="D704" s="10">
        <f t="shared" si="10"/>
        <v>5.3329184066191164</v>
      </c>
      <c r="F704" s="8" t="str">
        <f>HYPERLINK("https://esbl.nhlbi.nih.gov/Databases/mpkFractions/proteomic_fractions_log_files/Yang_log_img/12963799.jpg","show blot")</f>
        <v>show blot</v>
      </c>
      <c r="H704" s="8" t="str">
        <f>HYPERLINK("https://esbl.nhlbi.nih.gov/Databases/mpkFractions/proteomic_fractions_linear_files/Yang_linear_img/12963799.jpg","show blot")</f>
        <v>show blot</v>
      </c>
      <c r="J704" s="5" t="s">
        <v>1404</v>
      </c>
      <c r="L704" s="11">
        <v>5.3329184066191164</v>
      </c>
      <c r="N704" s="12"/>
    </row>
    <row r="705" spans="1:14" s="5" customFormat="1" ht="15" customHeight="1" x14ac:dyDescent="0.25">
      <c r="A705" s="9" t="s">
        <v>1405</v>
      </c>
      <c r="C705" s="9" t="str">
        <f>HYPERLINK("http://www.ncbi.nlm.nih.gov/protein/45504359","Atp6v1e1")</f>
        <v>Atp6v1e1</v>
      </c>
      <c r="D705" s="10">
        <f t="shared" si="10"/>
        <v>5.7372180911119752</v>
      </c>
      <c r="F705" s="8" t="str">
        <f>HYPERLINK("https://esbl.nhlbi.nih.gov/Databases/mpkFractions/proteomic_fractions_log_files/Yang_log_img/45504359.jpg","show blot")</f>
        <v>show blot</v>
      </c>
      <c r="H705" s="8" t="str">
        <f>HYPERLINK("https://esbl.nhlbi.nih.gov/Databases/mpkFractions/proteomic_fractions_linear_files/Yang_linear_img/45504359.jpg","show blot")</f>
        <v>show blot</v>
      </c>
      <c r="J705" s="5" t="s">
        <v>1406</v>
      </c>
      <c r="L705" s="11">
        <v>5.7372180911119752</v>
      </c>
      <c r="N705" s="12"/>
    </row>
    <row r="706" spans="1:14" s="5" customFormat="1" ht="15" customHeight="1" x14ac:dyDescent="0.25">
      <c r="A706" s="9" t="s">
        <v>1407</v>
      </c>
      <c r="C706" s="9" t="str">
        <f>HYPERLINK("http://www.ncbi.nlm.nih.gov/protein/254911018","Atp6v1e2")</f>
        <v>Atp6v1e2</v>
      </c>
      <c r="D706" s="10">
        <f t="shared" si="10"/>
        <v>4.6975440891755422</v>
      </c>
      <c r="F706" s="8" t="str">
        <f>HYPERLINK("https://esbl.nhlbi.nih.gov/Databases/mpkFractions/proteomic_fractions_log_files/Yang_log_img/254911018.jpg","show blot")</f>
        <v>show blot</v>
      </c>
      <c r="H706" s="8" t="str">
        <f>HYPERLINK("https://esbl.nhlbi.nih.gov/Databases/mpkFractions/proteomic_fractions_linear_files/Yang_linear_img/254911018.jpg","show blot")</f>
        <v>show blot</v>
      </c>
      <c r="J706" s="5" t="s">
        <v>1408</v>
      </c>
      <c r="L706" s="11">
        <v>4.6975440891755422</v>
      </c>
      <c r="N706" s="12"/>
    </row>
    <row r="707" spans="1:14" s="5" customFormat="1" ht="15" customHeight="1" x14ac:dyDescent="0.25">
      <c r="A707" s="9" t="s">
        <v>1409</v>
      </c>
      <c r="C707" s="9" t="str">
        <f>HYPERLINK("http://www.ncbi.nlm.nih.gov/protein/21314824","Atp6v1f")</f>
        <v>Atp6v1f</v>
      </c>
      <c r="D707" s="10">
        <f t="shared" si="10"/>
        <v>4.8783261917767584</v>
      </c>
      <c r="F707" s="8" t="str">
        <f>HYPERLINK("https://esbl.nhlbi.nih.gov/Databases/mpkFractions/proteomic_fractions_log_files/Yang_log_img/21314824.jpg","show blot")</f>
        <v>show blot</v>
      </c>
      <c r="H707" s="8" t="str">
        <f>HYPERLINK("https://esbl.nhlbi.nih.gov/Databases/mpkFractions/proteomic_fractions_linear_files/Yang_linear_img/21314824.jpg","show blot")</f>
        <v>show blot</v>
      </c>
      <c r="J707" s="5" t="s">
        <v>1410</v>
      </c>
      <c r="L707" s="11">
        <v>4.8783261917767584</v>
      </c>
      <c r="N707" s="12"/>
    </row>
    <row r="708" spans="1:14" s="5" customFormat="1" ht="15" customHeight="1" x14ac:dyDescent="0.25">
      <c r="A708" s="9" t="s">
        <v>1411</v>
      </c>
      <c r="C708" s="9" t="str">
        <f>HYPERLINK("http://www.ncbi.nlm.nih.gov/protein/15617197","Atp6v1g1")</f>
        <v>Atp6v1g1</v>
      </c>
      <c r="D708" s="10">
        <f t="shared" si="10"/>
        <v>5.340199666216634</v>
      </c>
      <c r="F708" s="8" t="str">
        <f>HYPERLINK("https://esbl.nhlbi.nih.gov/Databases/mpkFractions/proteomic_fractions_log_files/Yang_log_img/15617197.jpg","show blot")</f>
        <v>show blot</v>
      </c>
      <c r="H708" s="8" t="str">
        <f>HYPERLINK("https://esbl.nhlbi.nih.gov/Databases/mpkFractions/proteomic_fractions_linear_files/Yang_linear_img/15617197.jpg","show blot")</f>
        <v>show blot</v>
      </c>
      <c r="J708" s="5" t="s">
        <v>1412</v>
      </c>
      <c r="L708" s="11">
        <v>5.340199666216634</v>
      </c>
      <c r="N708" s="12"/>
    </row>
    <row r="709" spans="1:14" s="5" customFormat="1" ht="15" customHeight="1" x14ac:dyDescent="0.25">
      <c r="A709" s="9" t="s">
        <v>1413</v>
      </c>
      <c r="C709" s="9" t="str">
        <f>HYPERLINK("http://www.ncbi.nlm.nih.gov/protein/31981588","Atp6v1h")</f>
        <v>Atp6v1h</v>
      </c>
      <c r="D709" s="10">
        <f t="shared" ref="D709:D772" si="11">L709</f>
        <v>5.105770449479393</v>
      </c>
      <c r="F709" s="8" t="str">
        <f>HYPERLINK("https://esbl.nhlbi.nih.gov/Databases/mpkFractions/proteomic_fractions_log_files/Yang_log_img/31981588.jpg","show blot")</f>
        <v>show blot</v>
      </c>
      <c r="H709" s="8" t="str">
        <f>HYPERLINK("https://esbl.nhlbi.nih.gov/Databases/mpkFractions/proteomic_fractions_linear_files/Yang_linear_img/31981588.jpg","show blot")</f>
        <v>show blot</v>
      </c>
      <c r="J709" s="5" t="s">
        <v>1414</v>
      </c>
      <c r="L709" s="11">
        <v>5.105770449479393</v>
      </c>
      <c r="N709" s="12"/>
    </row>
    <row r="710" spans="1:14" s="5" customFormat="1" ht="15" customHeight="1" x14ac:dyDescent="0.25">
      <c r="A710" s="9" t="s">
        <v>1415</v>
      </c>
      <c r="C710" s="9" t="str">
        <f>HYPERLINK("http://www.ncbi.nlm.nih.gov/protein/157951680","Atp7a")</f>
        <v>Atp7a</v>
      </c>
      <c r="D710" s="10">
        <f t="shared" si="11"/>
        <v>2.632360743127832</v>
      </c>
      <c r="F710" s="8" t="str">
        <f>HYPERLINK("https://esbl.nhlbi.nih.gov/Databases/mpkFractions/proteomic_fractions_log_files/Yang_log_img/157951680.jpg","show blot")</f>
        <v>show blot</v>
      </c>
      <c r="H710" s="8" t="str">
        <f>HYPERLINK("https://esbl.nhlbi.nih.gov/Databases/mpkFractions/proteomic_fractions_linear_files/Yang_linear_img/157951680.jpg","show blot")</f>
        <v>show blot</v>
      </c>
      <c r="J710" s="5" t="s">
        <v>1416</v>
      </c>
      <c r="L710" s="11">
        <v>2.632360743127832</v>
      </c>
      <c r="N710" s="12"/>
    </row>
    <row r="711" spans="1:14" s="5" customFormat="1" ht="15" customHeight="1" x14ac:dyDescent="0.25">
      <c r="A711" s="9" t="s">
        <v>1417</v>
      </c>
      <c r="C711" s="9" t="str">
        <f>HYPERLINK("http://www.ncbi.nlm.nih.gov/protein/157951682","Atp7a")</f>
        <v>Atp7a</v>
      </c>
      <c r="D711" s="10">
        <f t="shared" si="11"/>
        <v>2.632360743127832</v>
      </c>
      <c r="F711" s="8" t="str">
        <f>HYPERLINK("https://esbl.nhlbi.nih.gov/Databases/mpkFractions/proteomic_fractions_log_files/Yang_log_img/157951682.jpg","show blot")</f>
        <v>show blot</v>
      </c>
      <c r="H711" s="8" t="str">
        <f>HYPERLINK("https://esbl.nhlbi.nih.gov/Databases/mpkFractions/proteomic_fractions_linear_files/Yang_linear_img/157951682.jpg","show blot")</f>
        <v>show blot</v>
      </c>
      <c r="J711" s="5" t="s">
        <v>1418</v>
      </c>
      <c r="L711" s="11">
        <v>2.632360743127832</v>
      </c>
      <c r="N711" s="12"/>
    </row>
    <row r="712" spans="1:14" s="5" customFormat="1" ht="15" customHeight="1" x14ac:dyDescent="0.25">
      <c r="A712" s="9" t="s">
        <v>1419</v>
      </c>
      <c r="C712" s="9" t="str">
        <f>HYPERLINK("http://www.ncbi.nlm.nih.gov/protein/167716841","ATP8")</f>
        <v>ATP8</v>
      </c>
      <c r="D712" s="10">
        <f t="shared" si="11"/>
        <v>5.5408091213294037</v>
      </c>
      <c r="F712" s="8" t="str">
        <f>HYPERLINK("https://esbl.nhlbi.nih.gov/Databases/mpkFractions/proteomic_fractions_log_files/Yang_log_img/167716841.jpg","show blot")</f>
        <v>show blot</v>
      </c>
      <c r="H712" s="8" t="str">
        <f>HYPERLINK("https://esbl.nhlbi.nih.gov/Databases/mpkFractions/proteomic_fractions_linear_files/Yang_linear_img/167716841.jpg","show blot")</f>
        <v>show blot</v>
      </c>
      <c r="J712" s="5" t="s">
        <v>1420</v>
      </c>
      <c r="L712" s="11">
        <v>5.5408091213294037</v>
      </c>
      <c r="N712" s="12"/>
    </row>
    <row r="713" spans="1:14" s="5" customFormat="1" ht="15" customHeight="1" x14ac:dyDescent="0.25">
      <c r="A713" s="9" t="s">
        <v>1421</v>
      </c>
      <c r="C713" s="9" t="str">
        <f>HYPERLINK("http://www.ncbi.nlm.nih.gov/protein/34538602","ATP8")</f>
        <v>ATP8</v>
      </c>
      <c r="D713" s="10">
        <f t="shared" si="11"/>
        <v>5.5408091213294037</v>
      </c>
      <c r="F713" s="8" t="str">
        <f>HYPERLINK("https://esbl.nhlbi.nih.gov/Databases/mpkFractions/proteomic_fractions_log_files/Yang_log_img/34538602.jpg","show blot")</f>
        <v>show blot</v>
      </c>
      <c r="H713" s="8" t="str">
        <f>HYPERLINK("https://esbl.nhlbi.nih.gov/Databases/mpkFractions/proteomic_fractions_linear_files/Yang_linear_img/34538602.jpg","show blot")</f>
        <v>show blot</v>
      </c>
      <c r="J713" s="5" t="s">
        <v>1422</v>
      </c>
      <c r="L713" s="11">
        <v>5.5408091213294037</v>
      </c>
      <c r="N713" s="12"/>
    </row>
    <row r="714" spans="1:14" s="5" customFormat="1" ht="15" customHeight="1" x14ac:dyDescent="0.25">
      <c r="A714" s="9" t="s">
        <v>1423</v>
      </c>
      <c r="C714" s="9" t="str">
        <f>HYPERLINK("http://www.ncbi.nlm.nih.gov/protein/7656912","Atp8a2")</f>
        <v>Atp8a2</v>
      </c>
      <c r="D714" s="10">
        <f t="shared" si="11"/>
        <v>2.9837452306814831</v>
      </c>
      <c r="F714" s="8" t="str">
        <f>HYPERLINK("https://esbl.nhlbi.nih.gov/Databases/mpkFractions/proteomic_fractions_log_files/Yang_log_img/7656912.jpg","show blot")</f>
        <v>show blot</v>
      </c>
      <c r="H714" s="8" t="str">
        <f>HYPERLINK("https://esbl.nhlbi.nih.gov/Databases/mpkFractions/proteomic_fractions_linear_files/Yang_linear_img/7656912.jpg","show blot")</f>
        <v>show blot</v>
      </c>
      <c r="J714" s="5" t="s">
        <v>1424</v>
      </c>
      <c r="L714" s="11">
        <v>2.9837452306814831</v>
      </c>
      <c r="N714" s="12"/>
    </row>
    <row r="715" spans="1:14" s="5" customFormat="1" ht="15" customHeight="1" x14ac:dyDescent="0.25">
      <c r="A715" s="9" t="s">
        <v>1425</v>
      </c>
      <c r="C715" s="9" t="str">
        <f>HYPERLINK("http://www.ncbi.nlm.nih.gov/protein/80861460","Atp8b1")</f>
        <v>Atp8b1</v>
      </c>
      <c r="D715" s="10">
        <f t="shared" si="11"/>
        <v>1.434147355805431</v>
      </c>
      <c r="F715" s="8" t="str">
        <f>HYPERLINK("https://esbl.nhlbi.nih.gov/Databases/mpkFractions/proteomic_fractions_log_files/Yang_log_img/80861460.jpg","show blot")</f>
        <v>show blot</v>
      </c>
      <c r="H715" s="8" t="str">
        <f>HYPERLINK("https://esbl.nhlbi.nih.gov/Databases/mpkFractions/proteomic_fractions_linear_files/Yang_linear_img/80861460.jpg","show blot")</f>
        <v>show blot</v>
      </c>
      <c r="J715" s="5" t="s">
        <v>1426</v>
      </c>
      <c r="L715" s="11">
        <v>1.434147355805431</v>
      </c>
      <c r="N715" s="12"/>
    </row>
    <row r="716" spans="1:14" s="5" customFormat="1" ht="15" customHeight="1" x14ac:dyDescent="0.25">
      <c r="A716" s="9" t="s">
        <v>1427</v>
      </c>
      <c r="C716" s="9" t="str">
        <f>HYPERLINK("http://www.ncbi.nlm.nih.gov/protein/46358405","Atp8b3")</f>
        <v>Atp8b3</v>
      </c>
      <c r="D716" s="10">
        <f t="shared" si="11"/>
        <v>1.4106662599559081</v>
      </c>
      <c r="F716" s="8" t="str">
        <f>HYPERLINK("https://esbl.nhlbi.nih.gov/Databases/mpkFractions/proteomic_fractions_log_files/Yang_log_img/46358405.jpg","show blot")</f>
        <v>show blot</v>
      </c>
      <c r="H716" s="8" t="str">
        <f>HYPERLINK("https://esbl.nhlbi.nih.gov/Databases/mpkFractions/proteomic_fractions_linear_files/Yang_linear_img/46358405.jpg","show blot")</f>
        <v>show blot</v>
      </c>
      <c r="J716" s="5" t="s">
        <v>1428</v>
      </c>
      <c r="L716" s="11">
        <v>1.4106662599559081</v>
      </c>
      <c r="N716" s="12"/>
    </row>
    <row r="717" spans="1:14" s="5" customFormat="1" ht="15" customHeight="1" x14ac:dyDescent="0.25">
      <c r="A717" s="9" t="s">
        <v>1429</v>
      </c>
      <c r="C717" s="9" t="str">
        <f>HYPERLINK("http://www.ncbi.nlm.nih.gov/protein/157671921","Atp8b4")</f>
        <v>Atp8b4</v>
      </c>
      <c r="D717" s="10">
        <f t="shared" si="11"/>
        <v>1.462176079405674</v>
      </c>
      <c r="F717" s="8" t="str">
        <f>HYPERLINK("https://esbl.nhlbi.nih.gov/Databases/mpkFractions/proteomic_fractions_log_files/Yang_log_img/157671921.jpg","show blot")</f>
        <v>show blot</v>
      </c>
      <c r="H717" s="8" t="str">
        <f>HYPERLINK("https://esbl.nhlbi.nih.gov/Databases/mpkFractions/proteomic_fractions_linear_files/Yang_linear_img/157671921.jpg","show blot")</f>
        <v>show blot</v>
      </c>
      <c r="J717" s="5" t="s">
        <v>1430</v>
      </c>
      <c r="L717" s="11">
        <v>1.462176079405674</v>
      </c>
      <c r="N717" s="12"/>
    </row>
    <row r="718" spans="1:14" s="5" customFormat="1" ht="15" customHeight="1" x14ac:dyDescent="0.25">
      <c r="A718" s="9" t="s">
        <v>1431</v>
      </c>
      <c r="C718" s="9" t="str">
        <f>HYPERLINK("http://www.ncbi.nlm.nih.gov/protein/40795674","Atp9a")</f>
        <v>Atp9a</v>
      </c>
      <c r="D718" s="10">
        <f t="shared" si="11"/>
        <v>3.287498080568509</v>
      </c>
      <c r="F718" s="8" t="str">
        <f>HYPERLINK("https://esbl.nhlbi.nih.gov/Databases/mpkFractions/proteomic_fractions_log_files/Yang_log_img/40795674.jpg","show blot")</f>
        <v>show blot</v>
      </c>
      <c r="H718" s="8" t="str">
        <f>HYPERLINK("https://esbl.nhlbi.nih.gov/Databases/mpkFractions/proteomic_fractions_linear_files/Yang_linear_img/40795674.jpg","show blot")</f>
        <v>show blot</v>
      </c>
      <c r="J718" s="5" t="s">
        <v>1432</v>
      </c>
      <c r="L718" s="11">
        <v>3.287498080568509</v>
      </c>
      <c r="N718" s="12"/>
    </row>
    <row r="719" spans="1:14" s="5" customFormat="1" ht="15" customHeight="1" x14ac:dyDescent="0.25">
      <c r="A719" s="9" t="s">
        <v>1433</v>
      </c>
      <c r="C719" s="9" t="str">
        <f>HYPERLINK("http://www.ncbi.nlm.nih.gov/protein/320089590","Atp9b")</f>
        <v>Atp9b</v>
      </c>
      <c r="D719" s="10">
        <f t="shared" si="11"/>
        <v>2.553200113890747</v>
      </c>
      <c r="F719" s="8" t="str">
        <f>HYPERLINK("https://esbl.nhlbi.nih.gov/Databases/mpkFractions/proteomic_fractions_log_files/Yang_log_img/320089590.jpg","show blot")</f>
        <v>show blot</v>
      </c>
      <c r="H719" s="8" t="str">
        <f>HYPERLINK("https://esbl.nhlbi.nih.gov/Databases/mpkFractions/proteomic_fractions_linear_files/Yang_linear_img/320089590.jpg","show blot")</f>
        <v>show blot</v>
      </c>
      <c r="J719" s="5" t="s">
        <v>1434</v>
      </c>
      <c r="L719" s="11">
        <v>2.553200113890747</v>
      </c>
      <c r="N719" s="12"/>
    </row>
    <row r="720" spans="1:14" s="5" customFormat="1" ht="15" customHeight="1" x14ac:dyDescent="0.25">
      <c r="A720" s="9" t="s">
        <v>1435</v>
      </c>
      <c r="C720" s="9" t="str">
        <f>HYPERLINK("http://www.ncbi.nlm.nih.gov/protein/40807502","Atp9b")</f>
        <v>Atp9b</v>
      </c>
      <c r="D720" s="10">
        <f t="shared" si="11"/>
        <v>2.553200113890747</v>
      </c>
      <c r="F720" s="8" t="str">
        <f>HYPERLINK("https://esbl.nhlbi.nih.gov/Databases/mpkFractions/proteomic_fractions_log_files/Yang_log_img/40807502.jpg","show blot")</f>
        <v>show blot</v>
      </c>
      <c r="H720" s="8" t="str">
        <f>HYPERLINK("https://esbl.nhlbi.nih.gov/Databases/mpkFractions/proteomic_fractions_linear_files/Yang_linear_img/40807502.jpg","show blot")</f>
        <v>show blot</v>
      </c>
      <c r="J720" s="5" t="s">
        <v>1436</v>
      </c>
      <c r="L720" s="11">
        <v>2.553200113890747</v>
      </c>
      <c r="N720" s="12"/>
    </row>
    <row r="721" spans="1:14" s="5" customFormat="1" ht="15" customHeight="1" x14ac:dyDescent="0.25">
      <c r="A721" s="9" t="s">
        <v>1437</v>
      </c>
      <c r="C721" s="9" t="str">
        <f>HYPERLINK("http://www.ncbi.nlm.nih.gov/protein/344925843","Atpaf1")</f>
        <v>Atpaf1</v>
      </c>
      <c r="D721" s="10">
        <f t="shared" si="11"/>
        <v>3.495110317014595</v>
      </c>
      <c r="F721" s="8" t="str">
        <f>HYPERLINK("https://esbl.nhlbi.nih.gov/Databases/mpkFractions/proteomic_fractions_log_files/Yang_log_img/344925843.jpg","show blot")</f>
        <v>show blot</v>
      </c>
      <c r="H721" s="8" t="str">
        <f>HYPERLINK("https://esbl.nhlbi.nih.gov/Databases/mpkFractions/proteomic_fractions_linear_files/Yang_linear_img/344925843.jpg","show blot")</f>
        <v>show blot</v>
      </c>
      <c r="J721" s="5" t="s">
        <v>1438</v>
      </c>
      <c r="L721" s="11">
        <v>3.495110317014595</v>
      </c>
      <c r="N721" s="12"/>
    </row>
    <row r="722" spans="1:14" s="5" customFormat="1" ht="15" customHeight="1" x14ac:dyDescent="0.25">
      <c r="A722" s="9" t="s">
        <v>1439</v>
      </c>
      <c r="C722" s="9" t="str">
        <f>HYPERLINK("http://www.ncbi.nlm.nih.gov/protein/238776839","Atpaf2")</f>
        <v>Atpaf2</v>
      </c>
      <c r="D722" s="10">
        <f t="shared" si="11"/>
        <v>4.3565211313623928</v>
      </c>
      <c r="F722" s="8" t="str">
        <f>HYPERLINK("https://esbl.nhlbi.nih.gov/Databases/mpkFractions/proteomic_fractions_log_files/Yang_log_img/238776839.jpg","show blot")</f>
        <v>show blot</v>
      </c>
      <c r="H722" s="8" t="str">
        <f>HYPERLINK("https://esbl.nhlbi.nih.gov/Databases/mpkFractions/proteomic_fractions_linear_files/Yang_linear_img/238776839.jpg","show blot")</f>
        <v>show blot</v>
      </c>
      <c r="J722" s="5" t="s">
        <v>1440</v>
      </c>
      <c r="L722" s="11">
        <v>4.3565211313623928</v>
      </c>
      <c r="N722" s="12"/>
    </row>
    <row r="723" spans="1:14" s="5" customFormat="1" ht="15" customHeight="1" x14ac:dyDescent="0.25">
      <c r="A723" s="9" t="s">
        <v>1441</v>
      </c>
      <c r="C723" s="9" t="str">
        <f>HYPERLINK("http://www.ncbi.nlm.nih.gov/protein/31982864","Atpif1")</f>
        <v>Atpif1</v>
      </c>
      <c r="D723" s="10">
        <f t="shared" si="11"/>
        <v>3.7808570439702751</v>
      </c>
      <c r="F723" s="8" t="str">
        <f>HYPERLINK("https://esbl.nhlbi.nih.gov/Databases/mpkFractions/proteomic_fractions_log_files/Yang_log_img/31982864.jpg","show blot")</f>
        <v>show blot</v>
      </c>
      <c r="H723" s="8" t="str">
        <f>HYPERLINK("https://esbl.nhlbi.nih.gov/Databases/mpkFractions/proteomic_fractions_linear_files/Yang_linear_img/31982864.jpg","show blot")</f>
        <v>show blot</v>
      </c>
      <c r="J723" s="5" t="s">
        <v>1442</v>
      </c>
      <c r="L723" s="11">
        <v>3.7808570439702751</v>
      </c>
      <c r="N723" s="12"/>
    </row>
    <row r="724" spans="1:14" s="5" customFormat="1" ht="15" customHeight="1" x14ac:dyDescent="0.25">
      <c r="A724" s="9" t="s">
        <v>1443</v>
      </c>
      <c r="C724" s="9" t="str">
        <f>HYPERLINK("http://www.ncbi.nlm.nih.gov/protein/189339266","Atr")</f>
        <v>Atr</v>
      </c>
      <c r="D724" s="10">
        <f t="shared" si="11"/>
        <v>0</v>
      </c>
      <c r="F724" s="8" t="str">
        <f>HYPERLINK("https://esbl.nhlbi.nih.gov/Databases/mpkFractions/proteomic_fractions_log_files/Yang_log_img/189339266.jpg","show blot")</f>
        <v>show blot</v>
      </c>
      <c r="H724" s="8" t="str">
        <f>HYPERLINK("https://esbl.nhlbi.nih.gov/Databases/mpkFractions/proteomic_fractions_linear_files/Yang_linear_img/189339266.jpg","show blot")</f>
        <v>show blot</v>
      </c>
      <c r="J724" s="5" t="s">
        <v>1444</v>
      </c>
      <c r="L724" s="11">
        <v>0</v>
      </c>
      <c r="N724" s="12"/>
    </row>
    <row r="725" spans="1:14" s="5" customFormat="1" ht="15" customHeight="1" x14ac:dyDescent="0.25">
      <c r="A725" s="9" t="s">
        <v>1445</v>
      </c>
      <c r="C725" s="9" t="str">
        <f>HYPERLINK("http://www.ncbi.nlm.nih.gov/protein/47087146","Atraid")</f>
        <v>Atraid</v>
      </c>
      <c r="D725" s="10">
        <f t="shared" si="11"/>
        <v>2.554287209531962</v>
      </c>
      <c r="F725" s="8" t="str">
        <f>HYPERLINK("https://esbl.nhlbi.nih.gov/Databases/mpkFractions/proteomic_fractions_log_files/Yang_log_img/47087146.jpg","show blot")</f>
        <v>show blot</v>
      </c>
      <c r="H725" s="8" t="str">
        <f>HYPERLINK("https://esbl.nhlbi.nih.gov/Databases/mpkFractions/proteomic_fractions_linear_files/Yang_linear_img/47087146.jpg","show blot")</f>
        <v>show blot</v>
      </c>
      <c r="J725" s="5" t="s">
        <v>1446</v>
      </c>
      <c r="L725" s="11">
        <v>2.554287209531962</v>
      </c>
      <c r="N725" s="12"/>
    </row>
    <row r="726" spans="1:14" s="5" customFormat="1" ht="15" customHeight="1" x14ac:dyDescent="0.25">
      <c r="A726" s="9" t="s">
        <v>1447</v>
      </c>
      <c r="C726" s="9" t="str">
        <f>HYPERLINK("http://www.ncbi.nlm.nih.gov/protein/83649709","Atxn10")</f>
        <v>Atxn10</v>
      </c>
      <c r="D726" s="10">
        <f t="shared" si="11"/>
        <v>5.8123372793336294</v>
      </c>
      <c r="F726" s="8" t="str">
        <f>HYPERLINK("https://esbl.nhlbi.nih.gov/Databases/mpkFractions/proteomic_fractions_log_files/Yang_log_img/83649709.jpg","show blot")</f>
        <v>show blot</v>
      </c>
      <c r="H726" s="8" t="str">
        <f>HYPERLINK("https://esbl.nhlbi.nih.gov/Databases/mpkFractions/proteomic_fractions_linear_files/Yang_linear_img/83649709.jpg","show blot")</f>
        <v>show blot</v>
      </c>
      <c r="J726" s="5" t="s">
        <v>1448</v>
      </c>
      <c r="L726" s="11">
        <v>5.8123372793336294</v>
      </c>
      <c r="N726" s="12"/>
    </row>
    <row r="727" spans="1:14" s="5" customFormat="1" ht="15" customHeight="1" x14ac:dyDescent="0.25">
      <c r="A727" s="9" t="s">
        <v>1449</v>
      </c>
      <c r="C727" s="9" t="str">
        <f>HYPERLINK("http://www.ncbi.nlm.nih.gov/protein/124244104","Atxn2")</f>
        <v>Atxn2</v>
      </c>
      <c r="D727" s="10">
        <f t="shared" si="11"/>
        <v>3.1691985811547521</v>
      </c>
      <c r="F727" s="8" t="str">
        <f>HYPERLINK("https://esbl.nhlbi.nih.gov/Databases/mpkFractions/proteomic_fractions_log_files/Yang_log_img/124244104.jpg","show blot")</f>
        <v>show blot</v>
      </c>
      <c r="H727" s="8" t="str">
        <f>HYPERLINK("https://esbl.nhlbi.nih.gov/Databases/mpkFractions/proteomic_fractions_linear_files/Yang_linear_img/124244104.jpg","show blot")</f>
        <v>show blot</v>
      </c>
      <c r="J727" s="5" t="s">
        <v>1450</v>
      </c>
      <c r="L727" s="11">
        <v>3.1691985811547521</v>
      </c>
      <c r="N727" s="12"/>
    </row>
    <row r="728" spans="1:14" s="5" customFormat="1" ht="15" customHeight="1" x14ac:dyDescent="0.25">
      <c r="A728" s="9" t="s">
        <v>1451</v>
      </c>
      <c r="C728" s="9" t="str">
        <f>HYPERLINK("http://www.ncbi.nlm.nih.gov/protein/33942089","Atxn2l")</f>
        <v>Atxn2l</v>
      </c>
      <c r="D728" s="10">
        <f t="shared" si="11"/>
        <v>3.826922042933544</v>
      </c>
      <c r="F728" s="8" t="str">
        <f>HYPERLINK("https://esbl.nhlbi.nih.gov/Databases/mpkFractions/proteomic_fractions_log_files/Yang_log_img/33942089.jpg","show blot")</f>
        <v>show blot</v>
      </c>
      <c r="H728" s="8" t="str">
        <f>HYPERLINK("https://esbl.nhlbi.nih.gov/Databases/mpkFractions/proteomic_fractions_linear_files/Yang_linear_img/33942089.jpg","show blot")</f>
        <v>show blot</v>
      </c>
      <c r="J728" s="5" t="s">
        <v>1452</v>
      </c>
      <c r="L728" s="11">
        <v>3.826922042933544</v>
      </c>
      <c r="N728" s="12"/>
    </row>
    <row r="729" spans="1:14" s="5" customFormat="1" ht="15" customHeight="1" x14ac:dyDescent="0.25">
      <c r="A729" s="9" t="s">
        <v>1453</v>
      </c>
      <c r="C729" s="9" t="str">
        <f>HYPERLINK("http://www.ncbi.nlm.nih.gov/protein/268837077","Atxn3")</f>
        <v>Atxn3</v>
      </c>
      <c r="D729" s="10">
        <f t="shared" si="11"/>
        <v>4.5319250283570831</v>
      </c>
      <c r="F729" s="8" t="str">
        <f>HYPERLINK("https://esbl.nhlbi.nih.gov/Databases/mpkFractions/proteomic_fractions_log_files/Yang_log_img/268837077.jpg","show blot")</f>
        <v>show blot</v>
      </c>
      <c r="H729" s="8" t="str">
        <f>HYPERLINK("https://esbl.nhlbi.nih.gov/Databases/mpkFractions/proteomic_fractions_linear_files/Yang_linear_img/268837077.jpg","show blot")</f>
        <v>show blot</v>
      </c>
      <c r="J729" s="5" t="s">
        <v>1454</v>
      </c>
      <c r="L729" s="11">
        <v>4.5319250283570831</v>
      </c>
      <c r="N729" s="12"/>
    </row>
    <row r="730" spans="1:14" s="5" customFormat="1" ht="15" customHeight="1" x14ac:dyDescent="0.25">
      <c r="A730" s="9" t="s">
        <v>1455</v>
      </c>
      <c r="C730" s="9" t="str">
        <f>HYPERLINK("http://www.ncbi.nlm.nih.gov/protein/268837154","Atxn3")</f>
        <v>Atxn3</v>
      </c>
      <c r="D730" s="10">
        <f t="shared" si="11"/>
        <v>4.5319250283570831</v>
      </c>
      <c r="F730" s="8" t="str">
        <f>HYPERLINK("https://esbl.nhlbi.nih.gov/Databases/mpkFractions/proteomic_fractions_log_files/Yang_log_img/268837154.jpg","show blot")</f>
        <v>show blot</v>
      </c>
      <c r="H730" s="8" t="str">
        <f>HYPERLINK("https://esbl.nhlbi.nih.gov/Databases/mpkFractions/proteomic_fractions_linear_files/Yang_linear_img/268837154.jpg","show blot")</f>
        <v>show blot</v>
      </c>
      <c r="J730" s="5" t="s">
        <v>1456</v>
      </c>
      <c r="L730" s="11">
        <v>4.5319250283570831</v>
      </c>
      <c r="N730" s="12"/>
    </row>
    <row r="731" spans="1:14" s="5" customFormat="1" ht="15" customHeight="1" x14ac:dyDescent="0.25">
      <c r="A731" s="9" t="s">
        <v>1457</v>
      </c>
      <c r="C731" s="9" t="str">
        <f>HYPERLINK("http://www.ncbi.nlm.nih.gov/protein/113930747","Atxn7l3b")</f>
        <v>Atxn7l3b</v>
      </c>
      <c r="D731" s="10">
        <f t="shared" si="11"/>
        <v>5.1598540467668252</v>
      </c>
      <c r="F731" s="8" t="str">
        <f>HYPERLINK("https://esbl.nhlbi.nih.gov/Databases/mpkFractions/proteomic_fractions_log_files/Yang_log_img/113930747.jpg","show blot")</f>
        <v>show blot</v>
      </c>
      <c r="H731" s="8" t="str">
        <f>HYPERLINK("https://esbl.nhlbi.nih.gov/Databases/mpkFractions/proteomic_fractions_linear_files/Yang_linear_img/113930747.jpg","show blot")</f>
        <v>show blot</v>
      </c>
      <c r="J731" s="5" t="s">
        <v>1458</v>
      </c>
      <c r="L731" s="11">
        <v>5.1598540467668252</v>
      </c>
      <c r="N731" s="12"/>
    </row>
    <row r="732" spans="1:14" s="5" customFormat="1" ht="15" customHeight="1" x14ac:dyDescent="0.25">
      <c r="A732" s="9" t="s">
        <v>1459</v>
      </c>
      <c r="C732" s="9" t="str">
        <f>HYPERLINK("http://www.ncbi.nlm.nih.gov/protein/85701612","AU015228")</f>
        <v>AU015228</v>
      </c>
      <c r="D732" s="10">
        <f t="shared" si="11"/>
        <v>3.899140796645407</v>
      </c>
      <c r="F732" s="8" t="str">
        <f>HYPERLINK("https://esbl.nhlbi.nih.gov/Databases/mpkFractions/proteomic_fractions_log_files/Yang_log_img/85701612.jpg","show blot")</f>
        <v>show blot</v>
      </c>
      <c r="H732" s="8" t="str">
        <f>HYPERLINK("https://esbl.nhlbi.nih.gov/Databases/mpkFractions/proteomic_fractions_linear_files/Yang_linear_img/85701612.jpg","show blot")</f>
        <v>show blot</v>
      </c>
      <c r="J732" s="5" t="s">
        <v>1460</v>
      </c>
      <c r="L732" s="11">
        <v>3.899140796645407</v>
      </c>
      <c r="N732" s="12"/>
    </row>
    <row r="733" spans="1:14" s="5" customFormat="1" ht="15" customHeight="1" x14ac:dyDescent="0.25">
      <c r="A733" s="9" t="s">
        <v>1461</v>
      </c>
      <c r="C733" s="9" t="str">
        <f>HYPERLINK("http://www.ncbi.nlm.nih.gov/protein/201025409","AU019823")</f>
        <v>AU019823</v>
      </c>
      <c r="D733" s="10">
        <f t="shared" si="11"/>
        <v>3.1074663422975091</v>
      </c>
      <c r="F733" s="8" t="str">
        <f>HYPERLINK("https://esbl.nhlbi.nih.gov/Databases/mpkFractions/proteomic_fractions_log_files/Yang_log_img/201025409.jpg","show blot")</f>
        <v>show blot</v>
      </c>
      <c r="H733" s="8" t="str">
        <f>HYPERLINK("https://esbl.nhlbi.nih.gov/Databases/mpkFractions/proteomic_fractions_linear_files/Yang_linear_img/201025409.jpg","show blot")</f>
        <v>show blot</v>
      </c>
      <c r="J733" s="5" t="s">
        <v>1462</v>
      </c>
      <c r="L733" s="11">
        <v>3.1074663422975091</v>
      </c>
      <c r="N733" s="12"/>
    </row>
    <row r="734" spans="1:14" s="5" customFormat="1" ht="15" customHeight="1" x14ac:dyDescent="0.25">
      <c r="A734" s="9" t="s">
        <v>1463</v>
      </c>
      <c r="C734" s="9" t="str">
        <f>HYPERLINK("http://www.ncbi.nlm.nih.gov/protein/116268115","Auh")</f>
        <v>Auh</v>
      </c>
      <c r="D734" s="10">
        <f t="shared" si="11"/>
        <v>3.9012408617614889</v>
      </c>
      <c r="F734" s="8" t="str">
        <f>HYPERLINK("https://esbl.nhlbi.nih.gov/Databases/mpkFractions/proteomic_fractions_log_files/Yang_log_img/116268115.jpg","show blot")</f>
        <v>show blot</v>
      </c>
      <c r="H734" s="8" t="str">
        <f>HYPERLINK("https://esbl.nhlbi.nih.gov/Databases/mpkFractions/proteomic_fractions_linear_files/Yang_linear_img/116268115.jpg","show blot")</f>
        <v>show blot</v>
      </c>
      <c r="J734" s="5" t="s">
        <v>1464</v>
      </c>
      <c r="L734" s="11">
        <v>3.9012408617614889</v>
      </c>
      <c r="N734" s="12"/>
    </row>
    <row r="735" spans="1:14" s="5" customFormat="1" ht="15" customHeight="1" x14ac:dyDescent="0.25">
      <c r="A735" s="9" t="s">
        <v>1465</v>
      </c>
      <c r="C735" s="9" t="str">
        <f>HYPERLINK("http://www.ncbi.nlm.nih.gov/protein/90403601","Aup1")</f>
        <v>Aup1</v>
      </c>
      <c r="D735" s="10">
        <f t="shared" si="11"/>
        <v>4.2702739717469749</v>
      </c>
      <c r="F735" s="8" t="str">
        <f>HYPERLINK("https://esbl.nhlbi.nih.gov/Databases/mpkFractions/proteomic_fractions_log_files/Yang_log_img/90403601.jpg","show blot")</f>
        <v>show blot</v>
      </c>
      <c r="H735" s="8" t="str">
        <f>HYPERLINK("https://esbl.nhlbi.nih.gov/Databases/mpkFractions/proteomic_fractions_linear_files/Yang_linear_img/90403601.jpg","show blot")</f>
        <v>show blot</v>
      </c>
      <c r="J735" s="5" t="s">
        <v>1466</v>
      </c>
      <c r="L735" s="11">
        <v>4.2702739717469749</v>
      </c>
      <c r="N735" s="12"/>
    </row>
    <row r="736" spans="1:14" s="5" customFormat="1" ht="15" customHeight="1" x14ac:dyDescent="0.25">
      <c r="A736" s="9" t="s">
        <v>1467</v>
      </c>
      <c r="C736" s="9" t="str">
        <f>HYPERLINK("http://www.ncbi.nlm.nih.gov/protein/46358064","Aurka")</f>
        <v>Aurka</v>
      </c>
      <c r="D736" s="10" t="str">
        <f t="shared" si="11"/>
        <v>-</v>
      </c>
      <c r="F736" s="8" t="str">
        <f>HYPERLINK("https://esbl.nhlbi.nih.gov/Databases/mpkFractions/proteomic_fractions_log_files/Yang_log_img/46358064.jpg","show blot")</f>
        <v>show blot</v>
      </c>
      <c r="H736" s="8" t="str">
        <f>HYPERLINK("https://esbl.nhlbi.nih.gov/Databases/mpkFractions/proteomic_fractions_linear_files/Yang_linear_img/46358064.jpg","show blot")</f>
        <v>show blot</v>
      </c>
      <c r="J736" s="5" t="s">
        <v>1468</v>
      </c>
      <c r="L736" s="13" t="s">
        <v>389</v>
      </c>
      <c r="N736" s="12"/>
    </row>
    <row r="737" spans="1:14" s="5" customFormat="1" ht="15" customHeight="1" x14ac:dyDescent="0.25">
      <c r="A737" s="9" t="s">
        <v>1469</v>
      </c>
      <c r="C737" s="9" t="str">
        <f>HYPERLINK("http://www.ncbi.nlm.nih.gov/protein/260099645","Aven")</f>
        <v>Aven</v>
      </c>
      <c r="D737" s="10">
        <f t="shared" si="11"/>
        <v>3.612316527976184</v>
      </c>
      <c r="F737" s="8" t="str">
        <f>HYPERLINK("https://esbl.nhlbi.nih.gov/Databases/mpkFractions/proteomic_fractions_log_files/Yang_log_img/260099645.jpg","show blot")</f>
        <v>show blot</v>
      </c>
      <c r="H737" s="8" t="str">
        <f>HYPERLINK("https://esbl.nhlbi.nih.gov/Databases/mpkFractions/proteomic_fractions_linear_files/Yang_linear_img/260099645.jpg","show blot")</f>
        <v>show blot</v>
      </c>
      <c r="J737" s="5" t="s">
        <v>1470</v>
      </c>
      <c r="L737" s="11">
        <v>3.612316527976184</v>
      </c>
      <c r="N737" s="12"/>
    </row>
    <row r="738" spans="1:14" s="5" customFormat="1" ht="15" customHeight="1" x14ac:dyDescent="0.25">
      <c r="A738" s="9" t="s">
        <v>1471</v>
      </c>
      <c r="C738" s="9" t="str">
        <f>HYPERLINK("http://www.ncbi.nlm.nih.gov/protein/260099647","Aven")</f>
        <v>Aven</v>
      </c>
      <c r="D738" s="10">
        <f t="shared" si="11"/>
        <v>3.612316527976184</v>
      </c>
      <c r="F738" s="8" t="str">
        <f>HYPERLINK("https://esbl.nhlbi.nih.gov/Databases/mpkFractions/proteomic_fractions_log_files/Yang_log_img/260099647.jpg","show blot")</f>
        <v>show blot</v>
      </c>
      <c r="H738" s="8" t="str">
        <f>HYPERLINK("https://esbl.nhlbi.nih.gov/Databases/mpkFractions/proteomic_fractions_linear_files/Yang_linear_img/260099647.jpg","show blot")</f>
        <v>show blot</v>
      </c>
      <c r="J738" s="5" t="s">
        <v>1472</v>
      </c>
      <c r="L738" s="11">
        <v>3.612316527976184</v>
      </c>
      <c r="N738" s="12"/>
    </row>
    <row r="739" spans="1:14" s="5" customFormat="1" ht="15" customHeight="1" x14ac:dyDescent="0.25">
      <c r="A739" s="9" t="s">
        <v>1473</v>
      </c>
      <c r="C739" s="9" t="str">
        <f>HYPERLINK("http://www.ncbi.nlm.nih.gov/protein/226529032","Avl9")</f>
        <v>Avl9</v>
      </c>
      <c r="D739" s="10">
        <f t="shared" si="11"/>
        <v>4.4812605531688128</v>
      </c>
      <c r="F739" s="8" t="str">
        <f>HYPERLINK("https://esbl.nhlbi.nih.gov/Databases/mpkFractions/proteomic_fractions_log_files/Yang_log_img/226529032.jpg","show blot")</f>
        <v>show blot</v>
      </c>
      <c r="H739" s="8" t="str">
        <f>HYPERLINK("https://esbl.nhlbi.nih.gov/Databases/mpkFractions/proteomic_fractions_linear_files/Yang_linear_img/226529032.jpg","show blot")</f>
        <v>show blot</v>
      </c>
      <c r="J739" s="5" t="s">
        <v>1474</v>
      </c>
      <c r="L739" s="11">
        <v>4.4812605531688128</v>
      </c>
      <c r="N739" s="12"/>
    </row>
    <row r="740" spans="1:14" s="5" customFormat="1" ht="15" customHeight="1" x14ac:dyDescent="0.25">
      <c r="A740" s="9" t="s">
        <v>1475</v>
      </c>
      <c r="C740" s="9" t="str">
        <f>HYPERLINK("http://www.ncbi.nlm.nih.gov/protein/19526465","Avpi1")</f>
        <v>Avpi1</v>
      </c>
      <c r="D740" s="10">
        <f t="shared" si="11"/>
        <v>3.2774282650512352</v>
      </c>
      <c r="F740" s="8" t="str">
        <f>HYPERLINK("https://esbl.nhlbi.nih.gov/Databases/mpkFractions/proteomic_fractions_log_files/Yang_log_img/19526465.jpg","show blot")</f>
        <v>show blot</v>
      </c>
      <c r="H740" s="8" t="str">
        <f>HYPERLINK("https://esbl.nhlbi.nih.gov/Databases/mpkFractions/proteomic_fractions_linear_files/Yang_linear_img/19526465.jpg","show blot")</f>
        <v>show blot</v>
      </c>
      <c r="J740" s="5" t="s">
        <v>1476</v>
      </c>
      <c r="L740" s="11">
        <v>3.2774282650512352</v>
      </c>
      <c r="N740" s="12"/>
    </row>
    <row r="741" spans="1:14" s="5" customFormat="1" ht="15" customHeight="1" x14ac:dyDescent="0.25">
      <c r="A741" s="9" t="s">
        <v>1477</v>
      </c>
      <c r="C741" s="9" t="str">
        <f>HYPERLINK("http://www.ncbi.nlm.nih.gov/protein/157388985","AW209491")</f>
        <v>AW209491</v>
      </c>
      <c r="D741" s="10">
        <f t="shared" si="11"/>
        <v>3.5790627693971961</v>
      </c>
      <c r="F741" s="8" t="str">
        <f>HYPERLINK("https://esbl.nhlbi.nih.gov/Databases/mpkFractions/proteomic_fractions_log_files/Yang_log_img/157388985.jpg","show blot")</f>
        <v>show blot</v>
      </c>
      <c r="H741" s="8" t="str">
        <f>HYPERLINK("https://esbl.nhlbi.nih.gov/Databases/mpkFractions/proteomic_fractions_linear_files/Yang_linear_img/157388985.jpg","show blot")</f>
        <v>show blot</v>
      </c>
      <c r="J741" s="5" t="s">
        <v>1478</v>
      </c>
      <c r="L741" s="11">
        <v>3.5790627693971961</v>
      </c>
      <c r="N741" s="12"/>
    </row>
    <row r="742" spans="1:14" s="5" customFormat="1" ht="15" customHeight="1" x14ac:dyDescent="0.25">
      <c r="A742" s="9" t="s">
        <v>1479</v>
      </c>
      <c r="C742" s="9" t="str">
        <f>HYPERLINK("http://www.ncbi.nlm.nih.gov/protein/52630434","AW549877")</f>
        <v>AW549877</v>
      </c>
      <c r="D742" s="10">
        <f t="shared" si="11"/>
        <v>4.2328764425164502</v>
      </c>
      <c r="F742" s="8" t="str">
        <f>HYPERLINK("https://esbl.nhlbi.nih.gov/Databases/mpkFractions/proteomic_fractions_log_files/Yang_log_img/52630434.jpg","show blot")</f>
        <v>show blot</v>
      </c>
      <c r="H742" s="8" t="str">
        <f>HYPERLINK("https://esbl.nhlbi.nih.gov/Databases/mpkFractions/proteomic_fractions_linear_files/Yang_linear_img/52630434.jpg","show blot")</f>
        <v>show blot</v>
      </c>
      <c r="J742" s="5" t="s">
        <v>1480</v>
      </c>
      <c r="L742" s="11">
        <v>4.2328764425164502</v>
      </c>
      <c r="N742" s="12"/>
    </row>
    <row r="743" spans="1:14" s="5" customFormat="1" ht="15" customHeight="1" x14ac:dyDescent="0.25">
      <c r="A743" s="9" t="s">
        <v>1481</v>
      </c>
      <c r="C743" s="9" t="str">
        <f>HYPERLINK("http://www.ncbi.nlm.nih.gov/protein/30520173","AW551984")</f>
        <v>AW551984</v>
      </c>
      <c r="D743" s="10">
        <f t="shared" si="11"/>
        <v>2.8566528457614169</v>
      </c>
      <c r="F743" s="8" t="str">
        <f>HYPERLINK("https://esbl.nhlbi.nih.gov/Databases/mpkFractions/proteomic_fractions_log_files/Yang_log_img/30520173.jpg","show blot")</f>
        <v>show blot</v>
      </c>
      <c r="H743" s="8" t="str">
        <f>HYPERLINK("https://esbl.nhlbi.nih.gov/Databases/mpkFractions/proteomic_fractions_linear_files/Yang_linear_img/30520173.jpg","show blot")</f>
        <v>show blot</v>
      </c>
      <c r="J743" s="5" t="s">
        <v>1482</v>
      </c>
      <c r="L743" s="11">
        <v>2.8566528457614169</v>
      </c>
      <c r="N743" s="12"/>
    </row>
    <row r="744" spans="1:14" s="5" customFormat="1" ht="15" customHeight="1" x14ac:dyDescent="0.25">
      <c r="A744" s="9" t="s">
        <v>1483</v>
      </c>
      <c r="C744" s="9" t="str">
        <f>HYPERLINK("http://www.ncbi.nlm.nih.gov/protein/39930561","AY358078")</f>
        <v>AY358078</v>
      </c>
      <c r="D744" s="10">
        <f t="shared" si="11"/>
        <v>2.5218106619873839</v>
      </c>
      <c r="F744" s="8" t="str">
        <f>HYPERLINK("https://esbl.nhlbi.nih.gov/Databases/mpkFractions/proteomic_fractions_log_files/Yang_log_img/39930561.jpg","show blot")</f>
        <v>show blot</v>
      </c>
      <c r="H744" s="8" t="str">
        <f>HYPERLINK("https://esbl.nhlbi.nih.gov/Databases/mpkFractions/proteomic_fractions_linear_files/Yang_linear_img/39930561.jpg","show blot")</f>
        <v>show blot</v>
      </c>
      <c r="J744" s="5" t="s">
        <v>1484</v>
      </c>
      <c r="L744" s="11">
        <v>2.5218106619873839</v>
      </c>
      <c r="N744" s="12"/>
    </row>
    <row r="745" spans="1:14" s="5" customFormat="1" ht="15" customHeight="1" x14ac:dyDescent="0.25">
      <c r="A745" s="9" t="s">
        <v>1485</v>
      </c>
      <c r="C745" s="9" t="str">
        <f>HYPERLINK("http://www.ncbi.nlm.nih.gov/protein/294345409","Azi1")</f>
        <v>Azi1</v>
      </c>
      <c r="D745" s="10">
        <f t="shared" si="11"/>
        <v>2.757320096546672</v>
      </c>
      <c r="F745" s="8" t="str">
        <f>HYPERLINK("https://esbl.nhlbi.nih.gov/Databases/mpkFractions/proteomic_fractions_log_files/Yang_log_img/294345409.jpg","show blot")</f>
        <v>show blot</v>
      </c>
      <c r="H745" s="8" t="str">
        <f>HYPERLINK("https://esbl.nhlbi.nih.gov/Databases/mpkFractions/proteomic_fractions_linear_files/Yang_linear_img/294345409.jpg","show blot")</f>
        <v>show blot</v>
      </c>
      <c r="J745" s="5" t="s">
        <v>1486</v>
      </c>
      <c r="L745" s="11">
        <v>2.757320096546672</v>
      </c>
      <c r="N745" s="12"/>
    </row>
    <row r="746" spans="1:14" s="5" customFormat="1" ht="15" customHeight="1" x14ac:dyDescent="0.25">
      <c r="A746" s="9" t="s">
        <v>1487</v>
      </c>
      <c r="C746" s="9" t="str">
        <f>HYPERLINK("http://www.ncbi.nlm.nih.gov/protein/31981890","B2m")</f>
        <v>B2m</v>
      </c>
      <c r="D746" s="10">
        <f t="shared" si="11"/>
        <v>4.2426180276442276</v>
      </c>
      <c r="F746" s="8" t="str">
        <f>HYPERLINK("https://esbl.nhlbi.nih.gov/Databases/mpkFractions/proteomic_fractions_log_files/Yang_log_img/31981890.jpg","show blot")</f>
        <v>show blot</v>
      </c>
      <c r="H746" s="8" t="str">
        <f>HYPERLINK("https://esbl.nhlbi.nih.gov/Databases/mpkFractions/proteomic_fractions_linear_files/Yang_linear_img/31981890.jpg","show blot")</f>
        <v>show blot</v>
      </c>
      <c r="J746" s="5" t="s">
        <v>1488</v>
      </c>
      <c r="L746" s="11">
        <v>4.2426180276442276</v>
      </c>
      <c r="N746" s="12"/>
    </row>
    <row r="747" spans="1:14" s="5" customFormat="1" ht="15" customHeight="1" x14ac:dyDescent="0.25">
      <c r="A747" s="9" t="s">
        <v>1489</v>
      </c>
      <c r="C747" s="9" t="str">
        <f>HYPERLINK("http://www.ncbi.nlm.nih.gov/protein/17978260","B3galt6")</f>
        <v>B3galt6</v>
      </c>
      <c r="D747" s="10">
        <f t="shared" si="11"/>
        <v>3.8782358484952528</v>
      </c>
      <c r="F747" s="8" t="str">
        <f>HYPERLINK("https://esbl.nhlbi.nih.gov/Databases/mpkFractions/proteomic_fractions_log_files/Yang_log_img/17978260.jpg","show blot")</f>
        <v>show blot</v>
      </c>
      <c r="H747" s="8" t="str">
        <f>HYPERLINK("https://esbl.nhlbi.nih.gov/Databases/mpkFractions/proteomic_fractions_linear_files/Yang_linear_img/17978260.jpg","show blot")</f>
        <v>show blot</v>
      </c>
      <c r="J747" s="5" t="s">
        <v>1490</v>
      </c>
      <c r="L747" s="11">
        <v>3.8782358484952528</v>
      </c>
      <c r="N747" s="12"/>
    </row>
    <row r="748" spans="1:14" s="5" customFormat="1" ht="15" customHeight="1" x14ac:dyDescent="0.25">
      <c r="A748" s="9" t="s">
        <v>1491</v>
      </c>
      <c r="C748" s="9" t="str">
        <f>HYPERLINK("http://www.ncbi.nlm.nih.gov/protein/13195672","B3gat3")</f>
        <v>B3gat3</v>
      </c>
      <c r="D748" s="10">
        <f t="shared" si="11"/>
        <v>1.8134547585187919</v>
      </c>
      <c r="F748" s="8" t="str">
        <f>HYPERLINK("https://esbl.nhlbi.nih.gov/Databases/mpkFractions/proteomic_fractions_log_files/Yang_log_img/13195672.jpg","show blot")</f>
        <v>show blot</v>
      </c>
      <c r="H748" s="8" t="str">
        <f>HYPERLINK("https://esbl.nhlbi.nih.gov/Databases/mpkFractions/proteomic_fractions_linear_files/Yang_linear_img/13195672.jpg","show blot")</f>
        <v>show blot</v>
      </c>
      <c r="J748" s="5" t="s">
        <v>1492</v>
      </c>
      <c r="L748" s="11">
        <v>1.8134547585187919</v>
      </c>
      <c r="N748" s="12"/>
    </row>
    <row r="749" spans="1:14" s="5" customFormat="1" ht="15" customHeight="1" x14ac:dyDescent="0.25">
      <c r="A749" s="9" t="s">
        <v>1493</v>
      </c>
      <c r="C749" s="9" t="str">
        <f>HYPERLINK("http://www.ncbi.nlm.nih.gov/protein/170784852","B3gnt3")</f>
        <v>B3gnt3</v>
      </c>
      <c r="D749" s="10">
        <f t="shared" si="11"/>
        <v>1.740761981303576</v>
      </c>
      <c r="F749" s="8" t="str">
        <f>HYPERLINK("https://esbl.nhlbi.nih.gov/Databases/mpkFractions/proteomic_fractions_log_files/Yang_log_img/170784852.jpg","show blot")</f>
        <v>show blot</v>
      </c>
      <c r="H749" s="8" t="str">
        <f>HYPERLINK("https://esbl.nhlbi.nih.gov/Databases/mpkFractions/proteomic_fractions_linear_files/Yang_linear_img/170784852.jpg","show blot")</f>
        <v>show blot</v>
      </c>
      <c r="J749" s="5" t="s">
        <v>1494</v>
      </c>
      <c r="L749" s="11">
        <v>1.740761981303576</v>
      </c>
      <c r="N749" s="12"/>
    </row>
    <row r="750" spans="1:14" s="5" customFormat="1" ht="15" customHeight="1" x14ac:dyDescent="0.25">
      <c r="A750" s="9" t="s">
        <v>1495</v>
      </c>
      <c r="C750" s="9" t="str">
        <f>HYPERLINK("http://www.ncbi.nlm.nih.gov/protein/347543755","B4galnt1")</f>
        <v>B4galnt1</v>
      </c>
      <c r="D750" s="10">
        <f t="shared" si="11"/>
        <v>4.7880414486532006</v>
      </c>
      <c r="F750" s="8" t="str">
        <f>HYPERLINK("https://esbl.nhlbi.nih.gov/Databases/mpkFractions/proteomic_fractions_log_files/Yang_log_img/347543755.jpg","show blot")</f>
        <v>show blot</v>
      </c>
      <c r="H750" s="8" t="str">
        <f>HYPERLINK("https://esbl.nhlbi.nih.gov/Databases/mpkFractions/proteomic_fractions_linear_files/Yang_linear_img/347543755.jpg","show blot")</f>
        <v>show blot</v>
      </c>
      <c r="J750" s="5" t="s">
        <v>1496</v>
      </c>
      <c r="L750" s="11">
        <v>4.7880414486532006</v>
      </c>
      <c r="N750" s="12"/>
    </row>
    <row r="751" spans="1:14" s="5" customFormat="1" ht="15" customHeight="1" x14ac:dyDescent="0.25">
      <c r="A751" s="9" t="s">
        <v>1497</v>
      </c>
      <c r="C751" s="9" t="str">
        <f>HYPERLINK("http://www.ncbi.nlm.nih.gov/protein/347543757","B4galnt1")</f>
        <v>B4galnt1</v>
      </c>
      <c r="D751" s="10">
        <f t="shared" si="11"/>
        <v>4.7880414486532006</v>
      </c>
      <c r="F751" s="8" t="str">
        <f>HYPERLINK("https://esbl.nhlbi.nih.gov/Databases/mpkFractions/proteomic_fractions_log_files/Yang_log_img/347543757.jpg","show blot")</f>
        <v>show blot</v>
      </c>
      <c r="H751" s="8" t="str">
        <f>HYPERLINK("https://esbl.nhlbi.nih.gov/Databases/mpkFractions/proteomic_fractions_linear_files/Yang_linear_img/347543757.jpg","show blot")</f>
        <v>show blot</v>
      </c>
      <c r="J751" s="5" t="s">
        <v>1498</v>
      </c>
      <c r="L751" s="11">
        <v>4.7880414486532006</v>
      </c>
      <c r="N751" s="12"/>
    </row>
    <row r="752" spans="1:14" s="5" customFormat="1" ht="15" customHeight="1" x14ac:dyDescent="0.25">
      <c r="A752" s="9" t="s">
        <v>1499</v>
      </c>
      <c r="C752" s="9" t="str">
        <f>HYPERLINK("http://www.ncbi.nlm.nih.gov/protein/347543759","B4galnt1")</f>
        <v>B4galnt1</v>
      </c>
      <c r="D752" s="10">
        <f t="shared" si="11"/>
        <v>4.7880414486532006</v>
      </c>
      <c r="F752" s="8" t="str">
        <f>HYPERLINK("https://esbl.nhlbi.nih.gov/Databases/mpkFractions/proteomic_fractions_log_files/Yang_log_img/347543759.jpg","show blot")</f>
        <v>show blot</v>
      </c>
      <c r="H752" s="8" t="str">
        <f>HYPERLINK("https://esbl.nhlbi.nih.gov/Databases/mpkFractions/proteomic_fractions_linear_files/Yang_linear_img/347543759.jpg","show blot")</f>
        <v>show blot</v>
      </c>
      <c r="J752" s="5" t="s">
        <v>1500</v>
      </c>
      <c r="L752" s="11">
        <v>4.7880414486532006</v>
      </c>
      <c r="N752" s="12"/>
    </row>
    <row r="753" spans="1:14" s="5" customFormat="1" ht="15" customHeight="1" x14ac:dyDescent="0.25">
      <c r="A753" s="9" t="s">
        <v>1501</v>
      </c>
      <c r="C753" s="9" t="str">
        <f>HYPERLINK("http://www.ncbi.nlm.nih.gov/protein/6679929","B4galnt1")</f>
        <v>B4galnt1</v>
      </c>
      <c r="D753" s="10">
        <f t="shared" si="11"/>
        <v>4.7880414486532006</v>
      </c>
      <c r="F753" s="8" t="str">
        <f>HYPERLINK("https://esbl.nhlbi.nih.gov/Databases/mpkFractions/proteomic_fractions_log_files/Yang_log_img/6679929.jpg","show blot")</f>
        <v>show blot</v>
      </c>
      <c r="H753" s="8" t="str">
        <f>HYPERLINK("https://esbl.nhlbi.nih.gov/Databases/mpkFractions/proteomic_fractions_linear_files/Yang_linear_img/6679929.jpg","show blot")</f>
        <v>show blot</v>
      </c>
      <c r="J753" s="5" t="s">
        <v>1502</v>
      </c>
      <c r="L753" s="11">
        <v>4.7880414486532006</v>
      </c>
      <c r="N753" s="12"/>
    </row>
    <row r="754" spans="1:14" s="5" customFormat="1" ht="15" customHeight="1" x14ac:dyDescent="0.25">
      <c r="A754" s="9" t="s">
        <v>1503</v>
      </c>
      <c r="C754" s="9" t="str">
        <f>HYPERLINK("http://www.ncbi.nlm.nih.gov/protein/6679931","B4galnt2")</f>
        <v>B4galnt2</v>
      </c>
      <c r="D754" s="10">
        <f t="shared" si="11"/>
        <v>4.2697646310618058</v>
      </c>
      <c r="F754" s="8" t="str">
        <f>HYPERLINK("https://esbl.nhlbi.nih.gov/Databases/mpkFractions/proteomic_fractions_log_files/Yang_log_img/6679931.jpg","show blot")</f>
        <v>show blot</v>
      </c>
      <c r="H754" s="8" t="str">
        <f>HYPERLINK("https://esbl.nhlbi.nih.gov/Databases/mpkFractions/proteomic_fractions_linear_files/Yang_linear_img/6679931.jpg","show blot")</f>
        <v>show blot</v>
      </c>
      <c r="J754" s="5" t="s">
        <v>1504</v>
      </c>
      <c r="L754" s="11">
        <v>4.2697646310618058</v>
      </c>
      <c r="N754" s="12"/>
    </row>
    <row r="755" spans="1:14" s="5" customFormat="1" ht="15" customHeight="1" x14ac:dyDescent="0.25">
      <c r="A755" s="9" t="s">
        <v>1505</v>
      </c>
      <c r="C755" s="9" t="str">
        <f>HYPERLINK("http://www.ncbi.nlm.nih.gov/protein/11602910","B4galt1")</f>
        <v>B4galt1</v>
      </c>
      <c r="D755" s="10">
        <f t="shared" si="11"/>
        <v>3.1875643416260928</v>
      </c>
      <c r="F755" s="8" t="str">
        <f>HYPERLINK("https://esbl.nhlbi.nih.gov/Databases/mpkFractions/proteomic_fractions_log_files/Yang_log_img/11602910.jpg","show blot")</f>
        <v>show blot</v>
      </c>
      <c r="H755" s="8" t="str">
        <f>HYPERLINK("https://esbl.nhlbi.nih.gov/Databases/mpkFractions/proteomic_fractions_linear_files/Yang_linear_img/11602910.jpg","show blot")</f>
        <v>show blot</v>
      </c>
      <c r="J755" s="5" t="s">
        <v>1506</v>
      </c>
      <c r="L755" s="11">
        <v>3.1875643416260928</v>
      </c>
      <c r="N755" s="12"/>
    </row>
    <row r="756" spans="1:14" s="5" customFormat="1" ht="15" customHeight="1" x14ac:dyDescent="0.25">
      <c r="A756" s="9" t="s">
        <v>1507</v>
      </c>
      <c r="C756" s="9" t="str">
        <f>HYPERLINK("http://www.ncbi.nlm.nih.gov/protein/188528672","B4galt4")</f>
        <v>B4galt4</v>
      </c>
      <c r="D756" s="10">
        <f t="shared" si="11"/>
        <v>3.3390051729571981</v>
      </c>
      <c r="F756" s="8" t="str">
        <f>HYPERLINK("https://esbl.nhlbi.nih.gov/Databases/mpkFractions/proteomic_fractions_log_files/Yang_log_img/188528672.jpg","show blot")</f>
        <v>show blot</v>
      </c>
      <c r="H756" s="8" t="str">
        <f>HYPERLINK("https://esbl.nhlbi.nih.gov/Databases/mpkFractions/proteomic_fractions_linear_files/Yang_linear_img/188528672.jpg","show blot")</f>
        <v>show blot</v>
      </c>
      <c r="J756" s="5" t="s">
        <v>1508</v>
      </c>
      <c r="L756" s="11">
        <v>3.3390051729571981</v>
      </c>
      <c r="N756" s="12"/>
    </row>
    <row r="757" spans="1:14" s="5" customFormat="1" ht="15" customHeight="1" x14ac:dyDescent="0.25">
      <c r="A757" s="9" t="s">
        <v>1509</v>
      </c>
      <c r="C757" s="9" t="str">
        <f>HYPERLINK("http://www.ncbi.nlm.nih.gov/protein/116089306","B4galt5")</f>
        <v>B4galt5</v>
      </c>
      <c r="D757" s="10">
        <f t="shared" si="11"/>
        <v>3.1778045043369372</v>
      </c>
      <c r="F757" s="8" t="str">
        <f>HYPERLINK("https://esbl.nhlbi.nih.gov/Databases/mpkFractions/proteomic_fractions_log_files/Yang_log_img/116089306.jpg","show blot")</f>
        <v>show blot</v>
      </c>
      <c r="H757" s="8" t="str">
        <f>HYPERLINK("https://esbl.nhlbi.nih.gov/Databases/mpkFractions/proteomic_fractions_linear_files/Yang_linear_img/116089306.jpg","show blot")</f>
        <v>show blot</v>
      </c>
      <c r="J757" s="5" t="s">
        <v>1510</v>
      </c>
      <c r="L757" s="11">
        <v>3.1778045043369372</v>
      </c>
      <c r="N757" s="12"/>
    </row>
    <row r="758" spans="1:14" s="5" customFormat="1" ht="15" customHeight="1" x14ac:dyDescent="0.25">
      <c r="A758" s="9" t="s">
        <v>1511</v>
      </c>
      <c r="C758" s="9" t="str">
        <f>HYPERLINK("http://www.ncbi.nlm.nih.gov/protein/268838948","Babam1")</f>
        <v>Babam1</v>
      </c>
      <c r="D758" s="10">
        <f t="shared" si="11"/>
        <v>2.523148628246584</v>
      </c>
      <c r="F758" s="8" t="str">
        <f>HYPERLINK("https://esbl.nhlbi.nih.gov/Databases/mpkFractions/proteomic_fractions_log_files/Yang_log_img/268838948.jpg","show blot")</f>
        <v>show blot</v>
      </c>
      <c r="H758" s="8" t="str">
        <f>HYPERLINK("https://esbl.nhlbi.nih.gov/Databases/mpkFractions/proteomic_fractions_linear_files/Yang_linear_img/268838948.jpg","show blot")</f>
        <v>show blot</v>
      </c>
      <c r="J758" s="5" t="s">
        <v>1512</v>
      </c>
      <c r="L758" s="11">
        <v>2.523148628246584</v>
      </c>
      <c r="N758" s="12"/>
    </row>
    <row r="759" spans="1:14" s="5" customFormat="1" ht="15" customHeight="1" x14ac:dyDescent="0.25">
      <c r="A759" s="9" t="s">
        <v>1513</v>
      </c>
      <c r="C759" s="9" t="str">
        <f>HYPERLINK("http://www.ncbi.nlm.nih.gov/protein/6671610","Bad")</f>
        <v>Bad</v>
      </c>
      <c r="D759" s="10">
        <f t="shared" si="11"/>
        <v>3.4919355576082962</v>
      </c>
      <c r="F759" s="8" t="str">
        <f>HYPERLINK("https://esbl.nhlbi.nih.gov/Databases/mpkFractions/proteomic_fractions_log_files/Yang_log_img/6671610.jpg","show blot")</f>
        <v>show blot</v>
      </c>
      <c r="H759" s="8" t="str">
        <f>HYPERLINK("https://esbl.nhlbi.nih.gov/Databases/mpkFractions/proteomic_fractions_linear_files/Yang_linear_img/6671610.jpg","show blot")</f>
        <v>show blot</v>
      </c>
      <c r="J759" s="5" t="s">
        <v>1514</v>
      </c>
      <c r="L759" s="11">
        <v>3.4919355576082962</v>
      </c>
      <c r="N759" s="12"/>
    </row>
    <row r="760" spans="1:14" s="5" customFormat="1" ht="15" customHeight="1" x14ac:dyDescent="0.25">
      <c r="A760" s="9" t="s">
        <v>1515</v>
      </c>
      <c r="C760" s="9" t="str">
        <f>HYPERLINK("http://www.ncbi.nlm.nih.gov/protein/157952206","Bag1")</f>
        <v>Bag1</v>
      </c>
      <c r="D760" s="10">
        <f t="shared" si="11"/>
        <v>4.9564490704545179</v>
      </c>
      <c r="F760" s="8" t="str">
        <f>HYPERLINK("https://esbl.nhlbi.nih.gov/Databases/mpkFractions/proteomic_fractions_log_files/Yang_log_img/157952206.jpg","show blot")</f>
        <v>show blot</v>
      </c>
      <c r="H760" s="8" t="str">
        <f>HYPERLINK("https://esbl.nhlbi.nih.gov/Databases/mpkFractions/proteomic_fractions_linear_files/Yang_linear_img/157952206.jpg","show blot")</f>
        <v>show blot</v>
      </c>
      <c r="J760" s="5" t="s">
        <v>1516</v>
      </c>
      <c r="L760" s="11">
        <v>4.9564490704545179</v>
      </c>
      <c r="N760" s="12"/>
    </row>
    <row r="761" spans="1:14" s="5" customFormat="1" ht="15" customHeight="1" x14ac:dyDescent="0.25">
      <c r="A761" s="9" t="s">
        <v>1517</v>
      </c>
      <c r="C761" s="9" t="str">
        <f>HYPERLINK("http://www.ncbi.nlm.nih.gov/protein/284507286","Bag1")</f>
        <v>Bag1</v>
      </c>
      <c r="D761" s="10">
        <f t="shared" si="11"/>
        <v>4.9564490704545179</v>
      </c>
      <c r="F761" s="8" t="str">
        <f>HYPERLINK("https://esbl.nhlbi.nih.gov/Databases/mpkFractions/proteomic_fractions_log_files/Yang_log_img/284507286.jpg","show blot")</f>
        <v>show blot</v>
      </c>
      <c r="H761" s="8" t="str">
        <f>HYPERLINK("https://esbl.nhlbi.nih.gov/Databases/mpkFractions/proteomic_fractions_linear_files/Yang_linear_img/284507286.jpg","show blot")</f>
        <v>show blot</v>
      </c>
      <c r="J761" s="5" t="s">
        <v>1518</v>
      </c>
      <c r="L761" s="11">
        <v>4.9564490704545179</v>
      </c>
      <c r="N761" s="12"/>
    </row>
    <row r="762" spans="1:14" s="5" customFormat="1" ht="15" customHeight="1" x14ac:dyDescent="0.25">
      <c r="A762" s="9" t="s">
        <v>1519</v>
      </c>
      <c r="C762" s="9" t="str">
        <f>HYPERLINK("http://www.ncbi.nlm.nih.gov/protein/21703784","Bag2")</f>
        <v>Bag2</v>
      </c>
      <c r="D762" s="10">
        <f t="shared" si="11"/>
        <v>5.5159110150270632</v>
      </c>
      <c r="F762" s="8" t="str">
        <f>HYPERLINK("https://esbl.nhlbi.nih.gov/Databases/mpkFractions/proteomic_fractions_log_files/Yang_log_img/21703784.jpg","show blot")</f>
        <v>show blot</v>
      </c>
      <c r="H762" s="8" t="str">
        <f>HYPERLINK("https://esbl.nhlbi.nih.gov/Databases/mpkFractions/proteomic_fractions_linear_files/Yang_linear_img/21703784.jpg","show blot")</f>
        <v>show blot</v>
      </c>
      <c r="J762" s="5" t="s">
        <v>1520</v>
      </c>
      <c r="L762" s="11">
        <v>5.5159110150270632</v>
      </c>
      <c r="N762" s="12"/>
    </row>
    <row r="763" spans="1:14" s="5" customFormat="1" ht="15" customHeight="1" x14ac:dyDescent="0.25">
      <c r="A763" s="9" t="s">
        <v>1521</v>
      </c>
      <c r="C763" s="9" t="str">
        <f>HYPERLINK("http://www.ncbi.nlm.nih.gov/protein/17975504","Bag4")</f>
        <v>Bag4</v>
      </c>
      <c r="D763" s="10">
        <f t="shared" si="11"/>
        <v>3.6350716976072839</v>
      </c>
      <c r="F763" s="8" t="str">
        <f>HYPERLINK("https://esbl.nhlbi.nih.gov/Databases/mpkFractions/proteomic_fractions_log_files/Yang_log_img/17975504.jpg","show blot")</f>
        <v>show blot</v>
      </c>
      <c r="H763" s="8" t="str">
        <f>HYPERLINK("https://esbl.nhlbi.nih.gov/Databases/mpkFractions/proteomic_fractions_linear_files/Yang_linear_img/17975504.jpg","show blot")</f>
        <v>show blot</v>
      </c>
      <c r="J763" s="5" t="s">
        <v>1522</v>
      </c>
      <c r="L763" s="11">
        <v>3.6350716976072839</v>
      </c>
      <c r="N763" s="12"/>
    </row>
    <row r="764" spans="1:14" s="5" customFormat="1" ht="15" customHeight="1" x14ac:dyDescent="0.25">
      <c r="A764" s="9" t="s">
        <v>1523</v>
      </c>
      <c r="C764" s="9" t="str">
        <f>HYPERLINK("http://www.ncbi.nlm.nih.gov/protein/58037205","Bag5")</f>
        <v>Bag5</v>
      </c>
      <c r="D764" s="10">
        <f t="shared" si="11"/>
        <v>5.2560758377826406</v>
      </c>
      <c r="F764" s="8" t="str">
        <f>HYPERLINK("https://esbl.nhlbi.nih.gov/Databases/mpkFractions/proteomic_fractions_log_files/Yang_log_img/58037205.jpg","show blot")</f>
        <v>show blot</v>
      </c>
      <c r="H764" s="8" t="str">
        <f>HYPERLINK("https://esbl.nhlbi.nih.gov/Databases/mpkFractions/proteomic_fractions_linear_files/Yang_linear_img/58037205.jpg","show blot")</f>
        <v>show blot</v>
      </c>
      <c r="J764" s="5" t="s">
        <v>1524</v>
      </c>
      <c r="L764" s="11">
        <v>5.2560758377826406</v>
      </c>
      <c r="N764" s="12"/>
    </row>
    <row r="765" spans="1:14" s="5" customFormat="1" ht="15" customHeight="1" x14ac:dyDescent="0.25">
      <c r="A765" s="9" t="s">
        <v>1525</v>
      </c>
      <c r="C765" s="9" t="str">
        <f>HYPERLINK("http://www.ncbi.nlm.nih.gov/protein/33147082","Bag6")</f>
        <v>Bag6</v>
      </c>
      <c r="D765" s="10">
        <f t="shared" si="11"/>
        <v>5.1744284949302974</v>
      </c>
      <c r="F765" s="8" t="str">
        <f>HYPERLINK("https://esbl.nhlbi.nih.gov/Databases/mpkFractions/proteomic_fractions_log_files/Yang_log_img/33147082.jpg","show blot")</f>
        <v>show blot</v>
      </c>
      <c r="H765" s="8" t="str">
        <f>HYPERLINK("https://esbl.nhlbi.nih.gov/Databases/mpkFractions/proteomic_fractions_linear_files/Yang_linear_img/33147082.jpg","show blot")</f>
        <v>show blot</v>
      </c>
      <c r="J765" s="5" t="s">
        <v>1526</v>
      </c>
      <c r="L765" s="11">
        <v>5.1744284949302974</v>
      </c>
      <c r="N765" s="12"/>
    </row>
    <row r="766" spans="1:14" s="5" customFormat="1" ht="15" customHeight="1" x14ac:dyDescent="0.25">
      <c r="A766" s="9" t="s">
        <v>1527</v>
      </c>
      <c r="C766" s="9" t="str">
        <f>HYPERLINK("http://www.ncbi.nlm.nih.gov/protein/357197137","Bag6")</f>
        <v>Bag6</v>
      </c>
      <c r="D766" s="10">
        <f t="shared" si="11"/>
        <v>5.1744284949302974</v>
      </c>
      <c r="F766" s="8" t="str">
        <f>HYPERLINK("https://esbl.nhlbi.nih.gov/Databases/mpkFractions/proteomic_fractions_log_files/Yang_log_img/357197137.jpg","show blot")</f>
        <v>show blot</v>
      </c>
      <c r="H766" s="8" t="str">
        <f>HYPERLINK("https://esbl.nhlbi.nih.gov/Databases/mpkFractions/proteomic_fractions_linear_files/Yang_linear_img/357197137.jpg","show blot")</f>
        <v>show blot</v>
      </c>
      <c r="J766" s="5" t="s">
        <v>1528</v>
      </c>
      <c r="L766" s="11">
        <v>5.1744284949302974</v>
      </c>
      <c r="N766" s="12"/>
    </row>
    <row r="767" spans="1:14" s="5" customFormat="1" ht="15" customHeight="1" x14ac:dyDescent="0.25">
      <c r="A767" s="9" t="s">
        <v>1529</v>
      </c>
      <c r="C767" s="9" t="str">
        <f>HYPERLINK("http://www.ncbi.nlm.nih.gov/protein/357197139","Bag6")</f>
        <v>Bag6</v>
      </c>
      <c r="D767" s="10">
        <f t="shared" si="11"/>
        <v>5.1744284949302974</v>
      </c>
      <c r="F767" s="8" t="str">
        <f>HYPERLINK("https://esbl.nhlbi.nih.gov/Databases/mpkFractions/proteomic_fractions_log_files/Yang_log_img/357197139.jpg","show blot")</f>
        <v>show blot</v>
      </c>
      <c r="H767" s="8" t="str">
        <f>HYPERLINK("https://esbl.nhlbi.nih.gov/Databases/mpkFractions/proteomic_fractions_linear_files/Yang_linear_img/357197139.jpg","show blot")</f>
        <v>show blot</v>
      </c>
      <c r="J767" s="5" t="s">
        <v>1530</v>
      </c>
      <c r="L767" s="11">
        <v>5.1744284949302974</v>
      </c>
      <c r="N767" s="12"/>
    </row>
    <row r="768" spans="1:14" s="5" customFormat="1" ht="15" customHeight="1" x14ac:dyDescent="0.25">
      <c r="A768" s="9" t="s">
        <v>1531</v>
      </c>
      <c r="C768" s="9" t="str">
        <f>HYPERLINK("http://www.ncbi.nlm.nih.gov/protein/262231776","Baiap2")</f>
        <v>Baiap2</v>
      </c>
      <c r="D768" s="10">
        <f t="shared" si="11"/>
        <v>5.368376737217873</v>
      </c>
      <c r="F768" s="8" t="str">
        <f>HYPERLINK("https://esbl.nhlbi.nih.gov/Databases/mpkFractions/proteomic_fractions_log_files/Yang_log_img/262231776.jpg","show blot")</f>
        <v>show blot</v>
      </c>
      <c r="H768" s="8" t="str">
        <f>HYPERLINK("https://esbl.nhlbi.nih.gov/Databases/mpkFractions/proteomic_fractions_linear_files/Yang_linear_img/262231776.jpg","show blot")</f>
        <v>show blot</v>
      </c>
      <c r="J768" s="5" t="s">
        <v>1532</v>
      </c>
      <c r="L768" s="11">
        <v>5.368376737217873</v>
      </c>
      <c r="N768" s="12"/>
    </row>
    <row r="769" spans="1:14" s="5" customFormat="1" ht="15" customHeight="1" x14ac:dyDescent="0.25">
      <c r="A769" s="9" t="s">
        <v>1533</v>
      </c>
      <c r="C769" s="9" t="str">
        <f>HYPERLINK("http://www.ncbi.nlm.nih.gov/protein/83642836","Baiap2")</f>
        <v>Baiap2</v>
      </c>
      <c r="D769" s="10">
        <f t="shared" si="11"/>
        <v>5.368376737217873</v>
      </c>
      <c r="F769" s="8" t="str">
        <f>HYPERLINK("https://esbl.nhlbi.nih.gov/Databases/mpkFractions/proteomic_fractions_log_files/Yang_log_img/83642836.jpg","show blot")</f>
        <v>show blot</v>
      </c>
      <c r="H769" s="8" t="str">
        <f>HYPERLINK("https://esbl.nhlbi.nih.gov/Databases/mpkFractions/proteomic_fractions_linear_files/Yang_linear_img/83642836.jpg","show blot")</f>
        <v>show blot</v>
      </c>
      <c r="J769" s="5" t="s">
        <v>1534</v>
      </c>
      <c r="L769" s="11">
        <v>5.368376737217873</v>
      </c>
      <c r="N769" s="12"/>
    </row>
    <row r="770" spans="1:14" s="5" customFormat="1" ht="15" customHeight="1" x14ac:dyDescent="0.25">
      <c r="A770" s="9" t="s">
        <v>1535</v>
      </c>
      <c r="C770" s="9" t="str">
        <f>HYPERLINK("http://www.ncbi.nlm.nih.gov/protein/83649713","Baiap2")</f>
        <v>Baiap2</v>
      </c>
      <c r="D770" s="10">
        <f t="shared" si="11"/>
        <v>5.368376737217873</v>
      </c>
      <c r="F770" s="8" t="str">
        <f>HYPERLINK("https://esbl.nhlbi.nih.gov/Databases/mpkFractions/proteomic_fractions_log_files/Yang_log_img/83649713.jpg","show blot")</f>
        <v>show blot</v>
      </c>
      <c r="H770" s="8" t="str">
        <f>HYPERLINK("https://esbl.nhlbi.nih.gov/Databases/mpkFractions/proteomic_fractions_linear_files/Yang_linear_img/83649713.jpg","show blot")</f>
        <v>show blot</v>
      </c>
      <c r="J770" s="5" t="s">
        <v>1536</v>
      </c>
      <c r="L770" s="11">
        <v>5.368376737217873</v>
      </c>
      <c r="N770" s="12"/>
    </row>
    <row r="771" spans="1:14" s="5" customFormat="1" ht="15" customHeight="1" x14ac:dyDescent="0.25">
      <c r="A771" s="9" t="s">
        <v>1537</v>
      </c>
      <c r="C771" s="9" t="str">
        <f>HYPERLINK("http://www.ncbi.nlm.nih.gov/protein/21313234","Baiap2l1")</f>
        <v>Baiap2l1</v>
      </c>
      <c r="D771" s="10">
        <f t="shared" si="11"/>
        <v>4.4743555861823383</v>
      </c>
      <c r="F771" s="8" t="str">
        <f>HYPERLINK("https://esbl.nhlbi.nih.gov/Databases/mpkFractions/proteomic_fractions_log_files/Yang_log_img/21313234.jpg","show blot")</f>
        <v>show blot</v>
      </c>
      <c r="H771" s="8" t="str">
        <f>HYPERLINK("https://esbl.nhlbi.nih.gov/Databases/mpkFractions/proteomic_fractions_linear_files/Yang_linear_img/21313234.jpg","show blot")</f>
        <v>show blot</v>
      </c>
      <c r="J771" s="5" t="s">
        <v>1538</v>
      </c>
      <c r="L771" s="11">
        <v>4.4743555861823383</v>
      </c>
      <c r="N771" s="12"/>
    </row>
    <row r="772" spans="1:14" s="5" customFormat="1" ht="15" customHeight="1" x14ac:dyDescent="0.25">
      <c r="A772" s="9" t="s">
        <v>1539</v>
      </c>
      <c r="C772" s="9" t="str">
        <f>HYPERLINK("http://www.ncbi.nlm.nih.gov/protein/111955302","Bak1")</f>
        <v>Bak1</v>
      </c>
      <c r="D772" s="10">
        <f t="shared" si="11"/>
        <v>4.7828340423422633</v>
      </c>
      <c r="F772" s="8" t="str">
        <f>HYPERLINK("https://esbl.nhlbi.nih.gov/Databases/mpkFractions/proteomic_fractions_log_files/Yang_log_img/111955302.jpg","show blot")</f>
        <v>show blot</v>
      </c>
      <c r="H772" s="8" t="str">
        <f>HYPERLINK("https://esbl.nhlbi.nih.gov/Databases/mpkFractions/proteomic_fractions_linear_files/Yang_linear_img/111955302.jpg","show blot")</f>
        <v>show blot</v>
      </c>
      <c r="J772" s="5" t="s">
        <v>1540</v>
      </c>
      <c r="L772" s="11">
        <v>4.7828340423422633</v>
      </c>
      <c r="N772" s="12"/>
    </row>
    <row r="773" spans="1:14" s="5" customFormat="1" ht="15" customHeight="1" x14ac:dyDescent="0.25">
      <c r="A773" s="9" t="s">
        <v>1541</v>
      </c>
      <c r="C773" s="9" t="str">
        <f>HYPERLINK("http://www.ncbi.nlm.nih.gov/protein/6753178;84042521","Banf1")</f>
        <v>Banf1</v>
      </c>
      <c r="D773" s="10">
        <f t="shared" ref="D773:D836" si="12">L773</f>
        <v>5.8026846621632551</v>
      </c>
      <c r="F773" s="8" t="str">
        <f>HYPERLINK("https://esbl.nhlbi.nih.gov/Databases/mpkFractions/proteomic_fractions_log_files/Yang_log_img/6753178;84042521.jpg","show blot")</f>
        <v>show blot</v>
      </c>
      <c r="H773" s="8" t="str">
        <f>HYPERLINK("https://esbl.nhlbi.nih.gov/Databases/mpkFractions/proteomic_fractions_linear_files/Yang_linear_img/6753178;84042521.jpg","show blot")</f>
        <v>show blot</v>
      </c>
      <c r="J773" s="5" t="s">
        <v>1542</v>
      </c>
      <c r="L773" s="11">
        <v>5.8026846621632551</v>
      </c>
      <c r="N773" s="12"/>
    </row>
    <row r="774" spans="1:14" s="5" customFormat="1" ht="15" customHeight="1" x14ac:dyDescent="0.25">
      <c r="A774" s="9" t="s">
        <v>1543</v>
      </c>
      <c r="C774" s="9" t="str">
        <f>HYPERLINK("http://www.ncbi.nlm.nih.gov/protein/84042521","Banf1")</f>
        <v>Banf1</v>
      </c>
      <c r="D774" s="10">
        <f t="shared" si="12"/>
        <v>5.8026846621632551</v>
      </c>
      <c r="F774" s="8" t="str">
        <f>HYPERLINK("https://esbl.nhlbi.nih.gov/Databases/mpkFractions/proteomic_fractions_log_files/Yang_log_img/84042521.jpg","show blot")</f>
        <v>show blot</v>
      </c>
      <c r="H774" s="8" t="str">
        <f>HYPERLINK("https://esbl.nhlbi.nih.gov/Databases/mpkFractions/proteomic_fractions_linear_files/Yang_linear_img/84042521.jpg","show blot")</f>
        <v>show blot</v>
      </c>
      <c r="J774" s="5" t="s">
        <v>1542</v>
      </c>
      <c r="L774" s="11">
        <v>5.8026846621632551</v>
      </c>
      <c r="N774" s="12"/>
    </row>
    <row r="775" spans="1:14" s="5" customFormat="1" ht="15" customHeight="1" x14ac:dyDescent="0.25">
      <c r="A775" s="9" t="s">
        <v>1544</v>
      </c>
      <c r="C775" s="9" t="str">
        <f>HYPERLINK("http://www.ncbi.nlm.nih.gov/protein/45598372","Basp1")</f>
        <v>Basp1</v>
      </c>
      <c r="D775" s="10">
        <f t="shared" si="12"/>
        <v>6.1059328953848766</v>
      </c>
      <c r="F775" s="8" t="str">
        <f>HYPERLINK("https://esbl.nhlbi.nih.gov/Databases/mpkFractions/proteomic_fractions_log_files/Yang_log_img/45598372.jpg","show blot")</f>
        <v>show blot</v>
      </c>
      <c r="H775" s="8" t="str">
        <f>HYPERLINK("https://esbl.nhlbi.nih.gov/Databases/mpkFractions/proteomic_fractions_linear_files/Yang_linear_img/45598372.jpg","show blot")</f>
        <v>show blot</v>
      </c>
      <c r="J775" s="5" t="s">
        <v>1545</v>
      </c>
      <c r="L775" s="11">
        <v>6.1059328953848766</v>
      </c>
      <c r="N775" s="12"/>
    </row>
    <row r="776" spans="1:14" s="5" customFormat="1" ht="15" customHeight="1" x14ac:dyDescent="0.25">
      <c r="A776" s="9" t="s">
        <v>1546</v>
      </c>
      <c r="C776" s="9" t="str">
        <f>HYPERLINK("http://www.ncbi.nlm.nih.gov/protein/6680770","Bax")</f>
        <v>Bax</v>
      </c>
      <c r="D776" s="10">
        <f t="shared" si="12"/>
        <v>5.6006829348837206</v>
      </c>
      <c r="F776" s="8" t="str">
        <f>HYPERLINK("https://esbl.nhlbi.nih.gov/Databases/mpkFractions/proteomic_fractions_log_files/Yang_log_img/6680770.jpg","show blot")</f>
        <v>show blot</v>
      </c>
      <c r="H776" s="8" t="str">
        <f>HYPERLINK("https://esbl.nhlbi.nih.gov/Databases/mpkFractions/proteomic_fractions_linear_files/Yang_linear_img/6680770.jpg","show blot")</f>
        <v>show blot</v>
      </c>
      <c r="J776" s="5" t="s">
        <v>1547</v>
      </c>
      <c r="L776" s="11">
        <v>5.6006829348837206</v>
      </c>
      <c r="N776" s="12"/>
    </row>
    <row r="777" spans="1:14" s="5" customFormat="1" ht="15" customHeight="1" x14ac:dyDescent="0.25">
      <c r="A777" s="9" t="s">
        <v>1548</v>
      </c>
      <c r="C777" s="9" t="str">
        <f>HYPERLINK("http://www.ncbi.nlm.nih.gov/protein/170295818","Baz1b")</f>
        <v>Baz1b</v>
      </c>
      <c r="D777" s="10">
        <f t="shared" si="12"/>
        <v>3.8967079173545649</v>
      </c>
      <c r="F777" s="8" t="str">
        <f>HYPERLINK("https://esbl.nhlbi.nih.gov/Databases/mpkFractions/proteomic_fractions_log_files/Yang_log_img/170295818.jpg","show blot")</f>
        <v>show blot</v>
      </c>
      <c r="H777" s="8" t="str">
        <f>HYPERLINK("https://esbl.nhlbi.nih.gov/Databases/mpkFractions/proteomic_fractions_linear_files/Yang_linear_img/170295818.jpg","show blot")</f>
        <v>show blot</v>
      </c>
      <c r="J777" s="5" t="s">
        <v>1549</v>
      </c>
      <c r="L777" s="11">
        <v>3.8967079173545649</v>
      </c>
      <c r="N777" s="12"/>
    </row>
    <row r="778" spans="1:14" s="5" customFormat="1" ht="15" customHeight="1" x14ac:dyDescent="0.25">
      <c r="A778" s="9" t="s">
        <v>1550</v>
      </c>
      <c r="C778" s="9" t="str">
        <f>HYPERLINK("http://www.ncbi.nlm.nih.gov/protein/294774603","BB287469")</f>
        <v>BB287469</v>
      </c>
      <c r="D778" s="10">
        <f t="shared" si="12"/>
        <v>4.9335661807843856</v>
      </c>
      <c r="F778" s="8" t="str">
        <f>HYPERLINK("https://esbl.nhlbi.nih.gov/Databases/mpkFractions/proteomic_fractions_log_files/Yang_log_img/294774603.jpg","show blot")</f>
        <v>show blot</v>
      </c>
      <c r="H778" s="8" t="str">
        <f>HYPERLINK("https://esbl.nhlbi.nih.gov/Databases/mpkFractions/proteomic_fractions_linear_files/Yang_linear_img/294774603.jpg","show blot")</f>
        <v>show blot</v>
      </c>
      <c r="J778" s="5" t="s">
        <v>1551</v>
      </c>
      <c r="L778" s="11">
        <v>4.9335661807843856</v>
      </c>
      <c r="N778" s="12"/>
    </row>
    <row r="779" spans="1:14" s="5" customFormat="1" ht="15" customHeight="1" x14ac:dyDescent="0.25">
      <c r="A779" s="9" t="s">
        <v>1552</v>
      </c>
      <c r="C779" s="9" t="str">
        <f>HYPERLINK("http://www.ncbi.nlm.nih.gov/protein/305855096","Bbip1")</f>
        <v>Bbip1</v>
      </c>
      <c r="D779" s="10" t="str">
        <f t="shared" si="12"/>
        <v>-</v>
      </c>
      <c r="F779" s="8" t="str">
        <f>HYPERLINK("https://esbl.nhlbi.nih.gov/Databases/mpkFractions/proteomic_fractions_log_files/Yang_log_img/305855096.jpg","show blot")</f>
        <v>show blot</v>
      </c>
      <c r="H779" s="8" t="str">
        <f>HYPERLINK("https://esbl.nhlbi.nih.gov/Databases/mpkFractions/proteomic_fractions_linear_files/Yang_linear_img/305855096.jpg","show blot")</f>
        <v>show blot</v>
      </c>
      <c r="J779" s="5" t="s">
        <v>1553</v>
      </c>
      <c r="L779" s="13" t="s">
        <v>389</v>
      </c>
      <c r="N779" s="12"/>
    </row>
    <row r="780" spans="1:14" s="5" customFormat="1" ht="15" customHeight="1" x14ac:dyDescent="0.25">
      <c r="A780" s="9" t="s">
        <v>1554</v>
      </c>
      <c r="C780" s="9" t="str">
        <f>HYPERLINK("http://www.ncbi.nlm.nih.gov/protein/84370025","Bbs1")</f>
        <v>Bbs1</v>
      </c>
      <c r="D780" s="10">
        <f t="shared" si="12"/>
        <v>3.1938524394765859</v>
      </c>
      <c r="F780" s="8" t="str">
        <f>HYPERLINK("https://esbl.nhlbi.nih.gov/Databases/mpkFractions/proteomic_fractions_log_files/Yang_log_img/84370025.jpg","show blot")</f>
        <v>show blot</v>
      </c>
      <c r="H780" s="8" t="str">
        <f>HYPERLINK("https://esbl.nhlbi.nih.gov/Databases/mpkFractions/proteomic_fractions_linear_files/Yang_linear_img/84370025.jpg","show blot")</f>
        <v>show blot</v>
      </c>
      <c r="J780" s="5" t="s">
        <v>1555</v>
      </c>
      <c r="L780" s="11">
        <v>3.1938524394765859</v>
      </c>
      <c r="N780" s="12"/>
    </row>
    <row r="781" spans="1:14" s="5" customFormat="1" ht="15" customHeight="1" x14ac:dyDescent="0.25">
      <c r="A781" s="9" t="s">
        <v>1556</v>
      </c>
      <c r="C781" s="9" t="str">
        <f>HYPERLINK("http://www.ncbi.nlm.nih.gov/protein/116805315","BC003331")</f>
        <v>BC003331</v>
      </c>
      <c r="D781" s="10">
        <f t="shared" si="12"/>
        <v>2.897674407003592</v>
      </c>
      <c r="F781" s="8" t="str">
        <f>HYPERLINK("https://esbl.nhlbi.nih.gov/Databases/mpkFractions/proteomic_fractions_log_files/Yang_log_img/116805315.jpg","show blot")</f>
        <v>show blot</v>
      </c>
      <c r="H781" s="8" t="str">
        <f>HYPERLINK("https://esbl.nhlbi.nih.gov/Databases/mpkFractions/proteomic_fractions_linear_files/Yang_linear_img/116805315.jpg","show blot")</f>
        <v>show blot</v>
      </c>
      <c r="J781" s="5" t="s">
        <v>1557</v>
      </c>
      <c r="L781" s="11">
        <v>2.897674407003592</v>
      </c>
      <c r="N781" s="12"/>
    </row>
    <row r="782" spans="1:14" s="5" customFormat="1" ht="15" customHeight="1" x14ac:dyDescent="0.25">
      <c r="A782" s="9" t="s">
        <v>1558</v>
      </c>
      <c r="C782" s="9" t="str">
        <f>HYPERLINK("http://www.ncbi.nlm.nih.gov/protein/116805317","BC003331")</f>
        <v>BC003331</v>
      </c>
      <c r="D782" s="10">
        <f t="shared" si="12"/>
        <v>2.897674407003592</v>
      </c>
      <c r="F782" s="8" t="str">
        <f>HYPERLINK("https://esbl.nhlbi.nih.gov/Databases/mpkFractions/proteomic_fractions_log_files/Yang_log_img/116805317.jpg","show blot")</f>
        <v>show blot</v>
      </c>
      <c r="H782" s="8" t="str">
        <f>HYPERLINK("https://esbl.nhlbi.nih.gov/Databases/mpkFractions/proteomic_fractions_linear_files/Yang_linear_img/116805317.jpg","show blot")</f>
        <v>show blot</v>
      </c>
      <c r="J782" s="5" t="s">
        <v>1559</v>
      </c>
      <c r="L782" s="11">
        <v>2.897674407003592</v>
      </c>
      <c r="N782" s="12"/>
    </row>
    <row r="783" spans="1:14" s="5" customFormat="1" ht="15" customHeight="1" x14ac:dyDescent="0.25">
      <c r="A783" s="9" t="s">
        <v>1560</v>
      </c>
      <c r="C783" s="9" t="str">
        <f>HYPERLINK("http://www.ncbi.nlm.nih.gov/protein/268607692","BC003965")</f>
        <v>BC003965</v>
      </c>
      <c r="D783" s="10">
        <f t="shared" si="12"/>
        <v>4.1472295004478266</v>
      </c>
      <c r="F783" s="8" t="str">
        <f>HYPERLINK("https://esbl.nhlbi.nih.gov/Databases/mpkFractions/proteomic_fractions_log_files/Yang_log_img/268607692.jpg","show blot")</f>
        <v>show blot</v>
      </c>
      <c r="H783" s="8" t="str">
        <f>HYPERLINK("https://esbl.nhlbi.nih.gov/Databases/mpkFractions/proteomic_fractions_linear_files/Yang_linear_img/268607692.jpg","show blot")</f>
        <v>show blot</v>
      </c>
      <c r="J783" s="5" t="s">
        <v>1561</v>
      </c>
      <c r="L783" s="11">
        <v>4.1472295004478266</v>
      </c>
      <c r="N783" s="12"/>
    </row>
    <row r="784" spans="1:14" s="5" customFormat="1" ht="15" customHeight="1" x14ac:dyDescent="0.25">
      <c r="A784" s="9" t="s">
        <v>1562</v>
      </c>
      <c r="C784" s="9" t="str">
        <f>HYPERLINK("http://www.ncbi.nlm.nih.gov/protein/262205179","BC005561")</f>
        <v>BC005561</v>
      </c>
      <c r="D784" s="10">
        <f t="shared" si="12"/>
        <v>2.2790329381911349</v>
      </c>
      <c r="F784" s="8" t="str">
        <f>HYPERLINK("https://esbl.nhlbi.nih.gov/Databases/mpkFractions/proteomic_fractions_log_files/Yang_log_img/262205179.jpg","show blot")</f>
        <v>show blot</v>
      </c>
      <c r="H784" s="8" t="str">
        <f>HYPERLINK("https://esbl.nhlbi.nih.gov/Databases/mpkFractions/proteomic_fractions_linear_files/Yang_linear_img/262205179.jpg","show blot")</f>
        <v>show blot</v>
      </c>
      <c r="J784" s="5" t="s">
        <v>1563</v>
      </c>
      <c r="L784" s="11">
        <v>2.2790329381911349</v>
      </c>
      <c r="N784" s="12"/>
    </row>
    <row r="785" spans="1:14" s="5" customFormat="1" ht="15" customHeight="1" x14ac:dyDescent="0.25">
      <c r="A785" s="9" t="s">
        <v>1564</v>
      </c>
      <c r="C785" s="9" t="str">
        <f>HYPERLINK("http://www.ncbi.nlm.nih.gov/protein/21450249","BC005624")</f>
        <v>BC005624</v>
      </c>
      <c r="D785" s="10">
        <f t="shared" si="12"/>
        <v>3.8889405939452599</v>
      </c>
      <c r="F785" s="8" t="str">
        <f>HYPERLINK("https://esbl.nhlbi.nih.gov/Databases/mpkFractions/proteomic_fractions_log_files/Yang_log_img/21450249.jpg","show blot")</f>
        <v>show blot</v>
      </c>
      <c r="H785" s="8" t="str">
        <f>HYPERLINK("https://esbl.nhlbi.nih.gov/Databases/mpkFractions/proteomic_fractions_linear_files/Yang_linear_img/21450249.jpg","show blot")</f>
        <v>show blot</v>
      </c>
      <c r="J785" s="5" t="s">
        <v>1565</v>
      </c>
      <c r="L785" s="11">
        <v>3.8889405939452599</v>
      </c>
      <c r="N785" s="12"/>
    </row>
    <row r="786" spans="1:14" s="5" customFormat="1" ht="15" customHeight="1" x14ac:dyDescent="0.25">
      <c r="A786" s="9" t="s">
        <v>1566</v>
      </c>
      <c r="C786" s="9" t="str">
        <f>HYPERLINK("http://www.ncbi.nlm.nih.gov/protein/357527359","BC017643")</f>
        <v>BC017643</v>
      </c>
      <c r="D786" s="10">
        <f t="shared" si="12"/>
        <v>4.472916005663369</v>
      </c>
      <c r="F786" s="8" t="str">
        <f>HYPERLINK("https://esbl.nhlbi.nih.gov/Databases/mpkFractions/proteomic_fractions_log_files/Yang_log_img/357527359.jpg","show blot")</f>
        <v>show blot</v>
      </c>
      <c r="H786" s="8" t="str">
        <f>HYPERLINK("https://esbl.nhlbi.nih.gov/Databases/mpkFractions/proteomic_fractions_linear_files/Yang_linear_img/357527359.jpg","show blot")</f>
        <v>show blot</v>
      </c>
      <c r="J786" s="5" t="s">
        <v>1567</v>
      </c>
      <c r="L786" s="11">
        <v>4.472916005663369</v>
      </c>
      <c r="N786" s="12"/>
    </row>
    <row r="787" spans="1:14" s="5" customFormat="1" ht="15" customHeight="1" x14ac:dyDescent="0.25">
      <c r="A787" s="9" t="s">
        <v>1568</v>
      </c>
      <c r="C787" s="9" t="str">
        <f>HYPERLINK("http://www.ncbi.nlm.nih.gov/protein/21450219","BC017643")</f>
        <v>BC017643</v>
      </c>
      <c r="D787" s="10">
        <f t="shared" si="12"/>
        <v>4.472916005663369</v>
      </c>
      <c r="F787" s="8" t="str">
        <f>HYPERLINK("https://esbl.nhlbi.nih.gov/Databases/mpkFractions/proteomic_fractions_log_files/Yang_log_img/21450219.jpg","show blot")</f>
        <v>show blot</v>
      </c>
      <c r="H787" s="8" t="str">
        <f>HYPERLINK("https://esbl.nhlbi.nih.gov/Databases/mpkFractions/proteomic_fractions_linear_files/Yang_linear_img/21450219.jpg","show blot")</f>
        <v>show blot</v>
      </c>
      <c r="J787" s="5" t="s">
        <v>1569</v>
      </c>
      <c r="L787" s="11">
        <v>4.472916005663369</v>
      </c>
      <c r="N787" s="12"/>
    </row>
    <row r="788" spans="1:14" s="5" customFormat="1" ht="15" customHeight="1" x14ac:dyDescent="0.25">
      <c r="A788" s="9" t="s">
        <v>1570</v>
      </c>
      <c r="C788" s="9" t="str">
        <f>HYPERLINK("http://www.ncbi.nlm.nih.gov/protein/361050365","BC017643")</f>
        <v>BC017643</v>
      </c>
      <c r="D788" s="10">
        <f t="shared" si="12"/>
        <v>4.472916005663369</v>
      </c>
      <c r="F788" s="8" t="str">
        <f>HYPERLINK("https://esbl.nhlbi.nih.gov/Databases/mpkFractions/proteomic_fractions_log_files/Yang_log_img/361050365.jpg","show blot")</f>
        <v>show blot</v>
      </c>
      <c r="H788" s="8" t="str">
        <f>HYPERLINK("https://esbl.nhlbi.nih.gov/Databases/mpkFractions/proteomic_fractions_linear_files/Yang_linear_img/361050365.jpg","show blot")</f>
        <v>show blot</v>
      </c>
      <c r="J788" s="5" t="s">
        <v>1571</v>
      </c>
      <c r="L788" s="11">
        <v>4.472916005663369</v>
      </c>
      <c r="N788" s="12"/>
    </row>
    <row r="789" spans="1:14" s="5" customFormat="1" ht="15" customHeight="1" x14ac:dyDescent="0.25">
      <c r="A789" s="9" t="s">
        <v>1572</v>
      </c>
      <c r="C789" s="9" t="str">
        <f>HYPERLINK("http://www.ncbi.nlm.nih.gov/protein/21450105","BC021614")</f>
        <v>BC021614</v>
      </c>
      <c r="D789" s="10">
        <f t="shared" si="12"/>
        <v>5.91158677783916</v>
      </c>
      <c r="F789" s="8" t="str">
        <f>HYPERLINK("https://esbl.nhlbi.nih.gov/Databases/mpkFractions/proteomic_fractions_log_files/Yang_log_img/21450105.jpg","show blot")</f>
        <v>show blot</v>
      </c>
      <c r="H789" s="8" t="str">
        <f>HYPERLINK("https://esbl.nhlbi.nih.gov/Databases/mpkFractions/proteomic_fractions_linear_files/Yang_linear_img/21450105.jpg","show blot")</f>
        <v>show blot</v>
      </c>
      <c r="J789" s="5" t="s">
        <v>1573</v>
      </c>
      <c r="L789" s="11">
        <v>5.91158677783916</v>
      </c>
      <c r="N789" s="12"/>
    </row>
    <row r="790" spans="1:14" s="5" customFormat="1" ht="15" customHeight="1" x14ac:dyDescent="0.25">
      <c r="A790" s="9" t="s">
        <v>1574</v>
      </c>
      <c r="C790" s="9" t="str">
        <f>HYPERLINK("http://www.ncbi.nlm.nih.gov/protein/119637821","BC021891")</f>
        <v>BC021891</v>
      </c>
      <c r="D790" s="10">
        <f t="shared" si="12"/>
        <v>3.4023755114615311</v>
      </c>
      <c r="F790" s="8" t="str">
        <f>HYPERLINK("https://esbl.nhlbi.nih.gov/Databases/mpkFractions/proteomic_fractions_log_files/Yang_log_img/119637821.jpg","show blot")</f>
        <v>show blot</v>
      </c>
      <c r="H790" s="8" t="str">
        <f>HYPERLINK("https://esbl.nhlbi.nih.gov/Databases/mpkFractions/proteomic_fractions_linear_files/Yang_linear_img/119637821.jpg","show blot")</f>
        <v>show blot</v>
      </c>
      <c r="J790" s="5" t="s">
        <v>1575</v>
      </c>
      <c r="L790" s="11">
        <v>3.4023755114615311</v>
      </c>
      <c r="N790" s="12"/>
    </row>
    <row r="791" spans="1:14" s="5" customFormat="1" ht="15" customHeight="1" x14ac:dyDescent="0.25">
      <c r="A791" s="9" t="s">
        <v>1576</v>
      </c>
      <c r="C791" s="9" t="str">
        <f>HYPERLINK("http://www.ncbi.nlm.nih.gov/protein/124487245","BC026590")</f>
        <v>BC026590</v>
      </c>
      <c r="D791" s="10">
        <f t="shared" si="12"/>
        <v>4.8257728807470581</v>
      </c>
      <c r="F791" s="8" t="str">
        <f>HYPERLINK("https://esbl.nhlbi.nih.gov/Databases/mpkFractions/proteomic_fractions_log_files/Yang_log_img/124487245.jpg","show blot")</f>
        <v>show blot</v>
      </c>
      <c r="H791" s="8" t="str">
        <f>HYPERLINK("https://esbl.nhlbi.nih.gov/Databases/mpkFractions/proteomic_fractions_linear_files/Yang_linear_img/124487245.jpg","show blot")</f>
        <v>show blot</v>
      </c>
      <c r="J791" s="5" t="s">
        <v>1577</v>
      </c>
      <c r="L791" s="11">
        <v>4.8257728807470581</v>
      </c>
      <c r="N791" s="12"/>
    </row>
    <row r="792" spans="1:14" s="5" customFormat="1" ht="15" customHeight="1" x14ac:dyDescent="0.25">
      <c r="A792" s="9" t="s">
        <v>1578</v>
      </c>
      <c r="C792" s="9" t="str">
        <f>HYPERLINK("http://www.ncbi.nlm.nih.gov/protein/22122411","BC027231")</f>
        <v>BC027231</v>
      </c>
      <c r="D792" s="10">
        <f t="shared" si="12"/>
        <v>3.0896930248318459</v>
      </c>
      <c r="F792" s="8" t="str">
        <f>HYPERLINK("https://esbl.nhlbi.nih.gov/Databases/mpkFractions/proteomic_fractions_log_files/Yang_log_img/22122411.jpg","show blot")</f>
        <v>show blot</v>
      </c>
      <c r="H792" s="8" t="str">
        <f>HYPERLINK("https://esbl.nhlbi.nih.gov/Databases/mpkFractions/proteomic_fractions_linear_files/Yang_linear_img/22122411.jpg","show blot")</f>
        <v>show blot</v>
      </c>
      <c r="J792" s="5" t="s">
        <v>1579</v>
      </c>
      <c r="L792" s="11">
        <v>3.0896930248318459</v>
      </c>
      <c r="N792" s="12"/>
    </row>
    <row r="793" spans="1:14" s="5" customFormat="1" ht="15" customHeight="1" x14ac:dyDescent="0.25">
      <c r="A793" s="9" t="s">
        <v>1580</v>
      </c>
      <c r="C793" s="9" t="str">
        <f>HYPERLINK("http://www.ncbi.nlm.nih.gov/protein/47564127","BC048507")</f>
        <v>BC048507</v>
      </c>
      <c r="D793" s="10">
        <f t="shared" si="12"/>
        <v>5.6109061467814971</v>
      </c>
      <c r="F793" s="8" t="str">
        <f>HYPERLINK("https://esbl.nhlbi.nih.gov/Databases/mpkFractions/proteomic_fractions_log_files/Yang_log_img/47564127.jpg","show blot")</f>
        <v>show blot</v>
      </c>
      <c r="H793" s="8" t="str">
        <f>HYPERLINK("https://esbl.nhlbi.nih.gov/Databases/mpkFractions/proteomic_fractions_linear_files/Yang_linear_img/47564127.jpg","show blot")</f>
        <v>show blot</v>
      </c>
      <c r="J793" s="5" t="s">
        <v>1581</v>
      </c>
      <c r="L793" s="11">
        <v>5.6109061467814971</v>
      </c>
      <c r="N793" s="12"/>
    </row>
    <row r="794" spans="1:14" s="5" customFormat="1" ht="15" customHeight="1" x14ac:dyDescent="0.25">
      <c r="A794" s="9" t="s">
        <v>1582</v>
      </c>
      <c r="C794" s="9" t="str">
        <f>HYPERLINK("http://www.ncbi.nlm.nih.gov/protein/255522839","BC051142")</f>
        <v>BC051142</v>
      </c>
      <c r="D794" s="10">
        <f t="shared" si="12"/>
        <v>5.2483016966837459</v>
      </c>
      <c r="F794" s="8" t="str">
        <f>HYPERLINK("https://esbl.nhlbi.nih.gov/Databases/mpkFractions/proteomic_fractions_log_files/Yang_log_img/255522839.jpg","show blot")</f>
        <v>show blot</v>
      </c>
      <c r="H794" s="8" t="str">
        <f>HYPERLINK("https://esbl.nhlbi.nih.gov/Databases/mpkFractions/proteomic_fractions_linear_files/Yang_linear_img/255522839.jpg","show blot")</f>
        <v>show blot</v>
      </c>
      <c r="J794" s="5" t="s">
        <v>1583</v>
      </c>
      <c r="L794" s="11">
        <v>5.2483016966837459</v>
      </c>
      <c r="N794" s="12"/>
    </row>
    <row r="795" spans="1:14" s="5" customFormat="1" ht="15" customHeight="1" x14ac:dyDescent="0.25">
      <c r="A795" s="9" t="s">
        <v>1584</v>
      </c>
      <c r="C795" s="9" t="str">
        <f>HYPERLINK("http://www.ncbi.nlm.nih.gov/protein/283046767","BC068281")</f>
        <v>BC068281</v>
      </c>
      <c r="D795" s="10">
        <f t="shared" si="12"/>
        <v>2.545034505228267</v>
      </c>
      <c r="F795" s="8" t="str">
        <f>HYPERLINK("https://esbl.nhlbi.nih.gov/Databases/mpkFractions/proteomic_fractions_log_files/Yang_log_img/283046767.jpg","show blot")</f>
        <v>show blot</v>
      </c>
      <c r="H795" s="8" t="str">
        <f>HYPERLINK("https://esbl.nhlbi.nih.gov/Databases/mpkFractions/proteomic_fractions_linear_files/Yang_linear_img/283046767.jpg","show blot")</f>
        <v>show blot</v>
      </c>
      <c r="J795" s="5" t="s">
        <v>1585</v>
      </c>
      <c r="L795" s="11">
        <v>2.545034505228267</v>
      </c>
      <c r="N795" s="12"/>
    </row>
    <row r="796" spans="1:14" s="5" customFormat="1" ht="15" customHeight="1" x14ac:dyDescent="0.25">
      <c r="A796" s="9" t="s">
        <v>1586</v>
      </c>
      <c r="C796" s="9" t="str">
        <f>HYPERLINK("http://www.ncbi.nlm.nih.gov/protein/283046769","BC068281")</f>
        <v>BC068281</v>
      </c>
      <c r="D796" s="10">
        <f t="shared" si="12"/>
        <v>2.545034505228267</v>
      </c>
      <c r="F796" s="8" t="str">
        <f>HYPERLINK("https://esbl.nhlbi.nih.gov/Databases/mpkFractions/proteomic_fractions_log_files/Yang_log_img/283046769.jpg","show blot")</f>
        <v>show blot</v>
      </c>
      <c r="H796" s="8" t="str">
        <f>HYPERLINK("https://esbl.nhlbi.nih.gov/Databases/mpkFractions/proteomic_fractions_linear_files/Yang_linear_img/283046769.jpg","show blot")</f>
        <v>show blot</v>
      </c>
      <c r="J796" s="5" t="s">
        <v>1587</v>
      </c>
      <c r="L796" s="11">
        <v>2.545034505228267</v>
      </c>
      <c r="N796" s="12"/>
    </row>
    <row r="797" spans="1:14" s="5" customFormat="1" ht="15" customHeight="1" x14ac:dyDescent="0.25">
      <c r="A797" s="9" t="s">
        <v>1588</v>
      </c>
      <c r="C797" s="9" t="str">
        <f>HYPERLINK("http://www.ncbi.nlm.nih.gov/protein/76781476","BC089491")</f>
        <v>BC089491</v>
      </c>
      <c r="D797" s="10">
        <f t="shared" si="12"/>
        <v>3.8495250330017541</v>
      </c>
      <c r="F797" s="8" t="str">
        <f>HYPERLINK("https://esbl.nhlbi.nih.gov/Databases/mpkFractions/proteomic_fractions_log_files/Yang_log_img/76781476.jpg","show blot")</f>
        <v>show blot</v>
      </c>
      <c r="H797" s="8" t="str">
        <f>HYPERLINK("https://esbl.nhlbi.nih.gov/Databases/mpkFractions/proteomic_fractions_linear_files/Yang_linear_img/76781476.jpg","show blot")</f>
        <v>show blot</v>
      </c>
      <c r="J797" s="5" t="s">
        <v>1589</v>
      </c>
      <c r="L797" s="11">
        <v>3.8495250330017541</v>
      </c>
      <c r="N797" s="12"/>
    </row>
    <row r="798" spans="1:14" s="5" customFormat="1" ht="15" customHeight="1" x14ac:dyDescent="0.25">
      <c r="A798" s="9" t="s">
        <v>1590</v>
      </c>
      <c r="C798" s="9" t="str">
        <f>HYPERLINK("http://www.ncbi.nlm.nih.gov/protein/10048460","Bcam")</f>
        <v>Bcam</v>
      </c>
      <c r="D798" s="10">
        <f t="shared" si="12"/>
        <v>5.2886800682555046</v>
      </c>
      <c r="F798" s="8" t="str">
        <f>HYPERLINK("https://esbl.nhlbi.nih.gov/Databases/mpkFractions/proteomic_fractions_log_files/Yang_log_img/10048460.jpg","show blot")</f>
        <v>show blot</v>
      </c>
      <c r="H798" s="8" t="str">
        <f>HYPERLINK("https://esbl.nhlbi.nih.gov/Databases/mpkFractions/proteomic_fractions_linear_files/Yang_linear_img/10048460.jpg","show blot")</f>
        <v>show blot</v>
      </c>
      <c r="J798" s="5" t="s">
        <v>1591</v>
      </c>
      <c r="L798" s="11">
        <v>5.2886800682555046</v>
      </c>
      <c r="N798" s="12"/>
    </row>
    <row r="799" spans="1:14" s="5" customFormat="1" ht="15" customHeight="1" x14ac:dyDescent="0.25">
      <c r="A799" s="9" t="s">
        <v>1592</v>
      </c>
      <c r="C799" s="9" t="str">
        <f>HYPERLINK("http://www.ncbi.nlm.nih.gov/protein/6671620","Bcap29")</f>
        <v>Bcap29</v>
      </c>
      <c r="D799" s="10">
        <f t="shared" si="12"/>
        <v>2.8048743008369379</v>
      </c>
      <c r="F799" s="8" t="str">
        <f>HYPERLINK("https://esbl.nhlbi.nih.gov/Databases/mpkFractions/proteomic_fractions_log_files/Yang_log_img/6671620.jpg","show blot")</f>
        <v>show blot</v>
      </c>
      <c r="H799" s="8" t="str">
        <f>HYPERLINK("https://esbl.nhlbi.nih.gov/Databases/mpkFractions/proteomic_fractions_linear_files/Yang_linear_img/6671620.jpg","show blot")</f>
        <v>show blot</v>
      </c>
      <c r="J799" s="5" t="s">
        <v>1593</v>
      </c>
      <c r="L799" s="11">
        <v>2.8048743008369379</v>
      </c>
      <c r="N799" s="12"/>
    </row>
    <row r="800" spans="1:14" s="5" customFormat="1" ht="15" customHeight="1" x14ac:dyDescent="0.25">
      <c r="A800" s="9" t="s">
        <v>1594</v>
      </c>
      <c r="C800" s="9" t="str">
        <f>HYPERLINK("http://www.ncbi.nlm.nih.gov/protein/31981310","Bcap31")</f>
        <v>Bcap31</v>
      </c>
      <c r="D800" s="10">
        <f t="shared" si="12"/>
        <v>5.2495910507852432</v>
      </c>
      <c r="F800" s="8" t="str">
        <f>HYPERLINK("https://esbl.nhlbi.nih.gov/Databases/mpkFractions/proteomic_fractions_log_files/Yang_log_img/31981310.jpg","show blot")</f>
        <v>show blot</v>
      </c>
      <c r="H800" s="8" t="str">
        <f>HYPERLINK("https://esbl.nhlbi.nih.gov/Databases/mpkFractions/proteomic_fractions_linear_files/Yang_linear_img/31981310.jpg","show blot")</f>
        <v>show blot</v>
      </c>
      <c r="J800" s="5" t="s">
        <v>1595</v>
      </c>
      <c r="L800" s="11">
        <v>5.2495910507852432</v>
      </c>
      <c r="N800" s="12"/>
    </row>
    <row r="801" spans="1:14" s="5" customFormat="1" ht="15" customHeight="1" x14ac:dyDescent="0.25">
      <c r="A801" s="9" t="s">
        <v>1596</v>
      </c>
      <c r="C801" s="9" t="str">
        <f>HYPERLINK("http://www.ncbi.nlm.nih.gov/protein/311771530","Bcar1")</f>
        <v>Bcar1</v>
      </c>
      <c r="D801" s="10">
        <f t="shared" si="12"/>
        <v>4.3949327231621087</v>
      </c>
      <c r="F801" s="8" t="str">
        <f>HYPERLINK("https://esbl.nhlbi.nih.gov/Databases/mpkFractions/proteomic_fractions_log_files/Yang_log_img/311771530.jpg","show blot")</f>
        <v>show blot</v>
      </c>
      <c r="H801" s="8" t="str">
        <f>HYPERLINK("https://esbl.nhlbi.nih.gov/Databases/mpkFractions/proteomic_fractions_linear_files/Yang_linear_img/311771530.jpg","show blot")</f>
        <v>show blot</v>
      </c>
      <c r="J801" s="5" t="s">
        <v>1597</v>
      </c>
      <c r="L801" s="11">
        <v>4.3949327231621087</v>
      </c>
      <c r="N801" s="12"/>
    </row>
    <row r="802" spans="1:14" s="5" customFormat="1" ht="15" customHeight="1" x14ac:dyDescent="0.25">
      <c r="A802" s="9" t="s">
        <v>1598</v>
      </c>
      <c r="C802" s="9" t="str">
        <f>HYPERLINK("http://www.ncbi.nlm.nih.gov/protein/40254593","Bcar1")</f>
        <v>Bcar1</v>
      </c>
      <c r="D802" s="10">
        <f t="shared" si="12"/>
        <v>4.3949327231621087</v>
      </c>
      <c r="F802" s="8" t="str">
        <f>HYPERLINK("https://esbl.nhlbi.nih.gov/Databases/mpkFractions/proteomic_fractions_log_files/Yang_log_img/40254593.jpg","show blot")</f>
        <v>show blot</v>
      </c>
      <c r="H802" s="8" t="str">
        <f>HYPERLINK("https://esbl.nhlbi.nih.gov/Databases/mpkFractions/proteomic_fractions_linear_files/Yang_linear_img/40254593.jpg","show blot")</f>
        <v>show blot</v>
      </c>
      <c r="J802" s="5" t="s">
        <v>1599</v>
      </c>
      <c r="L802" s="11">
        <v>4.3949327231621087</v>
      </c>
      <c r="N802" s="12"/>
    </row>
    <row r="803" spans="1:14" s="5" customFormat="1" ht="15" customHeight="1" x14ac:dyDescent="0.25">
      <c r="A803" s="9" t="s">
        <v>1600</v>
      </c>
      <c r="C803" s="9" t="str">
        <f>HYPERLINK("http://www.ncbi.nlm.nih.gov/protein/70906453","Bcas2")</f>
        <v>Bcas2</v>
      </c>
      <c r="D803" s="10">
        <f t="shared" si="12"/>
        <v>4.7136639567965988</v>
      </c>
      <c r="F803" s="8" t="str">
        <f>HYPERLINK("https://esbl.nhlbi.nih.gov/Databases/mpkFractions/proteomic_fractions_log_files/Yang_log_img/70906453.jpg","show blot")</f>
        <v>show blot</v>
      </c>
      <c r="H803" s="8" t="str">
        <f>HYPERLINK("https://esbl.nhlbi.nih.gov/Databases/mpkFractions/proteomic_fractions_linear_files/Yang_linear_img/70906453.jpg","show blot")</f>
        <v>show blot</v>
      </c>
      <c r="J803" s="5" t="s">
        <v>1601</v>
      </c>
      <c r="L803" s="11">
        <v>4.7136639567965988</v>
      </c>
      <c r="N803" s="12"/>
    </row>
    <row r="804" spans="1:14" s="5" customFormat="1" ht="15" customHeight="1" x14ac:dyDescent="0.25">
      <c r="A804" s="9" t="s">
        <v>1602</v>
      </c>
      <c r="C804" s="9" t="str">
        <f>HYPERLINK("http://www.ncbi.nlm.nih.gov/protein/161016828","Bcat1")</f>
        <v>Bcat1</v>
      </c>
      <c r="D804" s="10">
        <f t="shared" si="12"/>
        <v>4.7075366665070888</v>
      </c>
      <c r="F804" s="8" t="str">
        <f>HYPERLINK("https://esbl.nhlbi.nih.gov/Databases/mpkFractions/proteomic_fractions_log_files/Yang_log_img/161016828.jpg","show blot")</f>
        <v>show blot</v>
      </c>
      <c r="H804" s="8" t="str">
        <f>HYPERLINK("https://esbl.nhlbi.nih.gov/Databases/mpkFractions/proteomic_fractions_linear_files/Yang_linear_img/161016828.jpg","show blot")</f>
        <v>show blot</v>
      </c>
      <c r="J804" s="5" t="s">
        <v>1603</v>
      </c>
      <c r="L804" s="11">
        <v>4.7075366665070888</v>
      </c>
      <c r="N804" s="12"/>
    </row>
    <row r="805" spans="1:14" s="5" customFormat="1" ht="15" customHeight="1" x14ac:dyDescent="0.25">
      <c r="A805" s="9" t="s">
        <v>1604</v>
      </c>
      <c r="C805" s="9" t="str">
        <f>HYPERLINK("http://www.ncbi.nlm.nih.gov/protein/66792792","Bcat1")</f>
        <v>Bcat1</v>
      </c>
      <c r="D805" s="10">
        <f t="shared" si="12"/>
        <v>4.7075366665070888</v>
      </c>
      <c r="F805" s="8" t="str">
        <f>HYPERLINK("https://esbl.nhlbi.nih.gov/Databases/mpkFractions/proteomic_fractions_log_files/Yang_log_img/66792792.jpg","show blot")</f>
        <v>show blot</v>
      </c>
      <c r="H805" s="8" t="str">
        <f>HYPERLINK("https://esbl.nhlbi.nih.gov/Databases/mpkFractions/proteomic_fractions_linear_files/Yang_linear_img/66792792.jpg","show blot")</f>
        <v>show blot</v>
      </c>
      <c r="J805" s="5" t="s">
        <v>1605</v>
      </c>
      <c r="L805" s="11">
        <v>4.7075366665070888</v>
      </c>
      <c r="N805" s="12"/>
    </row>
    <row r="806" spans="1:14" s="5" customFormat="1" ht="15" customHeight="1" x14ac:dyDescent="0.25">
      <c r="A806" s="9" t="s">
        <v>1606</v>
      </c>
      <c r="C806" s="9" t="str">
        <f>HYPERLINK("http://www.ncbi.nlm.nih.gov/protein/33859514","Bcat2")</f>
        <v>Bcat2</v>
      </c>
      <c r="D806" s="10">
        <f t="shared" si="12"/>
        <v>3.6155689490998948</v>
      </c>
      <c r="F806" s="8" t="str">
        <f>HYPERLINK("https://esbl.nhlbi.nih.gov/Databases/mpkFractions/proteomic_fractions_log_files/Yang_log_img/33859514.jpg","show blot")</f>
        <v>show blot</v>
      </c>
      <c r="H806" s="8" t="str">
        <f>HYPERLINK("https://esbl.nhlbi.nih.gov/Databases/mpkFractions/proteomic_fractions_linear_files/Yang_linear_img/33859514.jpg","show blot")</f>
        <v>show blot</v>
      </c>
      <c r="J806" s="5" t="s">
        <v>1607</v>
      </c>
      <c r="L806" s="11">
        <v>3.6155689490998948</v>
      </c>
      <c r="N806" s="12"/>
    </row>
    <row r="807" spans="1:14" s="5" customFormat="1" ht="15" customHeight="1" x14ac:dyDescent="0.25">
      <c r="A807" s="9" t="s">
        <v>1608</v>
      </c>
      <c r="C807" s="9" t="str">
        <f>HYPERLINK("http://www.ncbi.nlm.nih.gov/protein/340007384","Bcat2")</f>
        <v>Bcat2</v>
      </c>
      <c r="D807" s="10">
        <f t="shared" si="12"/>
        <v>3.6155689490998948</v>
      </c>
      <c r="F807" s="8" t="str">
        <f>HYPERLINK("https://esbl.nhlbi.nih.gov/Databases/mpkFractions/proteomic_fractions_log_files/Yang_log_img/340007384.jpg","show blot")</f>
        <v>show blot</v>
      </c>
      <c r="H807" s="8" t="str">
        <f>HYPERLINK("https://esbl.nhlbi.nih.gov/Databases/mpkFractions/proteomic_fractions_linear_files/Yang_linear_img/340007384.jpg","show blot")</f>
        <v>show blot</v>
      </c>
      <c r="J807" s="5" t="s">
        <v>1609</v>
      </c>
      <c r="L807" s="11">
        <v>3.6155689490998948</v>
      </c>
      <c r="N807" s="12"/>
    </row>
    <row r="808" spans="1:14" s="5" customFormat="1" ht="15" customHeight="1" x14ac:dyDescent="0.25">
      <c r="A808" s="9" t="s">
        <v>1610</v>
      </c>
      <c r="C808" s="9" t="str">
        <f>HYPERLINK("http://www.ncbi.nlm.nih.gov/protein/134031957","Bccip")</f>
        <v>Bccip</v>
      </c>
      <c r="D808" s="10">
        <f t="shared" si="12"/>
        <v>4.6646937632441423</v>
      </c>
      <c r="F808" s="8" t="str">
        <f>HYPERLINK("https://esbl.nhlbi.nih.gov/Databases/mpkFractions/proteomic_fractions_log_files/Yang_log_img/134031957.jpg","show blot")</f>
        <v>show blot</v>
      </c>
      <c r="H808" s="8" t="str">
        <f>HYPERLINK("https://esbl.nhlbi.nih.gov/Databases/mpkFractions/proteomic_fractions_linear_files/Yang_linear_img/134031957.jpg","show blot")</f>
        <v>show blot</v>
      </c>
      <c r="J808" s="5" t="s">
        <v>1611</v>
      </c>
      <c r="L808" s="11">
        <v>4.6646937632441423</v>
      </c>
      <c r="N808" s="12"/>
    </row>
    <row r="809" spans="1:14" s="5" customFormat="1" ht="15" customHeight="1" x14ac:dyDescent="0.25">
      <c r="A809" s="9" t="s">
        <v>1612</v>
      </c>
      <c r="C809" s="9" t="str">
        <f>HYPERLINK("http://www.ncbi.nlm.nih.gov/protein/183396774","Bckdha")</f>
        <v>Bckdha</v>
      </c>
      <c r="D809" s="10">
        <f t="shared" si="12"/>
        <v>2.903010013184967</v>
      </c>
      <c r="F809" s="8" t="str">
        <f>HYPERLINK("https://esbl.nhlbi.nih.gov/Databases/mpkFractions/proteomic_fractions_log_files/Yang_log_img/183396774.jpg","show blot")</f>
        <v>show blot</v>
      </c>
      <c r="H809" s="8" t="str">
        <f>HYPERLINK("https://esbl.nhlbi.nih.gov/Databases/mpkFractions/proteomic_fractions_linear_files/Yang_linear_img/183396774.jpg","show blot")</f>
        <v>show blot</v>
      </c>
      <c r="J809" s="5" t="s">
        <v>1613</v>
      </c>
      <c r="L809" s="11">
        <v>2.903010013184967</v>
      </c>
      <c r="N809" s="12"/>
    </row>
    <row r="810" spans="1:14" s="5" customFormat="1" ht="15" customHeight="1" x14ac:dyDescent="0.25">
      <c r="A810" s="9" t="s">
        <v>1614</v>
      </c>
      <c r="C810" s="9" t="str">
        <f>HYPERLINK("http://www.ncbi.nlm.nih.gov/protein/40353220","Bckdhb")</f>
        <v>Bckdhb</v>
      </c>
      <c r="D810" s="10">
        <f t="shared" si="12"/>
        <v>4.1942987244137546</v>
      </c>
      <c r="F810" s="8" t="str">
        <f>HYPERLINK("https://esbl.nhlbi.nih.gov/Databases/mpkFractions/proteomic_fractions_log_files/Yang_log_img/40353220.jpg","show blot")</f>
        <v>show blot</v>
      </c>
      <c r="H810" s="8" t="str">
        <f>HYPERLINK("https://esbl.nhlbi.nih.gov/Databases/mpkFractions/proteomic_fractions_linear_files/Yang_linear_img/40353220.jpg","show blot")</f>
        <v>show blot</v>
      </c>
      <c r="J810" s="5" t="s">
        <v>1615</v>
      </c>
      <c r="L810" s="11">
        <v>4.1942987244137546</v>
      </c>
      <c r="N810" s="12"/>
    </row>
    <row r="811" spans="1:14" s="5" customFormat="1" ht="15" customHeight="1" x14ac:dyDescent="0.25">
      <c r="A811" s="9" t="s">
        <v>1616</v>
      </c>
      <c r="C811" s="9" t="str">
        <f>HYPERLINK("http://www.ncbi.nlm.nih.gov/protein/6753166","Bcl10")</f>
        <v>Bcl10</v>
      </c>
      <c r="D811" s="10">
        <f t="shared" si="12"/>
        <v>3.9962090583715728</v>
      </c>
      <c r="F811" s="8" t="str">
        <f>HYPERLINK("https://esbl.nhlbi.nih.gov/Databases/mpkFractions/proteomic_fractions_log_files/Yang_log_img/6753166.jpg","show blot")</f>
        <v>show blot</v>
      </c>
      <c r="H811" s="8" t="str">
        <f>HYPERLINK("https://esbl.nhlbi.nih.gov/Databases/mpkFractions/proteomic_fractions_linear_files/Yang_linear_img/6753166.jpg","show blot")</f>
        <v>show blot</v>
      </c>
      <c r="J811" s="5" t="s">
        <v>1617</v>
      </c>
      <c r="L811" s="11">
        <v>3.9962090583715728</v>
      </c>
      <c r="N811" s="12"/>
    </row>
    <row r="812" spans="1:14" s="5" customFormat="1" ht="15" customHeight="1" x14ac:dyDescent="0.25">
      <c r="A812" s="9" t="s">
        <v>1618</v>
      </c>
      <c r="C812" s="9" t="str">
        <f>HYPERLINK("http://www.ncbi.nlm.nih.gov/protein/58037550","Bcl2l1")</f>
        <v>Bcl2l1</v>
      </c>
      <c r="D812" s="10">
        <f t="shared" si="12"/>
        <v>1.6656531389509881</v>
      </c>
      <c r="F812" s="8" t="str">
        <f>HYPERLINK("https://esbl.nhlbi.nih.gov/Databases/mpkFractions/proteomic_fractions_log_files/Yang_log_img/58037550.jpg","show blot")</f>
        <v>show blot</v>
      </c>
      <c r="H812" s="8" t="str">
        <f>HYPERLINK("https://esbl.nhlbi.nih.gov/Databases/mpkFractions/proteomic_fractions_linear_files/Yang_linear_img/58037550.jpg","show blot")</f>
        <v>show blot</v>
      </c>
      <c r="J812" s="5" t="s">
        <v>1619</v>
      </c>
      <c r="L812" s="11">
        <v>1.6656531389509881</v>
      </c>
      <c r="N812" s="12"/>
    </row>
    <row r="813" spans="1:14" s="5" customFormat="1" ht="15" customHeight="1" x14ac:dyDescent="0.25">
      <c r="A813" s="9" t="s">
        <v>1620</v>
      </c>
      <c r="C813" s="9" t="str">
        <f>HYPERLINK("http://www.ncbi.nlm.nih.gov/protein/46592786","Bcl2l11")</f>
        <v>Bcl2l11</v>
      </c>
      <c r="D813" s="10">
        <f t="shared" si="12"/>
        <v>3.380339014611248</v>
      </c>
      <c r="F813" s="8" t="str">
        <f>HYPERLINK("https://esbl.nhlbi.nih.gov/Databases/mpkFractions/proteomic_fractions_log_files/Yang_log_img/46592786.jpg","show blot")</f>
        <v>show blot</v>
      </c>
      <c r="H813" s="8" t="str">
        <f>HYPERLINK("https://esbl.nhlbi.nih.gov/Databases/mpkFractions/proteomic_fractions_linear_files/Yang_linear_img/46592786.jpg","show blot")</f>
        <v>show blot</v>
      </c>
      <c r="J813" s="5" t="s">
        <v>1621</v>
      </c>
      <c r="L813" s="11">
        <v>3.380339014611248</v>
      </c>
      <c r="N813" s="12"/>
    </row>
    <row r="814" spans="1:14" s="5" customFormat="1" ht="15" customHeight="1" x14ac:dyDescent="0.25">
      <c r="A814" s="9" t="s">
        <v>1622</v>
      </c>
      <c r="C814" s="9" t="str">
        <f>HYPERLINK("http://www.ncbi.nlm.nih.gov/protein/23943828","Bcl2l13")</f>
        <v>Bcl2l13</v>
      </c>
      <c r="D814" s="10">
        <f t="shared" si="12"/>
        <v>4.4009069746568246</v>
      </c>
      <c r="F814" s="8" t="str">
        <f>HYPERLINK("https://esbl.nhlbi.nih.gov/Databases/mpkFractions/proteomic_fractions_log_files/Yang_log_img/23943828.jpg","show blot")</f>
        <v>show blot</v>
      </c>
      <c r="H814" s="8" t="str">
        <f>HYPERLINK("https://esbl.nhlbi.nih.gov/Databases/mpkFractions/proteomic_fractions_linear_files/Yang_linear_img/23943828.jpg","show blot")</f>
        <v>show blot</v>
      </c>
      <c r="J814" s="5" t="s">
        <v>1623</v>
      </c>
      <c r="L814" s="11">
        <v>4.4009069746568246</v>
      </c>
      <c r="N814" s="12"/>
    </row>
    <row r="815" spans="1:14" s="5" customFormat="1" ht="15" customHeight="1" x14ac:dyDescent="0.25">
      <c r="A815" s="9" t="s">
        <v>1624</v>
      </c>
      <c r="C815" s="9" t="str">
        <f>HYPERLINK("http://www.ncbi.nlm.nih.gov/protein/38194232","Bcl2l14")</f>
        <v>Bcl2l14</v>
      </c>
      <c r="D815" s="10">
        <f t="shared" si="12"/>
        <v>3.631252831274844</v>
      </c>
      <c r="F815" s="8" t="str">
        <f>HYPERLINK("https://esbl.nhlbi.nih.gov/Databases/mpkFractions/proteomic_fractions_log_files/Yang_log_img/38194232.jpg","show blot")</f>
        <v>show blot</v>
      </c>
      <c r="H815" s="8" t="str">
        <f>HYPERLINK("https://esbl.nhlbi.nih.gov/Databases/mpkFractions/proteomic_fractions_linear_files/Yang_linear_img/38194232.jpg","show blot")</f>
        <v>show blot</v>
      </c>
      <c r="J815" s="5" t="s">
        <v>1625</v>
      </c>
      <c r="L815" s="11">
        <v>3.631252831274844</v>
      </c>
      <c r="N815" s="12"/>
    </row>
    <row r="816" spans="1:14" s="5" customFormat="1" ht="15" customHeight="1" x14ac:dyDescent="0.25">
      <c r="A816" s="9" t="s">
        <v>1626</v>
      </c>
      <c r="C816" s="9" t="str">
        <f>HYPERLINK("http://www.ncbi.nlm.nih.gov/protein/22296593","Bcl7a")</f>
        <v>Bcl7a</v>
      </c>
      <c r="D816" s="10">
        <f t="shared" si="12"/>
        <v>3.5926314847858958</v>
      </c>
      <c r="F816" s="8" t="str">
        <f>HYPERLINK("https://esbl.nhlbi.nih.gov/Databases/mpkFractions/proteomic_fractions_log_files/Yang_log_img/22296593.jpg","show blot")</f>
        <v>show blot</v>
      </c>
      <c r="H816" s="8" t="str">
        <f>HYPERLINK("https://esbl.nhlbi.nih.gov/Databases/mpkFractions/proteomic_fractions_linear_files/Yang_linear_img/22296593.jpg","show blot")</f>
        <v>show blot</v>
      </c>
      <c r="J816" s="5" t="s">
        <v>1627</v>
      </c>
      <c r="L816" s="11">
        <v>3.5926314847858958</v>
      </c>
      <c r="N816" s="12"/>
    </row>
    <row r="817" spans="1:14" s="5" customFormat="1" ht="15" customHeight="1" x14ac:dyDescent="0.25">
      <c r="A817" s="9" t="s">
        <v>1628</v>
      </c>
      <c r="C817" s="9" t="str">
        <f>HYPERLINK("http://www.ncbi.nlm.nih.gov/protein/91206400","Bcl9l")</f>
        <v>Bcl9l</v>
      </c>
      <c r="D817" s="10">
        <f t="shared" si="12"/>
        <v>2.3231881512426771</v>
      </c>
      <c r="F817" s="8" t="str">
        <f>HYPERLINK("https://esbl.nhlbi.nih.gov/Databases/mpkFractions/proteomic_fractions_log_files/Yang_log_img/91206400.jpg","show blot")</f>
        <v>show blot</v>
      </c>
      <c r="H817" s="8" t="str">
        <f>HYPERLINK("https://esbl.nhlbi.nih.gov/Databases/mpkFractions/proteomic_fractions_linear_files/Yang_linear_img/91206400.jpg","show blot")</f>
        <v>show blot</v>
      </c>
      <c r="J817" s="5" t="s">
        <v>1629</v>
      </c>
      <c r="L817" s="11">
        <v>2.3231881512426771</v>
      </c>
      <c r="N817" s="12"/>
    </row>
    <row r="818" spans="1:14" s="5" customFormat="1" ht="15" customHeight="1" x14ac:dyDescent="0.25">
      <c r="A818" s="9" t="s">
        <v>1630</v>
      </c>
      <c r="C818" s="9" t="str">
        <f>HYPERLINK("http://www.ncbi.nlm.nih.gov/protein/24496776","Bclaf1")</f>
        <v>Bclaf1</v>
      </c>
      <c r="D818" s="10">
        <f t="shared" si="12"/>
        <v>4.1242582995972707</v>
      </c>
      <c r="F818" s="8" t="str">
        <f>HYPERLINK("https://esbl.nhlbi.nih.gov/Databases/mpkFractions/proteomic_fractions_log_files/Yang_log_img/24496776.jpg","show blot")</f>
        <v>show blot</v>
      </c>
      <c r="H818" s="8" t="str">
        <f>HYPERLINK("https://esbl.nhlbi.nih.gov/Databases/mpkFractions/proteomic_fractions_linear_files/Yang_linear_img/24496776.jpg","show blot")</f>
        <v>show blot</v>
      </c>
      <c r="J818" s="5" t="s">
        <v>1631</v>
      </c>
      <c r="L818" s="11">
        <v>4.1242582995972707</v>
      </c>
      <c r="N818" s="12"/>
    </row>
    <row r="819" spans="1:14" s="5" customFormat="1" ht="15" customHeight="1" x14ac:dyDescent="0.25">
      <c r="A819" s="9" t="s">
        <v>1632</v>
      </c>
      <c r="C819" s="9" t="str">
        <f>HYPERLINK("http://www.ncbi.nlm.nih.gov/protein/70906447","Bclaf1")</f>
        <v>Bclaf1</v>
      </c>
      <c r="D819" s="10">
        <f t="shared" si="12"/>
        <v>4.1242582995972707</v>
      </c>
      <c r="F819" s="8" t="str">
        <f>HYPERLINK("https://esbl.nhlbi.nih.gov/Databases/mpkFractions/proteomic_fractions_log_files/Yang_log_img/70906447.jpg","show blot")</f>
        <v>show blot</v>
      </c>
      <c r="H819" s="8" t="str">
        <f>HYPERLINK("https://esbl.nhlbi.nih.gov/Databases/mpkFractions/proteomic_fractions_linear_files/Yang_linear_img/70906447.jpg","show blot")</f>
        <v>show blot</v>
      </c>
      <c r="J819" s="5" t="s">
        <v>1633</v>
      </c>
      <c r="L819" s="11">
        <v>4.1242582995972707</v>
      </c>
      <c r="N819" s="12"/>
    </row>
    <row r="820" spans="1:14" s="5" customFormat="1" ht="15" customHeight="1" x14ac:dyDescent="0.25">
      <c r="A820" s="9" t="s">
        <v>1634</v>
      </c>
      <c r="C820" s="9" t="str">
        <f>HYPERLINK("http://www.ncbi.nlm.nih.gov/protein/70906449","Bclaf1")</f>
        <v>Bclaf1</v>
      </c>
      <c r="D820" s="10">
        <f t="shared" si="12"/>
        <v>4.1242582995972707</v>
      </c>
      <c r="F820" s="8" t="str">
        <f>HYPERLINK("https://esbl.nhlbi.nih.gov/Databases/mpkFractions/proteomic_fractions_log_files/Yang_log_img/70906449.jpg","show blot")</f>
        <v>show blot</v>
      </c>
      <c r="H820" s="8" t="str">
        <f>HYPERLINK("https://esbl.nhlbi.nih.gov/Databases/mpkFractions/proteomic_fractions_linear_files/Yang_linear_img/70906449.jpg","show blot")</f>
        <v>show blot</v>
      </c>
      <c r="J820" s="5" t="s">
        <v>1635</v>
      </c>
      <c r="L820" s="11">
        <v>4.1242582995972707</v>
      </c>
      <c r="N820" s="12"/>
    </row>
    <row r="821" spans="1:14" s="5" customFormat="1" ht="15" customHeight="1" x14ac:dyDescent="0.25">
      <c r="A821" s="9" t="s">
        <v>1636</v>
      </c>
      <c r="C821" s="9" t="str">
        <f>HYPERLINK("http://www.ncbi.nlm.nih.gov/protein/124487229","Bcr")</f>
        <v>Bcr</v>
      </c>
      <c r="D821" s="10">
        <f t="shared" si="12"/>
        <v>3.096145526009817</v>
      </c>
      <c r="F821" s="8" t="str">
        <f>HYPERLINK("https://esbl.nhlbi.nih.gov/Databases/mpkFractions/proteomic_fractions_log_files/Yang_log_img/124487229.jpg","show blot")</f>
        <v>show blot</v>
      </c>
      <c r="H821" s="8" t="str">
        <f>HYPERLINK("https://esbl.nhlbi.nih.gov/Databases/mpkFractions/proteomic_fractions_linear_files/Yang_linear_img/124487229.jpg","show blot")</f>
        <v>show blot</v>
      </c>
      <c r="J821" s="5" t="s">
        <v>1637</v>
      </c>
      <c r="L821" s="11">
        <v>3.096145526009817</v>
      </c>
      <c r="N821" s="12"/>
    </row>
    <row r="822" spans="1:14" s="5" customFormat="1" ht="15" customHeight="1" x14ac:dyDescent="0.25">
      <c r="A822" s="9" t="s">
        <v>1638</v>
      </c>
      <c r="C822" s="9" t="str">
        <f>HYPERLINK("http://www.ncbi.nlm.nih.gov/protein/21313544","Bcs1l")</f>
        <v>Bcs1l</v>
      </c>
      <c r="D822" s="10">
        <f t="shared" si="12"/>
        <v>3.3031814068805452</v>
      </c>
      <c r="F822" s="8" t="str">
        <f>HYPERLINK("https://esbl.nhlbi.nih.gov/Databases/mpkFractions/proteomic_fractions_log_files/Yang_log_img/21313544.jpg","show blot")</f>
        <v>show blot</v>
      </c>
      <c r="H822" s="8" t="str">
        <f>HYPERLINK("https://esbl.nhlbi.nih.gov/Databases/mpkFractions/proteomic_fractions_linear_files/Yang_linear_img/21313544.jpg","show blot")</f>
        <v>show blot</v>
      </c>
      <c r="J822" s="5" t="s">
        <v>1639</v>
      </c>
      <c r="L822" s="11">
        <v>3.3031814068805452</v>
      </c>
      <c r="N822" s="12"/>
    </row>
    <row r="823" spans="1:14" s="5" customFormat="1" ht="15" customHeight="1" x14ac:dyDescent="0.25">
      <c r="A823" s="9" t="s">
        <v>1640</v>
      </c>
      <c r="C823" s="9" t="str">
        <f>HYPERLINK("http://www.ncbi.nlm.nih.gov/protein/170014720","Bdh1")</f>
        <v>Bdh1</v>
      </c>
      <c r="D823" s="10">
        <f t="shared" si="12"/>
        <v>4.5434269024129783</v>
      </c>
      <c r="F823" s="8" t="str">
        <f>HYPERLINK("https://esbl.nhlbi.nih.gov/Databases/mpkFractions/proteomic_fractions_log_files/Yang_log_img/170014720.jpg","show blot")</f>
        <v>show blot</v>
      </c>
      <c r="H823" s="8" t="str">
        <f>HYPERLINK("https://esbl.nhlbi.nih.gov/Databases/mpkFractions/proteomic_fractions_linear_files/Yang_linear_img/170014720.jpg","show blot")</f>
        <v>show blot</v>
      </c>
      <c r="J823" s="5" t="s">
        <v>1641</v>
      </c>
      <c r="L823" s="11">
        <v>4.5434269024129783</v>
      </c>
      <c r="N823" s="12"/>
    </row>
    <row r="824" spans="1:14" s="5" customFormat="1" ht="15" customHeight="1" x14ac:dyDescent="0.25">
      <c r="A824" s="9" t="s">
        <v>1642</v>
      </c>
      <c r="C824" s="9" t="str">
        <f>HYPERLINK("http://www.ncbi.nlm.nih.gov/protein/27764875","Becn1")</f>
        <v>Becn1</v>
      </c>
      <c r="D824" s="10">
        <f t="shared" si="12"/>
        <v>3.609978558616997</v>
      </c>
      <c r="F824" s="8" t="str">
        <f>HYPERLINK("https://esbl.nhlbi.nih.gov/Databases/mpkFractions/proteomic_fractions_log_files/Yang_log_img/27764875.jpg","show blot")</f>
        <v>show blot</v>
      </c>
      <c r="H824" s="8" t="str">
        <f>HYPERLINK("https://esbl.nhlbi.nih.gov/Databases/mpkFractions/proteomic_fractions_linear_files/Yang_linear_img/27764875.jpg","show blot")</f>
        <v>show blot</v>
      </c>
      <c r="J824" s="5" t="s">
        <v>1643</v>
      </c>
      <c r="L824" s="11">
        <v>3.609978558616997</v>
      </c>
      <c r="N824" s="12"/>
    </row>
    <row r="825" spans="1:14" s="5" customFormat="1" ht="15" customHeight="1" x14ac:dyDescent="0.25">
      <c r="A825" s="9" t="s">
        <v>1644</v>
      </c>
      <c r="C825" s="9" t="str">
        <f>HYPERLINK("http://www.ncbi.nlm.nih.gov/protein/6753182","Bet1")</f>
        <v>Bet1</v>
      </c>
      <c r="D825" s="10">
        <f t="shared" si="12"/>
        <v>3.867430001477548</v>
      </c>
      <c r="F825" s="8" t="str">
        <f>HYPERLINK("https://esbl.nhlbi.nih.gov/Databases/mpkFractions/proteomic_fractions_log_files/Yang_log_img/6753182.jpg","show blot")</f>
        <v>show blot</v>
      </c>
      <c r="H825" s="8" t="str">
        <f>HYPERLINK("https://esbl.nhlbi.nih.gov/Databases/mpkFractions/proteomic_fractions_linear_files/Yang_linear_img/6753182.jpg","show blot")</f>
        <v>show blot</v>
      </c>
      <c r="J825" s="5" t="s">
        <v>1645</v>
      </c>
      <c r="L825" s="11">
        <v>3.867430001477548</v>
      </c>
      <c r="N825" s="12"/>
    </row>
    <row r="826" spans="1:14" s="5" customFormat="1" ht="15" customHeight="1" x14ac:dyDescent="0.25">
      <c r="A826" s="9" t="s">
        <v>1646</v>
      </c>
      <c r="C826" s="9" t="str">
        <f>HYPERLINK("http://www.ncbi.nlm.nih.gov/protein/170287745","Bet1l")</f>
        <v>Bet1l</v>
      </c>
      <c r="D826" s="10">
        <f t="shared" si="12"/>
        <v>4.0351179664487367</v>
      </c>
      <c r="F826" s="8" t="str">
        <f>HYPERLINK("https://esbl.nhlbi.nih.gov/Databases/mpkFractions/proteomic_fractions_log_files/Yang_log_img/170287745.jpg","show blot")</f>
        <v>show blot</v>
      </c>
      <c r="H826" s="8" t="str">
        <f>HYPERLINK("https://esbl.nhlbi.nih.gov/Databases/mpkFractions/proteomic_fractions_linear_files/Yang_linear_img/170287745.jpg","show blot")</f>
        <v>show blot</v>
      </c>
      <c r="J826" s="5" t="s">
        <v>1647</v>
      </c>
      <c r="L826" s="11">
        <v>4.0351179664487367</v>
      </c>
      <c r="N826" s="12"/>
    </row>
    <row r="827" spans="1:14" s="5" customFormat="1" ht="15" customHeight="1" x14ac:dyDescent="0.25">
      <c r="A827" s="9" t="s">
        <v>1648</v>
      </c>
      <c r="C827" s="9" t="str">
        <f>HYPERLINK("http://www.ncbi.nlm.nih.gov/protein/13994223","Bicc1")</f>
        <v>Bicc1</v>
      </c>
      <c r="D827" s="10">
        <f t="shared" si="12"/>
        <v>3.5893620587560799</v>
      </c>
      <c r="F827" s="8" t="str">
        <f>HYPERLINK("https://esbl.nhlbi.nih.gov/Databases/mpkFractions/proteomic_fractions_log_files/Yang_log_img/13994223.jpg","show blot")</f>
        <v>show blot</v>
      </c>
      <c r="H827" s="8" t="str">
        <f>HYPERLINK("https://esbl.nhlbi.nih.gov/Databases/mpkFractions/proteomic_fractions_linear_files/Yang_linear_img/13994223.jpg","show blot")</f>
        <v>show blot</v>
      </c>
      <c r="J827" s="5" t="s">
        <v>1649</v>
      </c>
      <c r="L827" s="11">
        <v>3.5893620587560799</v>
      </c>
      <c r="N827" s="12"/>
    </row>
    <row r="828" spans="1:14" s="5" customFormat="1" ht="15" customHeight="1" x14ac:dyDescent="0.25">
      <c r="A828" s="9" t="s">
        <v>1650</v>
      </c>
      <c r="C828" s="9" t="str">
        <f>HYPERLINK("http://www.ncbi.nlm.nih.gov/protein/163838764","Bicd1")</f>
        <v>Bicd1</v>
      </c>
      <c r="D828" s="10">
        <f t="shared" si="12"/>
        <v>2.9184063111068781</v>
      </c>
      <c r="F828" s="8" t="str">
        <f>HYPERLINK("https://esbl.nhlbi.nih.gov/Databases/mpkFractions/proteomic_fractions_log_files/Yang_log_img/163838764.jpg","show blot")</f>
        <v>show blot</v>
      </c>
      <c r="H828" s="8" t="str">
        <f>HYPERLINK("https://esbl.nhlbi.nih.gov/Databases/mpkFractions/proteomic_fractions_linear_files/Yang_linear_img/163838764.jpg","show blot")</f>
        <v>show blot</v>
      </c>
      <c r="J828" s="5" t="s">
        <v>1651</v>
      </c>
      <c r="L828" s="11">
        <v>2.9184063111068781</v>
      </c>
      <c r="N828" s="12"/>
    </row>
    <row r="829" spans="1:14" s="5" customFormat="1" ht="15" customHeight="1" x14ac:dyDescent="0.25">
      <c r="A829" s="9" t="s">
        <v>1652</v>
      </c>
      <c r="C829" s="9" t="str">
        <f>HYPERLINK("http://www.ncbi.nlm.nih.gov/protein/163838766","Bicd1")</f>
        <v>Bicd1</v>
      </c>
      <c r="D829" s="10">
        <f t="shared" si="12"/>
        <v>2.9184063111068781</v>
      </c>
      <c r="F829" s="8" t="str">
        <f>HYPERLINK("https://esbl.nhlbi.nih.gov/Databases/mpkFractions/proteomic_fractions_log_files/Yang_log_img/163838766.jpg","show blot")</f>
        <v>show blot</v>
      </c>
      <c r="H829" s="8" t="str">
        <f>HYPERLINK("https://esbl.nhlbi.nih.gov/Databases/mpkFractions/proteomic_fractions_linear_files/Yang_linear_img/163838766.jpg","show blot")</f>
        <v>show blot</v>
      </c>
      <c r="J829" s="5" t="s">
        <v>1653</v>
      </c>
      <c r="L829" s="11">
        <v>2.9184063111068781</v>
      </c>
      <c r="N829" s="12"/>
    </row>
    <row r="830" spans="1:14" s="5" customFormat="1" ht="15" customHeight="1" x14ac:dyDescent="0.25">
      <c r="A830" s="9" t="s">
        <v>1654</v>
      </c>
      <c r="C830" s="9" t="str">
        <f>HYPERLINK("http://www.ncbi.nlm.nih.gov/protein/18139547","Bicd2")</f>
        <v>Bicd2</v>
      </c>
      <c r="D830" s="10">
        <f t="shared" si="12"/>
        <v>4.2765046077780742</v>
      </c>
      <c r="F830" s="8" t="str">
        <f>HYPERLINK("https://esbl.nhlbi.nih.gov/Databases/mpkFractions/proteomic_fractions_log_files/Yang_log_img/18139547.jpg","show blot")</f>
        <v>show blot</v>
      </c>
      <c r="H830" s="8" t="str">
        <f>HYPERLINK("https://esbl.nhlbi.nih.gov/Databases/mpkFractions/proteomic_fractions_linear_files/Yang_linear_img/18139547.jpg","show blot")</f>
        <v>show blot</v>
      </c>
      <c r="J830" s="5" t="s">
        <v>1655</v>
      </c>
      <c r="L830" s="11">
        <v>4.2765046077780742</v>
      </c>
      <c r="N830" s="12"/>
    </row>
    <row r="831" spans="1:14" s="5" customFormat="1" ht="15" customHeight="1" x14ac:dyDescent="0.25">
      <c r="A831" s="9" t="s">
        <v>1656</v>
      </c>
      <c r="C831" s="9" t="str">
        <f>HYPERLINK("http://www.ncbi.nlm.nih.gov/protein/85702355","Bicd2")</f>
        <v>Bicd2</v>
      </c>
      <c r="D831" s="10">
        <f t="shared" si="12"/>
        <v>4.2765046077780742</v>
      </c>
      <c r="F831" s="8" t="str">
        <f>HYPERLINK("https://esbl.nhlbi.nih.gov/Databases/mpkFractions/proteomic_fractions_log_files/Yang_log_img/85702355.jpg","show blot")</f>
        <v>show blot</v>
      </c>
      <c r="H831" s="8" t="str">
        <f>HYPERLINK("https://esbl.nhlbi.nih.gov/Databases/mpkFractions/proteomic_fractions_linear_files/Yang_linear_img/85702355.jpg","show blot")</f>
        <v>show blot</v>
      </c>
      <c r="J831" s="5" t="s">
        <v>1657</v>
      </c>
      <c r="L831" s="11">
        <v>4.2765046077780742</v>
      </c>
      <c r="N831" s="12"/>
    </row>
    <row r="832" spans="1:14" s="5" customFormat="1" ht="15" customHeight="1" x14ac:dyDescent="0.25">
      <c r="A832" s="9" t="s">
        <v>1658</v>
      </c>
      <c r="C832" s="9" t="str">
        <f>HYPERLINK("http://www.ncbi.nlm.nih.gov/protein/85702359","Bicd2")</f>
        <v>Bicd2</v>
      </c>
      <c r="D832" s="10">
        <f t="shared" si="12"/>
        <v>4.2765046077780742</v>
      </c>
      <c r="F832" s="8" t="str">
        <f>HYPERLINK("https://esbl.nhlbi.nih.gov/Databases/mpkFractions/proteomic_fractions_log_files/Yang_log_img/85702359.jpg","show blot")</f>
        <v>show blot</v>
      </c>
      <c r="H832" s="8" t="str">
        <f>HYPERLINK("https://esbl.nhlbi.nih.gov/Databases/mpkFractions/proteomic_fractions_linear_files/Yang_linear_img/85702359.jpg","show blot")</f>
        <v>show blot</v>
      </c>
      <c r="J832" s="5" t="s">
        <v>1659</v>
      </c>
      <c r="L832" s="11">
        <v>4.2765046077780742</v>
      </c>
      <c r="N832" s="12"/>
    </row>
    <row r="833" spans="1:14" s="5" customFormat="1" ht="15" customHeight="1" x14ac:dyDescent="0.25">
      <c r="A833" s="9" t="s">
        <v>1660</v>
      </c>
      <c r="C833" s="9" t="str">
        <f>HYPERLINK("http://www.ncbi.nlm.nih.gov/protein/31542228","Bid")</f>
        <v>Bid</v>
      </c>
      <c r="D833" s="10">
        <f t="shared" si="12"/>
        <v>4.9005573296192857</v>
      </c>
      <c r="F833" s="8" t="str">
        <f>HYPERLINK("https://esbl.nhlbi.nih.gov/Databases/mpkFractions/proteomic_fractions_log_files/Yang_log_img/31542228.jpg","show blot")</f>
        <v>show blot</v>
      </c>
      <c r="H833" s="8" t="str">
        <f>HYPERLINK("https://esbl.nhlbi.nih.gov/Databases/mpkFractions/proteomic_fractions_linear_files/Yang_linear_img/31542228.jpg","show blot")</f>
        <v>show blot</v>
      </c>
      <c r="J833" s="5" t="s">
        <v>1661</v>
      </c>
      <c r="L833" s="11">
        <v>4.9005573296192857</v>
      </c>
      <c r="N833" s="12"/>
    </row>
    <row r="834" spans="1:14" s="5" customFormat="1" ht="15" customHeight="1" x14ac:dyDescent="0.25">
      <c r="A834" s="9" t="s">
        <v>1662</v>
      </c>
      <c r="C834" s="9" t="str">
        <f>HYPERLINK("http://www.ncbi.nlm.nih.gov/protein/134053947","Bin1")</f>
        <v>Bin1</v>
      </c>
      <c r="D834" s="10">
        <f t="shared" si="12"/>
        <v>4.2462928561257396</v>
      </c>
      <c r="F834" s="8" t="str">
        <f>HYPERLINK("https://esbl.nhlbi.nih.gov/Databases/mpkFractions/proteomic_fractions_log_files/Yang_log_img/134053947.jpg","show blot")</f>
        <v>show blot</v>
      </c>
      <c r="H834" s="8" t="str">
        <f>HYPERLINK("https://esbl.nhlbi.nih.gov/Databases/mpkFractions/proteomic_fractions_linear_files/Yang_linear_img/134053947.jpg","show blot")</f>
        <v>show blot</v>
      </c>
      <c r="J834" s="5" t="s">
        <v>1663</v>
      </c>
      <c r="L834" s="11">
        <v>4.2462928561257396</v>
      </c>
      <c r="N834" s="12"/>
    </row>
    <row r="835" spans="1:14" s="5" customFormat="1" ht="15" customHeight="1" x14ac:dyDescent="0.25">
      <c r="A835" s="9" t="s">
        <v>1664</v>
      </c>
      <c r="C835" s="9" t="str">
        <f>HYPERLINK("http://www.ncbi.nlm.nih.gov/protein/6753050","Bin1")</f>
        <v>Bin1</v>
      </c>
      <c r="D835" s="10">
        <f t="shared" si="12"/>
        <v>4.2462928561257396</v>
      </c>
      <c r="F835" s="8" t="str">
        <f>HYPERLINK("https://esbl.nhlbi.nih.gov/Databases/mpkFractions/proteomic_fractions_log_files/Yang_log_img/6753050.jpg","show blot")</f>
        <v>show blot</v>
      </c>
      <c r="H835" s="8" t="str">
        <f>HYPERLINK("https://esbl.nhlbi.nih.gov/Databases/mpkFractions/proteomic_fractions_linear_files/Yang_linear_img/6753050.jpg","show blot")</f>
        <v>show blot</v>
      </c>
      <c r="J835" s="5" t="s">
        <v>1665</v>
      </c>
      <c r="L835" s="11">
        <v>4.2462928561257396</v>
      </c>
      <c r="N835" s="12"/>
    </row>
    <row r="836" spans="1:14" s="5" customFormat="1" ht="15" customHeight="1" x14ac:dyDescent="0.25">
      <c r="A836" s="9" t="s">
        <v>1666</v>
      </c>
      <c r="C836" s="9" t="str">
        <f>HYPERLINK("http://www.ncbi.nlm.nih.gov/protein/10946638","Bin3")</f>
        <v>Bin3</v>
      </c>
      <c r="D836" s="10">
        <f t="shared" si="12"/>
        <v>4.0804400883781176</v>
      </c>
      <c r="F836" s="8" t="str">
        <f>HYPERLINK("https://esbl.nhlbi.nih.gov/Databases/mpkFractions/proteomic_fractions_log_files/Yang_log_img/10946638.jpg","show blot")</f>
        <v>show blot</v>
      </c>
      <c r="H836" s="8" t="str">
        <f>HYPERLINK("https://esbl.nhlbi.nih.gov/Databases/mpkFractions/proteomic_fractions_linear_files/Yang_linear_img/10946638.jpg","show blot")</f>
        <v>show blot</v>
      </c>
      <c r="J836" s="5" t="s">
        <v>1667</v>
      </c>
      <c r="L836" s="11">
        <v>4.0804400883781176</v>
      </c>
      <c r="N836" s="12"/>
    </row>
    <row r="837" spans="1:14" s="5" customFormat="1" ht="15" customHeight="1" x14ac:dyDescent="0.25">
      <c r="A837" s="9" t="s">
        <v>1668</v>
      </c>
      <c r="C837" s="9" t="str">
        <f>HYPERLINK("http://www.ncbi.nlm.nih.gov/protein/409971427","Birc6")</f>
        <v>Birc6</v>
      </c>
      <c r="D837" s="10">
        <f t="shared" ref="D837:D900" si="13">L837</f>
        <v>4.7396097027502693</v>
      </c>
      <c r="F837" s="8" t="str">
        <f>HYPERLINK("https://esbl.nhlbi.nih.gov/Databases/mpkFractions/proteomic_fractions_log_files/Yang_log_img/409971427.jpg","show blot")</f>
        <v>show blot</v>
      </c>
      <c r="H837" s="8" t="str">
        <f>HYPERLINK("https://esbl.nhlbi.nih.gov/Databases/mpkFractions/proteomic_fractions_linear_files/Yang_linear_img/409971427.jpg","show blot")</f>
        <v>show blot</v>
      </c>
      <c r="J837" s="5" t="s">
        <v>1669</v>
      </c>
      <c r="L837" s="11">
        <v>4.7396097027502693</v>
      </c>
      <c r="N837" s="12"/>
    </row>
    <row r="838" spans="1:14" s="5" customFormat="1" ht="15" customHeight="1" x14ac:dyDescent="0.25">
      <c r="A838" s="9" t="s">
        <v>1670</v>
      </c>
      <c r="C838" s="9" t="str">
        <f>HYPERLINK("http://www.ncbi.nlm.nih.gov/protein/31982490","Blk")</f>
        <v>Blk</v>
      </c>
      <c r="D838" s="10">
        <f t="shared" si="13"/>
        <v>5.2052392569784329</v>
      </c>
      <c r="F838" s="8" t="str">
        <f>HYPERLINK("https://esbl.nhlbi.nih.gov/Databases/mpkFractions/proteomic_fractions_log_files/Yang_log_img/31982490.jpg","show blot")</f>
        <v>show blot</v>
      </c>
      <c r="H838" s="8" t="str">
        <f>HYPERLINK("https://esbl.nhlbi.nih.gov/Databases/mpkFractions/proteomic_fractions_linear_files/Yang_linear_img/31982490.jpg","show blot")</f>
        <v>show blot</v>
      </c>
      <c r="J838" s="5" t="s">
        <v>1671</v>
      </c>
      <c r="L838" s="11">
        <v>5.2052392569784329</v>
      </c>
      <c r="N838" s="12"/>
    </row>
    <row r="839" spans="1:14" s="5" customFormat="1" ht="15" customHeight="1" x14ac:dyDescent="0.25">
      <c r="A839" s="9" t="s">
        <v>1672</v>
      </c>
      <c r="C839" s="9" t="str">
        <f>HYPERLINK("http://www.ncbi.nlm.nih.gov/protein/30519997","Blmh")</f>
        <v>Blmh</v>
      </c>
      <c r="D839" s="10">
        <f t="shared" si="13"/>
        <v>5.9854988302466374</v>
      </c>
      <c r="F839" s="8" t="str">
        <f>HYPERLINK("https://esbl.nhlbi.nih.gov/Databases/mpkFractions/proteomic_fractions_log_files/Yang_log_img/30519997.jpg","show blot")</f>
        <v>show blot</v>
      </c>
      <c r="H839" s="8" t="str">
        <f>HYPERLINK("https://esbl.nhlbi.nih.gov/Databases/mpkFractions/proteomic_fractions_linear_files/Yang_linear_img/30519997.jpg","show blot")</f>
        <v>show blot</v>
      </c>
      <c r="J839" s="5" t="s">
        <v>1673</v>
      </c>
      <c r="L839" s="11">
        <v>5.9854988302466374</v>
      </c>
      <c r="N839" s="12"/>
    </row>
    <row r="840" spans="1:14" s="5" customFormat="1" ht="15" customHeight="1" x14ac:dyDescent="0.25">
      <c r="A840" s="9" t="s">
        <v>1674</v>
      </c>
      <c r="C840" s="9" t="str">
        <f>HYPERLINK("http://www.ncbi.nlm.nih.gov/protein/31982209","Blnk")</f>
        <v>Blnk</v>
      </c>
      <c r="D840" s="10">
        <f t="shared" si="13"/>
        <v>2.1327241555134999</v>
      </c>
      <c r="F840" s="8" t="str">
        <f>HYPERLINK("https://esbl.nhlbi.nih.gov/Databases/mpkFractions/proteomic_fractions_log_files/Yang_log_img/31982209.jpg","show blot")</f>
        <v>show blot</v>
      </c>
      <c r="H840" s="8" t="str">
        <f>HYPERLINK("https://esbl.nhlbi.nih.gov/Databases/mpkFractions/proteomic_fractions_linear_files/Yang_linear_img/31982209.jpg","show blot")</f>
        <v>show blot</v>
      </c>
      <c r="J840" s="5" t="s">
        <v>1675</v>
      </c>
      <c r="L840" s="11">
        <v>2.1327241555134999</v>
      </c>
      <c r="N840" s="12"/>
    </row>
    <row r="841" spans="1:14" s="5" customFormat="1" ht="15" customHeight="1" x14ac:dyDescent="0.25">
      <c r="A841" s="9" t="s">
        <v>1676</v>
      </c>
      <c r="C841" s="9" t="str">
        <f>HYPERLINK("http://www.ncbi.nlm.nih.gov/protein/31980697","Bloc1s1")</f>
        <v>Bloc1s1</v>
      </c>
      <c r="D841" s="10">
        <f t="shared" si="13"/>
        <v>5.2150541268782167</v>
      </c>
      <c r="F841" s="8" t="str">
        <f>HYPERLINK("https://esbl.nhlbi.nih.gov/Databases/mpkFractions/proteomic_fractions_log_files/Yang_log_img/31980697.jpg","show blot")</f>
        <v>show blot</v>
      </c>
      <c r="H841" s="8" t="str">
        <f>HYPERLINK("https://esbl.nhlbi.nih.gov/Databases/mpkFractions/proteomic_fractions_linear_files/Yang_linear_img/31980697.jpg","show blot")</f>
        <v>show blot</v>
      </c>
      <c r="J841" s="5" t="s">
        <v>1677</v>
      </c>
      <c r="L841" s="11">
        <v>5.2150541268782167</v>
      </c>
      <c r="N841" s="12"/>
    </row>
    <row r="842" spans="1:14" s="5" customFormat="1" ht="15" customHeight="1" x14ac:dyDescent="0.25">
      <c r="A842" s="9" t="s">
        <v>1678</v>
      </c>
      <c r="C842" s="9" t="str">
        <f>HYPERLINK("http://www.ncbi.nlm.nih.gov/protein/19526908","Bloc1s4")</f>
        <v>Bloc1s4</v>
      </c>
      <c r="D842" s="10">
        <f t="shared" si="13"/>
        <v>2.7096459466005181</v>
      </c>
      <c r="F842" s="8" t="str">
        <f>HYPERLINK("https://esbl.nhlbi.nih.gov/Databases/mpkFractions/proteomic_fractions_log_files/Yang_log_img/19526908.jpg","show blot")</f>
        <v>show blot</v>
      </c>
      <c r="H842" s="8" t="str">
        <f>HYPERLINK("https://esbl.nhlbi.nih.gov/Databases/mpkFractions/proteomic_fractions_linear_files/Yang_linear_img/19526908.jpg","show blot")</f>
        <v>show blot</v>
      </c>
      <c r="J842" s="5" t="s">
        <v>1679</v>
      </c>
      <c r="L842" s="11">
        <v>2.7096459466005181</v>
      </c>
      <c r="N842" s="12"/>
    </row>
    <row r="843" spans="1:14" s="5" customFormat="1" ht="15" customHeight="1" x14ac:dyDescent="0.25">
      <c r="A843" s="9" t="s">
        <v>1680</v>
      </c>
      <c r="C843" s="9" t="str">
        <f>HYPERLINK("http://www.ncbi.nlm.nih.gov/protein/20532342","Bloc1s5")</f>
        <v>Bloc1s5</v>
      </c>
      <c r="D843" s="10">
        <f t="shared" si="13"/>
        <v>4.3033885747348419</v>
      </c>
      <c r="F843" s="8" t="str">
        <f>HYPERLINK("https://esbl.nhlbi.nih.gov/Databases/mpkFractions/proteomic_fractions_log_files/Yang_log_img/20532342.jpg","show blot")</f>
        <v>show blot</v>
      </c>
      <c r="H843" s="8" t="str">
        <f>HYPERLINK("https://esbl.nhlbi.nih.gov/Databases/mpkFractions/proteomic_fractions_linear_files/Yang_linear_img/20532342.jpg","show blot")</f>
        <v>show blot</v>
      </c>
      <c r="J843" s="5" t="s">
        <v>1681</v>
      </c>
      <c r="L843" s="11">
        <v>4.3033885747348419</v>
      </c>
      <c r="N843" s="12"/>
    </row>
    <row r="844" spans="1:14" s="5" customFormat="1" ht="15" customHeight="1" x14ac:dyDescent="0.25">
      <c r="A844" s="9" t="s">
        <v>1682</v>
      </c>
      <c r="C844" s="9" t="str">
        <f>HYPERLINK("http://www.ncbi.nlm.nih.gov/protein/124487331","Blvra")</f>
        <v>Blvra</v>
      </c>
      <c r="D844" s="10">
        <f t="shared" si="13"/>
        <v>6.0022156247070511</v>
      </c>
      <c r="F844" s="8" t="str">
        <f>HYPERLINK("https://esbl.nhlbi.nih.gov/Databases/mpkFractions/proteomic_fractions_log_files/Yang_log_img/124487331.jpg","show blot")</f>
        <v>show blot</v>
      </c>
      <c r="H844" s="8" t="str">
        <f>HYPERLINK("https://esbl.nhlbi.nih.gov/Databases/mpkFractions/proteomic_fractions_linear_files/Yang_linear_img/124487331.jpg","show blot")</f>
        <v>show blot</v>
      </c>
      <c r="J844" s="5" t="s">
        <v>1683</v>
      </c>
      <c r="L844" s="11">
        <v>6.0022156247070511</v>
      </c>
      <c r="N844" s="12"/>
    </row>
    <row r="845" spans="1:14" s="5" customFormat="1" ht="15" customHeight="1" x14ac:dyDescent="0.25">
      <c r="A845" s="9" t="s">
        <v>1684</v>
      </c>
      <c r="C845" s="9" t="str">
        <f>HYPERLINK("http://www.ncbi.nlm.nih.gov/protein/21450325","Blvrb")</f>
        <v>Blvrb</v>
      </c>
      <c r="D845" s="10">
        <f t="shared" si="13"/>
        <v>5.5709180560753886</v>
      </c>
      <c r="F845" s="8" t="str">
        <f>HYPERLINK("https://esbl.nhlbi.nih.gov/Databases/mpkFractions/proteomic_fractions_log_files/Yang_log_img/21450325.jpg","show blot")</f>
        <v>show blot</v>
      </c>
      <c r="H845" s="8" t="str">
        <f>HYPERLINK("https://esbl.nhlbi.nih.gov/Databases/mpkFractions/proteomic_fractions_linear_files/Yang_linear_img/21450325.jpg","show blot")</f>
        <v>show blot</v>
      </c>
      <c r="J845" s="5" t="s">
        <v>1685</v>
      </c>
      <c r="L845" s="11">
        <v>5.5709180560753886</v>
      </c>
      <c r="N845" s="12"/>
    </row>
    <row r="846" spans="1:14" s="5" customFormat="1" ht="15" customHeight="1" x14ac:dyDescent="0.25">
      <c r="A846" s="9" t="s">
        <v>1686</v>
      </c>
      <c r="C846" s="9" t="str">
        <f>HYPERLINK("http://www.ncbi.nlm.nih.gov/protein/31982487","Bmp7")</f>
        <v>Bmp7</v>
      </c>
      <c r="D846" s="10">
        <f t="shared" si="13"/>
        <v>4.357590656080971</v>
      </c>
      <c r="F846" s="8" t="str">
        <f>HYPERLINK("https://esbl.nhlbi.nih.gov/Databases/mpkFractions/proteomic_fractions_log_files/Yang_log_img/31982487.jpg","show blot")</f>
        <v>show blot</v>
      </c>
      <c r="H846" s="8" t="str">
        <f>HYPERLINK("https://esbl.nhlbi.nih.gov/Databases/mpkFractions/proteomic_fractions_linear_files/Yang_linear_img/31982487.jpg","show blot")</f>
        <v>show blot</v>
      </c>
      <c r="J846" s="5" t="s">
        <v>1687</v>
      </c>
      <c r="L846" s="11">
        <v>4.357590656080971</v>
      </c>
      <c r="N846" s="12"/>
    </row>
    <row r="847" spans="1:14" s="5" customFormat="1" ht="15" customHeight="1" x14ac:dyDescent="0.25">
      <c r="A847" s="9" t="s">
        <v>1688</v>
      </c>
      <c r="C847" s="9" t="str">
        <f>HYPERLINK("http://www.ncbi.nlm.nih.gov/protein/255003752","Bnip1")</f>
        <v>Bnip1</v>
      </c>
      <c r="D847" s="10">
        <f t="shared" si="13"/>
        <v>3.7400605628374679</v>
      </c>
      <c r="F847" s="8" t="str">
        <f>HYPERLINK("https://esbl.nhlbi.nih.gov/Databases/mpkFractions/proteomic_fractions_log_files/Yang_log_img/255003752.jpg","show blot")</f>
        <v>show blot</v>
      </c>
      <c r="H847" s="8" t="str">
        <f>HYPERLINK("https://esbl.nhlbi.nih.gov/Databases/mpkFractions/proteomic_fractions_linear_files/Yang_linear_img/255003752.jpg","show blot")</f>
        <v>show blot</v>
      </c>
      <c r="J847" s="5" t="s">
        <v>1689</v>
      </c>
      <c r="L847" s="11">
        <v>3.7400605628374679</v>
      </c>
      <c r="N847" s="12"/>
    </row>
    <row r="848" spans="1:14" s="5" customFormat="1" ht="15" customHeight="1" x14ac:dyDescent="0.25">
      <c r="A848" s="9" t="s">
        <v>1690</v>
      </c>
      <c r="C848" s="9" t="str">
        <f>HYPERLINK("http://www.ncbi.nlm.nih.gov/protein/67906187","Bod1")</f>
        <v>Bod1</v>
      </c>
      <c r="D848" s="10">
        <f t="shared" si="13"/>
        <v>4.1983137497921721</v>
      </c>
      <c r="F848" s="8" t="str">
        <f>HYPERLINK("https://esbl.nhlbi.nih.gov/Databases/mpkFractions/proteomic_fractions_log_files/Yang_log_img/67906187.jpg","show blot")</f>
        <v>show blot</v>
      </c>
      <c r="H848" s="8" t="str">
        <f>HYPERLINK("https://esbl.nhlbi.nih.gov/Databases/mpkFractions/proteomic_fractions_linear_files/Yang_linear_img/67906187.jpg","show blot")</f>
        <v>show blot</v>
      </c>
      <c r="J848" s="5" t="s">
        <v>1691</v>
      </c>
      <c r="L848" s="11">
        <v>4.1983137497921721</v>
      </c>
      <c r="N848" s="12"/>
    </row>
    <row r="849" spans="1:14" s="5" customFormat="1" ht="15" customHeight="1" x14ac:dyDescent="0.25">
      <c r="A849" s="9" t="s">
        <v>1692</v>
      </c>
      <c r="C849" s="9" t="str">
        <f>HYPERLINK("http://www.ncbi.nlm.nih.gov/protein/124487265","Bod1l")</f>
        <v>Bod1l</v>
      </c>
      <c r="D849" s="10">
        <f t="shared" si="13"/>
        <v>3.397822701550989</v>
      </c>
      <c r="F849" s="8" t="str">
        <f>HYPERLINK("https://esbl.nhlbi.nih.gov/Databases/mpkFractions/proteomic_fractions_log_files/Yang_log_img/124487265.jpg","show blot")</f>
        <v>show blot</v>
      </c>
      <c r="H849" s="8" t="str">
        <f>HYPERLINK("https://esbl.nhlbi.nih.gov/Databases/mpkFractions/proteomic_fractions_linear_files/Yang_linear_img/124487265.jpg","show blot")</f>
        <v>show blot</v>
      </c>
      <c r="J849" s="5" t="s">
        <v>1693</v>
      </c>
      <c r="L849" s="11">
        <v>3.397822701550989</v>
      </c>
      <c r="N849" s="12"/>
    </row>
    <row r="850" spans="1:14" s="5" customFormat="1" ht="15" customHeight="1" x14ac:dyDescent="0.25">
      <c r="A850" s="9" t="s">
        <v>1694</v>
      </c>
      <c r="C850" s="9" t="str">
        <f>HYPERLINK("http://www.ncbi.nlm.nih.gov/protein/7949082","Bok")</f>
        <v>Bok</v>
      </c>
      <c r="D850" s="10">
        <f t="shared" si="13"/>
        <v>3.9427558308704622</v>
      </c>
      <c r="F850" s="8" t="str">
        <f>HYPERLINK("https://esbl.nhlbi.nih.gov/Databases/mpkFractions/proteomic_fractions_log_files/Yang_log_img/7949082.jpg","show blot")</f>
        <v>show blot</v>
      </c>
      <c r="H850" s="8" t="str">
        <f>HYPERLINK("https://esbl.nhlbi.nih.gov/Databases/mpkFractions/proteomic_fractions_linear_files/Yang_linear_img/7949082.jpg","show blot")</f>
        <v>show blot</v>
      </c>
      <c r="J850" s="5" t="s">
        <v>1695</v>
      </c>
      <c r="L850" s="11">
        <v>3.9427558308704622</v>
      </c>
      <c r="N850" s="12"/>
    </row>
    <row r="851" spans="1:14" s="5" customFormat="1" ht="15" customHeight="1" x14ac:dyDescent="0.25">
      <c r="A851" s="9" t="s">
        <v>1696</v>
      </c>
      <c r="C851" s="9" t="str">
        <f>HYPERLINK("http://www.ncbi.nlm.nih.gov/protein/58037151","Bola1")</f>
        <v>Bola1</v>
      </c>
      <c r="D851" s="10">
        <f t="shared" si="13"/>
        <v>5.4434494017157844</v>
      </c>
      <c r="F851" s="8" t="str">
        <f>HYPERLINK("https://esbl.nhlbi.nih.gov/Databases/mpkFractions/proteomic_fractions_log_files/Yang_log_img/58037151.jpg","show blot")</f>
        <v>show blot</v>
      </c>
      <c r="H851" s="8" t="str">
        <f>HYPERLINK("https://esbl.nhlbi.nih.gov/Databases/mpkFractions/proteomic_fractions_linear_files/Yang_linear_img/58037151.jpg","show blot")</f>
        <v>show blot</v>
      </c>
      <c r="J851" s="5" t="s">
        <v>1697</v>
      </c>
      <c r="L851" s="11">
        <v>5.4434494017157844</v>
      </c>
      <c r="N851" s="12"/>
    </row>
    <row r="852" spans="1:14" s="5" customFormat="1" ht="15" customHeight="1" x14ac:dyDescent="0.25">
      <c r="A852" s="9" t="s">
        <v>1698</v>
      </c>
      <c r="C852" s="9" t="str">
        <f>HYPERLINK("http://www.ncbi.nlm.nih.gov/protein/29171318","Bola2")</f>
        <v>Bola2</v>
      </c>
      <c r="D852" s="10">
        <f t="shared" si="13"/>
        <v>4.7504452059145734</v>
      </c>
      <c r="F852" s="8" t="str">
        <f>HYPERLINK("https://esbl.nhlbi.nih.gov/Databases/mpkFractions/proteomic_fractions_log_files/Yang_log_img/29171318.jpg","show blot")</f>
        <v>show blot</v>
      </c>
      <c r="H852" s="8" t="str">
        <f>HYPERLINK("https://esbl.nhlbi.nih.gov/Databases/mpkFractions/proteomic_fractions_linear_files/Yang_linear_img/29171318.jpg","show blot")</f>
        <v>show blot</v>
      </c>
      <c r="J852" s="5" t="s">
        <v>1699</v>
      </c>
      <c r="L852" s="11">
        <v>4.7504452059145734</v>
      </c>
      <c r="N852" s="12"/>
    </row>
    <row r="853" spans="1:14" s="5" customFormat="1" ht="15" customHeight="1" x14ac:dyDescent="0.25">
      <c r="A853" s="9" t="s">
        <v>1700</v>
      </c>
      <c r="C853" s="9" t="str">
        <f>HYPERLINK("http://www.ncbi.nlm.nih.gov/protein/7304931","Bop1")</f>
        <v>Bop1</v>
      </c>
      <c r="D853" s="10">
        <f t="shared" si="13"/>
        <v>3.8413785904977922</v>
      </c>
      <c r="F853" s="8" t="str">
        <f>HYPERLINK("https://esbl.nhlbi.nih.gov/Databases/mpkFractions/proteomic_fractions_log_files/Yang_log_img/7304931.jpg","show blot")</f>
        <v>show blot</v>
      </c>
      <c r="H853" s="8" t="str">
        <f>HYPERLINK("https://esbl.nhlbi.nih.gov/Databases/mpkFractions/proteomic_fractions_linear_files/Yang_linear_img/7304931.jpg","show blot")</f>
        <v>show blot</v>
      </c>
      <c r="J853" s="5" t="s">
        <v>1701</v>
      </c>
      <c r="L853" s="11">
        <v>3.8413785904977922</v>
      </c>
      <c r="N853" s="12"/>
    </row>
    <row r="854" spans="1:14" s="5" customFormat="1" ht="15" customHeight="1" x14ac:dyDescent="0.25">
      <c r="A854" s="9" t="s">
        <v>1702</v>
      </c>
      <c r="C854" s="9" t="str">
        <f>HYPERLINK("http://www.ncbi.nlm.nih.gov/protein/6680806","Bpgm")</f>
        <v>Bpgm</v>
      </c>
      <c r="D854" s="10">
        <f t="shared" si="13"/>
        <v>4.935239838573497</v>
      </c>
      <c r="F854" s="8" t="str">
        <f>HYPERLINK("https://esbl.nhlbi.nih.gov/Databases/mpkFractions/proteomic_fractions_log_files/Yang_log_img/6680806.jpg","show blot")</f>
        <v>show blot</v>
      </c>
      <c r="H854" s="8" t="str">
        <f>HYPERLINK("https://esbl.nhlbi.nih.gov/Databases/mpkFractions/proteomic_fractions_linear_files/Yang_linear_img/6680806.jpg","show blot")</f>
        <v>show blot</v>
      </c>
      <c r="J854" s="5" t="s">
        <v>1703</v>
      </c>
      <c r="L854" s="11">
        <v>4.935239838573497</v>
      </c>
      <c r="N854" s="12"/>
    </row>
    <row r="855" spans="1:14" s="5" customFormat="1" ht="15" customHeight="1" x14ac:dyDescent="0.25">
      <c r="A855" s="9" t="s">
        <v>1704</v>
      </c>
      <c r="C855" s="9" t="str">
        <f>HYPERLINK("http://www.ncbi.nlm.nih.gov/protein/21624609","Bphl")</f>
        <v>Bphl</v>
      </c>
      <c r="D855" s="10">
        <f t="shared" si="13"/>
        <v>5.509239768375827</v>
      </c>
      <c r="F855" s="8" t="str">
        <f>HYPERLINK("https://esbl.nhlbi.nih.gov/Databases/mpkFractions/proteomic_fractions_log_files/Yang_log_img/21624609.jpg","show blot")</f>
        <v>show blot</v>
      </c>
      <c r="H855" s="8" t="str">
        <f>HYPERLINK("https://esbl.nhlbi.nih.gov/Databases/mpkFractions/proteomic_fractions_linear_files/Yang_linear_img/21624609.jpg","show blot")</f>
        <v>show blot</v>
      </c>
      <c r="J855" s="5" t="s">
        <v>1705</v>
      </c>
      <c r="L855" s="11">
        <v>5.509239768375827</v>
      </c>
      <c r="N855" s="12"/>
    </row>
    <row r="856" spans="1:14" s="5" customFormat="1" ht="15" customHeight="1" x14ac:dyDescent="0.25">
      <c r="A856" s="9" t="s">
        <v>1706</v>
      </c>
      <c r="C856" s="9" t="str">
        <f>HYPERLINK("http://www.ncbi.nlm.nih.gov/protein/39652626","Bpnt1")</f>
        <v>Bpnt1</v>
      </c>
      <c r="D856" s="10">
        <f t="shared" si="13"/>
        <v>6.273779289297674</v>
      </c>
      <c r="F856" s="8" t="str">
        <f>HYPERLINK("https://esbl.nhlbi.nih.gov/Databases/mpkFractions/proteomic_fractions_log_files/Yang_log_img/39652626.jpg","show blot")</f>
        <v>show blot</v>
      </c>
      <c r="H856" s="8" t="str">
        <f>HYPERLINK("https://esbl.nhlbi.nih.gov/Databases/mpkFractions/proteomic_fractions_linear_files/Yang_linear_img/39652626.jpg","show blot")</f>
        <v>show blot</v>
      </c>
      <c r="J856" s="5" t="s">
        <v>1707</v>
      </c>
      <c r="L856" s="11">
        <v>6.273779289297674</v>
      </c>
      <c r="N856" s="12"/>
    </row>
    <row r="857" spans="1:14" s="5" customFormat="1" ht="15" customHeight="1" x14ac:dyDescent="0.25">
      <c r="A857" s="9" t="s">
        <v>1708</v>
      </c>
      <c r="C857" s="9" t="str">
        <f>HYPERLINK("http://www.ncbi.nlm.nih.gov/protein/153791904","Braf")</f>
        <v>Braf</v>
      </c>
      <c r="D857" s="10">
        <f t="shared" si="13"/>
        <v>3.7724300735053888</v>
      </c>
      <c r="F857" s="8" t="str">
        <f>HYPERLINK("https://esbl.nhlbi.nih.gov/Databases/mpkFractions/proteomic_fractions_log_files/Yang_log_img/153791904.jpg","show blot")</f>
        <v>show blot</v>
      </c>
      <c r="H857" s="8" t="str">
        <f>HYPERLINK("https://esbl.nhlbi.nih.gov/Databases/mpkFractions/proteomic_fractions_linear_files/Yang_linear_img/153791904.jpg","show blot")</f>
        <v>show blot</v>
      </c>
      <c r="J857" s="5" t="s">
        <v>1709</v>
      </c>
      <c r="L857" s="11">
        <v>3.7724300735053888</v>
      </c>
      <c r="N857" s="12"/>
    </row>
    <row r="858" spans="1:14" s="5" customFormat="1" ht="15" customHeight="1" x14ac:dyDescent="0.25">
      <c r="A858" s="9" t="s">
        <v>1710</v>
      </c>
      <c r="C858" s="9" t="str">
        <f>HYPERLINK("http://www.ncbi.nlm.nih.gov/protein/70608139","Brap")</f>
        <v>Brap</v>
      </c>
      <c r="D858" s="10">
        <f t="shared" si="13"/>
        <v>3.6611711984900008</v>
      </c>
      <c r="F858" s="8" t="str">
        <f>HYPERLINK("https://esbl.nhlbi.nih.gov/Databases/mpkFractions/proteomic_fractions_log_files/Yang_log_img/70608139.jpg","show blot")</f>
        <v>show blot</v>
      </c>
      <c r="H858" s="8" t="str">
        <f>HYPERLINK("https://esbl.nhlbi.nih.gov/Databases/mpkFractions/proteomic_fractions_linear_files/Yang_linear_img/70608139.jpg","show blot")</f>
        <v>show blot</v>
      </c>
      <c r="J858" s="5" t="s">
        <v>1711</v>
      </c>
      <c r="L858" s="11">
        <v>3.6611711984900008</v>
      </c>
      <c r="N858" s="12"/>
    </row>
    <row r="859" spans="1:14" s="5" customFormat="1" ht="15" customHeight="1" x14ac:dyDescent="0.25">
      <c r="A859" s="9" t="s">
        <v>1712</v>
      </c>
      <c r="C859" s="9" t="str">
        <f>HYPERLINK("http://www.ncbi.nlm.nih.gov/protein/30841004","Brat1")</f>
        <v>Brat1</v>
      </c>
      <c r="D859" s="10">
        <f t="shared" si="13"/>
        <v>3.134218232390209</v>
      </c>
      <c r="F859" s="8" t="str">
        <f>HYPERLINK("https://esbl.nhlbi.nih.gov/Databases/mpkFractions/proteomic_fractions_log_files/Yang_log_img/30841004.jpg","show blot")</f>
        <v>show blot</v>
      </c>
      <c r="H859" s="8" t="str">
        <f>HYPERLINK("https://esbl.nhlbi.nih.gov/Databases/mpkFractions/proteomic_fractions_linear_files/Yang_linear_img/30841004.jpg","show blot")</f>
        <v>show blot</v>
      </c>
      <c r="J859" s="5" t="s">
        <v>1713</v>
      </c>
      <c r="L859" s="11">
        <v>3.134218232390209</v>
      </c>
      <c r="N859" s="12"/>
    </row>
    <row r="860" spans="1:14" s="5" customFormat="1" ht="15" customHeight="1" x14ac:dyDescent="0.25">
      <c r="A860" s="9" t="s">
        <v>1714</v>
      </c>
      <c r="C860" s="9" t="str">
        <f>HYPERLINK("http://www.ncbi.nlm.nih.gov/protein/443609479","Brat1")</f>
        <v>Brat1</v>
      </c>
      <c r="D860" s="10">
        <f t="shared" si="13"/>
        <v>3.134218232390209</v>
      </c>
      <c r="F860" s="8" t="str">
        <f>HYPERLINK("https://esbl.nhlbi.nih.gov/Databases/mpkFractions/proteomic_fractions_log_files/Yang_log_img/443609479.jpg","show blot")</f>
        <v>show blot</v>
      </c>
      <c r="H860" s="8" t="str">
        <f>HYPERLINK("https://esbl.nhlbi.nih.gov/Databases/mpkFractions/proteomic_fractions_linear_files/Yang_linear_img/443609479.jpg","show blot")</f>
        <v>show blot</v>
      </c>
      <c r="J860" s="5" t="s">
        <v>1715</v>
      </c>
      <c r="L860" s="11">
        <v>3.134218232390209</v>
      </c>
      <c r="N860" s="12"/>
    </row>
    <row r="861" spans="1:14" s="5" customFormat="1" ht="15" customHeight="1" x14ac:dyDescent="0.25">
      <c r="A861" s="9" t="s">
        <v>1716</v>
      </c>
      <c r="C861" s="9" t="str">
        <f>HYPERLINK("http://www.ncbi.nlm.nih.gov/protein/262050563","Brcc3")</f>
        <v>Brcc3</v>
      </c>
      <c r="D861" s="10">
        <f t="shared" si="13"/>
        <v>5.3365265931097836</v>
      </c>
      <c r="F861" s="8" t="str">
        <f>HYPERLINK("https://esbl.nhlbi.nih.gov/Databases/mpkFractions/proteomic_fractions_log_files/Yang_log_img/262050563.jpg","show blot")</f>
        <v>show blot</v>
      </c>
      <c r="H861" s="8" t="str">
        <f>HYPERLINK("https://esbl.nhlbi.nih.gov/Databases/mpkFractions/proteomic_fractions_linear_files/Yang_linear_img/262050563.jpg","show blot")</f>
        <v>show blot</v>
      </c>
      <c r="J861" s="5" t="s">
        <v>1717</v>
      </c>
      <c r="L861" s="11">
        <v>5.3365265931097836</v>
      </c>
      <c r="N861" s="12"/>
    </row>
    <row r="862" spans="1:14" s="5" customFormat="1" ht="15" customHeight="1" x14ac:dyDescent="0.25">
      <c r="A862" s="9" t="s">
        <v>1718</v>
      </c>
      <c r="C862" s="9" t="str">
        <f>HYPERLINK("http://www.ncbi.nlm.nih.gov/protein/71067345","Brd2")</f>
        <v>Brd2</v>
      </c>
      <c r="D862" s="10">
        <f t="shared" si="13"/>
        <v>2.5396322605629629</v>
      </c>
      <c r="F862" s="8" t="str">
        <f>HYPERLINK("https://esbl.nhlbi.nih.gov/Databases/mpkFractions/proteomic_fractions_log_files/Yang_log_img/71067345.jpg","show blot")</f>
        <v>show blot</v>
      </c>
      <c r="H862" s="8" t="str">
        <f>HYPERLINK("https://esbl.nhlbi.nih.gov/Databases/mpkFractions/proteomic_fractions_linear_files/Yang_linear_img/71067345.jpg","show blot")</f>
        <v>show blot</v>
      </c>
      <c r="J862" s="5" t="s">
        <v>1719</v>
      </c>
      <c r="L862" s="11">
        <v>2.5396322605629629</v>
      </c>
      <c r="N862" s="12"/>
    </row>
    <row r="863" spans="1:14" s="5" customFormat="1" ht="15" customHeight="1" x14ac:dyDescent="0.25">
      <c r="A863" s="9" t="s">
        <v>1720</v>
      </c>
      <c r="C863" s="9" t="str">
        <f>HYPERLINK("http://www.ncbi.nlm.nih.gov/protein/165972331","Brd3")</f>
        <v>Brd3</v>
      </c>
      <c r="D863" s="10">
        <f t="shared" si="13"/>
        <v>3.3779834071858961</v>
      </c>
      <c r="F863" s="8" t="str">
        <f>HYPERLINK("https://esbl.nhlbi.nih.gov/Databases/mpkFractions/proteomic_fractions_log_files/Yang_log_img/165972331.jpg","show blot")</f>
        <v>show blot</v>
      </c>
      <c r="H863" s="8" t="str">
        <f>HYPERLINK("https://esbl.nhlbi.nih.gov/Databases/mpkFractions/proteomic_fractions_linear_files/Yang_linear_img/165972331.jpg","show blot")</f>
        <v>show blot</v>
      </c>
      <c r="J863" s="5" t="s">
        <v>1721</v>
      </c>
      <c r="L863" s="11">
        <v>3.3779834071858961</v>
      </c>
      <c r="N863" s="12"/>
    </row>
    <row r="864" spans="1:14" s="5" customFormat="1" ht="15" customHeight="1" x14ac:dyDescent="0.25">
      <c r="A864" s="9" t="s">
        <v>1722</v>
      </c>
      <c r="C864" s="9" t="str">
        <f>HYPERLINK("http://www.ncbi.nlm.nih.gov/protein/165972335","Brd3")</f>
        <v>Brd3</v>
      </c>
      <c r="D864" s="10">
        <f t="shared" si="13"/>
        <v>3.3779834071858961</v>
      </c>
      <c r="F864" s="8" t="str">
        <f>HYPERLINK("https://esbl.nhlbi.nih.gov/Databases/mpkFractions/proteomic_fractions_log_files/Yang_log_img/165972335.jpg","show blot")</f>
        <v>show blot</v>
      </c>
      <c r="H864" s="8" t="str">
        <f>HYPERLINK("https://esbl.nhlbi.nih.gov/Databases/mpkFractions/proteomic_fractions_linear_files/Yang_linear_img/165972335.jpg","show blot")</f>
        <v>show blot</v>
      </c>
      <c r="J864" s="5" t="s">
        <v>1723</v>
      </c>
      <c r="L864" s="11">
        <v>3.3779834071858961</v>
      </c>
      <c r="N864" s="12"/>
    </row>
    <row r="865" spans="1:14" s="5" customFormat="1" ht="15" customHeight="1" x14ac:dyDescent="0.25">
      <c r="A865" s="9" t="s">
        <v>1724</v>
      </c>
      <c r="C865" s="9" t="str">
        <f>HYPERLINK("http://www.ncbi.nlm.nih.gov/protein/226246640","Brd4")</f>
        <v>Brd4</v>
      </c>
      <c r="D865" s="10">
        <f t="shared" si="13"/>
        <v>2.938005467204043</v>
      </c>
      <c r="F865" s="8" t="str">
        <f>HYPERLINK("https://esbl.nhlbi.nih.gov/Databases/mpkFractions/proteomic_fractions_log_files/Yang_log_img/226246640.jpg","show blot")</f>
        <v>show blot</v>
      </c>
      <c r="H865" s="8" t="str">
        <f>HYPERLINK("https://esbl.nhlbi.nih.gov/Databases/mpkFractions/proteomic_fractions_linear_files/Yang_linear_img/226246640.jpg","show blot")</f>
        <v>show blot</v>
      </c>
      <c r="J865" s="5" t="s">
        <v>1725</v>
      </c>
      <c r="L865" s="11">
        <v>2.938005467204043</v>
      </c>
      <c r="N865" s="12"/>
    </row>
    <row r="866" spans="1:14" s="5" customFormat="1" ht="15" customHeight="1" x14ac:dyDescent="0.25">
      <c r="A866" s="9" t="s">
        <v>1726</v>
      </c>
      <c r="C866" s="9" t="str">
        <f>HYPERLINK("http://www.ncbi.nlm.nih.gov/protein/226342873","Brd4")</f>
        <v>Brd4</v>
      </c>
      <c r="D866" s="10">
        <f t="shared" si="13"/>
        <v>2.938005467204043</v>
      </c>
      <c r="F866" s="8" t="str">
        <f>HYPERLINK("https://esbl.nhlbi.nih.gov/Databases/mpkFractions/proteomic_fractions_log_files/Yang_log_img/226342873.jpg","show blot")</f>
        <v>show blot</v>
      </c>
      <c r="H866" s="8" t="str">
        <f>HYPERLINK("https://esbl.nhlbi.nih.gov/Databases/mpkFractions/proteomic_fractions_linear_files/Yang_linear_img/226342873.jpg","show blot")</f>
        <v>show blot</v>
      </c>
      <c r="J866" s="5" t="s">
        <v>1727</v>
      </c>
      <c r="L866" s="11">
        <v>2.938005467204043</v>
      </c>
      <c r="N866" s="12"/>
    </row>
    <row r="867" spans="1:14" s="5" customFormat="1" ht="15" customHeight="1" x14ac:dyDescent="0.25">
      <c r="A867" s="9" t="s">
        <v>1728</v>
      </c>
      <c r="C867" s="9" t="str">
        <f>HYPERLINK("http://www.ncbi.nlm.nih.gov/protein/21617851","Bre")</f>
        <v>Bre</v>
      </c>
      <c r="D867" s="10">
        <f t="shared" si="13"/>
        <v>5.268324690499524</v>
      </c>
      <c r="F867" s="8" t="str">
        <f>HYPERLINK("https://esbl.nhlbi.nih.gov/Databases/mpkFractions/proteomic_fractions_log_files/Yang_log_img/21617851.jpg","show blot")</f>
        <v>show blot</v>
      </c>
      <c r="H867" s="8" t="str">
        <f>HYPERLINK("https://esbl.nhlbi.nih.gov/Databases/mpkFractions/proteomic_fractions_linear_files/Yang_linear_img/21617851.jpg","show blot")</f>
        <v>show blot</v>
      </c>
      <c r="J867" s="5" t="s">
        <v>1729</v>
      </c>
      <c r="L867" s="11">
        <v>5.268324690499524</v>
      </c>
      <c r="N867" s="12"/>
    </row>
    <row r="868" spans="1:14" s="5" customFormat="1" ht="15" customHeight="1" x14ac:dyDescent="0.25">
      <c r="A868" s="9" t="s">
        <v>1730</v>
      </c>
      <c r="C868" s="9" t="str">
        <f>HYPERLINK("http://www.ncbi.nlm.nih.gov/protein/41281924","Bre")</f>
        <v>Bre</v>
      </c>
      <c r="D868" s="10">
        <f t="shared" si="13"/>
        <v>5.268324690499524</v>
      </c>
      <c r="F868" s="8" t="str">
        <f>HYPERLINK("https://esbl.nhlbi.nih.gov/Databases/mpkFractions/proteomic_fractions_log_files/Yang_log_img/41281924.jpg","show blot")</f>
        <v>show blot</v>
      </c>
      <c r="H868" s="8" t="str">
        <f>HYPERLINK("https://esbl.nhlbi.nih.gov/Databases/mpkFractions/proteomic_fractions_linear_files/Yang_linear_img/41281924.jpg","show blot")</f>
        <v>show blot</v>
      </c>
      <c r="J868" s="5" t="s">
        <v>1731</v>
      </c>
      <c r="L868" s="11">
        <v>5.268324690499524</v>
      </c>
      <c r="N868" s="12"/>
    </row>
    <row r="869" spans="1:14" s="5" customFormat="1" ht="15" customHeight="1" x14ac:dyDescent="0.25">
      <c r="A869" s="9" t="s">
        <v>1732</v>
      </c>
      <c r="C869" s="9" t="str">
        <f>HYPERLINK("http://www.ncbi.nlm.nih.gov/protein/41281930","Bre")</f>
        <v>Bre</v>
      </c>
      <c r="D869" s="10">
        <f t="shared" si="13"/>
        <v>5.268324690499524</v>
      </c>
      <c r="F869" s="8" t="str">
        <f>HYPERLINK("https://esbl.nhlbi.nih.gov/Databases/mpkFractions/proteomic_fractions_log_files/Yang_log_img/41281930.jpg","show blot")</f>
        <v>show blot</v>
      </c>
      <c r="H869" s="8" t="str">
        <f>HYPERLINK("https://esbl.nhlbi.nih.gov/Databases/mpkFractions/proteomic_fractions_linear_files/Yang_linear_img/41281930.jpg","show blot")</f>
        <v>show blot</v>
      </c>
      <c r="J869" s="5" t="s">
        <v>1733</v>
      </c>
      <c r="L869" s="11">
        <v>5.268324690499524</v>
      </c>
      <c r="N869" s="12"/>
    </row>
    <row r="870" spans="1:14" s="5" customFormat="1" ht="15" customHeight="1" x14ac:dyDescent="0.25">
      <c r="A870" s="9" t="s">
        <v>1734</v>
      </c>
      <c r="C870" s="9" t="str">
        <f>HYPERLINK("http://www.ncbi.nlm.nih.gov/protein/41281940","Bre")</f>
        <v>Bre</v>
      </c>
      <c r="D870" s="10">
        <f t="shared" si="13"/>
        <v>5.268324690499524</v>
      </c>
      <c r="F870" s="8" t="str">
        <f>HYPERLINK("https://esbl.nhlbi.nih.gov/Databases/mpkFractions/proteomic_fractions_log_files/Yang_log_img/41281940.jpg","show blot")</f>
        <v>show blot</v>
      </c>
      <c r="H870" s="8" t="str">
        <f>HYPERLINK("https://esbl.nhlbi.nih.gov/Databases/mpkFractions/proteomic_fractions_linear_files/Yang_linear_img/41281940.jpg","show blot")</f>
        <v>show blot</v>
      </c>
      <c r="J870" s="5" t="s">
        <v>1735</v>
      </c>
      <c r="L870" s="11">
        <v>5.268324690499524</v>
      </c>
      <c r="N870" s="12"/>
    </row>
    <row r="871" spans="1:14" s="5" customFormat="1" ht="15" customHeight="1" x14ac:dyDescent="0.25">
      <c r="A871" s="9" t="s">
        <v>1736</v>
      </c>
      <c r="C871" s="9" t="str">
        <f>HYPERLINK("http://www.ncbi.nlm.nih.gov/protein/41281945","Bre")</f>
        <v>Bre</v>
      </c>
      <c r="D871" s="10">
        <f t="shared" si="13"/>
        <v>5.268324690499524</v>
      </c>
      <c r="F871" s="8" t="str">
        <f>HYPERLINK("https://esbl.nhlbi.nih.gov/Databases/mpkFractions/proteomic_fractions_log_files/Yang_log_img/41281945.jpg","show blot")</f>
        <v>show blot</v>
      </c>
      <c r="H871" s="8" t="str">
        <f>HYPERLINK("https://esbl.nhlbi.nih.gov/Databases/mpkFractions/proteomic_fractions_linear_files/Yang_linear_img/41281945.jpg","show blot")</f>
        <v>show blot</v>
      </c>
      <c r="J871" s="5" t="s">
        <v>1737</v>
      </c>
      <c r="L871" s="11">
        <v>5.268324690499524</v>
      </c>
      <c r="N871" s="12"/>
    </row>
    <row r="872" spans="1:14" s="5" customFormat="1" ht="15" customHeight="1" x14ac:dyDescent="0.25">
      <c r="A872" s="9" t="s">
        <v>1738</v>
      </c>
      <c r="C872" s="9" t="str">
        <f>HYPERLINK("http://www.ncbi.nlm.nih.gov/protein/255683449","Bri3")</f>
        <v>Bri3</v>
      </c>
      <c r="D872" s="10">
        <f t="shared" si="13"/>
        <v>3.757688771870447</v>
      </c>
      <c r="F872" s="8" t="str">
        <f>HYPERLINK("https://esbl.nhlbi.nih.gov/Databases/mpkFractions/proteomic_fractions_log_files/Yang_log_img/255683449.jpg","show blot")</f>
        <v>show blot</v>
      </c>
      <c r="H872" s="8" t="str">
        <f>HYPERLINK("https://esbl.nhlbi.nih.gov/Databases/mpkFractions/proteomic_fractions_linear_files/Yang_linear_img/255683449.jpg","show blot")</f>
        <v>show blot</v>
      </c>
      <c r="J872" s="5" t="s">
        <v>1739</v>
      </c>
      <c r="L872" s="11">
        <v>3.757688771870447</v>
      </c>
      <c r="N872" s="12"/>
    </row>
    <row r="873" spans="1:14" s="5" customFormat="1" ht="15" customHeight="1" x14ac:dyDescent="0.25">
      <c r="A873" s="9" t="s">
        <v>1740</v>
      </c>
      <c r="C873" s="9" t="str">
        <f>HYPERLINK("http://www.ncbi.nlm.nih.gov/protein/255683451","Bri3")</f>
        <v>Bri3</v>
      </c>
      <c r="D873" s="10">
        <f t="shared" si="13"/>
        <v>3.757688771870447</v>
      </c>
      <c r="F873" s="8" t="str">
        <f>HYPERLINK("https://esbl.nhlbi.nih.gov/Databases/mpkFractions/proteomic_fractions_log_files/Yang_log_img/255683451.jpg","show blot")</f>
        <v>show blot</v>
      </c>
      <c r="H873" s="8" t="str">
        <f>HYPERLINK("https://esbl.nhlbi.nih.gov/Databases/mpkFractions/proteomic_fractions_linear_files/Yang_linear_img/255683451.jpg","show blot")</f>
        <v>show blot</v>
      </c>
      <c r="J873" s="5" t="s">
        <v>1741</v>
      </c>
      <c r="L873" s="11">
        <v>3.757688771870447</v>
      </c>
      <c r="N873" s="12"/>
    </row>
    <row r="874" spans="1:14" s="5" customFormat="1" ht="15" customHeight="1" x14ac:dyDescent="0.25">
      <c r="A874" s="9" t="s">
        <v>1742</v>
      </c>
      <c r="C874" s="9" t="str">
        <f>HYPERLINK("http://www.ncbi.nlm.nih.gov/protein/58037467","Bri3bp")</f>
        <v>Bri3bp</v>
      </c>
      <c r="D874" s="10">
        <f t="shared" si="13"/>
        <v>5.3023288399803858</v>
      </c>
      <c r="F874" s="8" t="str">
        <f>HYPERLINK("https://esbl.nhlbi.nih.gov/Databases/mpkFractions/proteomic_fractions_log_files/Yang_log_img/58037467.jpg","show blot")</f>
        <v>show blot</v>
      </c>
      <c r="H874" s="8" t="str">
        <f>HYPERLINK("https://esbl.nhlbi.nih.gov/Databases/mpkFractions/proteomic_fractions_linear_files/Yang_linear_img/58037467.jpg","show blot")</f>
        <v>show blot</v>
      </c>
      <c r="J874" s="5" t="s">
        <v>1743</v>
      </c>
      <c r="L874" s="11">
        <v>5.3023288399803858</v>
      </c>
      <c r="N874" s="12"/>
    </row>
    <row r="875" spans="1:14" s="5" customFormat="1" ht="15" customHeight="1" x14ac:dyDescent="0.25">
      <c r="A875" s="9" t="s">
        <v>1744</v>
      </c>
      <c r="C875" s="9" t="str">
        <f>HYPERLINK("http://www.ncbi.nlm.nih.gov/protein/141802630","Brix1")</f>
        <v>Brix1</v>
      </c>
      <c r="D875" s="10">
        <f t="shared" si="13"/>
        <v>4.4791879458001889</v>
      </c>
      <c r="F875" s="8" t="str">
        <f>HYPERLINK("https://esbl.nhlbi.nih.gov/Databases/mpkFractions/proteomic_fractions_log_files/Yang_log_img/141802630.jpg","show blot")</f>
        <v>show blot</v>
      </c>
      <c r="H875" s="8" t="str">
        <f>HYPERLINK("https://esbl.nhlbi.nih.gov/Databases/mpkFractions/proteomic_fractions_linear_files/Yang_linear_img/141802630.jpg","show blot")</f>
        <v>show blot</v>
      </c>
      <c r="J875" s="5" t="s">
        <v>1745</v>
      </c>
      <c r="L875" s="11">
        <v>4.4791879458001889</v>
      </c>
      <c r="N875" s="12"/>
    </row>
    <row r="876" spans="1:14" s="5" customFormat="1" ht="15" customHeight="1" x14ac:dyDescent="0.25">
      <c r="A876" s="9" t="s">
        <v>1746</v>
      </c>
      <c r="C876" s="9" t="str">
        <f>HYPERLINK("http://www.ncbi.nlm.nih.gov/protein/19527154","Brk1")</f>
        <v>Brk1</v>
      </c>
      <c r="D876" s="10">
        <f t="shared" si="13"/>
        <v>4.9197392343981567</v>
      </c>
      <c r="F876" s="8" t="str">
        <f>HYPERLINK("https://esbl.nhlbi.nih.gov/Databases/mpkFractions/proteomic_fractions_log_files/Yang_log_img/19527154.jpg","show blot")</f>
        <v>show blot</v>
      </c>
      <c r="H876" s="8" t="str">
        <f>HYPERLINK("https://esbl.nhlbi.nih.gov/Databases/mpkFractions/proteomic_fractions_linear_files/Yang_linear_img/19527154.jpg","show blot")</f>
        <v>show blot</v>
      </c>
      <c r="J876" s="5" t="s">
        <v>1747</v>
      </c>
      <c r="L876" s="11">
        <v>4.9197392343981567</v>
      </c>
      <c r="N876" s="12"/>
    </row>
    <row r="877" spans="1:14" s="5" customFormat="1" ht="15" customHeight="1" x14ac:dyDescent="0.25">
      <c r="A877" s="9" t="s">
        <v>1748</v>
      </c>
      <c r="C877" s="9" t="str">
        <f>HYPERLINK("http://www.ncbi.nlm.nih.gov/protein/58037255","Brox")</f>
        <v>Brox</v>
      </c>
      <c r="D877" s="10">
        <f t="shared" si="13"/>
        <v>4.7134854300120947</v>
      </c>
      <c r="F877" s="8" t="str">
        <f>HYPERLINK("https://esbl.nhlbi.nih.gov/Databases/mpkFractions/proteomic_fractions_log_files/Yang_log_img/58037255.jpg","show blot")</f>
        <v>show blot</v>
      </c>
      <c r="H877" s="8" t="str">
        <f>HYPERLINK("https://esbl.nhlbi.nih.gov/Databases/mpkFractions/proteomic_fractions_linear_files/Yang_linear_img/58037255.jpg","show blot")</f>
        <v>show blot</v>
      </c>
      <c r="J877" s="5" t="s">
        <v>1749</v>
      </c>
      <c r="L877" s="11">
        <v>4.7134854300120947</v>
      </c>
      <c r="N877" s="12"/>
    </row>
    <row r="878" spans="1:14" s="5" customFormat="1" ht="15" customHeight="1" x14ac:dyDescent="0.25">
      <c r="A878" s="9" t="s">
        <v>1750</v>
      </c>
      <c r="C878" s="9" t="str">
        <f>HYPERLINK("http://www.ncbi.nlm.nih.gov/protein/31542236","Brs3")</f>
        <v>Brs3</v>
      </c>
      <c r="D878" s="10">
        <f t="shared" si="13"/>
        <v>4.4449544454307031</v>
      </c>
      <c r="F878" s="8" t="str">
        <f>HYPERLINK("https://esbl.nhlbi.nih.gov/Databases/mpkFractions/proteomic_fractions_log_files/Yang_log_img/31542236.jpg","show blot")</f>
        <v>show blot</v>
      </c>
      <c r="H878" s="8" t="str">
        <f>HYPERLINK("https://esbl.nhlbi.nih.gov/Databases/mpkFractions/proteomic_fractions_linear_files/Yang_linear_img/31542236.jpg","show blot")</f>
        <v>show blot</v>
      </c>
      <c r="J878" s="5" t="s">
        <v>1751</v>
      </c>
      <c r="L878" s="11">
        <v>4.4449544454307031</v>
      </c>
      <c r="N878" s="12"/>
    </row>
    <row r="879" spans="1:14" s="5" customFormat="1" ht="15" customHeight="1" x14ac:dyDescent="0.25">
      <c r="A879" s="9" t="s">
        <v>1752</v>
      </c>
      <c r="C879" s="9" t="str">
        <f>HYPERLINK("http://www.ncbi.nlm.nih.gov/protein/31981603","Bsdc1")</f>
        <v>Bsdc1</v>
      </c>
      <c r="D879" s="10">
        <f t="shared" si="13"/>
        <v>1.283589892377788</v>
      </c>
      <c r="F879" s="8" t="str">
        <f>HYPERLINK("https://esbl.nhlbi.nih.gov/Databases/mpkFractions/proteomic_fractions_log_files/Yang_log_img/31981603.jpg","show blot")</f>
        <v>show blot</v>
      </c>
      <c r="H879" s="8" t="str">
        <f>HYPERLINK("https://esbl.nhlbi.nih.gov/Databases/mpkFractions/proteomic_fractions_linear_files/Yang_linear_img/31981603.jpg","show blot")</f>
        <v>show blot</v>
      </c>
      <c r="J879" s="5" t="s">
        <v>1753</v>
      </c>
      <c r="L879" s="11">
        <v>1.283589892377788</v>
      </c>
      <c r="N879" s="12"/>
    </row>
    <row r="880" spans="1:14" s="5" customFormat="1" ht="15" customHeight="1" x14ac:dyDescent="0.25">
      <c r="A880" s="9" t="s">
        <v>1754</v>
      </c>
      <c r="C880" s="9" t="str">
        <f>HYPERLINK("http://www.ncbi.nlm.nih.gov/protein/116014342","Bsg")</f>
        <v>Bsg</v>
      </c>
      <c r="D880" s="10">
        <f t="shared" si="13"/>
        <v>6.1344131794856471</v>
      </c>
      <c r="F880" s="8" t="str">
        <f>HYPERLINK("https://esbl.nhlbi.nih.gov/Databases/mpkFractions/proteomic_fractions_log_files/Yang_log_img/116014342.jpg","show blot")</f>
        <v>show blot</v>
      </c>
      <c r="H880" s="8" t="str">
        <f>HYPERLINK("https://esbl.nhlbi.nih.gov/Databases/mpkFractions/proteomic_fractions_linear_files/Yang_linear_img/116014342.jpg","show blot")</f>
        <v>show blot</v>
      </c>
      <c r="J880" s="5" t="s">
        <v>1755</v>
      </c>
      <c r="L880" s="11">
        <v>6.1344131794856471</v>
      </c>
      <c r="N880" s="12"/>
    </row>
    <row r="881" spans="1:14" s="5" customFormat="1" ht="15" customHeight="1" x14ac:dyDescent="0.25">
      <c r="A881" s="9" t="s">
        <v>1756</v>
      </c>
      <c r="C881" s="9" t="str">
        <f>HYPERLINK("http://www.ncbi.nlm.nih.gov/protein/34915988","Bsg")</f>
        <v>Bsg</v>
      </c>
      <c r="D881" s="10">
        <f t="shared" si="13"/>
        <v>6.1344131794856471</v>
      </c>
      <c r="F881" s="8" t="str">
        <f>HYPERLINK("https://esbl.nhlbi.nih.gov/Databases/mpkFractions/proteomic_fractions_log_files/Yang_log_img/34915988.jpg","show blot")</f>
        <v>show blot</v>
      </c>
      <c r="H881" s="8" t="str">
        <f>HYPERLINK("https://esbl.nhlbi.nih.gov/Databases/mpkFractions/proteomic_fractions_linear_files/Yang_linear_img/34915988.jpg","show blot")</f>
        <v>show blot</v>
      </c>
      <c r="J881" s="5" t="s">
        <v>1757</v>
      </c>
      <c r="L881" s="11">
        <v>6.1344131794856471</v>
      </c>
      <c r="N881" s="12"/>
    </row>
    <row r="882" spans="1:14" s="5" customFormat="1" ht="15" customHeight="1" x14ac:dyDescent="0.25">
      <c r="A882" s="9" t="s">
        <v>1758</v>
      </c>
      <c r="C882" s="9" t="str">
        <f>HYPERLINK("http://www.ncbi.nlm.nih.gov/protein/91598894","Bsnd")</f>
        <v>Bsnd</v>
      </c>
      <c r="D882" s="10">
        <f t="shared" si="13"/>
        <v>2.5598714352713241</v>
      </c>
      <c r="F882" s="8" t="str">
        <f>HYPERLINK("https://esbl.nhlbi.nih.gov/Databases/mpkFractions/proteomic_fractions_log_files/Yang_log_img/91598894.jpg","show blot")</f>
        <v>show blot</v>
      </c>
      <c r="H882" s="8" t="str">
        <f>HYPERLINK("https://esbl.nhlbi.nih.gov/Databases/mpkFractions/proteomic_fractions_linear_files/Yang_linear_img/91598894.jpg","show blot")</f>
        <v>show blot</v>
      </c>
      <c r="J882" s="5" t="s">
        <v>1759</v>
      </c>
      <c r="L882" s="11">
        <v>2.5598714352713241</v>
      </c>
      <c r="N882" s="12"/>
    </row>
    <row r="883" spans="1:14" s="5" customFormat="1" ht="15" customHeight="1" x14ac:dyDescent="0.25">
      <c r="A883" s="9" t="s">
        <v>1760</v>
      </c>
      <c r="C883" s="9" t="str">
        <f>HYPERLINK("http://www.ncbi.nlm.nih.gov/protein/20149730","Bspry")</f>
        <v>Bspry</v>
      </c>
      <c r="D883" s="10">
        <f t="shared" si="13"/>
        <v>4.0773975167916072</v>
      </c>
      <c r="F883" s="8" t="str">
        <f>HYPERLINK("https://esbl.nhlbi.nih.gov/Databases/mpkFractions/proteomic_fractions_log_files/Yang_log_img/20149730.jpg","show blot")</f>
        <v>show blot</v>
      </c>
      <c r="H883" s="8" t="str">
        <f>HYPERLINK("https://esbl.nhlbi.nih.gov/Databases/mpkFractions/proteomic_fractions_linear_files/Yang_linear_img/20149730.jpg","show blot")</f>
        <v>show blot</v>
      </c>
      <c r="J883" s="5" t="s">
        <v>1761</v>
      </c>
      <c r="L883" s="11">
        <v>4.0773975167916072</v>
      </c>
      <c r="N883" s="12"/>
    </row>
    <row r="884" spans="1:14" s="5" customFormat="1" ht="15" customHeight="1" x14ac:dyDescent="0.25">
      <c r="A884" s="9" t="s">
        <v>1762</v>
      </c>
      <c r="C884" s="9" t="str">
        <f>HYPERLINK("http://www.ncbi.nlm.nih.gov/protein/134288869","Bst1")</f>
        <v>Bst1</v>
      </c>
      <c r="D884" s="10">
        <f t="shared" si="13"/>
        <v>2.3024752365381622</v>
      </c>
      <c r="F884" s="8" t="str">
        <f>HYPERLINK("https://esbl.nhlbi.nih.gov/Databases/mpkFractions/proteomic_fractions_log_files/Yang_log_img/134288869.jpg","show blot")</f>
        <v>show blot</v>
      </c>
      <c r="H884" s="8" t="str">
        <f>HYPERLINK("https://esbl.nhlbi.nih.gov/Databases/mpkFractions/proteomic_fractions_linear_files/Yang_linear_img/134288869.jpg","show blot")</f>
        <v>show blot</v>
      </c>
      <c r="J884" s="5" t="s">
        <v>1763</v>
      </c>
      <c r="L884" s="11">
        <v>2.3024752365381622</v>
      </c>
      <c r="N884" s="12"/>
    </row>
    <row r="885" spans="1:14" s="5" customFormat="1" ht="15" customHeight="1" x14ac:dyDescent="0.25">
      <c r="A885" s="9" t="s">
        <v>1764</v>
      </c>
      <c r="C885" s="9" t="str">
        <f>HYPERLINK("http://www.ncbi.nlm.nih.gov/protein/37674242","Bst2")</f>
        <v>Bst2</v>
      </c>
      <c r="D885" s="10">
        <f t="shared" si="13"/>
        <v>3.822450313453384</v>
      </c>
      <c r="F885" s="8" t="str">
        <f>HYPERLINK("https://esbl.nhlbi.nih.gov/Databases/mpkFractions/proteomic_fractions_log_files/Yang_log_img/37674242.jpg","show blot")</f>
        <v>show blot</v>
      </c>
      <c r="H885" s="8" t="str">
        <f>HYPERLINK("https://esbl.nhlbi.nih.gov/Databases/mpkFractions/proteomic_fractions_linear_files/Yang_linear_img/37674242.jpg","show blot")</f>
        <v>show blot</v>
      </c>
      <c r="J885" s="5" t="s">
        <v>1765</v>
      </c>
      <c r="L885" s="11">
        <v>3.822450313453384</v>
      </c>
      <c r="N885" s="12"/>
    </row>
    <row r="886" spans="1:14" s="5" customFormat="1" ht="15" customHeight="1" x14ac:dyDescent="0.25">
      <c r="A886" s="9" t="s">
        <v>1766</v>
      </c>
      <c r="C886" s="9" t="str">
        <f>HYPERLINK("http://www.ncbi.nlm.nih.gov/protein/123858774","Btaf1")</f>
        <v>Btaf1</v>
      </c>
      <c r="D886" s="10">
        <f t="shared" si="13"/>
        <v>4.4081194919698854</v>
      </c>
      <c r="F886" s="8" t="str">
        <f>HYPERLINK("https://esbl.nhlbi.nih.gov/Databases/mpkFractions/proteomic_fractions_log_files/Yang_log_img/123858774.jpg","show blot")</f>
        <v>show blot</v>
      </c>
      <c r="H886" s="8" t="str">
        <f>HYPERLINK("https://esbl.nhlbi.nih.gov/Databases/mpkFractions/proteomic_fractions_linear_files/Yang_linear_img/123858774.jpg","show blot")</f>
        <v>show blot</v>
      </c>
      <c r="J886" s="5" t="s">
        <v>1767</v>
      </c>
      <c r="L886" s="11">
        <v>4.4081194919698854</v>
      </c>
      <c r="N886" s="12"/>
    </row>
    <row r="887" spans="1:14" s="5" customFormat="1" ht="15" customHeight="1" x14ac:dyDescent="0.25">
      <c r="A887" s="9" t="s">
        <v>1768</v>
      </c>
      <c r="C887" s="9" t="str">
        <f>HYPERLINK("http://www.ncbi.nlm.nih.gov/protein/83649719","Btbd1")</f>
        <v>Btbd1</v>
      </c>
      <c r="D887" s="10">
        <f t="shared" si="13"/>
        <v>2.3670744827127899</v>
      </c>
      <c r="F887" s="8" t="str">
        <f>HYPERLINK("https://esbl.nhlbi.nih.gov/Databases/mpkFractions/proteomic_fractions_log_files/Yang_log_img/83649719.jpg","show blot")</f>
        <v>show blot</v>
      </c>
      <c r="H887" s="8" t="str">
        <f>HYPERLINK("https://esbl.nhlbi.nih.gov/Databases/mpkFractions/proteomic_fractions_linear_files/Yang_linear_img/83649719.jpg","show blot")</f>
        <v>show blot</v>
      </c>
      <c r="J887" s="5" t="s">
        <v>1769</v>
      </c>
      <c r="L887" s="11">
        <v>2.3670744827127899</v>
      </c>
      <c r="N887" s="12"/>
    </row>
    <row r="888" spans="1:14" s="5" customFormat="1" ht="15" customHeight="1" x14ac:dyDescent="0.25">
      <c r="A888" s="9" t="s">
        <v>1770</v>
      </c>
      <c r="C888" s="9" t="str">
        <f>HYPERLINK("http://www.ncbi.nlm.nih.gov/protein/163965446","Btbd2")</f>
        <v>Btbd2</v>
      </c>
      <c r="D888" s="10">
        <f t="shared" si="13"/>
        <v>3.243976002012499</v>
      </c>
      <c r="F888" s="8" t="str">
        <f>HYPERLINK("https://esbl.nhlbi.nih.gov/Databases/mpkFractions/proteomic_fractions_log_files/Yang_log_img/163965446.jpg","show blot")</f>
        <v>show blot</v>
      </c>
      <c r="H888" s="8" t="str">
        <f>HYPERLINK("https://esbl.nhlbi.nih.gov/Databases/mpkFractions/proteomic_fractions_linear_files/Yang_linear_img/163965446.jpg","show blot")</f>
        <v>show blot</v>
      </c>
      <c r="J888" s="5" t="s">
        <v>1771</v>
      </c>
      <c r="L888" s="11">
        <v>3.243976002012499</v>
      </c>
      <c r="N888" s="12"/>
    </row>
    <row r="889" spans="1:14" s="5" customFormat="1" ht="15" customHeight="1" x14ac:dyDescent="0.25">
      <c r="A889" s="9" t="s">
        <v>1772</v>
      </c>
      <c r="C889" s="9" t="str">
        <f>HYPERLINK("http://www.ncbi.nlm.nih.gov/protein/13384648","Btd")</f>
        <v>Btd</v>
      </c>
      <c r="D889" s="10">
        <f t="shared" si="13"/>
        <v>2.6480965505507932</v>
      </c>
      <c r="F889" s="8" t="str">
        <f>HYPERLINK("https://esbl.nhlbi.nih.gov/Databases/mpkFractions/proteomic_fractions_log_files/Yang_log_img/13384648.jpg","show blot")</f>
        <v>show blot</v>
      </c>
      <c r="H889" s="8" t="str">
        <f>HYPERLINK("https://esbl.nhlbi.nih.gov/Databases/mpkFractions/proteomic_fractions_linear_files/Yang_linear_img/13384648.jpg","show blot")</f>
        <v>show blot</v>
      </c>
      <c r="J889" s="5" t="s">
        <v>1773</v>
      </c>
      <c r="L889" s="11">
        <v>2.6480965505507932</v>
      </c>
      <c r="N889" s="12"/>
    </row>
    <row r="890" spans="1:14" s="5" customFormat="1" ht="15" customHeight="1" x14ac:dyDescent="0.25">
      <c r="A890" s="9" t="s">
        <v>1774</v>
      </c>
      <c r="C890" s="9" t="str">
        <f>HYPERLINK("http://www.ncbi.nlm.nih.gov/protein/281485611","Btf3")</f>
        <v>Btf3</v>
      </c>
      <c r="D890" s="10">
        <f t="shared" si="13"/>
        <v>6.240915447383327</v>
      </c>
      <c r="F890" s="8" t="str">
        <f>HYPERLINK("https://esbl.nhlbi.nih.gov/Databases/mpkFractions/proteomic_fractions_log_files/Yang_log_img/281485611.jpg","show blot")</f>
        <v>show blot</v>
      </c>
      <c r="H890" s="8" t="str">
        <f>HYPERLINK("https://esbl.nhlbi.nih.gov/Databases/mpkFractions/proteomic_fractions_linear_files/Yang_linear_img/281485611.jpg","show blot")</f>
        <v>show blot</v>
      </c>
      <c r="J890" s="5" t="s">
        <v>1775</v>
      </c>
      <c r="L890" s="11">
        <v>6.240915447383327</v>
      </c>
      <c r="N890" s="12"/>
    </row>
    <row r="891" spans="1:14" s="5" customFormat="1" ht="15" customHeight="1" x14ac:dyDescent="0.25">
      <c r="A891" s="9" t="s">
        <v>1776</v>
      </c>
      <c r="C891" s="9" t="str">
        <f>HYPERLINK("http://www.ncbi.nlm.nih.gov/protein/56605979","Btf3")</f>
        <v>Btf3</v>
      </c>
      <c r="D891" s="10">
        <f t="shared" si="13"/>
        <v>6.240915447383327</v>
      </c>
      <c r="F891" s="8" t="str">
        <f>HYPERLINK("https://esbl.nhlbi.nih.gov/Databases/mpkFractions/proteomic_fractions_log_files/Yang_log_img/56605979.jpg","show blot")</f>
        <v>show blot</v>
      </c>
      <c r="H891" s="8" t="str">
        <f>HYPERLINK("https://esbl.nhlbi.nih.gov/Databases/mpkFractions/proteomic_fractions_linear_files/Yang_linear_img/56605979.jpg","show blot")</f>
        <v>show blot</v>
      </c>
      <c r="J891" s="5" t="s">
        <v>1777</v>
      </c>
      <c r="L891" s="11">
        <v>6.240915447383327</v>
      </c>
      <c r="N891" s="12"/>
    </row>
    <row r="892" spans="1:14" s="5" customFormat="1" ht="15" customHeight="1" x14ac:dyDescent="0.25">
      <c r="A892" s="9" t="s">
        <v>1778</v>
      </c>
      <c r="C892" s="9" t="str">
        <f>HYPERLINK("http://www.ncbi.nlm.nih.gov/protein/29789195","Btf3l4")</f>
        <v>Btf3l4</v>
      </c>
      <c r="D892" s="10">
        <f t="shared" si="13"/>
        <v>5.6084163164555063</v>
      </c>
      <c r="F892" s="8" t="str">
        <f>HYPERLINK("https://esbl.nhlbi.nih.gov/Databases/mpkFractions/proteomic_fractions_log_files/Yang_log_img/29789195.jpg","show blot")</f>
        <v>show blot</v>
      </c>
      <c r="H892" s="8" t="str">
        <f>HYPERLINK("https://esbl.nhlbi.nih.gov/Databases/mpkFractions/proteomic_fractions_linear_files/Yang_linear_img/29789195.jpg","show blot")</f>
        <v>show blot</v>
      </c>
      <c r="J892" s="5" t="s">
        <v>1779</v>
      </c>
      <c r="L892" s="11">
        <v>5.6084163164555063</v>
      </c>
      <c r="N892" s="12"/>
    </row>
    <row r="893" spans="1:14" s="5" customFormat="1" ht="15" customHeight="1" x14ac:dyDescent="0.25">
      <c r="A893" s="9" t="s">
        <v>1780</v>
      </c>
      <c r="C893" s="9" t="str">
        <f>HYPERLINK("http://www.ncbi.nlm.nih.gov/protein/161086887","Btrc")</f>
        <v>Btrc</v>
      </c>
      <c r="D893" s="10">
        <f t="shared" si="13"/>
        <v>2.834584683208818</v>
      </c>
      <c r="F893" s="8" t="str">
        <f>HYPERLINK("https://esbl.nhlbi.nih.gov/Databases/mpkFractions/proteomic_fractions_log_files/Yang_log_img/161086887.jpg","show blot")</f>
        <v>show blot</v>
      </c>
      <c r="H893" s="8" t="str">
        <f>HYPERLINK("https://esbl.nhlbi.nih.gov/Databases/mpkFractions/proteomic_fractions_linear_files/Yang_linear_img/161086887.jpg","show blot")</f>
        <v>show blot</v>
      </c>
      <c r="J893" s="5" t="s">
        <v>1781</v>
      </c>
      <c r="L893" s="11">
        <v>2.834584683208818</v>
      </c>
      <c r="N893" s="12"/>
    </row>
    <row r="894" spans="1:14" s="5" customFormat="1" ht="15" customHeight="1" x14ac:dyDescent="0.25">
      <c r="A894" s="9" t="s">
        <v>1782</v>
      </c>
      <c r="C894" s="9" t="str">
        <f>HYPERLINK("http://www.ncbi.nlm.nih.gov/protein/6753210","Btrc")</f>
        <v>Btrc</v>
      </c>
      <c r="D894" s="10">
        <f t="shared" si="13"/>
        <v>2.834584683208818</v>
      </c>
      <c r="F894" s="8" t="str">
        <f>HYPERLINK("https://esbl.nhlbi.nih.gov/Databases/mpkFractions/proteomic_fractions_log_files/Yang_log_img/6753210.jpg","show blot")</f>
        <v>show blot</v>
      </c>
      <c r="H894" s="8" t="str">
        <f>HYPERLINK("https://esbl.nhlbi.nih.gov/Databases/mpkFractions/proteomic_fractions_linear_files/Yang_linear_img/6753210.jpg","show blot")</f>
        <v>show blot</v>
      </c>
      <c r="J894" s="5" t="s">
        <v>1783</v>
      </c>
      <c r="L894" s="11">
        <v>2.834584683208818</v>
      </c>
      <c r="N894" s="12"/>
    </row>
    <row r="895" spans="1:14" s="5" customFormat="1" ht="15" customHeight="1" x14ac:dyDescent="0.25">
      <c r="A895" s="9" t="s">
        <v>1784</v>
      </c>
      <c r="C895" s="9" t="str">
        <f>HYPERLINK("http://www.ncbi.nlm.nih.gov/protein/163937845","Bub1")</f>
        <v>Bub1</v>
      </c>
      <c r="D895" s="10" t="str">
        <f t="shared" si="13"/>
        <v>-</v>
      </c>
      <c r="F895" s="8" t="str">
        <f>HYPERLINK("https://esbl.nhlbi.nih.gov/Databases/mpkFractions/proteomic_fractions_log_files/Yang_log_img/163937845.jpg","show blot")</f>
        <v>show blot</v>
      </c>
      <c r="H895" s="8" t="str">
        <f>HYPERLINK("https://esbl.nhlbi.nih.gov/Databases/mpkFractions/proteomic_fractions_linear_files/Yang_linear_img/163937845.jpg","show blot")</f>
        <v>show blot</v>
      </c>
      <c r="J895" s="5" t="s">
        <v>1785</v>
      </c>
      <c r="L895" s="13" t="s">
        <v>389</v>
      </c>
      <c r="N895" s="12"/>
    </row>
    <row r="896" spans="1:14" s="5" customFormat="1" ht="15" customHeight="1" x14ac:dyDescent="0.25">
      <c r="A896" s="9" t="s">
        <v>1786</v>
      </c>
      <c r="C896" s="9" t="str">
        <f>HYPERLINK("http://www.ncbi.nlm.nih.gov/protein/163937847","Bub1")</f>
        <v>Bub1</v>
      </c>
      <c r="D896" s="10" t="str">
        <f t="shared" si="13"/>
        <v>-</v>
      </c>
      <c r="F896" s="8" t="str">
        <f>HYPERLINK("https://esbl.nhlbi.nih.gov/Databases/mpkFractions/proteomic_fractions_log_files/Yang_log_img/163937847.jpg","show blot")</f>
        <v>show blot</v>
      </c>
      <c r="H896" s="8" t="str">
        <f>HYPERLINK("https://esbl.nhlbi.nih.gov/Databases/mpkFractions/proteomic_fractions_linear_files/Yang_linear_img/163937847.jpg","show blot")</f>
        <v>show blot</v>
      </c>
      <c r="J896" s="5" t="s">
        <v>1787</v>
      </c>
      <c r="L896" s="13" t="s">
        <v>389</v>
      </c>
      <c r="N896" s="12"/>
    </row>
    <row r="897" spans="1:14" s="5" customFormat="1" ht="15" customHeight="1" x14ac:dyDescent="0.25">
      <c r="A897" s="9" t="s">
        <v>1788</v>
      </c>
      <c r="C897" s="9" t="str">
        <f>HYPERLINK("http://www.ncbi.nlm.nih.gov/protein/157951692","Bub1b")</f>
        <v>Bub1b</v>
      </c>
      <c r="D897" s="10">
        <f t="shared" si="13"/>
        <v>4.7703486466264593</v>
      </c>
      <c r="F897" s="8" t="str">
        <f>HYPERLINK("https://esbl.nhlbi.nih.gov/Databases/mpkFractions/proteomic_fractions_log_files/Yang_log_img/157951692.jpg","show blot")</f>
        <v>show blot</v>
      </c>
      <c r="H897" s="8" t="str">
        <f>HYPERLINK("https://esbl.nhlbi.nih.gov/Databases/mpkFractions/proteomic_fractions_linear_files/Yang_linear_img/157951692.jpg","show blot")</f>
        <v>show blot</v>
      </c>
      <c r="J897" s="5" t="s">
        <v>1789</v>
      </c>
      <c r="L897" s="11">
        <v>4.7703486466264593</v>
      </c>
      <c r="N897" s="12"/>
    </row>
    <row r="898" spans="1:14" s="5" customFormat="1" ht="15" customHeight="1" x14ac:dyDescent="0.25">
      <c r="A898" s="9" t="s">
        <v>1790</v>
      </c>
      <c r="C898" s="9" t="str">
        <f>HYPERLINK("http://www.ncbi.nlm.nih.gov/protein/31560618","Bub3")</f>
        <v>Bub3</v>
      </c>
      <c r="D898" s="10">
        <f t="shared" si="13"/>
        <v>6.0516028821011378</v>
      </c>
      <c r="F898" s="8" t="str">
        <f>HYPERLINK("https://esbl.nhlbi.nih.gov/Databases/mpkFractions/proteomic_fractions_log_files/Yang_log_img/31560618.jpg","show blot")</f>
        <v>show blot</v>
      </c>
      <c r="H898" s="8" t="str">
        <f>HYPERLINK("https://esbl.nhlbi.nih.gov/Databases/mpkFractions/proteomic_fractions_linear_files/Yang_linear_img/31560618.jpg","show blot")</f>
        <v>show blot</v>
      </c>
      <c r="J898" s="5" t="s">
        <v>1791</v>
      </c>
      <c r="L898" s="11">
        <v>6.0516028821011378</v>
      </c>
      <c r="N898" s="12"/>
    </row>
    <row r="899" spans="1:14" s="5" customFormat="1" ht="15" customHeight="1" x14ac:dyDescent="0.25">
      <c r="A899" s="9" t="s">
        <v>1792</v>
      </c>
      <c r="C899" s="9" t="str">
        <f>HYPERLINK("http://www.ncbi.nlm.nih.gov/protein/57222238","Bud31")</f>
        <v>Bud31</v>
      </c>
      <c r="D899" s="10">
        <f t="shared" si="13"/>
        <v>5.3686130961529299</v>
      </c>
      <c r="F899" s="8" t="str">
        <f>HYPERLINK("https://esbl.nhlbi.nih.gov/Databases/mpkFractions/proteomic_fractions_log_files/Yang_log_img/57222238.jpg","show blot")</f>
        <v>show blot</v>
      </c>
      <c r="H899" s="8" t="str">
        <f>HYPERLINK("https://esbl.nhlbi.nih.gov/Databases/mpkFractions/proteomic_fractions_linear_files/Yang_linear_img/57222238.jpg","show blot")</f>
        <v>show blot</v>
      </c>
      <c r="J899" s="5" t="s">
        <v>1793</v>
      </c>
      <c r="L899" s="11">
        <v>5.3686130961529299</v>
      </c>
      <c r="N899" s="12"/>
    </row>
    <row r="900" spans="1:14" s="5" customFormat="1" ht="15" customHeight="1" x14ac:dyDescent="0.25">
      <c r="A900" s="9" t="s">
        <v>1794</v>
      </c>
      <c r="C900" s="9" t="str">
        <f>HYPERLINK("http://www.ncbi.nlm.nih.gov/protein/164698440","Bysl")</f>
        <v>Bysl</v>
      </c>
      <c r="D900" s="10">
        <f t="shared" si="13"/>
        <v>4.4717357912627813</v>
      </c>
      <c r="F900" s="8" t="str">
        <f>HYPERLINK("https://esbl.nhlbi.nih.gov/Databases/mpkFractions/proteomic_fractions_log_files/Yang_log_img/164698440.jpg","show blot")</f>
        <v>show blot</v>
      </c>
      <c r="H900" s="8" t="str">
        <f>HYPERLINK("https://esbl.nhlbi.nih.gov/Databases/mpkFractions/proteomic_fractions_linear_files/Yang_linear_img/164698440.jpg","show blot")</f>
        <v>show blot</v>
      </c>
      <c r="J900" s="5" t="s">
        <v>1795</v>
      </c>
      <c r="L900" s="11">
        <v>4.4717357912627813</v>
      </c>
      <c r="N900" s="12"/>
    </row>
    <row r="901" spans="1:14" s="5" customFormat="1" ht="15" customHeight="1" x14ac:dyDescent="0.25">
      <c r="A901" s="9" t="s">
        <v>1796</v>
      </c>
      <c r="C901" s="9" t="str">
        <f>HYPERLINK("http://www.ncbi.nlm.nih.gov/protein/157909774","Bzrap1")</f>
        <v>Bzrap1</v>
      </c>
      <c r="D901" s="10">
        <f t="shared" ref="D901:D964" si="14">L901</f>
        <v>0.77959649125782449</v>
      </c>
      <c r="F901" s="8" t="str">
        <f>HYPERLINK("https://esbl.nhlbi.nih.gov/Databases/mpkFractions/proteomic_fractions_log_files/Yang_log_img/157909774.jpg","show blot")</f>
        <v>show blot</v>
      </c>
      <c r="H901" s="8" t="str">
        <f>HYPERLINK("https://esbl.nhlbi.nih.gov/Databases/mpkFractions/proteomic_fractions_linear_files/Yang_linear_img/157909774.jpg","show blot")</f>
        <v>show blot</v>
      </c>
      <c r="J901" s="5" t="s">
        <v>1797</v>
      </c>
      <c r="L901" s="11">
        <v>0.77959649125782449</v>
      </c>
      <c r="N901" s="12"/>
    </row>
    <row r="902" spans="1:14" s="5" customFormat="1" ht="15" customHeight="1" x14ac:dyDescent="0.25">
      <c r="A902" s="9" t="s">
        <v>1798</v>
      </c>
      <c r="C902" s="9" t="str">
        <f>HYPERLINK("http://www.ncbi.nlm.nih.gov/protein/13385296","Bzw1")</f>
        <v>Bzw1</v>
      </c>
      <c r="D902" s="10">
        <f t="shared" si="14"/>
        <v>5.8610052560032457</v>
      </c>
      <c r="F902" s="8" t="str">
        <f>HYPERLINK("https://esbl.nhlbi.nih.gov/Databases/mpkFractions/proteomic_fractions_log_files/Yang_log_img/13385296.jpg","show blot")</f>
        <v>show blot</v>
      </c>
      <c r="H902" s="8" t="str">
        <f>HYPERLINK("https://esbl.nhlbi.nih.gov/Databases/mpkFractions/proteomic_fractions_linear_files/Yang_linear_img/13385296.jpg","show blot")</f>
        <v>show blot</v>
      </c>
      <c r="J902" s="5" t="s">
        <v>1799</v>
      </c>
      <c r="L902" s="11">
        <v>5.8610052560032457</v>
      </c>
      <c r="N902" s="12"/>
    </row>
    <row r="903" spans="1:14" s="5" customFormat="1" ht="15" customHeight="1" x14ac:dyDescent="0.25">
      <c r="A903" s="9" t="s">
        <v>1800</v>
      </c>
      <c r="C903" s="9" t="str">
        <f>HYPERLINK("http://www.ncbi.nlm.nih.gov/protein/31981160","Bzw2")</f>
        <v>Bzw2</v>
      </c>
      <c r="D903" s="10">
        <f t="shared" si="14"/>
        <v>5.7284371986998739</v>
      </c>
      <c r="F903" s="8" t="str">
        <f>HYPERLINK("https://esbl.nhlbi.nih.gov/Databases/mpkFractions/proteomic_fractions_log_files/Yang_log_img/31981160.jpg","show blot")</f>
        <v>show blot</v>
      </c>
      <c r="H903" s="8" t="str">
        <f>HYPERLINK("https://esbl.nhlbi.nih.gov/Databases/mpkFractions/proteomic_fractions_linear_files/Yang_linear_img/31981160.jpg","show blot")</f>
        <v>show blot</v>
      </c>
      <c r="J903" s="5" t="s">
        <v>1801</v>
      </c>
      <c r="L903" s="11">
        <v>5.7284371986998739</v>
      </c>
      <c r="N903" s="12"/>
    </row>
    <row r="904" spans="1:14" s="5" customFormat="1" ht="15" customHeight="1" x14ac:dyDescent="0.25">
      <c r="A904" s="9" t="s">
        <v>1802</v>
      </c>
      <c r="C904" s="9" t="str">
        <f>HYPERLINK("http://www.ncbi.nlm.nih.gov/protein/210147428","C030006K11Rik")</f>
        <v>C030006K11Rik</v>
      </c>
      <c r="D904" s="10">
        <f t="shared" si="14"/>
        <v>4.3165845976875632</v>
      </c>
      <c r="F904" s="8" t="str">
        <f>HYPERLINK("https://esbl.nhlbi.nih.gov/Databases/mpkFractions/proteomic_fractions_log_files/Yang_log_img/210147428.jpg","show blot")</f>
        <v>show blot</v>
      </c>
      <c r="H904" s="8" t="str">
        <f>HYPERLINK("https://esbl.nhlbi.nih.gov/Databases/mpkFractions/proteomic_fractions_linear_files/Yang_linear_img/210147428.jpg","show blot")</f>
        <v>show blot</v>
      </c>
      <c r="J904" s="5" t="s">
        <v>1803</v>
      </c>
      <c r="L904" s="11">
        <v>4.3165845976875632</v>
      </c>
      <c r="N904" s="12"/>
    </row>
    <row r="905" spans="1:14" s="5" customFormat="1" ht="15" customHeight="1" x14ac:dyDescent="0.25">
      <c r="A905" s="9" t="s">
        <v>1804</v>
      </c>
      <c r="C905" s="9" t="str">
        <f>HYPERLINK("http://www.ncbi.nlm.nih.gov/protein/21735489","C030006K11Rik")</f>
        <v>C030006K11Rik</v>
      </c>
      <c r="D905" s="10">
        <f t="shared" si="14"/>
        <v>4.3165845976875632</v>
      </c>
      <c r="F905" s="8" t="str">
        <f>HYPERLINK("https://esbl.nhlbi.nih.gov/Databases/mpkFractions/proteomic_fractions_log_files/Yang_log_img/21735489.jpg","show blot")</f>
        <v>show blot</v>
      </c>
      <c r="H905" s="8" t="str">
        <f>HYPERLINK("https://esbl.nhlbi.nih.gov/Databases/mpkFractions/proteomic_fractions_linear_files/Yang_linear_img/21735489.jpg","show blot")</f>
        <v>show blot</v>
      </c>
      <c r="J905" s="5" t="s">
        <v>1805</v>
      </c>
      <c r="L905" s="11">
        <v>4.3165845976875632</v>
      </c>
      <c r="N905" s="12"/>
    </row>
    <row r="906" spans="1:14" s="5" customFormat="1" ht="15" customHeight="1" x14ac:dyDescent="0.25">
      <c r="A906" s="9" t="s">
        <v>1806</v>
      </c>
      <c r="C906" s="9" t="str">
        <f>HYPERLINK("http://www.ncbi.nlm.nih.gov/protein/112181167","C1qbp")</f>
        <v>C1qbp</v>
      </c>
      <c r="D906" s="10">
        <f t="shared" si="14"/>
        <v>5.9078989494103933</v>
      </c>
      <c r="F906" s="8" t="str">
        <f>HYPERLINK("https://esbl.nhlbi.nih.gov/Databases/mpkFractions/proteomic_fractions_log_files/Yang_log_img/112181167.jpg","show blot")</f>
        <v>show blot</v>
      </c>
      <c r="H906" s="8" t="str">
        <f>HYPERLINK("https://esbl.nhlbi.nih.gov/Databases/mpkFractions/proteomic_fractions_linear_files/Yang_linear_img/112181167.jpg","show blot")</f>
        <v>show blot</v>
      </c>
      <c r="J906" s="5" t="s">
        <v>1807</v>
      </c>
      <c r="L906" s="11">
        <v>5.9078989494103933</v>
      </c>
      <c r="N906" s="12"/>
    </row>
    <row r="907" spans="1:14" s="5" customFormat="1" ht="15" customHeight="1" x14ac:dyDescent="0.25">
      <c r="A907" s="9" t="s">
        <v>1808</v>
      </c>
      <c r="C907" s="9" t="str">
        <f>HYPERLINK("http://www.ncbi.nlm.nih.gov/protein/157838011","C2cd5")</f>
        <v>C2cd5</v>
      </c>
      <c r="D907" s="10">
        <f t="shared" si="14"/>
        <v>2.1770577199336718</v>
      </c>
      <c r="F907" s="8" t="str">
        <f>HYPERLINK("https://esbl.nhlbi.nih.gov/Databases/mpkFractions/proteomic_fractions_log_files/Yang_log_img/157838011.jpg","show blot")</f>
        <v>show blot</v>
      </c>
      <c r="H907" s="8" t="str">
        <f>HYPERLINK("https://esbl.nhlbi.nih.gov/Databases/mpkFractions/proteomic_fractions_linear_files/Yang_linear_img/157838011.jpg","show blot")</f>
        <v>show blot</v>
      </c>
      <c r="J907" s="5" t="s">
        <v>1809</v>
      </c>
      <c r="L907" s="11">
        <v>2.1770577199336718</v>
      </c>
      <c r="N907" s="12"/>
    </row>
    <row r="908" spans="1:14" s="5" customFormat="1" ht="15" customHeight="1" x14ac:dyDescent="0.25">
      <c r="A908" s="9" t="s">
        <v>1810</v>
      </c>
      <c r="C908" s="9" t="str">
        <f>HYPERLINK("http://www.ncbi.nlm.nih.gov/protein/157838013","C2cd5")</f>
        <v>C2cd5</v>
      </c>
      <c r="D908" s="10">
        <f t="shared" si="14"/>
        <v>2.1770577199336718</v>
      </c>
      <c r="F908" s="8" t="str">
        <f>HYPERLINK("https://esbl.nhlbi.nih.gov/Databases/mpkFractions/proteomic_fractions_log_files/Yang_log_img/157838013.jpg","show blot")</f>
        <v>show blot</v>
      </c>
      <c r="H908" s="8" t="str">
        <f>HYPERLINK("https://esbl.nhlbi.nih.gov/Databases/mpkFractions/proteomic_fractions_linear_files/Yang_linear_img/157838013.jpg","show blot")</f>
        <v>show blot</v>
      </c>
      <c r="J908" s="5" t="s">
        <v>1811</v>
      </c>
      <c r="L908" s="11">
        <v>2.1770577199336718</v>
      </c>
      <c r="N908" s="12"/>
    </row>
    <row r="909" spans="1:14" s="5" customFormat="1" ht="15" customHeight="1" x14ac:dyDescent="0.25">
      <c r="A909" s="9" t="s">
        <v>1812</v>
      </c>
      <c r="C909" s="9" t="str">
        <f>HYPERLINK("http://www.ncbi.nlm.nih.gov/protein/157838015","C2cd5")</f>
        <v>C2cd5</v>
      </c>
      <c r="D909" s="10">
        <f t="shared" si="14"/>
        <v>2.1770577199336718</v>
      </c>
      <c r="F909" s="8" t="str">
        <f>HYPERLINK("https://esbl.nhlbi.nih.gov/Databases/mpkFractions/proteomic_fractions_log_files/Yang_log_img/157838015.jpg","show blot")</f>
        <v>show blot</v>
      </c>
      <c r="H909" s="8" t="str">
        <f>HYPERLINK("https://esbl.nhlbi.nih.gov/Databases/mpkFractions/proteomic_fractions_linear_files/Yang_linear_img/157838015.jpg","show blot")</f>
        <v>show blot</v>
      </c>
      <c r="J909" s="5" t="s">
        <v>1813</v>
      </c>
      <c r="L909" s="11">
        <v>2.1770577199336718</v>
      </c>
      <c r="N909" s="12"/>
    </row>
    <row r="910" spans="1:14" s="5" customFormat="1" ht="15" customHeight="1" x14ac:dyDescent="0.25">
      <c r="A910" s="9" t="s">
        <v>1814</v>
      </c>
      <c r="C910" s="9" t="str">
        <f>HYPERLINK("http://www.ncbi.nlm.nih.gov/protein/166063959","C330007P06Rik")</f>
        <v>C330007P06Rik</v>
      </c>
      <c r="D910" s="10">
        <f t="shared" si="14"/>
        <v>4.5227404281163244</v>
      </c>
      <c r="F910" s="8" t="str">
        <f>HYPERLINK("https://esbl.nhlbi.nih.gov/Databases/mpkFractions/proteomic_fractions_log_files/Yang_log_img/166063959.jpg","show blot")</f>
        <v>show blot</v>
      </c>
      <c r="H910" s="8" t="str">
        <f>HYPERLINK("https://esbl.nhlbi.nih.gov/Databases/mpkFractions/proteomic_fractions_linear_files/Yang_linear_img/166063959.jpg","show blot")</f>
        <v>show blot</v>
      </c>
      <c r="J910" s="5" t="s">
        <v>1815</v>
      </c>
      <c r="L910" s="11">
        <v>4.5227404281163244</v>
      </c>
      <c r="N910" s="12"/>
    </row>
    <row r="911" spans="1:14" s="5" customFormat="1" ht="15" customHeight="1" x14ac:dyDescent="0.25">
      <c r="A911" s="9" t="s">
        <v>1816</v>
      </c>
      <c r="C911" s="9" t="str">
        <f>HYPERLINK("http://www.ncbi.nlm.nih.gov/protein/75677516","C77080")</f>
        <v>C77080</v>
      </c>
      <c r="D911" s="10">
        <f t="shared" si="14"/>
        <v>2.8274132373734928</v>
      </c>
      <c r="F911" s="8" t="str">
        <f>HYPERLINK("https://esbl.nhlbi.nih.gov/Databases/mpkFractions/proteomic_fractions_log_files/Yang_log_img/75677516.jpg","show blot")</f>
        <v>show blot</v>
      </c>
      <c r="H911" s="8" t="str">
        <f>HYPERLINK("https://esbl.nhlbi.nih.gov/Databases/mpkFractions/proteomic_fractions_linear_files/Yang_linear_img/75677516.jpg","show blot")</f>
        <v>show blot</v>
      </c>
      <c r="J911" s="5" t="s">
        <v>1817</v>
      </c>
      <c r="L911" s="11">
        <v>2.8274132373734928</v>
      </c>
      <c r="N911" s="12"/>
    </row>
    <row r="912" spans="1:14" s="5" customFormat="1" ht="15" customHeight="1" x14ac:dyDescent="0.25">
      <c r="A912" s="9" t="s">
        <v>1818</v>
      </c>
      <c r="C912" s="9" t="str">
        <f>HYPERLINK("http://www.ncbi.nlm.nih.gov/protein/401871063","C920025E04Rik")</f>
        <v>C920025E04Rik</v>
      </c>
      <c r="D912" s="10">
        <f t="shared" si="14"/>
        <v>3.1263839774824809</v>
      </c>
      <c r="F912" s="8" t="str">
        <f>HYPERLINK("https://esbl.nhlbi.nih.gov/Databases/mpkFractions/proteomic_fractions_log_files/Yang_log_img/401871063.jpg","show blot")</f>
        <v>show blot</v>
      </c>
      <c r="H912" s="8" t="str">
        <f>HYPERLINK("https://esbl.nhlbi.nih.gov/Databases/mpkFractions/proteomic_fractions_linear_files/Yang_linear_img/401871063.jpg","show blot")</f>
        <v>show blot</v>
      </c>
      <c r="J912" s="5" t="s">
        <v>1819</v>
      </c>
      <c r="L912" s="11">
        <v>3.1263839774824809</v>
      </c>
      <c r="N912" s="12"/>
    </row>
    <row r="913" spans="1:14" s="5" customFormat="1" ht="15" customHeight="1" x14ac:dyDescent="0.25">
      <c r="A913" s="9" t="s">
        <v>1820</v>
      </c>
      <c r="C913" s="9" t="str">
        <f>HYPERLINK("http://www.ncbi.nlm.nih.gov/protein/161086893","Cab39")</f>
        <v>Cab39</v>
      </c>
      <c r="D913" s="10">
        <f t="shared" si="14"/>
        <v>5.2238729756853717</v>
      </c>
      <c r="F913" s="8" t="str">
        <f>HYPERLINK("https://esbl.nhlbi.nih.gov/Databases/mpkFractions/proteomic_fractions_log_files/Yang_log_img/161086893.jpg","show blot")</f>
        <v>show blot</v>
      </c>
      <c r="H913" s="8" t="str">
        <f>HYPERLINK("https://esbl.nhlbi.nih.gov/Databases/mpkFractions/proteomic_fractions_linear_files/Yang_linear_img/161086893.jpg","show blot")</f>
        <v>show blot</v>
      </c>
      <c r="J913" s="5" t="s">
        <v>1821</v>
      </c>
      <c r="L913" s="11">
        <v>5.2238729756853717</v>
      </c>
      <c r="N913" s="12"/>
    </row>
    <row r="914" spans="1:14" s="5" customFormat="1" ht="15" customHeight="1" x14ac:dyDescent="0.25">
      <c r="A914" s="9" t="s">
        <v>1822</v>
      </c>
      <c r="C914" s="9" t="str">
        <f>HYPERLINK("http://www.ncbi.nlm.nih.gov/protein/31541826","Cab39l")</f>
        <v>Cab39l</v>
      </c>
      <c r="D914" s="10">
        <f t="shared" si="14"/>
        <v>5.2980123084667792</v>
      </c>
      <c r="F914" s="8" t="str">
        <f>HYPERLINK("https://esbl.nhlbi.nih.gov/Databases/mpkFractions/proteomic_fractions_log_files/Yang_log_img/31541826.jpg","show blot")</f>
        <v>show blot</v>
      </c>
      <c r="H914" s="8" t="str">
        <f>HYPERLINK("https://esbl.nhlbi.nih.gov/Databases/mpkFractions/proteomic_fractions_linear_files/Yang_linear_img/31541826.jpg","show blot")</f>
        <v>show blot</v>
      </c>
      <c r="J914" s="5" t="s">
        <v>1823</v>
      </c>
      <c r="L914" s="11">
        <v>5.2980123084667792</v>
      </c>
      <c r="N914" s="12"/>
    </row>
    <row r="915" spans="1:14" s="5" customFormat="1" ht="15" customHeight="1" x14ac:dyDescent="0.25">
      <c r="A915" s="9" t="s">
        <v>1824</v>
      </c>
      <c r="C915" s="9" t="str">
        <f>HYPERLINK("http://www.ncbi.nlm.nih.gov/protein/58037485","Cacfd1")</f>
        <v>Cacfd1</v>
      </c>
      <c r="D915" s="10">
        <f t="shared" si="14"/>
        <v>2.621233999162575</v>
      </c>
      <c r="F915" s="8" t="str">
        <f>HYPERLINK("https://esbl.nhlbi.nih.gov/Databases/mpkFractions/proteomic_fractions_log_files/Yang_log_img/58037485.jpg","show blot")</f>
        <v>show blot</v>
      </c>
      <c r="H915" s="8" t="str">
        <f>HYPERLINK("https://esbl.nhlbi.nih.gov/Databases/mpkFractions/proteomic_fractions_linear_files/Yang_linear_img/58037485.jpg","show blot")</f>
        <v>show blot</v>
      </c>
      <c r="J915" s="5" t="s">
        <v>1825</v>
      </c>
      <c r="L915" s="11">
        <v>2.621233999162575</v>
      </c>
      <c r="N915" s="12"/>
    </row>
    <row r="916" spans="1:14" s="5" customFormat="1" ht="15" customHeight="1" x14ac:dyDescent="0.25">
      <c r="A916" s="9" t="s">
        <v>1826</v>
      </c>
      <c r="C916" s="9" t="str">
        <f>HYPERLINK("http://www.ncbi.nlm.nih.gov/protein/121583673","Cactin")</f>
        <v>Cactin</v>
      </c>
      <c r="D916" s="10">
        <f t="shared" si="14"/>
        <v>2.917632985010036</v>
      </c>
      <c r="F916" s="8" t="str">
        <f>HYPERLINK("https://esbl.nhlbi.nih.gov/Databases/mpkFractions/proteomic_fractions_log_files/Yang_log_img/121583673.jpg","show blot")</f>
        <v>show blot</v>
      </c>
      <c r="H916" s="8" t="str">
        <f>HYPERLINK("https://esbl.nhlbi.nih.gov/Databases/mpkFractions/proteomic_fractions_linear_files/Yang_linear_img/121583673.jpg","show blot")</f>
        <v>show blot</v>
      </c>
      <c r="J916" s="5" t="s">
        <v>1827</v>
      </c>
      <c r="L916" s="11">
        <v>2.917632985010036</v>
      </c>
      <c r="N916" s="12"/>
    </row>
    <row r="917" spans="1:14" s="5" customFormat="1" ht="15" customHeight="1" x14ac:dyDescent="0.25">
      <c r="A917" s="9" t="s">
        <v>1828</v>
      </c>
      <c r="C917" s="9" t="str">
        <f>HYPERLINK("http://www.ncbi.nlm.nih.gov/protein/285402212","Cacul1")</f>
        <v>Cacul1</v>
      </c>
      <c r="D917" s="10">
        <f t="shared" si="14"/>
        <v>4.2290531922893928</v>
      </c>
      <c r="F917" s="8" t="str">
        <f>HYPERLINK("https://esbl.nhlbi.nih.gov/Databases/mpkFractions/proteomic_fractions_log_files/Yang_log_img/285402212.jpg","show blot")</f>
        <v>show blot</v>
      </c>
      <c r="H917" s="8" t="str">
        <f>HYPERLINK("https://esbl.nhlbi.nih.gov/Databases/mpkFractions/proteomic_fractions_linear_files/Yang_linear_img/285402212.jpg","show blot")</f>
        <v>show blot</v>
      </c>
      <c r="J917" s="5" t="s">
        <v>1829</v>
      </c>
      <c r="L917" s="11">
        <v>4.2290531922893928</v>
      </c>
      <c r="N917" s="12"/>
    </row>
    <row r="918" spans="1:14" s="5" customFormat="1" ht="15" customHeight="1" x14ac:dyDescent="0.25">
      <c r="A918" s="9" t="s">
        <v>1830</v>
      </c>
      <c r="C918" s="9" t="str">
        <f>HYPERLINK("http://www.ncbi.nlm.nih.gov/protein/285402250","Cacul1")</f>
        <v>Cacul1</v>
      </c>
      <c r="D918" s="10">
        <f t="shared" si="14"/>
        <v>4.2290531922893928</v>
      </c>
      <c r="F918" s="8" t="str">
        <f>HYPERLINK("https://esbl.nhlbi.nih.gov/Databases/mpkFractions/proteomic_fractions_log_files/Yang_log_img/285402250.jpg","show blot")</f>
        <v>show blot</v>
      </c>
      <c r="H918" s="8" t="str">
        <f>HYPERLINK("https://esbl.nhlbi.nih.gov/Databases/mpkFractions/proteomic_fractions_linear_files/Yang_linear_img/285402250.jpg","show blot")</f>
        <v>show blot</v>
      </c>
      <c r="J918" s="5" t="s">
        <v>1831</v>
      </c>
      <c r="L918" s="11">
        <v>4.2290531922893928</v>
      </c>
      <c r="N918" s="12"/>
    </row>
    <row r="919" spans="1:14" s="5" customFormat="1" ht="15" customHeight="1" x14ac:dyDescent="0.25">
      <c r="A919" s="9" t="s">
        <v>1832</v>
      </c>
      <c r="C919" s="9" t="str">
        <f>HYPERLINK("http://www.ncbi.nlm.nih.gov/protein/58037533","Cacul1")</f>
        <v>Cacul1</v>
      </c>
      <c r="D919" s="10">
        <f t="shared" si="14"/>
        <v>4.2290531922893928</v>
      </c>
      <c r="F919" s="8" t="str">
        <f>HYPERLINK("https://esbl.nhlbi.nih.gov/Databases/mpkFractions/proteomic_fractions_log_files/Yang_log_img/58037533.jpg","show blot")</f>
        <v>show blot</v>
      </c>
      <c r="H919" s="8" t="str">
        <f>HYPERLINK("https://esbl.nhlbi.nih.gov/Databases/mpkFractions/proteomic_fractions_linear_files/Yang_linear_img/58037533.jpg","show blot")</f>
        <v>show blot</v>
      </c>
      <c r="J919" s="5" t="s">
        <v>1833</v>
      </c>
      <c r="L919" s="11">
        <v>4.2290531922893928</v>
      </c>
      <c r="N919" s="12"/>
    </row>
    <row r="920" spans="1:14" s="5" customFormat="1" ht="15" customHeight="1" x14ac:dyDescent="0.25">
      <c r="A920" s="9" t="s">
        <v>1834</v>
      </c>
      <c r="C920" s="9" t="str">
        <f>HYPERLINK("http://www.ncbi.nlm.nih.gov/protein/33468885","Cacybp")</f>
        <v>Cacybp</v>
      </c>
      <c r="D920" s="10">
        <f t="shared" si="14"/>
        <v>5.8895818164866496</v>
      </c>
      <c r="F920" s="8" t="str">
        <f>HYPERLINK("https://esbl.nhlbi.nih.gov/Databases/mpkFractions/proteomic_fractions_log_files/Yang_log_img/33468885.jpg","show blot")</f>
        <v>show blot</v>
      </c>
      <c r="H920" s="8" t="str">
        <f>HYPERLINK("https://esbl.nhlbi.nih.gov/Databases/mpkFractions/proteomic_fractions_linear_files/Yang_linear_img/33468885.jpg","show blot")</f>
        <v>show blot</v>
      </c>
      <c r="J920" s="5" t="s">
        <v>1835</v>
      </c>
      <c r="L920" s="11">
        <v>5.8895818164866496</v>
      </c>
      <c r="N920" s="12"/>
    </row>
    <row r="921" spans="1:14" s="5" customFormat="1" ht="15" customHeight="1" x14ac:dyDescent="0.25">
      <c r="A921" s="9" t="s">
        <v>1836</v>
      </c>
      <c r="C921" s="9" t="str">
        <f>HYPERLINK("http://www.ncbi.nlm.nih.gov/protein/51093867","Cad")</f>
        <v>Cad</v>
      </c>
      <c r="D921" s="10">
        <f t="shared" si="14"/>
        <v>5.2558058449213494</v>
      </c>
      <c r="F921" s="8" t="str">
        <f>HYPERLINK("https://esbl.nhlbi.nih.gov/Databases/mpkFractions/proteomic_fractions_log_files/Yang_log_img/51093867.jpg","show blot")</f>
        <v>show blot</v>
      </c>
      <c r="H921" s="8" t="str">
        <f>HYPERLINK("https://esbl.nhlbi.nih.gov/Databases/mpkFractions/proteomic_fractions_linear_files/Yang_linear_img/51093867.jpg","show blot")</f>
        <v>show blot</v>
      </c>
      <c r="J921" s="5" t="s">
        <v>1837</v>
      </c>
      <c r="L921" s="11">
        <v>5.2558058449213494</v>
      </c>
      <c r="N921" s="12"/>
    </row>
    <row r="922" spans="1:14" s="5" customFormat="1" ht="15" customHeight="1" x14ac:dyDescent="0.25">
      <c r="A922" s="9" t="s">
        <v>1838</v>
      </c>
      <c r="C922" s="9" t="str">
        <f>HYPERLINK("http://www.ncbi.nlm.nih.gov/protein/46575940","Cadm1")</f>
        <v>Cadm1</v>
      </c>
      <c r="D922" s="10">
        <f t="shared" si="14"/>
        <v>4.1063310380718976</v>
      </c>
      <c r="F922" s="8" t="str">
        <f>HYPERLINK("https://esbl.nhlbi.nih.gov/Databases/mpkFractions/proteomic_fractions_log_files/Yang_log_img/46575940.jpg","show blot")</f>
        <v>show blot</v>
      </c>
      <c r="H922" s="8" t="str">
        <f>HYPERLINK("https://esbl.nhlbi.nih.gov/Databases/mpkFractions/proteomic_fractions_linear_files/Yang_linear_img/46575940.jpg","show blot")</f>
        <v>show blot</v>
      </c>
      <c r="J922" s="5" t="s">
        <v>1839</v>
      </c>
      <c r="L922" s="11">
        <v>4.1063310380718976</v>
      </c>
      <c r="N922" s="12"/>
    </row>
    <row r="923" spans="1:14" s="5" customFormat="1" ht="15" customHeight="1" x14ac:dyDescent="0.25">
      <c r="A923" s="9" t="s">
        <v>1840</v>
      </c>
      <c r="C923" s="9" t="str">
        <f>HYPERLINK("http://www.ncbi.nlm.nih.gov/protein/71040102","Cadm1")</f>
        <v>Cadm1</v>
      </c>
      <c r="D923" s="10">
        <f t="shared" si="14"/>
        <v>4.1063310380718976</v>
      </c>
      <c r="F923" s="8" t="str">
        <f>HYPERLINK("https://esbl.nhlbi.nih.gov/Databases/mpkFractions/proteomic_fractions_log_files/Yang_log_img/71040102.jpg","show blot")</f>
        <v>show blot</v>
      </c>
      <c r="H923" s="8" t="str">
        <f>HYPERLINK("https://esbl.nhlbi.nih.gov/Databases/mpkFractions/proteomic_fractions_linear_files/Yang_linear_img/71040102.jpg","show blot")</f>
        <v>show blot</v>
      </c>
      <c r="J923" s="5" t="s">
        <v>1841</v>
      </c>
      <c r="L923" s="11">
        <v>4.1063310380718976</v>
      </c>
      <c r="N923" s="12"/>
    </row>
    <row r="924" spans="1:14" s="5" customFormat="1" ht="15" customHeight="1" x14ac:dyDescent="0.25">
      <c r="A924" s="9" t="s">
        <v>1842</v>
      </c>
      <c r="C924" s="9" t="str">
        <f>HYPERLINK("http://www.ncbi.nlm.nih.gov/protein/71040104","Cadm1")</f>
        <v>Cadm1</v>
      </c>
      <c r="D924" s="10">
        <f t="shared" si="14"/>
        <v>4.1063310380718976</v>
      </c>
      <c r="F924" s="8" t="str">
        <f>HYPERLINK("https://esbl.nhlbi.nih.gov/Databases/mpkFractions/proteomic_fractions_log_files/Yang_log_img/71040104.jpg","show blot")</f>
        <v>show blot</v>
      </c>
      <c r="H924" s="8" t="str">
        <f>HYPERLINK("https://esbl.nhlbi.nih.gov/Databases/mpkFractions/proteomic_fractions_linear_files/Yang_linear_img/71040104.jpg","show blot")</f>
        <v>show blot</v>
      </c>
      <c r="J924" s="5" t="s">
        <v>1843</v>
      </c>
      <c r="L924" s="11">
        <v>4.1063310380718976</v>
      </c>
      <c r="N924" s="12"/>
    </row>
    <row r="925" spans="1:14" s="5" customFormat="1" ht="15" customHeight="1" x14ac:dyDescent="0.25">
      <c r="A925" s="9" t="s">
        <v>1844</v>
      </c>
      <c r="C925" s="9" t="str">
        <f>HYPERLINK("http://www.ncbi.nlm.nih.gov/protein/71040107","Cadm1")</f>
        <v>Cadm1</v>
      </c>
      <c r="D925" s="10">
        <f t="shared" si="14"/>
        <v>4.1063310380718976</v>
      </c>
      <c r="F925" s="8" t="str">
        <f>HYPERLINK("https://esbl.nhlbi.nih.gov/Databases/mpkFractions/proteomic_fractions_log_files/Yang_log_img/71040107.jpg","show blot")</f>
        <v>show blot</v>
      </c>
      <c r="H925" s="8" t="str">
        <f>HYPERLINK("https://esbl.nhlbi.nih.gov/Databases/mpkFractions/proteomic_fractions_linear_files/Yang_linear_img/71040107.jpg","show blot")</f>
        <v>show blot</v>
      </c>
      <c r="J925" s="5" t="s">
        <v>1845</v>
      </c>
      <c r="L925" s="11">
        <v>4.1063310380718976</v>
      </c>
      <c r="N925" s="12"/>
    </row>
    <row r="926" spans="1:14" s="5" customFormat="1" ht="15" customHeight="1" x14ac:dyDescent="0.25">
      <c r="A926" s="9" t="s">
        <v>1846</v>
      </c>
      <c r="C926" s="9" t="str">
        <f>HYPERLINK("http://www.ncbi.nlm.nih.gov/protein/23346547","Cadm4")</f>
        <v>Cadm4</v>
      </c>
      <c r="D926" s="10">
        <f t="shared" si="14"/>
        <v>2.030796592666094</v>
      </c>
      <c r="F926" s="8" t="str">
        <f>HYPERLINK("https://esbl.nhlbi.nih.gov/Databases/mpkFractions/proteomic_fractions_log_files/Yang_log_img/23346547.jpg","show blot")</f>
        <v>show blot</v>
      </c>
      <c r="H926" s="8" t="str">
        <f>HYPERLINK("https://esbl.nhlbi.nih.gov/Databases/mpkFractions/proteomic_fractions_linear_files/Yang_linear_img/23346547.jpg","show blot")</f>
        <v>show blot</v>
      </c>
      <c r="J926" s="5" t="s">
        <v>1847</v>
      </c>
      <c r="L926" s="11">
        <v>2.030796592666094</v>
      </c>
      <c r="N926" s="12"/>
    </row>
    <row r="927" spans="1:14" s="5" customFormat="1" ht="15" customHeight="1" x14ac:dyDescent="0.25">
      <c r="A927" s="9" t="s">
        <v>1848</v>
      </c>
      <c r="C927" s="9" t="str">
        <f>HYPERLINK("http://www.ncbi.nlm.nih.gov/protein/21312944","Calcoco1")</f>
        <v>Calcoco1</v>
      </c>
      <c r="D927" s="10">
        <f t="shared" si="14"/>
        <v>4.9245325569809033</v>
      </c>
      <c r="F927" s="8" t="str">
        <f>HYPERLINK("https://esbl.nhlbi.nih.gov/Databases/mpkFractions/proteomic_fractions_log_files/Yang_log_img/21312944.jpg","show blot")</f>
        <v>show blot</v>
      </c>
      <c r="H927" s="8" t="str">
        <f>HYPERLINK("https://esbl.nhlbi.nih.gov/Databases/mpkFractions/proteomic_fractions_linear_files/Yang_linear_img/21312944.jpg","show blot")</f>
        <v>show blot</v>
      </c>
      <c r="J927" s="5" t="s">
        <v>1849</v>
      </c>
      <c r="L927" s="11">
        <v>4.9245325569809033</v>
      </c>
      <c r="N927" s="12"/>
    </row>
    <row r="928" spans="1:14" s="5" customFormat="1" ht="15" customHeight="1" x14ac:dyDescent="0.25">
      <c r="A928" s="9" t="s">
        <v>1850</v>
      </c>
      <c r="C928" s="9" t="str">
        <f>HYPERLINK("http://www.ncbi.nlm.nih.gov/protein/21704156","Cald1")</f>
        <v>Cald1</v>
      </c>
      <c r="D928" s="10">
        <f t="shared" si="14"/>
        <v>4.4397604229401972</v>
      </c>
      <c r="F928" s="8" t="str">
        <f>HYPERLINK("https://esbl.nhlbi.nih.gov/Databases/mpkFractions/proteomic_fractions_log_files/Yang_log_img/21704156.jpg","show blot")</f>
        <v>show blot</v>
      </c>
      <c r="H928" s="8" t="str">
        <f>HYPERLINK("https://esbl.nhlbi.nih.gov/Databases/mpkFractions/proteomic_fractions_linear_files/Yang_linear_img/21704156.jpg","show blot")</f>
        <v>show blot</v>
      </c>
      <c r="J928" s="5" t="s">
        <v>1851</v>
      </c>
      <c r="L928" s="11">
        <v>4.4397604229401972</v>
      </c>
      <c r="N928" s="12"/>
    </row>
    <row r="929" spans="1:14" s="5" customFormat="1" ht="15" customHeight="1" x14ac:dyDescent="0.25">
      <c r="A929" s="9" t="s">
        <v>1852</v>
      </c>
      <c r="C929" s="9" t="str">
        <f>HYPERLINK("http://www.ncbi.nlm.nih.gov/protein/6680832;6680834","Calm2")</f>
        <v>Calm2</v>
      </c>
      <c r="D929" s="10">
        <f t="shared" si="14"/>
        <v>6.3616951569275644</v>
      </c>
      <c r="F929" s="8" t="str">
        <f>HYPERLINK("https://esbl.nhlbi.nih.gov/Databases/mpkFractions/proteomic_fractions_log_files/Yang_log_img/6680832;6680834.jpg","show blot")</f>
        <v>show blot</v>
      </c>
      <c r="H929" s="8" t="str">
        <f>HYPERLINK("https://esbl.nhlbi.nih.gov/Databases/mpkFractions/proteomic_fractions_linear_files/Yang_linear_img/6680832;6680834.jpg","show blot")</f>
        <v>show blot</v>
      </c>
      <c r="J929" s="5" t="s">
        <v>1853</v>
      </c>
      <c r="L929" s="11">
        <v>6.3616951569275644</v>
      </c>
      <c r="N929" s="12"/>
    </row>
    <row r="930" spans="1:14" s="5" customFormat="1" ht="15" customHeight="1" x14ac:dyDescent="0.25">
      <c r="A930" s="9" t="s">
        <v>1854</v>
      </c>
      <c r="C930" s="9" t="str">
        <f>HYPERLINK("http://www.ncbi.nlm.nih.gov/protein/6680834","Calm3")</f>
        <v>Calm3</v>
      </c>
      <c r="D930" s="10">
        <f t="shared" si="14"/>
        <v>6.4659534080617922</v>
      </c>
      <c r="F930" s="8" t="str">
        <f>HYPERLINK("https://esbl.nhlbi.nih.gov/Databases/mpkFractions/proteomic_fractions_log_files/Yang_log_img/6680834.jpg","show blot")</f>
        <v>show blot</v>
      </c>
      <c r="H930" s="8" t="str">
        <f>HYPERLINK("https://esbl.nhlbi.nih.gov/Databases/mpkFractions/proteomic_fractions_linear_files/Yang_linear_img/6680834.jpg","show blot")</f>
        <v>show blot</v>
      </c>
      <c r="J930" s="5" t="s">
        <v>1853</v>
      </c>
      <c r="L930" s="11">
        <v>6.4659534080617922</v>
      </c>
      <c r="N930" s="12"/>
    </row>
    <row r="931" spans="1:14" s="5" customFormat="1" ht="15" customHeight="1" x14ac:dyDescent="0.25">
      <c r="A931" s="9" t="s">
        <v>1855</v>
      </c>
      <c r="C931" s="9" t="str">
        <f>HYPERLINK("http://www.ncbi.nlm.nih.gov/protein/13386230","Calml3")</f>
        <v>Calml3</v>
      </c>
      <c r="D931" s="10">
        <f t="shared" si="14"/>
        <v>5.9635710074070314</v>
      </c>
      <c r="F931" s="8" t="str">
        <f>HYPERLINK("https://esbl.nhlbi.nih.gov/Databases/mpkFractions/proteomic_fractions_log_files/Yang_log_img/13386230.jpg","show blot")</f>
        <v>show blot</v>
      </c>
      <c r="H931" s="8" t="str">
        <f>HYPERLINK("https://esbl.nhlbi.nih.gov/Databases/mpkFractions/proteomic_fractions_linear_files/Yang_linear_img/13386230.jpg","show blot")</f>
        <v>show blot</v>
      </c>
      <c r="J931" s="5" t="s">
        <v>1856</v>
      </c>
      <c r="L931" s="11">
        <v>5.9635710074070314</v>
      </c>
      <c r="N931" s="12"/>
    </row>
    <row r="932" spans="1:14" s="5" customFormat="1" ht="15" customHeight="1" x14ac:dyDescent="0.25">
      <c r="A932" s="9" t="s">
        <v>1857</v>
      </c>
      <c r="C932" s="9" t="str">
        <f>HYPERLINK("http://www.ncbi.nlm.nih.gov/protein/6680836","Calr")</f>
        <v>Calr</v>
      </c>
      <c r="D932" s="10">
        <f t="shared" si="14"/>
        <v>6.4123699557904379</v>
      </c>
      <c r="F932" s="8" t="str">
        <f>HYPERLINK("https://esbl.nhlbi.nih.gov/Databases/mpkFractions/proteomic_fractions_log_files/Yang_log_img/6680836.jpg","show blot")</f>
        <v>show blot</v>
      </c>
      <c r="H932" s="8" t="str">
        <f>HYPERLINK("https://esbl.nhlbi.nih.gov/Databases/mpkFractions/proteomic_fractions_linear_files/Yang_linear_img/6680836.jpg","show blot")</f>
        <v>show blot</v>
      </c>
      <c r="J932" s="5" t="s">
        <v>1858</v>
      </c>
      <c r="L932" s="11">
        <v>6.4123699557904379</v>
      </c>
      <c r="N932" s="12"/>
    </row>
    <row r="933" spans="1:14" s="5" customFormat="1" ht="15" customHeight="1" x14ac:dyDescent="0.25">
      <c r="A933" s="9" t="s">
        <v>1859</v>
      </c>
      <c r="C933" s="9" t="str">
        <f>HYPERLINK("http://www.ncbi.nlm.nih.gov/protein/549806750","Calu")</f>
        <v>Calu</v>
      </c>
      <c r="D933" s="10">
        <f t="shared" si="14"/>
        <v>5.4362873807352488</v>
      </c>
      <c r="F933" s="8" t="str">
        <f>HYPERLINK("https://esbl.nhlbi.nih.gov/Databases/mpkFractions/proteomic_fractions_log_files/Yang_log_img/549806750.jpg","show blot")</f>
        <v>show blot</v>
      </c>
      <c r="H933" s="8" t="str">
        <f>HYPERLINK("https://esbl.nhlbi.nih.gov/Databases/mpkFractions/proteomic_fractions_linear_files/Yang_linear_img/549806750.jpg","show blot")</f>
        <v>show blot</v>
      </c>
      <c r="J933" s="5" t="s">
        <v>1860</v>
      </c>
      <c r="L933" s="11">
        <v>5.4362873807352488</v>
      </c>
      <c r="N933" s="12"/>
    </row>
    <row r="934" spans="1:14" s="5" customFormat="1" ht="15" customHeight="1" x14ac:dyDescent="0.25">
      <c r="A934" s="9" t="s">
        <v>1861</v>
      </c>
      <c r="C934" s="9" t="str">
        <f>HYPERLINK("http://www.ncbi.nlm.nih.gov/protein/41282022","Calu")</f>
        <v>Calu</v>
      </c>
      <c r="D934" s="10">
        <f t="shared" si="14"/>
        <v>5.4362873807352488</v>
      </c>
      <c r="F934" s="8" t="str">
        <f>HYPERLINK("https://esbl.nhlbi.nih.gov/Databases/mpkFractions/proteomic_fractions_log_files/Yang_log_img/41282022.jpg","show blot")</f>
        <v>show blot</v>
      </c>
      <c r="H934" s="8" t="str">
        <f>HYPERLINK("https://esbl.nhlbi.nih.gov/Databases/mpkFractions/proteomic_fractions_linear_files/Yang_linear_img/41282022.jpg","show blot")</f>
        <v>show blot</v>
      </c>
      <c r="J934" s="5" t="s">
        <v>1862</v>
      </c>
      <c r="L934" s="11">
        <v>5.4362873807352488</v>
      </c>
      <c r="N934" s="12"/>
    </row>
    <row r="935" spans="1:14" s="5" customFormat="1" ht="15" customHeight="1" x14ac:dyDescent="0.25">
      <c r="A935" s="9" t="s">
        <v>1863</v>
      </c>
      <c r="C935" s="9" t="str">
        <f>HYPERLINK("http://www.ncbi.nlm.nih.gov/protein/6680840","Calu")</f>
        <v>Calu</v>
      </c>
      <c r="D935" s="10">
        <f t="shared" si="14"/>
        <v>5.4362873807352488</v>
      </c>
      <c r="F935" s="8" t="str">
        <f>HYPERLINK("https://esbl.nhlbi.nih.gov/Databases/mpkFractions/proteomic_fractions_log_files/Yang_log_img/6680840.jpg","show blot")</f>
        <v>show blot</v>
      </c>
      <c r="H935" s="8" t="str">
        <f>HYPERLINK("https://esbl.nhlbi.nih.gov/Databases/mpkFractions/proteomic_fractions_linear_files/Yang_linear_img/6680840.jpg","show blot")</f>
        <v>show blot</v>
      </c>
      <c r="J935" s="5" t="s">
        <v>1864</v>
      </c>
      <c r="L935" s="11">
        <v>5.4362873807352488</v>
      </c>
      <c r="N935" s="12"/>
    </row>
    <row r="936" spans="1:14" s="5" customFormat="1" ht="15" customHeight="1" x14ac:dyDescent="0.25">
      <c r="A936" s="9" t="s">
        <v>1865</v>
      </c>
      <c r="C936" s="9" t="str">
        <f>HYPERLINK("http://www.ncbi.nlm.nih.gov/protein/19527140","Camk1")</f>
        <v>Camk1</v>
      </c>
      <c r="D936" s="10">
        <f t="shared" si="14"/>
        <v>1.944963884921733</v>
      </c>
      <c r="F936" s="8" t="str">
        <f>HYPERLINK("https://esbl.nhlbi.nih.gov/Databases/mpkFractions/proteomic_fractions_log_files/Yang_log_img/19527140.jpg","show blot")</f>
        <v>show blot</v>
      </c>
      <c r="H936" s="8" t="str">
        <f>HYPERLINK("https://esbl.nhlbi.nih.gov/Databases/mpkFractions/proteomic_fractions_linear_files/Yang_linear_img/19527140.jpg","show blot")</f>
        <v>show blot</v>
      </c>
      <c r="J936" s="5" t="s">
        <v>1866</v>
      </c>
      <c r="L936" s="11">
        <v>1.944963884921733</v>
      </c>
      <c r="N936" s="12"/>
    </row>
    <row r="937" spans="1:14" s="5" customFormat="1" ht="15" customHeight="1" x14ac:dyDescent="0.25">
      <c r="A937" s="9" t="s">
        <v>1867</v>
      </c>
      <c r="C937" s="9" t="str">
        <f>HYPERLINK("http://www.ncbi.nlm.nih.gov/protein/28916677","Camk2a")</f>
        <v>Camk2a</v>
      </c>
      <c r="D937" s="10">
        <f t="shared" si="14"/>
        <v>5.492915015865651</v>
      </c>
      <c r="F937" s="8" t="str">
        <f>HYPERLINK("https://esbl.nhlbi.nih.gov/Databases/mpkFractions/proteomic_fractions_log_files/Yang_log_img/28916677.jpg","show blot")</f>
        <v>show blot</v>
      </c>
      <c r="H937" s="8" t="str">
        <f>HYPERLINK("https://esbl.nhlbi.nih.gov/Databases/mpkFractions/proteomic_fractions_linear_files/Yang_linear_img/28916677.jpg","show blot")</f>
        <v>show blot</v>
      </c>
      <c r="J937" s="5" t="s">
        <v>1868</v>
      </c>
      <c r="L937" s="11">
        <v>5.492915015865651</v>
      </c>
      <c r="N937" s="12"/>
    </row>
    <row r="938" spans="1:14" s="5" customFormat="1" ht="15" customHeight="1" x14ac:dyDescent="0.25">
      <c r="A938" s="9" t="s">
        <v>1869</v>
      </c>
      <c r="C938" s="9" t="str">
        <f>HYPERLINK("http://www.ncbi.nlm.nih.gov/protein/226693349","Camk2b")</f>
        <v>Camk2b</v>
      </c>
      <c r="D938" s="10">
        <f t="shared" si="14"/>
        <v>5.4565925018236454</v>
      </c>
      <c r="F938" s="8" t="str">
        <f>HYPERLINK("https://esbl.nhlbi.nih.gov/Databases/mpkFractions/proteomic_fractions_log_files/Yang_log_img/226693349.jpg","show blot")</f>
        <v>show blot</v>
      </c>
      <c r="H938" s="8" t="str">
        <f>HYPERLINK("https://esbl.nhlbi.nih.gov/Databases/mpkFractions/proteomic_fractions_linear_files/Yang_linear_img/226693349.jpg","show blot")</f>
        <v>show blot</v>
      </c>
      <c r="J938" s="5" t="s">
        <v>1870</v>
      </c>
      <c r="L938" s="11">
        <v>5.4565925018236454</v>
      </c>
      <c r="N938" s="12"/>
    </row>
    <row r="939" spans="1:14" s="5" customFormat="1" ht="15" customHeight="1" x14ac:dyDescent="0.25">
      <c r="A939" s="9" t="s">
        <v>1871</v>
      </c>
      <c r="C939" s="9" t="str">
        <f>HYPERLINK("http://www.ncbi.nlm.nih.gov/protein/291291008","Camk2b")</f>
        <v>Camk2b</v>
      </c>
      <c r="D939" s="10">
        <f t="shared" si="14"/>
        <v>5.4565925018236454</v>
      </c>
      <c r="F939" s="8" t="str">
        <f>HYPERLINK("https://esbl.nhlbi.nih.gov/Databases/mpkFractions/proteomic_fractions_log_files/Yang_log_img/291291008.jpg","show blot")</f>
        <v>show blot</v>
      </c>
      <c r="H939" s="8" t="str">
        <f>HYPERLINK("https://esbl.nhlbi.nih.gov/Databases/mpkFractions/proteomic_fractions_linear_files/Yang_linear_img/291291008.jpg","show blot")</f>
        <v>show blot</v>
      </c>
      <c r="J939" s="5" t="s">
        <v>1872</v>
      </c>
      <c r="L939" s="11">
        <v>5.4565925018236454</v>
      </c>
      <c r="N939" s="12"/>
    </row>
    <row r="940" spans="1:14" s="5" customFormat="1" ht="15" customHeight="1" x14ac:dyDescent="0.25">
      <c r="A940" s="9" t="s">
        <v>1873</v>
      </c>
      <c r="C940" s="9" t="str">
        <f>HYPERLINK("http://www.ncbi.nlm.nih.gov/protein/291291010","Camk2b")</f>
        <v>Camk2b</v>
      </c>
      <c r="D940" s="10">
        <f t="shared" si="14"/>
        <v>5.4565925018236454</v>
      </c>
      <c r="F940" s="8" t="str">
        <f>HYPERLINK("https://esbl.nhlbi.nih.gov/Databases/mpkFractions/proteomic_fractions_log_files/Yang_log_img/291291010.jpg","show blot")</f>
        <v>show blot</v>
      </c>
      <c r="H940" s="8" t="str">
        <f>HYPERLINK("https://esbl.nhlbi.nih.gov/Databases/mpkFractions/proteomic_fractions_linear_files/Yang_linear_img/291291010.jpg","show blot")</f>
        <v>show blot</v>
      </c>
      <c r="J940" s="5" t="s">
        <v>1874</v>
      </c>
      <c r="L940" s="11">
        <v>5.4565925018236454</v>
      </c>
      <c r="N940" s="12"/>
    </row>
    <row r="941" spans="1:14" s="5" customFormat="1" ht="15" customHeight="1" x14ac:dyDescent="0.25">
      <c r="A941" s="9" t="s">
        <v>1875</v>
      </c>
      <c r="C941" s="9" t="str">
        <f>HYPERLINK("http://www.ncbi.nlm.nih.gov/protein/18158420","Camk2d")</f>
        <v>Camk2d</v>
      </c>
      <c r="D941" s="10">
        <f t="shared" si="14"/>
        <v>5.7609034603816331</v>
      </c>
      <c r="F941" s="8" t="str">
        <f>HYPERLINK("https://esbl.nhlbi.nih.gov/Databases/mpkFractions/proteomic_fractions_log_files/Yang_log_img/18158420.jpg","show blot")</f>
        <v>show blot</v>
      </c>
      <c r="H941" s="8" t="str">
        <f>HYPERLINK("https://esbl.nhlbi.nih.gov/Databases/mpkFractions/proteomic_fractions_linear_files/Yang_linear_img/18158420.jpg","show blot")</f>
        <v>show blot</v>
      </c>
      <c r="J941" s="5" t="s">
        <v>1876</v>
      </c>
      <c r="L941" s="11">
        <v>5.7609034603816331</v>
      </c>
      <c r="N941" s="12"/>
    </row>
    <row r="942" spans="1:14" s="5" customFormat="1" ht="15" customHeight="1" x14ac:dyDescent="0.25">
      <c r="A942" s="9" t="s">
        <v>1877</v>
      </c>
      <c r="C942" s="9" t="str">
        <f>HYPERLINK("http://www.ncbi.nlm.nih.gov/protein/70906477","Camk2d")</f>
        <v>Camk2d</v>
      </c>
      <c r="D942" s="10">
        <f t="shared" si="14"/>
        <v>5.7609034603816331</v>
      </c>
      <c r="F942" s="8" t="str">
        <f>HYPERLINK("https://esbl.nhlbi.nih.gov/Databases/mpkFractions/proteomic_fractions_log_files/Yang_log_img/70906477.jpg","show blot")</f>
        <v>show blot</v>
      </c>
      <c r="H942" s="8" t="str">
        <f>HYPERLINK("https://esbl.nhlbi.nih.gov/Databases/mpkFractions/proteomic_fractions_linear_files/Yang_linear_img/70906477.jpg","show blot")</f>
        <v>show blot</v>
      </c>
      <c r="J942" s="5" t="s">
        <v>1878</v>
      </c>
      <c r="L942" s="11">
        <v>5.7609034603816331</v>
      </c>
      <c r="N942" s="12"/>
    </row>
    <row r="943" spans="1:14" s="5" customFormat="1" ht="15" customHeight="1" x14ac:dyDescent="0.25">
      <c r="A943" s="9" t="s">
        <v>1879</v>
      </c>
      <c r="C943" s="9" t="str">
        <f>HYPERLINK("http://www.ncbi.nlm.nih.gov/protein/70906479","Camk2d")</f>
        <v>Camk2d</v>
      </c>
      <c r="D943" s="10">
        <f t="shared" si="14"/>
        <v>5.7609034603816331</v>
      </c>
      <c r="F943" s="8" t="str">
        <f>HYPERLINK("https://esbl.nhlbi.nih.gov/Databases/mpkFractions/proteomic_fractions_log_files/Yang_log_img/70906479.jpg","show blot")</f>
        <v>show blot</v>
      </c>
      <c r="H943" s="8" t="str">
        <f>HYPERLINK("https://esbl.nhlbi.nih.gov/Databases/mpkFractions/proteomic_fractions_linear_files/Yang_linear_img/70906479.jpg","show blot")</f>
        <v>show blot</v>
      </c>
      <c r="J943" s="5" t="s">
        <v>1880</v>
      </c>
      <c r="L943" s="11">
        <v>5.7609034603816331</v>
      </c>
      <c r="N943" s="12"/>
    </row>
    <row r="944" spans="1:14" s="5" customFormat="1" ht="15" customHeight="1" x14ac:dyDescent="0.25">
      <c r="A944" s="9" t="s">
        <v>1881</v>
      </c>
      <c r="C944" s="9" t="str">
        <f>HYPERLINK("http://www.ncbi.nlm.nih.gov/protein/75991700","Camk2g")</f>
        <v>Camk2g</v>
      </c>
      <c r="D944" s="10">
        <f t="shared" si="14"/>
        <v>5.4877351090890478</v>
      </c>
      <c r="F944" s="8" t="str">
        <f>HYPERLINK("https://esbl.nhlbi.nih.gov/Databases/mpkFractions/proteomic_fractions_log_files/Yang_log_img/75991700.jpg","show blot")</f>
        <v>show blot</v>
      </c>
      <c r="H944" s="8" t="str">
        <f>HYPERLINK("https://esbl.nhlbi.nih.gov/Databases/mpkFractions/proteomic_fractions_linear_files/Yang_linear_img/75991700.jpg","show blot")</f>
        <v>show blot</v>
      </c>
      <c r="J944" s="5" t="s">
        <v>1882</v>
      </c>
      <c r="L944" s="11">
        <v>5.4877351090890478</v>
      </c>
      <c r="N944" s="12"/>
    </row>
    <row r="945" spans="1:14" s="5" customFormat="1" ht="15" customHeight="1" x14ac:dyDescent="0.25">
      <c r="A945" s="9" t="s">
        <v>1883</v>
      </c>
      <c r="C945" s="9" t="str">
        <f>HYPERLINK("http://www.ncbi.nlm.nih.gov/protein/85362729","Camk2g")</f>
        <v>Camk2g</v>
      </c>
      <c r="D945" s="10">
        <f t="shared" si="14"/>
        <v>5.4877351090890478</v>
      </c>
      <c r="F945" s="8" t="str">
        <f>HYPERLINK("https://esbl.nhlbi.nih.gov/Databases/mpkFractions/proteomic_fractions_log_files/Yang_log_img/85362729.jpg","show blot")</f>
        <v>show blot</v>
      </c>
      <c r="H945" s="8" t="str">
        <f>HYPERLINK("https://esbl.nhlbi.nih.gov/Databases/mpkFractions/proteomic_fractions_linear_files/Yang_linear_img/85362729.jpg","show blot")</f>
        <v>show blot</v>
      </c>
      <c r="J945" s="5" t="s">
        <v>1884</v>
      </c>
      <c r="L945" s="11">
        <v>5.4877351090890478</v>
      </c>
      <c r="N945" s="12"/>
    </row>
    <row r="946" spans="1:14" s="5" customFormat="1" ht="15" customHeight="1" x14ac:dyDescent="0.25">
      <c r="A946" s="9" t="s">
        <v>1885</v>
      </c>
      <c r="C946" s="9" t="str">
        <f>HYPERLINK("http://www.ncbi.nlm.nih.gov/protein/85362742","Camk2g")</f>
        <v>Camk2g</v>
      </c>
      <c r="D946" s="10">
        <f t="shared" si="14"/>
        <v>5.4877351090890478</v>
      </c>
      <c r="F946" s="8" t="str">
        <f>HYPERLINK("https://esbl.nhlbi.nih.gov/Databases/mpkFractions/proteomic_fractions_log_files/Yang_log_img/85362742.jpg","show blot")</f>
        <v>show blot</v>
      </c>
      <c r="H946" s="8" t="str">
        <f>HYPERLINK("https://esbl.nhlbi.nih.gov/Databases/mpkFractions/proteomic_fractions_linear_files/Yang_linear_img/85362742.jpg","show blot")</f>
        <v>show blot</v>
      </c>
      <c r="J946" s="5" t="s">
        <v>1886</v>
      </c>
      <c r="L946" s="11">
        <v>5.4877351090890478</v>
      </c>
      <c r="N946" s="12"/>
    </row>
    <row r="947" spans="1:14" s="5" customFormat="1" ht="15" customHeight="1" x14ac:dyDescent="0.25">
      <c r="A947" s="9" t="s">
        <v>1887</v>
      </c>
      <c r="C947" s="9" t="str">
        <f>HYPERLINK("http://www.ncbi.nlm.nih.gov/protein/21703722","Camkk2")</f>
        <v>Camkk2</v>
      </c>
      <c r="D947" s="10">
        <f t="shared" si="14"/>
        <v>4.0300264296880766</v>
      </c>
      <c r="F947" s="8" t="str">
        <f>HYPERLINK("https://esbl.nhlbi.nih.gov/Databases/mpkFractions/proteomic_fractions_log_files/Yang_log_img/21703722.jpg","show blot")</f>
        <v>show blot</v>
      </c>
      <c r="H947" s="8" t="str">
        <f>HYPERLINK("https://esbl.nhlbi.nih.gov/Databases/mpkFractions/proteomic_fractions_linear_files/Yang_linear_img/21703722.jpg","show blot")</f>
        <v>show blot</v>
      </c>
      <c r="J947" s="5" t="s">
        <v>1888</v>
      </c>
      <c r="L947" s="11">
        <v>4.0300264296880766</v>
      </c>
      <c r="N947" s="12"/>
    </row>
    <row r="948" spans="1:14" s="5" customFormat="1" ht="15" customHeight="1" x14ac:dyDescent="0.25">
      <c r="A948" s="9" t="s">
        <v>1889</v>
      </c>
      <c r="C948" s="9" t="str">
        <f>HYPERLINK("http://www.ncbi.nlm.nih.gov/protein/314122344","Camkk2")</f>
        <v>Camkk2</v>
      </c>
      <c r="D948" s="10">
        <f t="shared" si="14"/>
        <v>4.0300264296880766</v>
      </c>
      <c r="F948" s="8" t="str">
        <f>HYPERLINK("https://esbl.nhlbi.nih.gov/Databases/mpkFractions/proteomic_fractions_log_files/Yang_log_img/314122344.jpg","show blot")</f>
        <v>show blot</v>
      </c>
      <c r="H948" s="8" t="str">
        <f>HYPERLINK("https://esbl.nhlbi.nih.gov/Databases/mpkFractions/proteomic_fractions_linear_files/Yang_linear_img/314122344.jpg","show blot")</f>
        <v>show blot</v>
      </c>
      <c r="J948" s="5" t="s">
        <v>1890</v>
      </c>
      <c r="L948" s="11">
        <v>4.0300264296880766</v>
      </c>
      <c r="N948" s="12"/>
    </row>
    <row r="949" spans="1:14" s="5" customFormat="1" ht="15" customHeight="1" x14ac:dyDescent="0.25">
      <c r="A949" s="9" t="s">
        <v>1891</v>
      </c>
      <c r="C949" s="9" t="str">
        <f>HYPERLINK("http://www.ncbi.nlm.nih.gov/protein/124249226","Camkmt")</f>
        <v>Camkmt</v>
      </c>
      <c r="D949" s="10">
        <f t="shared" si="14"/>
        <v>3.4099433342268428</v>
      </c>
      <c r="F949" s="8" t="str">
        <f>HYPERLINK("https://esbl.nhlbi.nih.gov/Databases/mpkFractions/proteomic_fractions_log_files/Yang_log_img/124249226.jpg","show blot")</f>
        <v>show blot</v>
      </c>
      <c r="H949" s="8" t="str">
        <f>HYPERLINK("https://esbl.nhlbi.nih.gov/Databases/mpkFractions/proteomic_fractions_linear_files/Yang_linear_img/124249226.jpg","show blot")</f>
        <v>show blot</v>
      </c>
      <c r="J949" s="5" t="s">
        <v>1892</v>
      </c>
      <c r="L949" s="11">
        <v>3.4099433342268428</v>
      </c>
      <c r="N949" s="12"/>
    </row>
    <row r="950" spans="1:14" s="5" customFormat="1" ht="15" customHeight="1" x14ac:dyDescent="0.25">
      <c r="A950" s="9" t="s">
        <v>1893</v>
      </c>
      <c r="C950" s="9" t="str">
        <f>HYPERLINK("http://www.ncbi.nlm.nih.gov/protein/226423895","Camp")</f>
        <v>Camp</v>
      </c>
      <c r="D950" s="10">
        <f t="shared" si="14"/>
        <v>3.3263636926285729</v>
      </c>
      <c r="F950" s="8" t="str">
        <f>HYPERLINK("https://esbl.nhlbi.nih.gov/Databases/mpkFractions/proteomic_fractions_log_files/Yang_log_img/226423895.jpg","show blot")</f>
        <v>show blot</v>
      </c>
      <c r="H950" s="8" t="str">
        <f>HYPERLINK("https://esbl.nhlbi.nih.gov/Databases/mpkFractions/proteomic_fractions_linear_files/Yang_linear_img/226423895.jpg","show blot")</f>
        <v>show blot</v>
      </c>
      <c r="J950" s="5" t="s">
        <v>1894</v>
      </c>
      <c r="L950" s="11">
        <v>3.3263636926285729</v>
      </c>
      <c r="N950" s="12"/>
    </row>
    <row r="951" spans="1:14" s="5" customFormat="1" ht="15" customHeight="1" x14ac:dyDescent="0.25">
      <c r="A951" s="9" t="s">
        <v>1895</v>
      </c>
      <c r="C951" s="9" t="str">
        <f>HYPERLINK("http://www.ncbi.nlm.nih.gov/protein/255069774","Camsap3")</f>
        <v>Camsap3</v>
      </c>
      <c r="D951" s="10">
        <f t="shared" si="14"/>
        <v>2.5780541960496599</v>
      </c>
      <c r="F951" s="8" t="str">
        <f>HYPERLINK("https://esbl.nhlbi.nih.gov/Databases/mpkFractions/proteomic_fractions_log_files/Yang_log_img/255069774.jpg","show blot")</f>
        <v>show blot</v>
      </c>
      <c r="H951" s="8" t="str">
        <f>HYPERLINK("https://esbl.nhlbi.nih.gov/Databases/mpkFractions/proteomic_fractions_linear_files/Yang_linear_img/255069774.jpg","show blot")</f>
        <v>show blot</v>
      </c>
      <c r="J951" s="5" t="s">
        <v>1896</v>
      </c>
      <c r="L951" s="11">
        <v>2.5780541960496599</v>
      </c>
      <c r="N951" s="12"/>
    </row>
    <row r="952" spans="1:14" s="5" customFormat="1" ht="15" customHeight="1" x14ac:dyDescent="0.25">
      <c r="A952" s="9" t="s">
        <v>1897</v>
      </c>
      <c r="C952" s="9" t="str">
        <f>HYPERLINK("http://www.ncbi.nlm.nih.gov/protein/255069776","Camsap3")</f>
        <v>Camsap3</v>
      </c>
      <c r="D952" s="10">
        <f t="shared" si="14"/>
        <v>2.5780541960496599</v>
      </c>
      <c r="F952" s="8" t="str">
        <f>HYPERLINK("https://esbl.nhlbi.nih.gov/Databases/mpkFractions/proteomic_fractions_log_files/Yang_log_img/255069776.jpg","show blot")</f>
        <v>show blot</v>
      </c>
      <c r="H952" s="8" t="str">
        <f>HYPERLINK("https://esbl.nhlbi.nih.gov/Databases/mpkFractions/proteomic_fractions_linear_files/Yang_linear_img/255069776.jpg","show blot")</f>
        <v>show blot</v>
      </c>
      <c r="J952" s="5" t="s">
        <v>1898</v>
      </c>
      <c r="L952" s="11">
        <v>2.5780541960496599</v>
      </c>
      <c r="N952" s="12"/>
    </row>
    <row r="953" spans="1:14" s="5" customFormat="1" ht="15" customHeight="1" x14ac:dyDescent="0.25">
      <c r="A953" s="9" t="s">
        <v>1899</v>
      </c>
      <c r="C953" s="9" t="str">
        <f>HYPERLINK("http://www.ncbi.nlm.nih.gov/protein/189409138","Cand1")</f>
        <v>Cand1</v>
      </c>
      <c r="D953" s="10">
        <f t="shared" si="14"/>
        <v>6.0320975788279227</v>
      </c>
      <c r="F953" s="8" t="str">
        <f>HYPERLINK("https://esbl.nhlbi.nih.gov/Databases/mpkFractions/proteomic_fractions_log_files/Yang_log_img/189409138.jpg","show blot")</f>
        <v>show blot</v>
      </c>
      <c r="H953" s="8" t="str">
        <f>HYPERLINK("https://esbl.nhlbi.nih.gov/Databases/mpkFractions/proteomic_fractions_linear_files/Yang_linear_img/189409138.jpg","show blot")</f>
        <v>show blot</v>
      </c>
      <c r="J953" s="5" t="s">
        <v>1900</v>
      </c>
      <c r="L953" s="11">
        <v>6.0320975788279227</v>
      </c>
      <c r="N953" s="12"/>
    </row>
    <row r="954" spans="1:14" s="5" customFormat="1" ht="15" customHeight="1" x14ac:dyDescent="0.25">
      <c r="A954" s="9" t="s">
        <v>1901</v>
      </c>
      <c r="C954" s="9" t="str">
        <f>HYPERLINK("http://www.ncbi.nlm.nih.gov/protein/254692880","Cand2")</f>
        <v>Cand2</v>
      </c>
      <c r="D954" s="10">
        <f t="shared" si="14"/>
        <v>3.7871303192479862</v>
      </c>
      <c r="F954" s="8" t="str">
        <f>HYPERLINK("https://esbl.nhlbi.nih.gov/Databases/mpkFractions/proteomic_fractions_log_files/Yang_log_img/254692880.jpg","show blot")</f>
        <v>show blot</v>
      </c>
      <c r="H954" s="8" t="str">
        <f>HYPERLINK("https://esbl.nhlbi.nih.gov/Databases/mpkFractions/proteomic_fractions_linear_files/Yang_linear_img/254692880.jpg","show blot")</f>
        <v>show blot</v>
      </c>
      <c r="J954" s="5" t="s">
        <v>1902</v>
      </c>
      <c r="L954" s="11">
        <v>3.7871303192479862</v>
      </c>
      <c r="N954" s="12"/>
    </row>
    <row r="955" spans="1:14" s="5" customFormat="1" ht="15" customHeight="1" x14ac:dyDescent="0.25">
      <c r="A955" s="9" t="s">
        <v>1903</v>
      </c>
      <c r="C955" s="9" t="str">
        <f>HYPERLINK("http://www.ncbi.nlm.nih.gov/protein/160333216;6671664","Canx")</f>
        <v>Canx</v>
      </c>
      <c r="D955" s="10">
        <f t="shared" si="14"/>
        <v>6.1848075803031586</v>
      </c>
      <c r="F955" s="8" t="str">
        <f>HYPERLINK("https://esbl.nhlbi.nih.gov/Databases/mpkFractions/proteomic_fractions_log_files/Yang_log_img/160333216;6671664.jpg","show blot")</f>
        <v>show blot</v>
      </c>
      <c r="H955" s="8" t="str">
        <f>HYPERLINK("https://esbl.nhlbi.nih.gov/Databases/mpkFractions/proteomic_fractions_linear_files/Yang_linear_img/160333216;6671664.jpg","show blot")</f>
        <v>show blot</v>
      </c>
      <c r="J955" s="5" t="s">
        <v>1904</v>
      </c>
      <c r="L955" s="11">
        <v>6.1848075803031586</v>
      </c>
      <c r="N955" s="12"/>
    </row>
    <row r="956" spans="1:14" s="5" customFormat="1" ht="15" customHeight="1" x14ac:dyDescent="0.25">
      <c r="A956" s="9" t="s">
        <v>1905</v>
      </c>
      <c r="C956" s="9" t="str">
        <f>HYPERLINK("http://www.ncbi.nlm.nih.gov/protein/6671664","Canx")</f>
        <v>Canx</v>
      </c>
      <c r="D956" s="10">
        <f t="shared" si="14"/>
        <v>6.1848075803031586</v>
      </c>
      <c r="F956" s="8" t="str">
        <f>HYPERLINK("https://esbl.nhlbi.nih.gov/Databases/mpkFractions/proteomic_fractions_log_files/Yang_log_img/6671664.jpg","show blot")</f>
        <v>show blot</v>
      </c>
      <c r="H956" s="8" t="str">
        <f>HYPERLINK("https://esbl.nhlbi.nih.gov/Databases/mpkFractions/proteomic_fractions_linear_files/Yang_linear_img/6671664.jpg","show blot")</f>
        <v>show blot</v>
      </c>
      <c r="J956" s="5" t="s">
        <v>1904</v>
      </c>
      <c r="L956" s="11">
        <v>6.1848075803031586</v>
      </c>
      <c r="N956" s="12"/>
    </row>
    <row r="957" spans="1:14" s="5" customFormat="1" ht="15" customHeight="1" x14ac:dyDescent="0.25">
      <c r="A957" s="9" t="s">
        <v>1906</v>
      </c>
      <c r="C957" s="9" t="str">
        <f>HYPERLINK("http://www.ncbi.nlm.nih.gov/protein/157951604","Cap1")</f>
        <v>Cap1</v>
      </c>
      <c r="D957" s="10">
        <f t="shared" si="14"/>
        <v>6.1442151480051068</v>
      </c>
      <c r="F957" s="8" t="str">
        <f>HYPERLINK("https://esbl.nhlbi.nih.gov/Databases/mpkFractions/proteomic_fractions_log_files/Yang_log_img/157951604.jpg","show blot")</f>
        <v>show blot</v>
      </c>
      <c r="H957" s="8" t="str">
        <f>HYPERLINK("https://esbl.nhlbi.nih.gov/Databases/mpkFractions/proteomic_fractions_linear_files/Yang_linear_img/157951604.jpg","show blot")</f>
        <v>show blot</v>
      </c>
      <c r="J957" s="5" t="s">
        <v>1907</v>
      </c>
      <c r="L957" s="11">
        <v>6.1442151480051068</v>
      </c>
      <c r="N957" s="12"/>
    </row>
    <row r="958" spans="1:14" s="5" customFormat="1" ht="15" customHeight="1" x14ac:dyDescent="0.25">
      <c r="A958" s="9" t="s">
        <v>1908</v>
      </c>
      <c r="C958" s="9" t="str">
        <f>HYPERLINK("http://www.ncbi.nlm.nih.gov/protein/110227379","Capg")</f>
        <v>Capg</v>
      </c>
      <c r="D958" s="10">
        <f t="shared" si="14"/>
        <v>6.4678556639971818</v>
      </c>
      <c r="F958" s="8" t="str">
        <f>HYPERLINK("https://esbl.nhlbi.nih.gov/Databases/mpkFractions/proteomic_fractions_log_files/Yang_log_img/110227379.jpg","show blot")</f>
        <v>show blot</v>
      </c>
      <c r="H958" s="8" t="str">
        <f>HYPERLINK("https://esbl.nhlbi.nih.gov/Databases/mpkFractions/proteomic_fractions_linear_files/Yang_linear_img/110227379.jpg","show blot")</f>
        <v>show blot</v>
      </c>
      <c r="J958" s="5" t="s">
        <v>1909</v>
      </c>
      <c r="L958" s="11">
        <v>6.4678556639971818</v>
      </c>
      <c r="N958" s="12"/>
    </row>
    <row r="959" spans="1:14" s="5" customFormat="1" ht="15" customHeight="1" x14ac:dyDescent="0.25">
      <c r="A959" s="9" t="s">
        <v>1910</v>
      </c>
      <c r="C959" s="9" t="str">
        <f>HYPERLINK("http://www.ncbi.nlm.nih.gov/protein/6671668","Capn1")</f>
        <v>Capn1</v>
      </c>
      <c r="D959" s="10">
        <f t="shared" si="14"/>
        <v>6.0557769698454686</v>
      </c>
      <c r="F959" s="8" t="str">
        <f>HYPERLINK("https://esbl.nhlbi.nih.gov/Databases/mpkFractions/proteomic_fractions_log_files/Yang_log_img/6671668.jpg","show blot")</f>
        <v>show blot</v>
      </c>
      <c r="H959" s="8" t="str">
        <f>HYPERLINK("https://esbl.nhlbi.nih.gov/Databases/mpkFractions/proteomic_fractions_linear_files/Yang_linear_img/6671668.jpg","show blot")</f>
        <v>show blot</v>
      </c>
      <c r="J959" s="5" t="s">
        <v>1911</v>
      </c>
      <c r="L959" s="11">
        <v>6.0557769698454686</v>
      </c>
      <c r="N959" s="12"/>
    </row>
    <row r="960" spans="1:14" s="5" customFormat="1" ht="15" customHeight="1" x14ac:dyDescent="0.25">
      <c r="A960" s="9" t="s">
        <v>1912</v>
      </c>
      <c r="C960" s="9" t="str">
        <f>HYPERLINK("http://www.ncbi.nlm.nih.gov/protein/7657601","Capn15")</f>
        <v>Capn15</v>
      </c>
      <c r="D960" s="10">
        <f t="shared" si="14"/>
        <v>3.288638882273637</v>
      </c>
      <c r="F960" s="8" t="str">
        <f>HYPERLINK("https://esbl.nhlbi.nih.gov/Databases/mpkFractions/proteomic_fractions_log_files/Yang_log_img/7657601.jpg","show blot")</f>
        <v>show blot</v>
      </c>
      <c r="H960" s="8" t="str">
        <f>HYPERLINK("https://esbl.nhlbi.nih.gov/Databases/mpkFractions/proteomic_fractions_linear_files/Yang_linear_img/7657601.jpg","show blot")</f>
        <v>show blot</v>
      </c>
      <c r="J960" s="5" t="s">
        <v>1913</v>
      </c>
      <c r="L960" s="11">
        <v>3.288638882273637</v>
      </c>
      <c r="N960" s="12"/>
    </row>
    <row r="961" spans="1:14" s="5" customFormat="1" ht="15" customHeight="1" x14ac:dyDescent="0.25">
      <c r="A961" s="9" t="s">
        <v>1914</v>
      </c>
      <c r="C961" s="9" t="str">
        <f>HYPERLINK("http://www.ncbi.nlm.nih.gov/protein/157951598","Capn2")</f>
        <v>Capn2</v>
      </c>
      <c r="D961" s="10">
        <f t="shared" si="14"/>
        <v>5.4782609970865126</v>
      </c>
      <c r="F961" s="8" t="str">
        <f>HYPERLINK("https://esbl.nhlbi.nih.gov/Databases/mpkFractions/proteomic_fractions_log_files/Yang_log_img/157951598.jpg","show blot")</f>
        <v>show blot</v>
      </c>
      <c r="H961" s="8" t="str">
        <f>HYPERLINK("https://esbl.nhlbi.nih.gov/Databases/mpkFractions/proteomic_fractions_linear_files/Yang_linear_img/157951598.jpg","show blot")</f>
        <v>show blot</v>
      </c>
      <c r="J961" s="5" t="s">
        <v>1915</v>
      </c>
      <c r="L961" s="11">
        <v>5.4782609970865126</v>
      </c>
      <c r="N961" s="12"/>
    </row>
    <row r="962" spans="1:14" s="5" customFormat="1" ht="15" customHeight="1" x14ac:dyDescent="0.25">
      <c r="A962" s="9" t="s">
        <v>1916</v>
      </c>
      <c r="C962" s="9" t="str">
        <f>HYPERLINK("http://www.ncbi.nlm.nih.gov/protein/6680846","Capn5")</f>
        <v>Capn5</v>
      </c>
      <c r="D962" s="10">
        <f t="shared" si="14"/>
        <v>4.8697753282387177</v>
      </c>
      <c r="F962" s="8" t="str">
        <f>HYPERLINK("https://esbl.nhlbi.nih.gov/Databases/mpkFractions/proteomic_fractions_log_files/Yang_log_img/6680846.jpg","show blot")</f>
        <v>show blot</v>
      </c>
      <c r="H962" s="8" t="str">
        <f>HYPERLINK("https://esbl.nhlbi.nih.gov/Databases/mpkFractions/proteomic_fractions_linear_files/Yang_linear_img/6680846.jpg","show blot")</f>
        <v>show blot</v>
      </c>
      <c r="J962" s="5" t="s">
        <v>1917</v>
      </c>
      <c r="L962" s="11">
        <v>4.8697753282387177</v>
      </c>
      <c r="N962" s="12"/>
    </row>
    <row r="963" spans="1:14" s="5" customFormat="1" ht="15" customHeight="1" x14ac:dyDescent="0.25">
      <c r="A963" s="9" t="s">
        <v>1918</v>
      </c>
      <c r="C963" s="9" t="str">
        <f>HYPERLINK("http://www.ncbi.nlm.nih.gov/protein/224809586","Capn8")</f>
        <v>Capn8</v>
      </c>
      <c r="D963" s="10">
        <f t="shared" si="14"/>
        <v>4.3758090480724876</v>
      </c>
      <c r="F963" s="8" t="str">
        <f>HYPERLINK("https://esbl.nhlbi.nih.gov/Databases/mpkFractions/proteomic_fractions_log_files/Yang_log_img/224809586.jpg","show blot")</f>
        <v>show blot</v>
      </c>
      <c r="H963" s="8" t="str">
        <f>HYPERLINK("https://esbl.nhlbi.nih.gov/Databases/mpkFractions/proteomic_fractions_linear_files/Yang_linear_img/224809586.jpg","show blot")</f>
        <v>show blot</v>
      </c>
      <c r="J963" s="5" t="s">
        <v>1919</v>
      </c>
      <c r="L963" s="11">
        <v>4.3758090480724876</v>
      </c>
      <c r="N963" s="12"/>
    </row>
    <row r="964" spans="1:14" s="5" customFormat="1" ht="15" customHeight="1" x14ac:dyDescent="0.25">
      <c r="A964" s="9" t="s">
        <v>1920</v>
      </c>
      <c r="C964" s="9" t="str">
        <f>HYPERLINK("http://www.ncbi.nlm.nih.gov/protein/110227381","Capns1")</f>
        <v>Capns1</v>
      </c>
      <c r="D964" s="10">
        <f t="shared" si="14"/>
        <v>6.135040005914151</v>
      </c>
      <c r="F964" s="8" t="str">
        <f>HYPERLINK("https://esbl.nhlbi.nih.gov/Databases/mpkFractions/proteomic_fractions_log_files/Yang_log_img/110227381.jpg","show blot")</f>
        <v>show blot</v>
      </c>
      <c r="H964" s="8" t="str">
        <f>HYPERLINK("https://esbl.nhlbi.nih.gov/Databases/mpkFractions/proteomic_fractions_linear_files/Yang_linear_img/110227381.jpg","show blot")</f>
        <v>show blot</v>
      </c>
      <c r="J964" s="5" t="s">
        <v>1921</v>
      </c>
      <c r="L964" s="11">
        <v>6.135040005914151</v>
      </c>
      <c r="N964" s="12"/>
    </row>
    <row r="965" spans="1:14" s="5" customFormat="1" ht="15" customHeight="1" x14ac:dyDescent="0.25">
      <c r="A965" s="9" t="s">
        <v>1922</v>
      </c>
      <c r="C965" s="9" t="str">
        <f>HYPERLINK("http://www.ncbi.nlm.nih.gov/protein/254675215","Capns2")</f>
        <v>Capns2</v>
      </c>
      <c r="D965" s="10">
        <f t="shared" ref="D965:D1028" si="15">L965</f>
        <v>5.6951435844281084</v>
      </c>
      <c r="F965" s="8" t="str">
        <f>HYPERLINK("https://esbl.nhlbi.nih.gov/Databases/mpkFractions/proteomic_fractions_log_files/Yang_log_img/254675215.jpg","show blot")</f>
        <v>show blot</v>
      </c>
      <c r="H965" s="8" t="str">
        <f>HYPERLINK("https://esbl.nhlbi.nih.gov/Databases/mpkFractions/proteomic_fractions_linear_files/Yang_linear_img/254675215.jpg","show blot")</f>
        <v>show blot</v>
      </c>
      <c r="J965" s="5" t="s">
        <v>1923</v>
      </c>
      <c r="L965" s="11">
        <v>5.6951435844281084</v>
      </c>
      <c r="N965" s="12"/>
    </row>
    <row r="966" spans="1:14" s="5" customFormat="1" ht="15" customHeight="1" x14ac:dyDescent="0.25">
      <c r="A966" s="9" t="s">
        <v>1924</v>
      </c>
      <c r="C966" s="9" t="str">
        <f>HYPERLINK("http://www.ncbi.nlm.nih.gov/protein/162329564;42558248","Caprin1")</f>
        <v>Caprin1</v>
      </c>
      <c r="D966" s="10">
        <f t="shared" si="15"/>
        <v>6.0225358319854214</v>
      </c>
      <c r="F966" s="8" t="str">
        <f>HYPERLINK("https://esbl.nhlbi.nih.gov/Databases/mpkFractions/proteomic_fractions_log_files/Yang_log_img/162329564;42558248.jpg","show blot")</f>
        <v>show blot</v>
      </c>
      <c r="H966" s="8" t="str">
        <f>HYPERLINK("https://esbl.nhlbi.nih.gov/Databases/mpkFractions/proteomic_fractions_linear_files/Yang_linear_img/162329564;42558248.jpg","show blot")</f>
        <v>show blot</v>
      </c>
      <c r="J966" s="5" t="s">
        <v>1925</v>
      </c>
      <c r="L966" s="11">
        <v>6.0225358319854214</v>
      </c>
      <c r="N966" s="12"/>
    </row>
    <row r="967" spans="1:14" s="5" customFormat="1" ht="15" customHeight="1" x14ac:dyDescent="0.25">
      <c r="A967" s="9" t="s">
        <v>1926</v>
      </c>
      <c r="C967" s="9" t="str">
        <f>HYPERLINK("http://www.ncbi.nlm.nih.gov/protein/42558248","Caprin1")</f>
        <v>Caprin1</v>
      </c>
      <c r="D967" s="10">
        <f t="shared" si="15"/>
        <v>6.0225358319854214</v>
      </c>
      <c r="F967" s="8" t="str">
        <f>HYPERLINK("https://esbl.nhlbi.nih.gov/Databases/mpkFractions/proteomic_fractions_log_files/Yang_log_img/42558248.jpg","show blot")</f>
        <v>show blot</v>
      </c>
      <c r="H967" s="8" t="str">
        <f>HYPERLINK("https://esbl.nhlbi.nih.gov/Databases/mpkFractions/proteomic_fractions_linear_files/Yang_linear_img/42558248.jpg","show blot")</f>
        <v>show blot</v>
      </c>
      <c r="J967" s="5" t="s">
        <v>1925</v>
      </c>
      <c r="L967" s="11">
        <v>6.0225358319854214</v>
      </c>
      <c r="N967" s="12"/>
    </row>
    <row r="968" spans="1:14" s="5" customFormat="1" ht="15" customHeight="1" x14ac:dyDescent="0.25">
      <c r="A968" s="9" t="s">
        <v>1927</v>
      </c>
      <c r="C968" s="9" t="str">
        <f>HYPERLINK("http://www.ncbi.nlm.nih.gov/protein/162329566","Caprin1")</f>
        <v>Caprin1</v>
      </c>
      <c r="D968" s="10">
        <f t="shared" si="15"/>
        <v>6.0225358319854214</v>
      </c>
      <c r="F968" s="8" t="str">
        <f>HYPERLINK("https://esbl.nhlbi.nih.gov/Databases/mpkFractions/proteomic_fractions_log_files/Yang_log_img/162329566.jpg","show blot")</f>
        <v>show blot</v>
      </c>
      <c r="H968" s="8" t="str">
        <f>HYPERLINK("https://esbl.nhlbi.nih.gov/Databases/mpkFractions/proteomic_fractions_linear_files/Yang_linear_img/162329566.jpg","show blot")</f>
        <v>show blot</v>
      </c>
      <c r="J968" s="5" t="s">
        <v>1928</v>
      </c>
      <c r="L968" s="11">
        <v>6.0225358319854214</v>
      </c>
      <c r="N968" s="12"/>
    </row>
    <row r="969" spans="1:14" s="5" customFormat="1" ht="15" customHeight="1" x14ac:dyDescent="0.25">
      <c r="A969" s="9" t="s">
        <v>1929</v>
      </c>
      <c r="C969" s="9" t="str">
        <f>HYPERLINK("http://www.ncbi.nlm.nih.gov/protein/162329568","Caprin1")</f>
        <v>Caprin1</v>
      </c>
      <c r="D969" s="10">
        <f t="shared" si="15"/>
        <v>6.0225358319854214</v>
      </c>
      <c r="F969" s="8" t="str">
        <f>HYPERLINK("https://esbl.nhlbi.nih.gov/Databases/mpkFractions/proteomic_fractions_log_files/Yang_log_img/162329568.jpg","show blot")</f>
        <v>show blot</v>
      </c>
      <c r="H969" s="8" t="str">
        <f>HYPERLINK("https://esbl.nhlbi.nih.gov/Databases/mpkFractions/proteomic_fractions_linear_files/Yang_linear_img/162329568.jpg","show blot")</f>
        <v>show blot</v>
      </c>
      <c r="J969" s="5" t="s">
        <v>1930</v>
      </c>
      <c r="L969" s="11">
        <v>6.0225358319854214</v>
      </c>
      <c r="N969" s="12"/>
    </row>
    <row r="970" spans="1:14" s="5" customFormat="1" ht="15" customHeight="1" x14ac:dyDescent="0.25">
      <c r="A970" s="9" t="s">
        <v>1931</v>
      </c>
      <c r="C970" s="9" t="str">
        <f>HYPERLINK("http://www.ncbi.nlm.nih.gov/protein/161086971","Capza1")</f>
        <v>Capza1</v>
      </c>
      <c r="D970" s="10">
        <f t="shared" si="15"/>
        <v>6.0634178688717979</v>
      </c>
      <c r="F970" s="8" t="str">
        <f>HYPERLINK("https://esbl.nhlbi.nih.gov/Databases/mpkFractions/proteomic_fractions_log_files/Yang_log_img/161086971.jpg","show blot")</f>
        <v>show blot</v>
      </c>
      <c r="H970" s="8" t="str">
        <f>HYPERLINK("https://esbl.nhlbi.nih.gov/Databases/mpkFractions/proteomic_fractions_linear_files/Yang_linear_img/161086971.jpg","show blot")</f>
        <v>show blot</v>
      </c>
      <c r="J970" s="5" t="s">
        <v>1932</v>
      </c>
      <c r="L970" s="11">
        <v>6.0634178688717979</v>
      </c>
      <c r="N970" s="12"/>
    </row>
    <row r="971" spans="1:14" s="5" customFormat="1" ht="15" customHeight="1" x14ac:dyDescent="0.25">
      <c r="A971" s="9" t="s">
        <v>1933</v>
      </c>
      <c r="C971" s="9" t="str">
        <f>HYPERLINK("http://www.ncbi.nlm.nih.gov/protein/6671672","Capza2")</f>
        <v>Capza2</v>
      </c>
      <c r="D971" s="10">
        <f t="shared" si="15"/>
        <v>6.1062977637445206</v>
      </c>
      <c r="F971" s="8" t="str">
        <f>HYPERLINK("https://esbl.nhlbi.nih.gov/Databases/mpkFractions/proteomic_fractions_log_files/Yang_log_img/6671672.jpg","show blot")</f>
        <v>show blot</v>
      </c>
      <c r="H971" s="8" t="str">
        <f>HYPERLINK("https://esbl.nhlbi.nih.gov/Databases/mpkFractions/proteomic_fractions_linear_files/Yang_linear_img/6671672.jpg","show blot")</f>
        <v>show blot</v>
      </c>
      <c r="J971" s="5" t="s">
        <v>1934</v>
      </c>
      <c r="L971" s="11">
        <v>6.1062977637445206</v>
      </c>
      <c r="N971" s="12"/>
    </row>
    <row r="972" spans="1:14" s="5" customFormat="1" ht="15" customHeight="1" x14ac:dyDescent="0.25">
      <c r="A972" s="9" t="s">
        <v>1935</v>
      </c>
      <c r="C972" s="9" t="str">
        <f>HYPERLINK("http://www.ncbi.nlm.nih.gov/protein/157951670","Capza3")</f>
        <v>Capza3</v>
      </c>
      <c r="D972" s="10">
        <f t="shared" si="15"/>
        <v>3.164947372621842</v>
      </c>
      <c r="F972" s="8" t="str">
        <f>HYPERLINK("https://esbl.nhlbi.nih.gov/Databases/mpkFractions/proteomic_fractions_log_files/Yang_log_img/157951670.jpg","show blot")</f>
        <v>show blot</v>
      </c>
      <c r="H972" s="8" t="str">
        <f>HYPERLINK("https://esbl.nhlbi.nih.gov/Databases/mpkFractions/proteomic_fractions_linear_files/Yang_linear_img/157951670.jpg","show blot")</f>
        <v>show blot</v>
      </c>
      <c r="J972" s="5" t="s">
        <v>1936</v>
      </c>
      <c r="L972" s="11">
        <v>3.164947372621842</v>
      </c>
      <c r="N972" s="12"/>
    </row>
    <row r="973" spans="1:14" s="5" customFormat="1" ht="15" customHeight="1" x14ac:dyDescent="0.25">
      <c r="A973" s="9" t="s">
        <v>1937</v>
      </c>
      <c r="C973" s="9" t="str">
        <f>HYPERLINK("http://www.ncbi.nlm.nih.gov/protein/407027854","Capzb")</f>
        <v>Capzb</v>
      </c>
      <c r="D973" s="10">
        <f t="shared" si="15"/>
        <v>6.4161906081132623</v>
      </c>
      <c r="F973" s="8" t="str">
        <f>HYPERLINK("https://esbl.nhlbi.nih.gov/Databases/mpkFractions/proteomic_fractions_log_files/Yang_log_img/407027854.jpg","show blot")</f>
        <v>show blot</v>
      </c>
      <c r="H973" s="8" t="str">
        <f>HYPERLINK("https://esbl.nhlbi.nih.gov/Databases/mpkFractions/proteomic_fractions_linear_files/Yang_linear_img/407027854.jpg","show blot")</f>
        <v>show blot</v>
      </c>
      <c r="J973" s="5" t="s">
        <v>1938</v>
      </c>
      <c r="L973" s="11">
        <v>6.4161906081132623</v>
      </c>
      <c r="N973" s="12"/>
    </row>
    <row r="974" spans="1:14" s="5" customFormat="1" ht="15" customHeight="1" x14ac:dyDescent="0.25">
      <c r="A974" s="9" t="s">
        <v>1939</v>
      </c>
      <c r="C974" s="9" t="str">
        <f>HYPERLINK("http://www.ncbi.nlm.nih.gov/protein/407027856","Capzb")</f>
        <v>Capzb</v>
      </c>
      <c r="D974" s="10">
        <f t="shared" si="15"/>
        <v>6.4161906081132623</v>
      </c>
      <c r="F974" s="8" t="str">
        <f>HYPERLINK("https://esbl.nhlbi.nih.gov/Databases/mpkFractions/proteomic_fractions_log_files/Yang_log_img/407027856.jpg","show blot")</f>
        <v>show blot</v>
      </c>
      <c r="H974" s="8" t="str">
        <f>HYPERLINK("https://esbl.nhlbi.nih.gov/Databases/mpkFractions/proteomic_fractions_linear_files/Yang_linear_img/407027856.jpg","show blot")</f>
        <v>show blot</v>
      </c>
      <c r="J974" s="5" t="s">
        <v>1940</v>
      </c>
      <c r="L974" s="11">
        <v>6.4161906081132623</v>
      </c>
      <c r="N974" s="12"/>
    </row>
    <row r="975" spans="1:14" s="5" customFormat="1" ht="15" customHeight="1" x14ac:dyDescent="0.25">
      <c r="A975" s="9" t="s">
        <v>1941</v>
      </c>
      <c r="C975" s="9" t="str">
        <f>HYPERLINK("http://www.ncbi.nlm.nih.gov/protein/6753262","Capzb")</f>
        <v>Capzb</v>
      </c>
      <c r="D975" s="10">
        <f t="shared" si="15"/>
        <v>6.4161906081132623</v>
      </c>
      <c r="F975" s="8" t="str">
        <f>HYPERLINK("https://esbl.nhlbi.nih.gov/Databases/mpkFractions/proteomic_fractions_log_files/Yang_log_img/6753262.jpg","show blot")</f>
        <v>show blot</v>
      </c>
      <c r="H975" s="8" t="str">
        <f>HYPERLINK("https://esbl.nhlbi.nih.gov/Databases/mpkFractions/proteomic_fractions_linear_files/Yang_linear_img/6753262.jpg","show blot")</f>
        <v>show blot</v>
      </c>
      <c r="J975" s="5" t="s">
        <v>1942</v>
      </c>
      <c r="L975" s="11">
        <v>6.4161906081132623</v>
      </c>
      <c r="N975" s="12"/>
    </row>
    <row r="976" spans="1:14" s="5" customFormat="1" ht="15" customHeight="1" x14ac:dyDescent="0.25">
      <c r="A976" s="9" t="s">
        <v>1943</v>
      </c>
      <c r="C976" s="9" t="str">
        <f>HYPERLINK("http://www.ncbi.nlm.nih.gov/protein/83649737","Capzb")</f>
        <v>Capzb</v>
      </c>
      <c r="D976" s="10">
        <f t="shared" si="15"/>
        <v>6.4161906081132623</v>
      </c>
      <c r="F976" s="8" t="str">
        <f>HYPERLINK("https://esbl.nhlbi.nih.gov/Databases/mpkFractions/proteomic_fractions_log_files/Yang_log_img/83649737.jpg","show blot")</f>
        <v>show blot</v>
      </c>
      <c r="H976" s="8" t="str">
        <f>HYPERLINK("https://esbl.nhlbi.nih.gov/Databases/mpkFractions/proteomic_fractions_linear_files/Yang_linear_img/83649737.jpg","show blot")</f>
        <v>show blot</v>
      </c>
      <c r="J976" s="5" t="s">
        <v>1944</v>
      </c>
      <c r="L976" s="11">
        <v>6.4161906081132623</v>
      </c>
      <c r="N976" s="12"/>
    </row>
    <row r="977" spans="1:14" s="5" customFormat="1" ht="15" customHeight="1" x14ac:dyDescent="0.25">
      <c r="A977" s="9" t="s">
        <v>1945</v>
      </c>
      <c r="C977" s="9" t="str">
        <f>HYPERLINK("http://www.ncbi.nlm.nih.gov/protein/157951596","Car2")</f>
        <v>Car2</v>
      </c>
      <c r="D977" s="10">
        <f t="shared" si="15"/>
        <v>6.0549684873889156</v>
      </c>
      <c r="F977" s="8" t="str">
        <f>HYPERLINK("https://esbl.nhlbi.nih.gov/Databases/mpkFractions/proteomic_fractions_log_files/Yang_log_img/157951596.jpg","show blot")</f>
        <v>show blot</v>
      </c>
      <c r="H977" s="8" t="str">
        <f>HYPERLINK("https://esbl.nhlbi.nih.gov/Databases/mpkFractions/proteomic_fractions_linear_files/Yang_linear_img/157951596.jpg","show blot")</f>
        <v>show blot</v>
      </c>
      <c r="J977" s="5" t="s">
        <v>1946</v>
      </c>
      <c r="L977" s="11">
        <v>6.0549684873889156</v>
      </c>
      <c r="N977" s="12"/>
    </row>
    <row r="978" spans="1:14" s="5" customFormat="1" ht="15" customHeight="1" x14ac:dyDescent="0.25">
      <c r="A978" s="9" t="s">
        <v>1947</v>
      </c>
      <c r="C978" s="9" t="str">
        <f>HYPERLINK("http://www.ncbi.nlm.nih.gov/protein/211057396","Car5b")</f>
        <v>Car5b</v>
      </c>
      <c r="D978" s="10">
        <f t="shared" si="15"/>
        <v>4.8249249005336514</v>
      </c>
      <c r="F978" s="8" t="str">
        <f>HYPERLINK("https://esbl.nhlbi.nih.gov/Databases/mpkFractions/proteomic_fractions_log_files/Yang_log_img/211057396.jpg","show blot")</f>
        <v>show blot</v>
      </c>
      <c r="H978" s="8" t="str">
        <f>HYPERLINK("https://esbl.nhlbi.nih.gov/Databases/mpkFractions/proteomic_fractions_linear_files/Yang_linear_img/211057396.jpg","show blot")</f>
        <v>show blot</v>
      </c>
      <c r="J978" s="5" t="s">
        <v>1948</v>
      </c>
      <c r="L978" s="11">
        <v>4.8249249005336514</v>
      </c>
      <c r="N978" s="12"/>
    </row>
    <row r="979" spans="1:14" s="5" customFormat="1" ht="15" customHeight="1" x14ac:dyDescent="0.25">
      <c r="A979" s="9" t="s">
        <v>1949</v>
      </c>
      <c r="C979" s="9" t="str">
        <f>HYPERLINK("http://www.ncbi.nlm.nih.gov/protein/13385290","Carhsp1")</f>
        <v>Carhsp1</v>
      </c>
      <c r="D979" s="10">
        <f t="shared" si="15"/>
        <v>4.9163030085949186</v>
      </c>
      <c r="F979" s="8" t="str">
        <f>HYPERLINK("https://esbl.nhlbi.nih.gov/Databases/mpkFractions/proteomic_fractions_log_files/Yang_log_img/13385290.jpg","show blot")</f>
        <v>show blot</v>
      </c>
      <c r="H979" s="8" t="str">
        <f>HYPERLINK("https://esbl.nhlbi.nih.gov/Databases/mpkFractions/proteomic_fractions_linear_files/Yang_linear_img/13385290.jpg","show blot")</f>
        <v>show blot</v>
      </c>
      <c r="J979" s="5" t="s">
        <v>1950</v>
      </c>
      <c r="L979" s="11">
        <v>4.9163030085949186</v>
      </c>
      <c r="N979" s="12"/>
    </row>
    <row r="980" spans="1:14" s="5" customFormat="1" ht="15" customHeight="1" x14ac:dyDescent="0.25">
      <c r="A980" s="9" t="s">
        <v>1951</v>
      </c>
      <c r="C980" s="9" t="str">
        <f>HYPERLINK("http://www.ncbi.nlm.nih.gov/protein/298676450","Carkd")</f>
        <v>Carkd</v>
      </c>
      <c r="D980" s="10">
        <f t="shared" si="15"/>
        <v>5.141577213583254</v>
      </c>
      <c r="F980" s="8" t="str">
        <f>HYPERLINK("https://esbl.nhlbi.nih.gov/Databases/mpkFractions/proteomic_fractions_log_files/Yang_log_img/298676450.jpg","show blot")</f>
        <v>show blot</v>
      </c>
      <c r="H980" s="8" t="str">
        <f>HYPERLINK("https://esbl.nhlbi.nih.gov/Databases/mpkFractions/proteomic_fractions_linear_files/Yang_linear_img/298676450.jpg","show blot")</f>
        <v>show blot</v>
      </c>
      <c r="J980" s="5" t="s">
        <v>1952</v>
      </c>
      <c r="L980" s="11">
        <v>5.141577213583254</v>
      </c>
      <c r="N980" s="12"/>
    </row>
    <row r="981" spans="1:14" s="5" customFormat="1" ht="15" customHeight="1" x14ac:dyDescent="0.25">
      <c r="A981" s="9" t="s">
        <v>1953</v>
      </c>
      <c r="C981" s="9" t="str">
        <f>HYPERLINK("http://www.ncbi.nlm.nih.gov/protein/298676452","Carkd")</f>
        <v>Carkd</v>
      </c>
      <c r="D981" s="10">
        <f t="shared" si="15"/>
        <v>5.141577213583254</v>
      </c>
      <c r="F981" s="8" t="str">
        <f>HYPERLINK("https://esbl.nhlbi.nih.gov/Databases/mpkFractions/proteomic_fractions_log_files/Yang_log_img/298676452.jpg","show blot")</f>
        <v>show blot</v>
      </c>
      <c r="H981" s="8" t="str">
        <f>HYPERLINK("https://esbl.nhlbi.nih.gov/Databases/mpkFractions/proteomic_fractions_linear_files/Yang_linear_img/298676452.jpg","show blot")</f>
        <v>show blot</v>
      </c>
      <c r="J981" s="5" t="s">
        <v>1954</v>
      </c>
      <c r="L981" s="11">
        <v>5.141577213583254</v>
      </c>
      <c r="N981" s="12"/>
    </row>
    <row r="982" spans="1:14" s="5" customFormat="1" ht="15" customHeight="1" x14ac:dyDescent="0.25">
      <c r="A982" s="9" t="s">
        <v>1955</v>
      </c>
      <c r="C982" s="9" t="str">
        <f>HYPERLINK("http://www.ncbi.nlm.nih.gov/protein/189409145","Carm1")</f>
        <v>Carm1</v>
      </c>
      <c r="D982" s="10">
        <f t="shared" si="15"/>
        <v>4.0956868554976866</v>
      </c>
      <c r="F982" s="8" t="str">
        <f>HYPERLINK("https://esbl.nhlbi.nih.gov/Databases/mpkFractions/proteomic_fractions_log_files/Yang_log_img/189409145.jpg","show blot")</f>
        <v>show blot</v>
      </c>
      <c r="H982" s="8" t="str">
        <f>HYPERLINK("https://esbl.nhlbi.nih.gov/Databases/mpkFractions/proteomic_fractions_linear_files/Yang_linear_img/189409145.jpg","show blot")</f>
        <v>show blot</v>
      </c>
      <c r="J982" s="5" t="s">
        <v>1956</v>
      </c>
      <c r="L982" s="11">
        <v>4.0956868554976866</v>
      </c>
      <c r="N982" s="12"/>
    </row>
    <row r="983" spans="1:14" s="5" customFormat="1" ht="15" customHeight="1" x14ac:dyDescent="0.25">
      <c r="A983" s="9" t="s">
        <v>1957</v>
      </c>
      <c r="C983" s="9" t="str">
        <f>HYPERLINK("http://www.ncbi.nlm.nih.gov/protein/50511310","Carm1")</f>
        <v>Carm1</v>
      </c>
      <c r="D983" s="10">
        <f t="shared" si="15"/>
        <v>4.0956868554976866</v>
      </c>
      <c r="F983" s="8" t="str">
        <f>HYPERLINK("https://esbl.nhlbi.nih.gov/Databases/mpkFractions/proteomic_fractions_log_files/Yang_log_img/50511310.jpg","show blot")</f>
        <v>show blot</v>
      </c>
      <c r="H983" s="8" t="str">
        <f>HYPERLINK("https://esbl.nhlbi.nih.gov/Databases/mpkFractions/proteomic_fractions_linear_files/Yang_linear_img/50511310.jpg","show blot")</f>
        <v>show blot</v>
      </c>
      <c r="J983" s="5" t="s">
        <v>1958</v>
      </c>
      <c r="L983" s="11">
        <v>4.0956868554976866</v>
      </c>
      <c r="N983" s="12"/>
    </row>
    <row r="984" spans="1:14" s="5" customFormat="1" ht="15" customHeight="1" x14ac:dyDescent="0.25">
      <c r="A984" s="9" t="s">
        <v>1959</v>
      </c>
      <c r="C984" s="9" t="str">
        <f>HYPERLINK("http://www.ncbi.nlm.nih.gov/protein/148747198","Cars")</f>
        <v>Cars</v>
      </c>
      <c r="D984" s="10">
        <f t="shared" si="15"/>
        <v>4.9939419023819491</v>
      </c>
      <c r="F984" s="8" t="str">
        <f>HYPERLINK("https://esbl.nhlbi.nih.gov/Databases/mpkFractions/proteomic_fractions_log_files/Yang_log_img/148747198.jpg","show blot")</f>
        <v>show blot</v>
      </c>
      <c r="H984" s="8" t="str">
        <f>HYPERLINK("https://esbl.nhlbi.nih.gov/Databases/mpkFractions/proteomic_fractions_linear_files/Yang_linear_img/148747198.jpg","show blot")</f>
        <v>show blot</v>
      </c>
      <c r="J984" s="5" t="s">
        <v>1960</v>
      </c>
      <c r="L984" s="11">
        <v>4.9939419023819491</v>
      </c>
      <c r="N984" s="12"/>
    </row>
    <row r="985" spans="1:14" s="5" customFormat="1" ht="15" customHeight="1" x14ac:dyDescent="0.25">
      <c r="A985" s="9" t="s">
        <v>1961</v>
      </c>
      <c r="C985" s="9" t="str">
        <f>HYPERLINK("http://www.ncbi.nlm.nih.gov/protein/357588502","Cars")</f>
        <v>Cars</v>
      </c>
      <c r="D985" s="10">
        <f t="shared" si="15"/>
        <v>4.9939419023819491</v>
      </c>
      <c r="F985" s="8" t="str">
        <f>HYPERLINK("https://esbl.nhlbi.nih.gov/Databases/mpkFractions/proteomic_fractions_log_files/Yang_log_img/357588502.jpg","show blot")</f>
        <v>show blot</v>
      </c>
      <c r="H985" s="8" t="str">
        <f>HYPERLINK("https://esbl.nhlbi.nih.gov/Databases/mpkFractions/proteomic_fractions_linear_files/Yang_linear_img/357588502.jpg","show blot")</f>
        <v>show blot</v>
      </c>
      <c r="J985" s="5" t="s">
        <v>1962</v>
      </c>
      <c r="L985" s="11">
        <v>4.9939419023819491</v>
      </c>
      <c r="N985" s="12"/>
    </row>
    <row r="986" spans="1:14" s="5" customFormat="1" ht="15" customHeight="1" x14ac:dyDescent="0.25">
      <c r="A986" s="9" t="s">
        <v>1963</v>
      </c>
      <c r="C986" s="9" t="str">
        <f>HYPERLINK("http://www.ncbi.nlm.nih.gov/protein/282721112","Casc1")</f>
        <v>Casc1</v>
      </c>
      <c r="D986" s="10">
        <f t="shared" si="15"/>
        <v>3.7363375536312069</v>
      </c>
      <c r="F986" s="8" t="str">
        <f>HYPERLINK("https://esbl.nhlbi.nih.gov/Databases/mpkFractions/proteomic_fractions_log_files/Yang_log_img/282721112.jpg","show blot")</f>
        <v>show blot</v>
      </c>
      <c r="H986" s="8" t="str">
        <f>HYPERLINK("https://esbl.nhlbi.nih.gov/Databases/mpkFractions/proteomic_fractions_linear_files/Yang_linear_img/282721112.jpg","show blot")</f>
        <v>show blot</v>
      </c>
      <c r="J986" s="5" t="s">
        <v>1964</v>
      </c>
      <c r="L986" s="11">
        <v>3.7363375536312069</v>
      </c>
      <c r="N986" s="12"/>
    </row>
    <row r="987" spans="1:14" s="5" customFormat="1" ht="15" customHeight="1" x14ac:dyDescent="0.25">
      <c r="A987" s="9" t="s">
        <v>1965</v>
      </c>
      <c r="C987" s="9" t="str">
        <f>HYPERLINK("http://www.ncbi.nlm.nih.gov/protein/133504495","Cask")</f>
        <v>Cask</v>
      </c>
      <c r="D987" s="10">
        <f t="shared" si="15"/>
        <v>4.3516466921582584</v>
      </c>
      <c r="F987" s="8" t="str">
        <f>HYPERLINK("https://esbl.nhlbi.nih.gov/Databases/mpkFractions/proteomic_fractions_log_files/Yang_log_img/133504495.jpg","show blot")</f>
        <v>show blot</v>
      </c>
      <c r="H987" s="8" t="str">
        <f>HYPERLINK("https://esbl.nhlbi.nih.gov/Databases/mpkFractions/proteomic_fractions_linear_files/Yang_linear_img/133504495.jpg","show blot")</f>
        <v>show blot</v>
      </c>
      <c r="J987" s="5" t="s">
        <v>1966</v>
      </c>
      <c r="L987" s="11">
        <v>4.3516466921582584</v>
      </c>
      <c r="N987" s="12"/>
    </row>
    <row r="988" spans="1:14" s="5" customFormat="1" ht="15" customHeight="1" x14ac:dyDescent="0.25">
      <c r="A988" s="9" t="s">
        <v>1967</v>
      </c>
      <c r="C988" s="9" t="str">
        <f>HYPERLINK("http://www.ncbi.nlm.nih.gov/protein/31981530","Caskin2")</f>
        <v>Caskin2</v>
      </c>
      <c r="D988" s="10">
        <f t="shared" si="15"/>
        <v>0.37476277463788649</v>
      </c>
      <c r="F988" s="8" t="str">
        <f>HYPERLINK("https://esbl.nhlbi.nih.gov/Databases/mpkFractions/proteomic_fractions_log_files/Yang_log_img/31981530.jpg","show blot")</f>
        <v>show blot</v>
      </c>
      <c r="H988" s="8" t="str">
        <f>HYPERLINK("https://esbl.nhlbi.nih.gov/Databases/mpkFractions/proteomic_fractions_linear_files/Yang_linear_img/31981530.jpg","show blot")</f>
        <v>show blot</v>
      </c>
      <c r="J988" s="5" t="s">
        <v>1968</v>
      </c>
      <c r="L988" s="11">
        <v>0.37476277463788649</v>
      </c>
      <c r="N988" s="12"/>
    </row>
    <row r="989" spans="1:14" s="5" customFormat="1" ht="15" customHeight="1" x14ac:dyDescent="0.25">
      <c r="A989" s="9" t="s">
        <v>1969</v>
      </c>
      <c r="C989" s="9" t="str">
        <f>HYPERLINK("http://www.ncbi.nlm.nih.gov/protein/6753280","Casp14")</f>
        <v>Casp14</v>
      </c>
      <c r="D989" s="10">
        <f t="shared" si="15"/>
        <v>4.5884038216469341</v>
      </c>
      <c r="F989" s="8" t="str">
        <f>HYPERLINK("https://esbl.nhlbi.nih.gov/Databases/mpkFractions/proteomic_fractions_log_files/Yang_log_img/6753280.jpg","show blot")</f>
        <v>show blot</v>
      </c>
      <c r="H989" s="8" t="str">
        <f>HYPERLINK("https://esbl.nhlbi.nih.gov/Databases/mpkFractions/proteomic_fractions_linear_files/Yang_linear_img/6753280.jpg","show blot")</f>
        <v>show blot</v>
      </c>
      <c r="J989" s="5" t="s">
        <v>1970</v>
      </c>
      <c r="L989" s="11">
        <v>4.5884038216469341</v>
      </c>
      <c r="N989" s="12"/>
    </row>
    <row r="990" spans="1:14" s="5" customFormat="1" ht="15" customHeight="1" x14ac:dyDescent="0.25">
      <c r="A990" s="9" t="s">
        <v>1971</v>
      </c>
      <c r="C990" s="9" t="str">
        <f>HYPERLINK("http://www.ncbi.nlm.nih.gov/protein/6680848","Casp2")</f>
        <v>Casp2</v>
      </c>
      <c r="D990" s="10">
        <f t="shared" si="15"/>
        <v>3.989390612926083</v>
      </c>
      <c r="F990" s="8" t="str">
        <f>HYPERLINK("https://esbl.nhlbi.nih.gov/Databases/mpkFractions/proteomic_fractions_log_files/Yang_log_img/6680848.jpg","show blot")</f>
        <v>show blot</v>
      </c>
      <c r="H990" s="8" t="str">
        <f>HYPERLINK("https://esbl.nhlbi.nih.gov/Databases/mpkFractions/proteomic_fractions_linear_files/Yang_linear_img/6680848.jpg","show blot")</f>
        <v>show blot</v>
      </c>
      <c r="J990" s="5" t="s">
        <v>1972</v>
      </c>
      <c r="L990" s="11">
        <v>3.989390612926083</v>
      </c>
      <c r="N990" s="12"/>
    </row>
    <row r="991" spans="1:14" s="5" customFormat="1" ht="15" customHeight="1" x14ac:dyDescent="0.25">
      <c r="A991" s="9" t="s">
        <v>1973</v>
      </c>
      <c r="C991" s="9" t="str">
        <f>HYPERLINK("http://www.ncbi.nlm.nih.gov/protein/6753284","Casp3")</f>
        <v>Casp3</v>
      </c>
      <c r="D991" s="10">
        <f t="shared" si="15"/>
        <v>5.7074985669386251</v>
      </c>
      <c r="F991" s="8" t="str">
        <f>HYPERLINK("https://esbl.nhlbi.nih.gov/Databases/mpkFractions/proteomic_fractions_log_files/Yang_log_img/6753284.jpg","show blot")</f>
        <v>show blot</v>
      </c>
      <c r="H991" s="8" t="str">
        <f>HYPERLINK("https://esbl.nhlbi.nih.gov/Databases/mpkFractions/proteomic_fractions_linear_files/Yang_linear_img/6753284.jpg","show blot")</f>
        <v>show blot</v>
      </c>
      <c r="J991" s="5" t="s">
        <v>1974</v>
      </c>
      <c r="L991" s="11">
        <v>5.7074985669386251</v>
      </c>
      <c r="N991" s="12"/>
    </row>
    <row r="992" spans="1:14" s="5" customFormat="1" ht="15" customHeight="1" x14ac:dyDescent="0.25">
      <c r="A992" s="9" t="s">
        <v>1975</v>
      </c>
      <c r="C992" s="9" t="str">
        <f>HYPERLINK("http://www.ncbi.nlm.nih.gov/protein/157951736","Casp6")</f>
        <v>Casp6</v>
      </c>
      <c r="D992" s="10">
        <f t="shared" si="15"/>
        <v>5.1992066372967027</v>
      </c>
      <c r="F992" s="8" t="str">
        <f>HYPERLINK("https://esbl.nhlbi.nih.gov/Databases/mpkFractions/proteomic_fractions_log_files/Yang_log_img/157951736.jpg","show blot")</f>
        <v>show blot</v>
      </c>
      <c r="H992" s="8" t="str">
        <f>HYPERLINK("https://esbl.nhlbi.nih.gov/Databases/mpkFractions/proteomic_fractions_linear_files/Yang_linear_img/157951736.jpg","show blot")</f>
        <v>show blot</v>
      </c>
      <c r="J992" s="5" t="s">
        <v>1976</v>
      </c>
      <c r="L992" s="11">
        <v>5.1992066372967027</v>
      </c>
      <c r="N992" s="12"/>
    </row>
    <row r="993" spans="1:14" s="5" customFormat="1" ht="15" customHeight="1" x14ac:dyDescent="0.25">
      <c r="A993" s="9" t="s">
        <v>1977</v>
      </c>
      <c r="C993" s="9" t="str">
        <f>HYPERLINK("http://www.ncbi.nlm.nih.gov/protein/6680850","Casp7")</f>
        <v>Casp7</v>
      </c>
      <c r="D993" s="10">
        <f t="shared" si="15"/>
        <v>4.7428490887893568</v>
      </c>
      <c r="F993" s="8" t="str">
        <f>HYPERLINK("https://esbl.nhlbi.nih.gov/Databases/mpkFractions/proteomic_fractions_log_files/Yang_log_img/6680850.jpg","show blot")</f>
        <v>show blot</v>
      </c>
      <c r="H993" s="8" t="str">
        <f>HYPERLINK("https://esbl.nhlbi.nih.gov/Databases/mpkFractions/proteomic_fractions_linear_files/Yang_linear_img/6680850.jpg","show blot")</f>
        <v>show blot</v>
      </c>
      <c r="J993" s="5" t="s">
        <v>1978</v>
      </c>
      <c r="L993" s="11">
        <v>4.7428490887893568</v>
      </c>
      <c r="N993" s="12"/>
    </row>
    <row r="994" spans="1:14" s="5" customFormat="1" ht="15" customHeight="1" x14ac:dyDescent="0.25">
      <c r="A994" s="9" t="s">
        <v>1979</v>
      </c>
      <c r="C994" s="9" t="str">
        <f>HYPERLINK("http://www.ncbi.nlm.nih.gov/protein/33859520","Casp8")</f>
        <v>Casp8</v>
      </c>
      <c r="D994" s="10">
        <f t="shared" si="15"/>
        <v>5.4898948022759031</v>
      </c>
      <c r="F994" s="8" t="str">
        <f>HYPERLINK("https://esbl.nhlbi.nih.gov/Databases/mpkFractions/proteomic_fractions_log_files/Yang_log_img/33859520.jpg","show blot")</f>
        <v>show blot</v>
      </c>
      <c r="H994" s="8" t="str">
        <f>HYPERLINK("https://esbl.nhlbi.nih.gov/Databases/mpkFractions/proteomic_fractions_linear_files/Yang_linear_img/33859520.jpg","show blot")</f>
        <v>show blot</v>
      </c>
      <c r="J994" s="5" t="s">
        <v>1980</v>
      </c>
      <c r="L994" s="11">
        <v>5.4898948022759031</v>
      </c>
      <c r="N994" s="12"/>
    </row>
    <row r="995" spans="1:14" s="5" customFormat="1" ht="15" customHeight="1" x14ac:dyDescent="0.25">
      <c r="A995" s="9" t="s">
        <v>1981</v>
      </c>
      <c r="C995" s="9" t="str">
        <f>HYPERLINK("http://www.ncbi.nlm.nih.gov/protein/31560479","Casp9")</f>
        <v>Casp9</v>
      </c>
      <c r="D995" s="10">
        <f t="shared" si="15"/>
        <v>4.2145694801421083</v>
      </c>
      <c r="F995" s="8" t="str">
        <f>HYPERLINK("https://esbl.nhlbi.nih.gov/Databases/mpkFractions/proteomic_fractions_log_files/Yang_log_img/31560479.jpg","show blot")</f>
        <v>show blot</v>
      </c>
      <c r="H995" s="8" t="str">
        <f>HYPERLINK("https://esbl.nhlbi.nih.gov/Databases/mpkFractions/proteomic_fractions_linear_files/Yang_linear_img/31560479.jpg","show blot")</f>
        <v>show blot</v>
      </c>
      <c r="J995" s="5" t="s">
        <v>1982</v>
      </c>
      <c r="L995" s="11">
        <v>4.2145694801421083</v>
      </c>
      <c r="N995" s="12"/>
    </row>
    <row r="996" spans="1:14" s="5" customFormat="1" ht="15" customHeight="1" x14ac:dyDescent="0.25">
      <c r="A996" s="9" t="s">
        <v>1983</v>
      </c>
      <c r="C996" s="9" t="str">
        <f>HYPERLINK("http://www.ncbi.nlm.nih.gov/protein/33563246","Cast")</f>
        <v>Cast</v>
      </c>
      <c r="D996" s="10">
        <f t="shared" si="15"/>
        <v>4.1833968523918941</v>
      </c>
      <c r="F996" s="8" t="str">
        <f>HYPERLINK("https://esbl.nhlbi.nih.gov/Databases/mpkFractions/proteomic_fractions_log_files/Yang_log_img/33563246.jpg","show blot")</f>
        <v>show blot</v>
      </c>
      <c r="H996" s="8" t="str">
        <f>HYPERLINK("https://esbl.nhlbi.nih.gov/Databases/mpkFractions/proteomic_fractions_linear_files/Yang_linear_img/33563246.jpg","show blot")</f>
        <v>show blot</v>
      </c>
      <c r="J996" s="5" t="s">
        <v>1984</v>
      </c>
      <c r="L996" s="11">
        <v>4.1833968523918941</v>
      </c>
      <c r="N996" s="12"/>
    </row>
    <row r="997" spans="1:14" s="5" customFormat="1" ht="15" customHeight="1" x14ac:dyDescent="0.25">
      <c r="A997" s="9" t="s">
        <v>1985</v>
      </c>
      <c r="C997" s="9" t="str">
        <f>HYPERLINK("http://www.ncbi.nlm.nih.gov/protein/157951741","Cat")</f>
        <v>Cat</v>
      </c>
      <c r="D997" s="10">
        <f t="shared" si="15"/>
        <v>5.5402494901261097</v>
      </c>
      <c r="F997" s="8" t="str">
        <f>HYPERLINK("https://esbl.nhlbi.nih.gov/Databases/mpkFractions/proteomic_fractions_log_files/Yang_log_img/157951741.jpg","show blot")</f>
        <v>show blot</v>
      </c>
      <c r="H997" s="8" t="str">
        <f>HYPERLINK("https://esbl.nhlbi.nih.gov/Databases/mpkFractions/proteomic_fractions_linear_files/Yang_linear_img/157951741.jpg","show blot")</f>
        <v>show blot</v>
      </c>
      <c r="J997" s="5" t="s">
        <v>1986</v>
      </c>
      <c r="L997" s="11">
        <v>5.5402494901261097</v>
      </c>
      <c r="N997" s="12"/>
    </row>
    <row r="998" spans="1:14" s="5" customFormat="1" ht="15" customHeight="1" x14ac:dyDescent="0.25">
      <c r="A998" s="9" t="s">
        <v>1987</v>
      </c>
      <c r="C998" s="9" t="str">
        <f>HYPERLINK("http://www.ncbi.nlm.nih.gov/protein/340139110","Cav1")</f>
        <v>Cav1</v>
      </c>
      <c r="D998" s="10">
        <f t="shared" si="15"/>
        <v>2.786329283028071</v>
      </c>
      <c r="F998" s="8" t="str">
        <f>HYPERLINK("https://esbl.nhlbi.nih.gov/Databases/mpkFractions/proteomic_fractions_log_files/Yang_log_img/340139110.jpg","show blot")</f>
        <v>show blot</v>
      </c>
      <c r="H998" s="8" t="str">
        <f>HYPERLINK("https://esbl.nhlbi.nih.gov/Databases/mpkFractions/proteomic_fractions_linear_files/Yang_linear_img/340139110.jpg","show blot")</f>
        <v>show blot</v>
      </c>
      <c r="J998" s="5" t="s">
        <v>1988</v>
      </c>
      <c r="L998" s="11">
        <v>2.786329283028071</v>
      </c>
      <c r="N998" s="12"/>
    </row>
    <row r="999" spans="1:14" s="5" customFormat="1" ht="15" customHeight="1" x14ac:dyDescent="0.25">
      <c r="A999" s="9" t="s">
        <v>1989</v>
      </c>
      <c r="C999" s="9" t="str">
        <f>HYPERLINK("http://www.ncbi.nlm.nih.gov/protein/6680854","Cav1")</f>
        <v>Cav1</v>
      </c>
      <c r="D999" s="10">
        <f t="shared" si="15"/>
        <v>2.786329283028071</v>
      </c>
      <c r="F999" s="8" t="str">
        <f>HYPERLINK("https://esbl.nhlbi.nih.gov/Databases/mpkFractions/proteomic_fractions_log_files/Yang_log_img/6680854.jpg","show blot")</f>
        <v>show blot</v>
      </c>
      <c r="H999" s="8" t="str">
        <f>HYPERLINK("https://esbl.nhlbi.nih.gov/Databases/mpkFractions/proteomic_fractions_linear_files/Yang_linear_img/6680854.jpg","show blot")</f>
        <v>show blot</v>
      </c>
      <c r="J999" s="5" t="s">
        <v>1990</v>
      </c>
      <c r="L999" s="11">
        <v>2.786329283028071</v>
      </c>
      <c r="N999" s="12"/>
    </row>
    <row r="1000" spans="1:14" s="5" customFormat="1" ht="15" customHeight="1" x14ac:dyDescent="0.25">
      <c r="A1000" s="9" t="s">
        <v>1991</v>
      </c>
      <c r="C1000" s="9" t="str">
        <f>HYPERLINK("http://www.ncbi.nlm.nih.gov/protein/18702317","Cav2")</f>
        <v>Cav2</v>
      </c>
      <c r="D1000" s="10">
        <f t="shared" si="15"/>
        <v>2.7393119149083431</v>
      </c>
      <c r="F1000" s="8" t="str">
        <f>HYPERLINK("https://esbl.nhlbi.nih.gov/Databases/mpkFractions/proteomic_fractions_log_files/Yang_log_img/18702317.jpg","show blot")</f>
        <v>show blot</v>
      </c>
      <c r="H1000" s="8" t="str">
        <f>HYPERLINK("https://esbl.nhlbi.nih.gov/Databases/mpkFractions/proteomic_fractions_linear_files/Yang_linear_img/18702317.jpg","show blot")</f>
        <v>show blot</v>
      </c>
      <c r="J1000" s="5" t="s">
        <v>1992</v>
      </c>
      <c r="L1000" s="11">
        <v>2.7393119149083431</v>
      </c>
      <c r="N1000" s="12"/>
    </row>
    <row r="1001" spans="1:14" s="5" customFormat="1" ht="15" customHeight="1" x14ac:dyDescent="0.25">
      <c r="A1001" s="9" t="s">
        <v>1993</v>
      </c>
      <c r="C1001" s="9" t="str">
        <f>HYPERLINK("http://www.ncbi.nlm.nih.gov/protein/238814335","Cbfb")</f>
        <v>Cbfb</v>
      </c>
      <c r="D1001" s="10">
        <f t="shared" si="15"/>
        <v>5.3952901414073642</v>
      </c>
      <c r="F1001" s="8" t="str">
        <f>HYPERLINK("https://esbl.nhlbi.nih.gov/Databases/mpkFractions/proteomic_fractions_log_files/Yang_log_img/238814335.jpg","show blot")</f>
        <v>show blot</v>
      </c>
      <c r="H1001" s="8" t="str">
        <f>HYPERLINK("https://esbl.nhlbi.nih.gov/Databases/mpkFractions/proteomic_fractions_linear_files/Yang_linear_img/238814335.jpg","show blot")</f>
        <v>show blot</v>
      </c>
      <c r="J1001" s="5" t="s">
        <v>1994</v>
      </c>
      <c r="L1001" s="11">
        <v>5.3952901414073642</v>
      </c>
      <c r="N1001" s="12"/>
    </row>
    <row r="1002" spans="1:14" s="5" customFormat="1" ht="15" customHeight="1" x14ac:dyDescent="0.25">
      <c r="A1002" s="9" t="s">
        <v>1995</v>
      </c>
      <c r="C1002" s="9" t="str">
        <f>HYPERLINK("http://www.ncbi.nlm.nih.gov/protein/238814331","Cbfb")</f>
        <v>Cbfb</v>
      </c>
      <c r="D1002" s="10">
        <f t="shared" si="15"/>
        <v>5.3952901414073642</v>
      </c>
      <c r="F1002" s="8" t="str">
        <f>HYPERLINK("https://esbl.nhlbi.nih.gov/Databases/mpkFractions/proteomic_fractions_log_files/Yang_log_img/238814331.jpg","show blot")</f>
        <v>show blot</v>
      </c>
      <c r="H1002" s="8" t="str">
        <f>HYPERLINK("https://esbl.nhlbi.nih.gov/Databases/mpkFractions/proteomic_fractions_linear_files/Yang_linear_img/238814331.jpg","show blot")</f>
        <v>show blot</v>
      </c>
      <c r="J1002" s="5" t="s">
        <v>1996</v>
      </c>
      <c r="L1002" s="11">
        <v>5.3952901414073642</v>
      </c>
      <c r="N1002" s="12"/>
    </row>
    <row r="1003" spans="1:14" s="5" customFormat="1" ht="15" customHeight="1" x14ac:dyDescent="0.25">
      <c r="A1003" s="9" t="s">
        <v>1997</v>
      </c>
      <c r="C1003" s="9" t="str">
        <f>HYPERLINK("http://www.ncbi.nlm.nih.gov/protein/238814333","Cbfb")</f>
        <v>Cbfb</v>
      </c>
      <c r="D1003" s="10">
        <f t="shared" si="15"/>
        <v>5.3952901414073642</v>
      </c>
      <c r="F1003" s="8" t="str">
        <f>HYPERLINK("https://esbl.nhlbi.nih.gov/Databases/mpkFractions/proteomic_fractions_log_files/Yang_log_img/238814333.jpg","show blot")</f>
        <v>show blot</v>
      </c>
      <c r="H1003" s="8" t="str">
        <f>HYPERLINK("https://esbl.nhlbi.nih.gov/Databases/mpkFractions/proteomic_fractions_linear_files/Yang_linear_img/238814333.jpg","show blot")</f>
        <v>show blot</v>
      </c>
      <c r="J1003" s="5" t="s">
        <v>1998</v>
      </c>
      <c r="L1003" s="11">
        <v>5.3952901414073642</v>
      </c>
      <c r="N1003" s="12"/>
    </row>
    <row r="1004" spans="1:14" s="5" customFormat="1" ht="15" customHeight="1" x14ac:dyDescent="0.25">
      <c r="A1004" s="9" t="s">
        <v>1999</v>
      </c>
      <c r="C1004" s="9" t="str">
        <f>HYPERLINK("http://www.ncbi.nlm.nih.gov/protein/238814337","Cbfb")</f>
        <v>Cbfb</v>
      </c>
      <c r="D1004" s="10">
        <f t="shared" si="15"/>
        <v>5.3952901414073642</v>
      </c>
      <c r="F1004" s="8" t="str">
        <f>HYPERLINK("https://esbl.nhlbi.nih.gov/Databases/mpkFractions/proteomic_fractions_log_files/Yang_log_img/238814337.jpg","show blot")</f>
        <v>show blot</v>
      </c>
      <c r="H1004" s="8" t="str">
        <f>HYPERLINK("https://esbl.nhlbi.nih.gov/Databases/mpkFractions/proteomic_fractions_linear_files/Yang_linear_img/238814337.jpg","show blot")</f>
        <v>show blot</v>
      </c>
      <c r="J1004" s="5" t="s">
        <v>2000</v>
      </c>
      <c r="L1004" s="11">
        <v>5.3952901414073642</v>
      </c>
      <c r="N1004" s="12"/>
    </row>
    <row r="1005" spans="1:14" s="5" customFormat="1" ht="15" customHeight="1" x14ac:dyDescent="0.25">
      <c r="A1005" s="9" t="s">
        <v>2001</v>
      </c>
      <c r="C1005" s="9" t="str">
        <f>HYPERLINK("http://www.ncbi.nlm.nih.gov/protein/80978932","Cbl")</f>
        <v>Cbl</v>
      </c>
      <c r="D1005" s="10">
        <f t="shared" si="15"/>
        <v>3.8944465425691051</v>
      </c>
      <c r="F1005" s="8" t="str">
        <f>HYPERLINK("https://esbl.nhlbi.nih.gov/Databases/mpkFractions/proteomic_fractions_log_files/Yang_log_img/80978932.jpg","show blot")</f>
        <v>show blot</v>
      </c>
      <c r="H1005" s="8" t="str">
        <f>HYPERLINK("https://esbl.nhlbi.nih.gov/Databases/mpkFractions/proteomic_fractions_linear_files/Yang_linear_img/80978932.jpg","show blot")</f>
        <v>show blot</v>
      </c>
      <c r="J1005" s="5" t="s">
        <v>2002</v>
      </c>
      <c r="L1005" s="11">
        <v>3.8944465425691051</v>
      </c>
      <c r="N1005" s="12"/>
    </row>
    <row r="1006" spans="1:14" s="5" customFormat="1" ht="15" customHeight="1" x14ac:dyDescent="0.25">
      <c r="A1006" s="9" t="s">
        <v>2003</v>
      </c>
      <c r="C1006" s="9" t="str">
        <f>HYPERLINK("http://www.ncbi.nlm.nih.gov/protein/113680352","Cbr1")</f>
        <v>Cbr1</v>
      </c>
      <c r="D1006" s="10">
        <f t="shared" si="15"/>
        <v>5.9358889766638958</v>
      </c>
      <c r="F1006" s="8" t="str">
        <f>HYPERLINK("https://esbl.nhlbi.nih.gov/Databases/mpkFractions/proteomic_fractions_log_files/Yang_log_img/113680352.jpg","show blot")</f>
        <v>show blot</v>
      </c>
      <c r="H1006" s="8" t="str">
        <f>HYPERLINK("https://esbl.nhlbi.nih.gov/Databases/mpkFractions/proteomic_fractions_linear_files/Yang_linear_img/113680352.jpg","show blot")</f>
        <v>show blot</v>
      </c>
      <c r="J1006" s="5" t="s">
        <v>2004</v>
      </c>
      <c r="L1006" s="11">
        <v>5.9358889766638958</v>
      </c>
      <c r="N1006" s="12"/>
    </row>
    <row r="1007" spans="1:14" s="5" customFormat="1" ht="15" customHeight="1" x14ac:dyDescent="0.25">
      <c r="A1007" s="9" t="s">
        <v>2005</v>
      </c>
      <c r="C1007" s="9" t="str">
        <f>HYPERLINK("http://www.ncbi.nlm.nih.gov/protein/6671688","Cbr2")</f>
        <v>Cbr2</v>
      </c>
      <c r="D1007" s="10">
        <f t="shared" si="15"/>
        <v>5.7452189463369567</v>
      </c>
      <c r="F1007" s="8" t="str">
        <f>HYPERLINK("https://esbl.nhlbi.nih.gov/Databases/mpkFractions/proteomic_fractions_log_files/Yang_log_img/6671688.jpg","show blot")</f>
        <v>show blot</v>
      </c>
      <c r="H1007" s="8" t="str">
        <f>HYPERLINK("https://esbl.nhlbi.nih.gov/Databases/mpkFractions/proteomic_fractions_linear_files/Yang_linear_img/6671688.jpg","show blot")</f>
        <v>show blot</v>
      </c>
      <c r="J1007" s="5" t="s">
        <v>2006</v>
      </c>
      <c r="L1007" s="11">
        <v>5.7452189463369567</v>
      </c>
      <c r="N1007" s="12"/>
    </row>
    <row r="1008" spans="1:14" s="5" customFormat="1" ht="15" customHeight="1" x14ac:dyDescent="0.25">
      <c r="A1008" s="9" t="s">
        <v>2007</v>
      </c>
      <c r="C1008" s="9" t="str">
        <f>HYPERLINK("http://www.ncbi.nlm.nih.gov/protein/27413160","Cbr3")</f>
        <v>Cbr3</v>
      </c>
      <c r="D1008" s="10">
        <f t="shared" si="15"/>
        <v>5.4186661588164551</v>
      </c>
      <c r="F1008" s="8" t="str">
        <f>HYPERLINK("https://esbl.nhlbi.nih.gov/Databases/mpkFractions/proteomic_fractions_log_files/Yang_log_img/27413160.jpg","show blot")</f>
        <v>show blot</v>
      </c>
      <c r="H1008" s="8" t="str">
        <f>HYPERLINK("https://esbl.nhlbi.nih.gov/Databases/mpkFractions/proteomic_fractions_linear_files/Yang_linear_img/27413160.jpg","show blot")</f>
        <v>show blot</v>
      </c>
      <c r="J1008" s="5" t="s">
        <v>2008</v>
      </c>
      <c r="L1008" s="11">
        <v>5.4186661588164551</v>
      </c>
      <c r="N1008" s="12"/>
    </row>
    <row r="1009" spans="1:14" s="5" customFormat="1" ht="15" customHeight="1" x14ac:dyDescent="0.25">
      <c r="A1009" s="9" t="s">
        <v>2009</v>
      </c>
      <c r="C1009" s="9" t="str">
        <f>HYPERLINK("http://www.ncbi.nlm.nih.gov/protein/269784762","Cbr4")</f>
        <v>Cbr4</v>
      </c>
      <c r="D1009" s="10">
        <f t="shared" si="15"/>
        <v>5.0672344814962544</v>
      </c>
      <c r="F1009" s="8" t="str">
        <f>HYPERLINK("https://esbl.nhlbi.nih.gov/Databases/mpkFractions/proteomic_fractions_log_files/Yang_log_img/269784762.jpg","show blot")</f>
        <v>show blot</v>
      </c>
      <c r="H1009" s="8" t="str">
        <f>HYPERLINK("https://esbl.nhlbi.nih.gov/Databases/mpkFractions/proteomic_fractions_linear_files/Yang_linear_img/269784762.jpg","show blot")</f>
        <v>show blot</v>
      </c>
      <c r="J1009" s="5" t="s">
        <v>2010</v>
      </c>
      <c r="L1009" s="11">
        <v>5.0672344814962544</v>
      </c>
      <c r="N1009" s="12"/>
    </row>
    <row r="1010" spans="1:14" s="5" customFormat="1" ht="15" customHeight="1" x14ac:dyDescent="0.25">
      <c r="A1010" s="9" t="s">
        <v>2011</v>
      </c>
      <c r="C1010" s="9" t="str">
        <f>HYPERLINK("http://www.ncbi.nlm.nih.gov/protein/22122605","Cbwd1")</f>
        <v>Cbwd1</v>
      </c>
      <c r="D1010" s="10">
        <f t="shared" si="15"/>
        <v>5.1974662803413496</v>
      </c>
      <c r="F1010" s="8" t="str">
        <f>HYPERLINK("https://esbl.nhlbi.nih.gov/Databases/mpkFractions/proteomic_fractions_log_files/Yang_log_img/22122605.jpg","show blot")</f>
        <v>show blot</v>
      </c>
      <c r="H1010" s="8" t="str">
        <f>HYPERLINK("https://esbl.nhlbi.nih.gov/Databases/mpkFractions/proteomic_fractions_linear_files/Yang_linear_img/22122605.jpg","show blot")</f>
        <v>show blot</v>
      </c>
      <c r="J1010" s="5" t="s">
        <v>2012</v>
      </c>
      <c r="L1010" s="11">
        <v>5.1974662803413496</v>
      </c>
      <c r="N1010" s="12"/>
    </row>
    <row r="1011" spans="1:14" s="5" customFormat="1" ht="15" customHeight="1" x14ac:dyDescent="0.25">
      <c r="A1011" s="9" t="s">
        <v>2013</v>
      </c>
      <c r="C1011" s="9" t="str">
        <f>HYPERLINK("http://www.ncbi.nlm.nih.gov/protein/6671696","Cbx1")</f>
        <v>Cbx1</v>
      </c>
      <c r="D1011" s="10">
        <f t="shared" si="15"/>
        <v>5.4812328948459657</v>
      </c>
      <c r="F1011" s="8" t="str">
        <f>HYPERLINK("https://esbl.nhlbi.nih.gov/Databases/mpkFractions/proteomic_fractions_log_files/Yang_log_img/6671696.jpg","show blot")</f>
        <v>show blot</v>
      </c>
      <c r="H1011" s="8" t="str">
        <f>HYPERLINK("https://esbl.nhlbi.nih.gov/Databases/mpkFractions/proteomic_fractions_linear_files/Yang_linear_img/6671696.jpg","show blot")</f>
        <v>show blot</v>
      </c>
      <c r="J1011" s="5" t="s">
        <v>2014</v>
      </c>
      <c r="L1011" s="11">
        <v>5.4812328948459657</v>
      </c>
      <c r="N1011" s="12"/>
    </row>
    <row r="1012" spans="1:14" s="5" customFormat="1" ht="15" customHeight="1" x14ac:dyDescent="0.25">
      <c r="A1012" s="9" t="s">
        <v>2015</v>
      </c>
      <c r="C1012" s="9" t="str">
        <f>HYPERLINK("http://www.ncbi.nlm.nih.gov/protein/108860695","Cbx3")</f>
        <v>Cbx3</v>
      </c>
      <c r="D1012" s="10">
        <f t="shared" si="15"/>
        <v>6.2923854893133306</v>
      </c>
      <c r="F1012" s="8" t="str">
        <f>HYPERLINK("https://esbl.nhlbi.nih.gov/Databases/mpkFractions/proteomic_fractions_log_files/Yang_log_img/108860695.jpg","show blot")</f>
        <v>show blot</v>
      </c>
      <c r="H1012" s="8" t="str">
        <f>HYPERLINK("https://esbl.nhlbi.nih.gov/Databases/mpkFractions/proteomic_fractions_linear_files/Yang_linear_img/108860695.jpg","show blot")</f>
        <v>show blot</v>
      </c>
      <c r="J1012" s="5" t="s">
        <v>2016</v>
      </c>
      <c r="L1012" s="11">
        <v>6.2923854893133306</v>
      </c>
      <c r="N1012" s="12"/>
    </row>
    <row r="1013" spans="1:14" s="5" customFormat="1" ht="15" customHeight="1" x14ac:dyDescent="0.25">
      <c r="A1013" s="9" t="s">
        <v>2017</v>
      </c>
      <c r="C1013" s="9" t="str">
        <f>HYPERLINK("http://www.ncbi.nlm.nih.gov/protein/116008461","Cbx5")</f>
        <v>Cbx5</v>
      </c>
      <c r="D1013" s="10">
        <f t="shared" si="15"/>
        <v>5.7013906695771963</v>
      </c>
      <c r="F1013" s="8" t="str">
        <f>HYPERLINK("https://esbl.nhlbi.nih.gov/Databases/mpkFractions/proteomic_fractions_log_files/Yang_log_img/116008461.jpg","show blot")</f>
        <v>show blot</v>
      </c>
      <c r="H1013" s="8" t="str">
        <f>HYPERLINK("https://esbl.nhlbi.nih.gov/Databases/mpkFractions/proteomic_fractions_linear_files/Yang_linear_img/116008461.jpg","show blot")</f>
        <v>show blot</v>
      </c>
      <c r="J1013" s="5" t="s">
        <v>2018</v>
      </c>
      <c r="L1013" s="11">
        <v>5.7013906695771963</v>
      </c>
      <c r="N1013" s="12"/>
    </row>
    <row r="1014" spans="1:14" s="5" customFormat="1" ht="15" customHeight="1" x14ac:dyDescent="0.25">
      <c r="A1014" s="9" t="s">
        <v>2019</v>
      </c>
      <c r="C1014" s="9" t="str">
        <f>HYPERLINK("http://www.ncbi.nlm.nih.gov/protein/61657984","Cbx6")</f>
        <v>Cbx6</v>
      </c>
      <c r="D1014" s="10">
        <f t="shared" si="15"/>
        <v>3.5035115498011011</v>
      </c>
      <c r="F1014" s="8" t="str">
        <f>HYPERLINK("https://esbl.nhlbi.nih.gov/Databases/mpkFractions/proteomic_fractions_log_files/Yang_log_img/61657984.jpg","show blot")</f>
        <v>show blot</v>
      </c>
      <c r="H1014" s="8" t="str">
        <f>HYPERLINK("https://esbl.nhlbi.nih.gov/Databases/mpkFractions/proteomic_fractions_linear_files/Yang_linear_img/61657984.jpg","show blot")</f>
        <v>show blot</v>
      </c>
      <c r="J1014" s="5" t="s">
        <v>2020</v>
      </c>
      <c r="L1014" s="11">
        <v>3.5035115498011011</v>
      </c>
      <c r="N1014" s="12"/>
    </row>
    <row r="1015" spans="1:14" s="5" customFormat="1" ht="15" customHeight="1" x14ac:dyDescent="0.25">
      <c r="A1015" s="9" t="s">
        <v>2021</v>
      </c>
      <c r="C1015" s="9" t="str">
        <f>HYPERLINK("http://www.ncbi.nlm.nih.gov/protein/110835702","Cc2d1a")</f>
        <v>Cc2d1a</v>
      </c>
      <c r="D1015" s="10">
        <f t="shared" si="15"/>
        <v>1.859473164967101</v>
      </c>
      <c r="F1015" s="8" t="str">
        <f>HYPERLINK("https://esbl.nhlbi.nih.gov/Databases/mpkFractions/proteomic_fractions_log_files/Yang_log_img/110835702.jpg","show blot")</f>
        <v>show blot</v>
      </c>
      <c r="H1015" s="8" t="str">
        <f>HYPERLINK("https://esbl.nhlbi.nih.gov/Databases/mpkFractions/proteomic_fractions_linear_files/Yang_linear_img/110835702.jpg","show blot")</f>
        <v>show blot</v>
      </c>
      <c r="J1015" s="5" t="s">
        <v>2022</v>
      </c>
      <c r="L1015" s="11">
        <v>1.859473164967101</v>
      </c>
      <c r="N1015" s="12"/>
    </row>
    <row r="1016" spans="1:14" s="5" customFormat="1" ht="15" customHeight="1" x14ac:dyDescent="0.25">
      <c r="A1016" s="9" t="s">
        <v>2023</v>
      </c>
      <c r="C1016" s="9" t="str">
        <f>HYPERLINK("http://www.ncbi.nlm.nih.gov/protein/28892935","Cc2d1b")</f>
        <v>Cc2d1b</v>
      </c>
      <c r="D1016" s="10">
        <f t="shared" si="15"/>
        <v>4.4568289408982871</v>
      </c>
      <c r="F1016" s="8" t="str">
        <f>HYPERLINK("https://esbl.nhlbi.nih.gov/Databases/mpkFractions/proteomic_fractions_log_files/Yang_log_img/28892935.jpg","show blot")</f>
        <v>show blot</v>
      </c>
      <c r="H1016" s="8" t="str">
        <f>HYPERLINK("https://esbl.nhlbi.nih.gov/Databases/mpkFractions/proteomic_fractions_linear_files/Yang_linear_img/28892935.jpg","show blot")</f>
        <v>show blot</v>
      </c>
      <c r="J1016" s="5" t="s">
        <v>2024</v>
      </c>
      <c r="L1016" s="11">
        <v>4.4568289408982871</v>
      </c>
      <c r="N1016" s="12"/>
    </row>
    <row r="1017" spans="1:14" s="5" customFormat="1" ht="15" customHeight="1" x14ac:dyDescent="0.25">
      <c r="A1017" s="9" t="s">
        <v>2025</v>
      </c>
      <c r="C1017" s="9" t="str">
        <f>HYPERLINK("http://www.ncbi.nlm.nih.gov/protein/407262408","Cc2d2b")</f>
        <v>Cc2d2b</v>
      </c>
      <c r="D1017" s="10">
        <f t="shared" si="15"/>
        <v>2.7854786734837789</v>
      </c>
      <c r="F1017" s="8" t="str">
        <f>HYPERLINK("https://esbl.nhlbi.nih.gov/Databases/mpkFractions/proteomic_fractions_log_files/Yang_log_img/407262408.jpg","show blot")</f>
        <v>show blot</v>
      </c>
      <c r="H1017" s="8" t="str">
        <f>HYPERLINK("https://esbl.nhlbi.nih.gov/Databases/mpkFractions/proteomic_fractions_linear_files/Yang_linear_img/407262408.jpg","show blot")</f>
        <v>show blot</v>
      </c>
      <c r="J1017" s="5" t="s">
        <v>2026</v>
      </c>
      <c r="L1017" s="11">
        <v>2.7854786734837789</v>
      </c>
      <c r="N1017" s="12"/>
    </row>
    <row r="1018" spans="1:14" s="5" customFormat="1" ht="15" customHeight="1" x14ac:dyDescent="0.25">
      <c r="A1018" s="9" t="s">
        <v>2027</v>
      </c>
      <c r="C1018" s="9" t="str">
        <f>HYPERLINK("http://www.ncbi.nlm.nih.gov/protein/407264268","Cc2d2b")</f>
        <v>Cc2d2b</v>
      </c>
      <c r="D1018" s="10">
        <f t="shared" si="15"/>
        <v>2.7854786734837789</v>
      </c>
      <c r="F1018" s="8" t="str">
        <f>HYPERLINK("https://esbl.nhlbi.nih.gov/Databases/mpkFractions/proteomic_fractions_log_files/Yang_log_img/407264268.jpg","show blot")</f>
        <v>show blot</v>
      </c>
      <c r="H1018" s="8" t="str">
        <f>HYPERLINK("https://esbl.nhlbi.nih.gov/Databases/mpkFractions/proteomic_fractions_linear_files/Yang_linear_img/407264268.jpg","show blot")</f>
        <v>show blot</v>
      </c>
      <c r="J1018" s="5" t="s">
        <v>2026</v>
      </c>
      <c r="L1018" s="11">
        <v>2.7854786734837789</v>
      </c>
      <c r="N1018" s="12"/>
    </row>
    <row r="1019" spans="1:14" s="5" customFormat="1" ht="15" customHeight="1" x14ac:dyDescent="0.25">
      <c r="A1019" s="9" t="s">
        <v>2028</v>
      </c>
      <c r="C1019" s="9" t="str">
        <f>HYPERLINK("http://www.ncbi.nlm.nih.gov/protein/33563288","Ccar1")</f>
        <v>Ccar1</v>
      </c>
      <c r="D1019" s="10">
        <f t="shared" si="15"/>
        <v>4.2779999453862763</v>
      </c>
      <c r="F1019" s="8" t="str">
        <f>HYPERLINK("https://esbl.nhlbi.nih.gov/Databases/mpkFractions/proteomic_fractions_log_files/Yang_log_img/33563288.jpg","show blot")</f>
        <v>show blot</v>
      </c>
      <c r="H1019" s="8" t="str">
        <f>HYPERLINK("https://esbl.nhlbi.nih.gov/Databases/mpkFractions/proteomic_fractions_linear_files/Yang_linear_img/33563288.jpg","show blot")</f>
        <v>show blot</v>
      </c>
      <c r="J1019" s="5" t="s">
        <v>2029</v>
      </c>
      <c r="L1019" s="11">
        <v>4.2779999453862763</v>
      </c>
      <c r="N1019" s="12"/>
    </row>
    <row r="1020" spans="1:14" s="5" customFormat="1" ht="15" customHeight="1" x14ac:dyDescent="0.25">
      <c r="A1020" s="9" t="s">
        <v>2030</v>
      </c>
      <c r="C1020" s="9" t="str">
        <f>HYPERLINK("http://www.ncbi.nlm.nih.gov/protein/226958577","Ccar2")</f>
        <v>Ccar2</v>
      </c>
      <c r="D1020" s="10">
        <f t="shared" si="15"/>
        <v>5.3744399193005057</v>
      </c>
      <c r="F1020" s="8" t="str">
        <f>HYPERLINK("https://esbl.nhlbi.nih.gov/Databases/mpkFractions/proteomic_fractions_log_files/Yang_log_img/226958577.jpg","show blot")</f>
        <v>show blot</v>
      </c>
      <c r="H1020" s="8" t="str">
        <f>HYPERLINK("https://esbl.nhlbi.nih.gov/Databases/mpkFractions/proteomic_fractions_linear_files/Yang_linear_img/226958577.jpg","show blot")</f>
        <v>show blot</v>
      </c>
      <c r="J1020" s="5" t="s">
        <v>2031</v>
      </c>
      <c r="L1020" s="11">
        <v>5.3744399193005057</v>
      </c>
      <c r="N1020" s="12"/>
    </row>
    <row r="1021" spans="1:14" s="5" customFormat="1" ht="15" customHeight="1" x14ac:dyDescent="0.25">
      <c r="A1021" s="9" t="s">
        <v>2032</v>
      </c>
      <c r="C1021" s="9" t="str">
        <f>HYPERLINK("http://www.ncbi.nlm.nih.gov/protein/31982063","Ccbl1")</f>
        <v>Ccbl1</v>
      </c>
      <c r="D1021" s="10">
        <f t="shared" si="15"/>
        <v>4.6901229613469297</v>
      </c>
      <c r="F1021" s="8" t="str">
        <f>HYPERLINK("https://esbl.nhlbi.nih.gov/Databases/mpkFractions/proteomic_fractions_log_files/Yang_log_img/31982063.jpg","show blot")</f>
        <v>show blot</v>
      </c>
      <c r="H1021" s="8" t="str">
        <f>HYPERLINK("https://esbl.nhlbi.nih.gov/Databases/mpkFractions/proteomic_fractions_linear_files/Yang_linear_img/31982063.jpg","show blot")</f>
        <v>show blot</v>
      </c>
      <c r="J1021" s="5" t="s">
        <v>2033</v>
      </c>
      <c r="L1021" s="11">
        <v>4.6901229613469297</v>
      </c>
      <c r="N1021" s="12"/>
    </row>
    <row r="1022" spans="1:14" s="5" customFormat="1" ht="15" customHeight="1" x14ac:dyDescent="0.25">
      <c r="A1022" s="9" t="s">
        <v>2034</v>
      </c>
      <c r="C1022" s="9" t="str">
        <f>HYPERLINK("http://www.ncbi.nlm.nih.gov/protein/30352008","Ccdc104")</f>
        <v>Ccdc104</v>
      </c>
      <c r="D1022" s="10">
        <f t="shared" si="15"/>
        <v>3.7342031706092991</v>
      </c>
      <c r="F1022" s="8" t="str">
        <f>HYPERLINK("https://esbl.nhlbi.nih.gov/Databases/mpkFractions/proteomic_fractions_log_files/Yang_log_img/30352008.jpg","show blot")</f>
        <v>show blot</v>
      </c>
      <c r="H1022" s="8" t="str">
        <f>HYPERLINK("https://esbl.nhlbi.nih.gov/Databases/mpkFractions/proteomic_fractions_linear_files/Yang_linear_img/30352008.jpg","show blot")</f>
        <v>show blot</v>
      </c>
      <c r="J1022" s="5" t="s">
        <v>2035</v>
      </c>
      <c r="L1022" s="11">
        <v>3.7342031706092991</v>
      </c>
      <c r="N1022" s="12"/>
    </row>
    <row r="1023" spans="1:14" s="5" customFormat="1" ht="15" customHeight="1" x14ac:dyDescent="0.25">
      <c r="A1023" s="9" t="s">
        <v>2036</v>
      </c>
      <c r="C1023" s="9" t="str">
        <f>HYPERLINK("http://www.ncbi.nlm.nih.gov/protein/58037169","Ccdc115")</f>
        <v>Ccdc115</v>
      </c>
      <c r="D1023" s="10">
        <f t="shared" si="15"/>
        <v>4.8257730691564342</v>
      </c>
      <c r="F1023" s="8" t="str">
        <f>HYPERLINK("https://esbl.nhlbi.nih.gov/Databases/mpkFractions/proteomic_fractions_log_files/Yang_log_img/58037169.jpg","show blot")</f>
        <v>show blot</v>
      </c>
      <c r="H1023" s="8" t="str">
        <f>HYPERLINK("https://esbl.nhlbi.nih.gov/Databases/mpkFractions/proteomic_fractions_linear_files/Yang_linear_img/58037169.jpg","show blot")</f>
        <v>show blot</v>
      </c>
      <c r="J1023" s="5" t="s">
        <v>2037</v>
      </c>
      <c r="L1023" s="11">
        <v>4.8257730691564342</v>
      </c>
      <c r="N1023" s="12"/>
    </row>
    <row r="1024" spans="1:14" s="5" customFormat="1" ht="15" customHeight="1" x14ac:dyDescent="0.25">
      <c r="A1024" s="9" t="s">
        <v>2038</v>
      </c>
      <c r="C1024" s="9" t="str">
        <f>HYPERLINK("http://www.ncbi.nlm.nih.gov/protein/164698436","Ccdc117")</f>
        <v>Ccdc117</v>
      </c>
      <c r="D1024" s="10">
        <f t="shared" si="15"/>
        <v>4.0807191379242651</v>
      </c>
      <c r="F1024" s="8" t="str">
        <f>HYPERLINK("https://esbl.nhlbi.nih.gov/Databases/mpkFractions/proteomic_fractions_log_files/Yang_log_img/164698436.jpg","show blot")</f>
        <v>show blot</v>
      </c>
      <c r="H1024" s="8" t="str">
        <f>HYPERLINK("https://esbl.nhlbi.nih.gov/Databases/mpkFractions/proteomic_fractions_linear_files/Yang_linear_img/164698436.jpg","show blot")</f>
        <v>show blot</v>
      </c>
      <c r="J1024" s="5" t="s">
        <v>2039</v>
      </c>
      <c r="L1024" s="11">
        <v>4.0807191379242651</v>
      </c>
      <c r="N1024" s="12"/>
    </row>
    <row r="1025" spans="1:14" s="5" customFormat="1" ht="15" customHeight="1" x14ac:dyDescent="0.25">
      <c r="A1025" s="9" t="s">
        <v>2040</v>
      </c>
      <c r="C1025" s="9" t="str">
        <f>HYPERLINK("http://www.ncbi.nlm.nih.gov/protein/227496903","Ccdc12")</f>
        <v>Ccdc12</v>
      </c>
      <c r="D1025" s="10">
        <f t="shared" si="15"/>
        <v>4.6033190424361772</v>
      </c>
      <c r="F1025" s="8" t="str">
        <f>HYPERLINK("https://esbl.nhlbi.nih.gov/Databases/mpkFractions/proteomic_fractions_log_files/Yang_log_img/227496903.jpg","show blot")</f>
        <v>show blot</v>
      </c>
      <c r="H1025" s="8" t="str">
        <f>HYPERLINK("https://esbl.nhlbi.nih.gov/Databases/mpkFractions/proteomic_fractions_linear_files/Yang_linear_img/227496903.jpg","show blot")</f>
        <v>show blot</v>
      </c>
      <c r="J1025" s="5" t="s">
        <v>2041</v>
      </c>
      <c r="L1025" s="11">
        <v>4.6033190424361772</v>
      </c>
      <c r="N1025" s="12"/>
    </row>
    <row r="1026" spans="1:14" s="5" customFormat="1" ht="15" customHeight="1" x14ac:dyDescent="0.25">
      <c r="A1026" s="9" t="s">
        <v>2042</v>
      </c>
      <c r="C1026" s="9" t="str">
        <f>HYPERLINK("http://www.ncbi.nlm.nih.gov/protein/47059143","Ccdc124")</f>
        <v>Ccdc124</v>
      </c>
      <c r="D1026" s="10">
        <f t="shared" si="15"/>
        <v>4.3457748262385492</v>
      </c>
      <c r="F1026" s="8" t="str">
        <f>HYPERLINK("https://esbl.nhlbi.nih.gov/Databases/mpkFractions/proteomic_fractions_log_files/Yang_log_img/47059143.jpg","show blot")</f>
        <v>show blot</v>
      </c>
      <c r="H1026" s="8" t="str">
        <f>HYPERLINK("https://esbl.nhlbi.nih.gov/Databases/mpkFractions/proteomic_fractions_linear_files/Yang_linear_img/47059143.jpg","show blot")</f>
        <v>show blot</v>
      </c>
      <c r="J1026" s="5" t="s">
        <v>2043</v>
      </c>
      <c r="L1026" s="11">
        <v>4.3457748262385492</v>
      </c>
      <c r="N1026" s="12"/>
    </row>
    <row r="1027" spans="1:14" s="5" customFormat="1" ht="15" customHeight="1" x14ac:dyDescent="0.25">
      <c r="A1027" s="9" t="s">
        <v>2044</v>
      </c>
      <c r="C1027" s="9" t="str">
        <f>HYPERLINK("http://www.ncbi.nlm.nih.gov/protein/13195630","Ccdc127")</f>
        <v>Ccdc127</v>
      </c>
      <c r="D1027" s="10">
        <f t="shared" si="15"/>
        <v>3.4321971334476382</v>
      </c>
      <c r="F1027" s="8" t="str">
        <f>HYPERLINK("https://esbl.nhlbi.nih.gov/Databases/mpkFractions/proteomic_fractions_log_files/Yang_log_img/13195630.jpg","show blot")</f>
        <v>show blot</v>
      </c>
      <c r="H1027" s="8" t="str">
        <f>HYPERLINK("https://esbl.nhlbi.nih.gov/Databases/mpkFractions/proteomic_fractions_linear_files/Yang_linear_img/13195630.jpg","show blot")</f>
        <v>show blot</v>
      </c>
      <c r="J1027" s="5" t="s">
        <v>2045</v>
      </c>
      <c r="L1027" s="11">
        <v>3.4321971334476382</v>
      </c>
      <c r="N1027" s="12"/>
    </row>
    <row r="1028" spans="1:14" s="5" customFormat="1" ht="15" customHeight="1" x14ac:dyDescent="0.25">
      <c r="A1028" s="9" t="s">
        <v>2046</v>
      </c>
      <c r="C1028" s="9" t="str">
        <f>HYPERLINK("http://www.ncbi.nlm.nih.gov/protein/281183266","Ccdc127")</f>
        <v>Ccdc127</v>
      </c>
      <c r="D1028" s="10">
        <f t="shared" si="15"/>
        <v>3.4321971334476382</v>
      </c>
      <c r="F1028" s="8" t="str">
        <f>HYPERLINK("https://esbl.nhlbi.nih.gov/Databases/mpkFractions/proteomic_fractions_log_files/Yang_log_img/281183266.jpg","show blot")</f>
        <v>show blot</v>
      </c>
      <c r="H1028" s="8" t="str">
        <f>HYPERLINK("https://esbl.nhlbi.nih.gov/Databases/mpkFractions/proteomic_fractions_linear_files/Yang_linear_img/281183266.jpg","show blot")</f>
        <v>show blot</v>
      </c>
      <c r="J1028" s="5" t="s">
        <v>2047</v>
      </c>
      <c r="L1028" s="11">
        <v>3.4321971334476382</v>
      </c>
      <c r="N1028" s="12"/>
    </row>
    <row r="1029" spans="1:14" s="5" customFormat="1" ht="15" customHeight="1" x14ac:dyDescent="0.25">
      <c r="A1029" s="9" t="s">
        <v>2048</v>
      </c>
      <c r="C1029" s="9" t="str">
        <f>HYPERLINK("http://www.ncbi.nlm.nih.gov/protein/268370057","Ccdc132")</f>
        <v>Ccdc132</v>
      </c>
      <c r="D1029" s="10">
        <f t="shared" ref="D1029:D1092" si="16">L1029</f>
        <v>4.9794959483424517</v>
      </c>
      <c r="F1029" s="8" t="str">
        <f>HYPERLINK("https://esbl.nhlbi.nih.gov/Databases/mpkFractions/proteomic_fractions_log_files/Yang_log_img/268370057.jpg","show blot")</f>
        <v>show blot</v>
      </c>
      <c r="H1029" s="8" t="str">
        <f>HYPERLINK("https://esbl.nhlbi.nih.gov/Databases/mpkFractions/proteomic_fractions_linear_files/Yang_linear_img/268370057.jpg","show blot")</f>
        <v>show blot</v>
      </c>
      <c r="J1029" s="5" t="s">
        <v>2049</v>
      </c>
      <c r="L1029" s="11">
        <v>4.9794959483424517</v>
      </c>
      <c r="N1029" s="12"/>
    </row>
    <row r="1030" spans="1:14" s="5" customFormat="1" ht="15" customHeight="1" x14ac:dyDescent="0.25">
      <c r="A1030" s="9" t="s">
        <v>2050</v>
      </c>
      <c r="C1030" s="9" t="str">
        <f>HYPERLINK("http://www.ncbi.nlm.nih.gov/protein/268370059","Ccdc132")</f>
        <v>Ccdc132</v>
      </c>
      <c r="D1030" s="10">
        <f t="shared" si="16"/>
        <v>4.9794959483424517</v>
      </c>
      <c r="F1030" s="8" t="str">
        <f>HYPERLINK("https://esbl.nhlbi.nih.gov/Databases/mpkFractions/proteomic_fractions_log_files/Yang_log_img/268370059.jpg","show blot")</f>
        <v>show blot</v>
      </c>
      <c r="H1030" s="8" t="str">
        <f>HYPERLINK("https://esbl.nhlbi.nih.gov/Databases/mpkFractions/proteomic_fractions_linear_files/Yang_linear_img/268370059.jpg","show blot")</f>
        <v>show blot</v>
      </c>
      <c r="J1030" s="5" t="s">
        <v>2051</v>
      </c>
      <c r="L1030" s="11">
        <v>4.9794959483424517</v>
      </c>
      <c r="N1030" s="12"/>
    </row>
    <row r="1031" spans="1:14" s="5" customFormat="1" ht="15" customHeight="1" x14ac:dyDescent="0.25">
      <c r="A1031" s="9" t="s">
        <v>2052</v>
      </c>
      <c r="C1031" s="9" t="str">
        <f>HYPERLINK("http://www.ncbi.nlm.nih.gov/protein/268370061","Ccdc132")</f>
        <v>Ccdc132</v>
      </c>
      <c r="D1031" s="10">
        <f t="shared" si="16"/>
        <v>4.9794959483424517</v>
      </c>
      <c r="F1031" s="8" t="str">
        <f>HYPERLINK("https://esbl.nhlbi.nih.gov/Databases/mpkFractions/proteomic_fractions_log_files/Yang_log_img/268370061.jpg","show blot")</f>
        <v>show blot</v>
      </c>
      <c r="H1031" s="8" t="str">
        <f>HYPERLINK("https://esbl.nhlbi.nih.gov/Databases/mpkFractions/proteomic_fractions_linear_files/Yang_linear_img/268370061.jpg","show blot")</f>
        <v>show blot</v>
      </c>
      <c r="J1031" s="5" t="s">
        <v>2053</v>
      </c>
      <c r="L1031" s="11">
        <v>4.9794959483424517</v>
      </c>
      <c r="N1031" s="12"/>
    </row>
    <row r="1032" spans="1:14" s="5" customFormat="1" ht="15" customHeight="1" x14ac:dyDescent="0.25">
      <c r="A1032" s="9" t="s">
        <v>2054</v>
      </c>
      <c r="C1032" s="9" t="str">
        <f>HYPERLINK("http://www.ncbi.nlm.nih.gov/protein/116268089","Ccdc134")</f>
        <v>Ccdc134</v>
      </c>
      <c r="D1032" s="10">
        <f t="shared" si="16"/>
        <v>3.5030653445913442</v>
      </c>
      <c r="F1032" s="8" t="str">
        <f>HYPERLINK("https://esbl.nhlbi.nih.gov/Databases/mpkFractions/proteomic_fractions_log_files/Yang_log_img/116268089.jpg","show blot")</f>
        <v>show blot</v>
      </c>
      <c r="H1032" s="8" t="str">
        <f>HYPERLINK("https://esbl.nhlbi.nih.gov/Databases/mpkFractions/proteomic_fractions_linear_files/Yang_linear_img/116268089.jpg","show blot")</f>
        <v>show blot</v>
      </c>
      <c r="J1032" s="5" t="s">
        <v>2055</v>
      </c>
      <c r="L1032" s="11">
        <v>3.5030653445913442</v>
      </c>
      <c r="N1032" s="12"/>
    </row>
    <row r="1033" spans="1:14" s="5" customFormat="1" ht="15" customHeight="1" x14ac:dyDescent="0.25">
      <c r="A1033" s="9" t="s">
        <v>2056</v>
      </c>
      <c r="C1033" s="9" t="str">
        <f>HYPERLINK("http://www.ncbi.nlm.nih.gov/protein/319655563","Ccdc136")</f>
        <v>Ccdc136</v>
      </c>
      <c r="D1033" s="10">
        <f t="shared" si="16"/>
        <v>1.4946533154872981</v>
      </c>
      <c r="F1033" s="8" t="str">
        <f>HYPERLINK("https://esbl.nhlbi.nih.gov/Databases/mpkFractions/proteomic_fractions_log_files/Yang_log_img/319655563.jpg","show blot")</f>
        <v>show blot</v>
      </c>
      <c r="H1033" s="8" t="str">
        <f>HYPERLINK("https://esbl.nhlbi.nih.gov/Databases/mpkFractions/proteomic_fractions_linear_files/Yang_linear_img/319655563.jpg","show blot")</f>
        <v>show blot</v>
      </c>
      <c r="J1033" s="5" t="s">
        <v>2057</v>
      </c>
      <c r="L1033" s="11">
        <v>1.4946533154872981</v>
      </c>
      <c r="N1033" s="12"/>
    </row>
    <row r="1034" spans="1:14" s="5" customFormat="1" ht="15" customHeight="1" x14ac:dyDescent="0.25">
      <c r="A1034" s="9" t="s">
        <v>2058</v>
      </c>
      <c r="C1034" s="9" t="str">
        <f>HYPERLINK("http://www.ncbi.nlm.nih.gov/protein/319655703","Ccdc136")</f>
        <v>Ccdc136</v>
      </c>
      <c r="D1034" s="10">
        <f t="shared" si="16"/>
        <v>1.4946533154872981</v>
      </c>
      <c r="F1034" s="8" t="str">
        <f>HYPERLINK("https://esbl.nhlbi.nih.gov/Databases/mpkFractions/proteomic_fractions_log_files/Yang_log_img/319655703.jpg","show blot")</f>
        <v>show blot</v>
      </c>
      <c r="H1034" s="8" t="str">
        <f>HYPERLINK("https://esbl.nhlbi.nih.gov/Databases/mpkFractions/proteomic_fractions_linear_files/Yang_linear_img/319655703.jpg","show blot")</f>
        <v>show blot</v>
      </c>
      <c r="J1034" s="5" t="s">
        <v>2059</v>
      </c>
      <c r="L1034" s="11">
        <v>1.4946533154872981</v>
      </c>
      <c r="N1034" s="12"/>
    </row>
    <row r="1035" spans="1:14" s="5" customFormat="1" ht="15" customHeight="1" x14ac:dyDescent="0.25">
      <c r="A1035" s="9" t="s">
        <v>2060</v>
      </c>
      <c r="C1035" s="9" t="str">
        <f>HYPERLINK("http://www.ncbi.nlm.nih.gov/protein/22779893","Ccdc137")</f>
        <v>Ccdc137</v>
      </c>
      <c r="D1035" s="10">
        <f t="shared" si="16"/>
        <v>2.61085178971791</v>
      </c>
      <c r="F1035" s="8" t="str">
        <f>HYPERLINK("https://esbl.nhlbi.nih.gov/Databases/mpkFractions/proteomic_fractions_log_files/Yang_log_img/22779893.jpg","show blot")</f>
        <v>show blot</v>
      </c>
      <c r="H1035" s="8" t="str">
        <f>HYPERLINK("https://esbl.nhlbi.nih.gov/Databases/mpkFractions/proteomic_fractions_linear_files/Yang_linear_img/22779893.jpg","show blot")</f>
        <v>show blot</v>
      </c>
      <c r="J1035" s="5" t="s">
        <v>2061</v>
      </c>
      <c r="L1035" s="11">
        <v>2.61085178971791</v>
      </c>
      <c r="N1035" s="12"/>
    </row>
    <row r="1036" spans="1:14" s="5" customFormat="1" ht="15" customHeight="1" x14ac:dyDescent="0.25">
      <c r="A1036" s="9" t="s">
        <v>2062</v>
      </c>
      <c r="C1036" s="9" t="str">
        <f>HYPERLINK("http://www.ncbi.nlm.nih.gov/protein/169646270","Ccdc14")</f>
        <v>Ccdc14</v>
      </c>
      <c r="D1036" s="10">
        <f t="shared" si="16"/>
        <v>1.0677892622166341</v>
      </c>
      <c r="F1036" s="8" t="str">
        <f>HYPERLINK("https://esbl.nhlbi.nih.gov/Databases/mpkFractions/proteomic_fractions_log_files/Yang_log_img/169646270.jpg","show blot")</f>
        <v>show blot</v>
      </c>
      <c r="H1036" s="8" t="str">
        <f>HYPERLINK("https://esbl.nhlbi.nih.gov/Databases/mpkFractions/proteomic_fractions_linear_files/Yang_linear_img/169646270.jpg","show blot")</f>
        <v>show blot</v>
      </c>
      <c r="J1036" s="5" t="s">
        <v>2063</v>
      </c>
      <c r="L1036" s="11">
        <v>1.0677892622166341</v>
      </c>
      <c r="N1036" s="12"/>
    </row>
    <row r="1037" spans="1:14" s="5" customFormat="1" ht="15" customHeight="1" x14ac:dyDescent="0.25">
      <c r="A1037" s="9" t="s">
        <v>2064</v>
      </c>
      <c r="C1037" s="9" t="str">
        <f>HYPERLINK("http://www.ncbi.nlm.nih.gov/protein/299829227","Ccdc141")</f>
        <v>Ccdc141</v>
      </c>
      <c r="D1037" s="10">
        <f t="shared" si="16"/>
        <v>0.23801724731124371</v>
      </c>
      <c r="F1037" s="8" t="str">
        <f>HYPERLINK("https://esbl.nhlbi.nih.gov/Databases/mpkFractions/proteomic_fractions_log_files/Yang_log_img/299829227.jpg","show blot")</f>
        <v>show blot</v>
      </c>
      <c r="H1037" s="8" t="str">
        <f>HYPERLINK("https://esbl.nhlbi.nih.gov/Databases/mpkFractions/proteomic_fractions_linear_files/Yang_linear_img/299829227.jpg","show blot")</f>
        <v>show blot</v>
      </c>
      <c r="J1037" s="5" t="s">
        <v>2065</v>
      </c>
      <c r="L1037" s="11">
        <v>0.23801724731124371</v>
      </c>
      <c r="N1037" s="12"/>
    </row>
    <row r="1038" spans="1:14" s="5" customFormat="1" ht="15" customHeight="1" x14ac:dyDescent="0.25">
      <c r="A1038" s="9" t="s">
        <v>2066</v>
      </c>
      <c r="C1038" s="9" t="str">
        <f>HYPERLINK("http://www.ncbi.nlm.nih.gov/protein/254939555","Ccdc167")</f>
        <v>Ccdc167</v>
      </c>
      <c r="D1038" s="10">
        <f t="shared" si="16"/>
        <v>4.2940766509065202</v>
      </c>
      <c r="F1038" s="8" t="str">
        <f>HYPERLINK("https://esbl.nhlbi.nih.gov/Databases/mpkFractions/proteomic_fractions_log_files/Yang_log_img/254939555.jpg","show blot")</f>
        <v>show blot</v>
      </c>
      <c r="H1038" s="8" t="str">
        <f>HYPERLINK("https://esbl.nhlbi.nih.gov/Databases/mpkFractions/proteomic_fractions_linear_files/Yang_linear_img/254939555.jpg","show blot")</f>
        <v>show blot</v>
      </c>
      <c r="J1038" s="5" t="s">
        <v>2067</v>
      </c>
      <c r="L1038" s="11">
        <v>4.2940766509065202</v>
      </c>
      <c r="N1038" s="12"/>
    </row>
    <row r="1039" spans="1:14" s="5" customFormat="1" ht="15" customHeight="1" x14ac:dyDescent="0.25">
      <c r="A1039" s="9" t="s">
        <v>2068</v>
      </c>
      <c r="C1039" s="9" t="str">
        <f>HYPERLINK("http://www.ncbi.nlm.nih.gov/protein/254939557","Ccdc167")</f>
        <v>Ccdc167</v>
      </c>
      <c r="D1039" s="10">
        <f t="shared" si="16"/>
        <v>4.2940766509065202</v>
      </c>
      <c r="F1039" s="8" t="str">
        <f>HYPERLINK("https://esbl.nhlbi.nih.gov/Databases/mpkFractions/proteomic_fractions_log_files/Yang_log_img/254939557.jpg","show blot")</f>
        <v>show blot</v>
      </c>
      <c r="H1039" s="8" t="str">
        <f>HYPERLINK("https://esbl.nhlbi.nih.gov/Databases/mpkFractions/proteomic_fractions_linear_files/Yang_linear_img/254939557.jpg","show blot")</f>
        <v>show blot</v>
      </c>
      <c r="J1039" s="5" t="s">
        <v>2069</v>
      </c>
      <c r="L1039" s="11">
        <v>4.2940766509065202</v>
      </c>
      <c r="N1039" s="12"/>
    </row>
    <row r="1040" spans="1:14" s="5" customFormat="1" ht="15" customHeight="1" x14ac:dyDescent="0.25">
      <c r="A1040" s="9" t="s">
        <v>2070</v>
      </c>
      <c r="C1040" s="9" t="str">
        <f>HYPERLINK("http://www.ncbi.nlm.nih.gov/protein/133922578","Ccdc22")</f>
        <v>Ccdc22</v>
      </c>
      <c r="D1040" s="10">
        <f t="shared" si="16"/>
        <v>4.942561538085835</v>
      </c>
      <c r="F1040" s="8" t="str">
        <f>HYPERLINK("https://esbl.nhlbi.nih.gov/Databases/mpkFractions/proteomic_fractions_log_files/Yang_log_img/133922578.jpg","show blot")</f>
        <v>show blot</v>
      </c>
      <c r="H1040" s="8" t="str">
        <f>HYPERLINK("https://esbl.nhlbi.nih.gov/Databases/mpkFractions/proteomic_fractions_linear_files/Yang_linear_img/133922578.jpg","show blot")</f>
        <v>show blot</v>
      </c>
      <c r="J1040" s="5" t="s">
        <v>2071</v>
      </c>
      <c r="L1040" s="11">
        <v>4.942561538085835</v>
      </c>
      <c r="N1040" s="12"/>
    </row>
    <row r="1041" spans="1:14" s="5" customFormat="1" ht="15" customHeight="1" x14ac:dyDescent="0.25">
      <c r="A1041" s="9" t="s">
        <v>2072</v>
      </c>
      <c r="C1041" s="9" t="str">
        <f>HYPERLINK("http://www.ncbi.nlm.nih.gov/protein/22164768","Ccdc25")</f>
        <v>Ccdc25</v>
      </c>
      <c r="D1041" s="10">
        <f t="shared" si="16"/>
        <v>5.0489028776646467</v>
      </c>
      <c r="F1041" s="8" t="str">
        <f>HYPERLINK("https://esbl.nhlbi.nih.gov/Databases/mpkFractions/proteomic_fractions_log_files/Yang_log_img/22164768.jpg","show blot")</f>
        <v>show blot</v>
      </c>
      <c r="H1041" s="8" t="str">
        <f>HYPERLINK("https://esbl.nhlbi.nih.gov/Databases/mpkFractions/proteomic_fractions_linear_files/Yang_linear_img/22164768.jpg","show blot")</f>
        <v>show blot</v>
      </c>
      <c r="J1041" s="5" t="s">
        <v>2073</v>
      </c>
      <c r="L1041" s="11">
        <v>5.0489028776646467</v>
      </c>
      <c r="N1041" s="12"/>
    </row>
    <row r="1042" spans="1:14" s="5" customFormat="1" ht="15" customHeight="1" x14ac:dyDescent="0.25">
      <c r="A1042" s="9" t="s">
        <v>2074</v>
      </c>
      <c r="C1042" s="9" t="str">
        <f>HYPERLINK("http://www.ncbi.nlm.nih.gov/protein/13385406","Ccdc43")</f>
        <v>Ccdc43</v>
      </c>
      <c r="D1042" s="10">
        <f t="shared" si="16"/>
        <v>4.5727278360498982</v>
      </c>
      <c r="F1042" s="8" t="str">
        <f>HYPERLINK("https://esbl.nhlbi.nih.gov/Databases/mpkFractions/proteomic_fractions_log_files/Yang_log_img/13385406.jpg","show blot")</f>
        <v>show blot</v>
      </c>
      <c r="H1042" s="8" t="str">
        <f>HYPERLINK("https://esbl.nhlbi.nih.gov/Databases/mpkFractions/proteomic_fractions_linear_files/Yang_linear_img/13385406.jpg","show blot")</f>
        <v>show blot</v>
      </c>
      <c r="J1042" s="5" t="s">
        <v>2075</v>
      </c>
      <c r="L1042" s="11">
        <v>4.5727278360498982</v>
      </c>
      <c r="N1042" s="12"/>
    </row>
    <row r="1043" spans="1:14" s="5" customFormat="1" ht="15" customHeight="1" x14ac:dyDescent="0.25">
      <c r="A1043" s="9" t="s">
        <v>2076</v>
      </c>
      <c r="C1043" s="9" t="str">
        <f>HYPERLINK("http://www.ncbi.nlm.nih.gov/protein/125628650","Ccdc47")</f>
        <v>Ccdc47</v>
      </c>
      <c r="D1043" s="10">
        <f t="shared" si="16"/>
        <v>4.9732239663191971</v>
      </c>
      <c r="F1043" s="8" t="str">
        <f>HYPERLINK("https://esbl.nhlbi.nih.gov/Databases/mpkFractions/proteomic_fractions_log_files/Yang_log_img/125628650.jpg","show blot")</f>
        <v>show blot</v>
      </c>
      <c r="H1043" s="8" t="str">
        <f>HYPERLINK("https://esbl.nhlbi.nih.gov/Databases/mpkFractions/proteomic_fractions_linear_files/Yang_linear_img/125628650.jpg","show blot")</f>
        <v>show blot</v>
      </c>
      <c r="J1043" s="5" t="s">
        <v>2077</v>
      </c>
      <c r="L1043" s="11">
        <v>4.9732239663191971</v>
      </c>
      <c r="N1043" s="12"/>
    </row>
    <row r="1044" spans="1:14" s="5" customFormat="1" ht="15" customHeight="1" x14ac:dyDescent="0.25">
      <c r="A1044" s="9" t="s">
        <v>2078</v>
      </c>
      <c r="C1044" s="9" t="str">
        <f>HYPERLINK("http://www.ncbi.nlm.nih.gov/protein/258679490","Ccdc51")</f>
        <v>Ccdc51</v>
      </c>
      <c r="D1044" s="10">
        <f t="shared" si="16"/>
        <v>1.5817040615466751</v>
      </c>
      <c r="F1044" s="8" t="str">
        <f>HYPERLINK("https://esbl.nhlbi.nih.gov/Databases/mpkFractions/proteomic_fractions_log_files/Yang_log_img/258679490.jpg","show blot")</f>
        <v>show blot</v>
      </c>
      <c r="H1044" s="8" t="str">
        <f>HYPERLINK("https://esbl.nhlbi.nih.gov/Databases/mpkFractions/proteomic_fractions_linear_files/Yang_linear_img/258679490.jpg","show blot")</f>
        <v>show blot</v>
      </c>
      <c r="J1044" s="5" t="s">
        <v>2079</v>
      </c>
      <c r="L1044" s="11">
        <v>1.5817040615466751</v>
      </c>
      <c r="N1044" s="12"/>
    </row>
    <row r="1045" spans="1:14" s="5" customFormat="1" ht="15" customHeight="1" x14ac:dyDescent="0.25">
      <c r="A1045" s="9" t="s">
        <v>2080</v>
      </c>
      <c r="C1045" s="9" t="str">
        <f>HYPERLINK("http://www.ncbi.nlm.nih.gov/protein/171906601","Ccdc53")</f>
        <v>Ccdc53</v>
      </c>
      <c r="D1045" s="10">
        <f t="shared" si="16"/>
        <v>4.1354181586616789</v>
      </c>
      <c r="F1045" s="8" t="str">
        <f>HYPERLINK("https://esbl.nhlbi.nih.gov/Databases/mpkFractions/proteomic_fractions_log_files/Yang_log_img/171906601.jpg","show blot")</f>
        <v>show blot</v>
      </c>
      <c r="H1045" s="8" t="str">
        <f>HYPERLINK("https://esbl.nhlbi.nih.gov/Databases/mpkFractions/proteomic_fractions_linear_files/Yang_linear_img/171906601.jpg","show blot")</f>
        <v>show blot</v>
      </c>
      <c r="J1045" s="5" t="s">
        <v>2081</v>
      </c>
      <c r="L1045" s="11">
        <v>4.1354181586616789</v>
      </c>
      <c r="N1045" s="12"/>
    </row>
    <row r="1046" spans="1:14" s="5" customFormat="1" ht="15" customHeight="1" x14ac:dyDescent="0.25">
      <c r="A1046" s="9" t="s">
        <v>2082</v>
      </c>
      <c r="C1046" s="9" t="str">
        <f>HYPERLINK("http://www.ncbi.nlm.nih.gov/protein/171906604","Ccdc53")</f>
        <v>Ccdc53</v>
      </c>
      <c r="D1046" s="10">
        <f t="shared" si="16"/>
        <v>4.1354181586616789</v>
      </c>
      <c r="F1046" s="8" t="str">
        <f>HYPERLINK("https://esbl.nhlbi.nih.gov/Databases/mpkFractions/proteomic_fractions_log_files/Yang_log_img/171906604.jpg","show blot")</f>
        <v>show blot</v>
      </c>
      <c r="H1046" s="8" t="str">
        <f>HYPERLINK("https://esbl.nhlbi.nih.gov/Databases/mpkFractions/proteomic_fractions_linear_files/Yang_linear_img/171906604.jpg","show blot")</f>
        <v>show blot</v>
      </c>
      <c r="J1046" s="5" t="s">
        <v>2083</v>
      </c>
      <c r="L1046" s="11">
        <v>4.1354181586616789</v>
      </c>
      <c r="N1046" s="12"/>
    </row>
    <row r="1047" spans="1:14" s="5" customFormat="1" ht="15" customHeight="1" x14ac:dyDescent="0.25">
      <c r="A1047" s="9" t="s">
        <v>2084</v>
      </c>
      <c r="C1047" s="9" t="str">
        <f>HYPERLINK("http://www.ncbi.nlm.nih.gov/protein/21313034","Ccdc53")</f>
        <v>Ccdc53</v>
      </c>
      <c r="D1047" s="10">
        <f t="shared" si="16"/>
        <v>4.1354181586616789</v>
      </c>
      <c r="F1047" s="8" t="str">
        <f>HYPERLINK("https://esbl.nhlbi.nih.gov/Databases/mpkFractions/proteomic_fractions_log_files/Yang_log_img/21313034.jpg","show blot")</f>
        <v>show blot</v>
      </c>
      <c r="H1047" s="8" t="str">
        <f>HYPERLINK("https://esbl.nhlbi.nih.gov/Databases/mpkFractions/proteomic_fractions_linear_files/Yang_linear_img/21313034.jpg","show blot")</f>
        <v>show blot</v>
      </c>
      <c r="J1047" s="5" t="s">
        <v>2085</v>
      </c>
      <c r="L1047" s="11">
        <v>4.1354181586616789</v>
      </c>
      <c r="N1047" s="12"/>
    </row>
    <row r="1048" spans="1:14" s="5" customFormat="1" ht="15" customHeight="1" x14ac:dyDescent="0.25">
      <c r="A1048" s="9" t="s">
        <v>2086</v>
      </c>
      <c r="C1048" s="9" t="str">
        <f>HYPERLINK("http://www.ncbi.nlm.nih.gov/protein/21312272","Ccdc54")</f>
        <v>Ccdc54</v>
      </c>
      <c r="D1048" s="10">
        <f t="shared" si="16"/>
        <v>2.6096792683638119</v>
      </c>
      <c r="F1048" s="8" t="str">
        <f>HYPERLINK("https://esbl.nhlbi.nih.gov/Databases/mpkFractions/proteomic_fractions_log_files/Yang_log_img/21312272.jpg","show blot")</f>
        <v>show blot</v>
      </c>
      <c r="H1048" s="8" t="str">
        <f>HYPERLINK("https://esbl.nhlbi.nih.gov/Databases/mpkFractions/proteomic_fractions_linear_files/Yang_linear_img/21312272.jpg","show blot")</f>
        <v>show blot</v>
      </c>
      <c r="J1048" s="5" t="s">
        <v>2087</v>
      </c>
      <c r="L1048" s="11">
        <v>2.6096792683638119</v>
      </c>
      <c r="N1048" s="12"/>
    </row>
    <row r="1049" spans="1:14" s="5" customFormat="1" ht="15" customHeight="1" x14ac:dyDescent="0.25">
      <c r="A1049" s="9" t="s">
        <v>2088</v>
      </c>
      <c r="C1049" s="9" t="str">
        <f>HYPERLINK("http://www.ncbi.nlm.nih.gov/protein/59858549","Ccdc55")</f>
        <v>Ccdc55</v>
      </c>
      <c r="D1049" s="10">
        <f t="shared" si="16"/>
        <v>2.4499259004080689</v>
      </c>
      <c r="F1049" s="8" t="str">
        <f>HYPERLINK("https://esbl.nhlbi.nih.gov/Databases/mpkFractions/proteomic_fractions_log_files/Yang_log_img/59858549.jpg","show blot")</f>
        <v>show blot</v>
      </c>
      <c r="H1049" s="8" t="str">
        <f>HYPERLINK("https://esbl.nhlbi.nih.gov/Databases/mpkFractions/proteomic_fractions_linear_files/Yang_linear_img/59858549.jpg","show blot")</f>
        <v>show blot</v>
      </c>
      <c r="J1049" s="5" t="s">
        <v>2089</v>
      </c>
      <c r="L1049" s="11">
        <v>2.4499259004080689</v>
      </c>
      <c r="N1049" s="12"/>
    </row>
    <row r="1050" spans="1:14" s="5" customFormat="1" ht="15" customHeight="1" x14ac:dyDescent="0.25">
      <c r="A1050" s="9" t="s">
        <v>2090</v>
      </c>
      <c r="C1050" s="9" t="str">
        <f>HYPERLINK("http://www.ncbi.nlm.nih.gov/protein/226874938","Ccdc58")</f>
        <v>Ccdc58</v>
      </c>
      <c r="D1050" s="10">
        <f t="shared" si="16"/>
        <v>5.4139625103139339</v>
      </c>
      <c r="F1050" s="8" t="str">
        <f>HYPERLINK("https://esbl.nhlbi.nih.gov/Databases/mpkFractions/proteomic_fractions_log_files/Yang_log_img/226874938.jpg","show blot")</f>
        <v>show blot</v>
      </c>
      <c r="H1050" s="8" t="str">
        <f>HYPERLINK("https://esbl.nhlbi.nih.gov/Databases/mpkFractions/proteomic_fractions_linear_files/Yang_linear_img/226874938.jpg","show blot")</f>
        <v>show blot</v>
      </c>
      <c r="J1050" s="5" t="s">
        <v>2091</v>
      </c>
      <c r="L1050" s="11">
        <v>5.4139625103139339</v>
      </c>
      <c r="N1050" s="12"/>
    </row>
    <row r="1051" spans="1:14" s="5" customFormat="1" ht="15" customHeight="1" x14ac:dyDescent="0.25">
      <c r="A1051" s="9" t="s">
        <v>2092</v>
      </c>
      <c r="C1051" s="9" t="str">
        <f>HYPERLINK("http://www.ncbi.nlm.nih.gov/protein/226874940","Ccdc58")</f>
        <v>Ccdc58</v>
      </c>
      <c r="D1051" s="10">
        <f t="shared" si="16"/>
        <v>5.4139625103139339</v>
      </c>
      <c r="F1051" s="8" t="str">
        <f>HYPERLINK("https://esbl.nhlbi.nih.gov/Databases/mpkFractions/proteomic_fractions_log_files/Yang_log_img/226874940.jpg","show blot")</f>
        <v>show blot</v>
      </c>
      <c r="H1051" s="8" t="str">
        <f>HYPERLINK("https://esbl.nhlbi.nih.gov/Databases/mpkFractions/proteomic_fractions_linear_files/Yang_linear_img/226874940.jpg","show blot")</f>
        <v>show blot</v>
      </c>
      <c r="J1051" s="5" t="s">
        <v>2093</v>
      </c>
      <c r="L1051" s="11">
        <v>5.4139625103139339</v>
      </c>
      <c r="N1051" s="12"/>
    </row>
    <row r="1052" spans="1:14" s="5" customFormat="1" ht="15" customHeight="1" x14ac:dyDescent="0.25">
      <c r="A1052" s="9" t="s">
        <v>2094</v>
      </c>
      <c r="C1052" s="9" t="str">
        <f>HYPERLINK("http://www.ncbi.nlm.nih.gov/protein/38348528","Ccdc58")</f>
        <v>Ccdc58</v>
      </c>
      <c r="D1052" s="10">
        <f t="shared" si="16"/>
        <v>5.4139625103139339</v>
      </c>
      <c r="F1052" s="8" t="str">
        <f>HYPERLINK("https://esbl.nhlbi.nih.gov/Databases/mpkFractions/proteomic_fractions_log_files/Yang_log_img/38348528.jpg","show blot")</f>
        <v>show blot</v>
      </c>
      <c r="H1052" s="8" t="str">
        <f>HYPERLINK("https://esbl.nhlbi.nih.gov/Databases/mpkFractions/proteomic_fractions_linear_files/Yang_linear_img/38348528.jpg","show blot")</f>
        <v>show blot</v>
      </c>
      <c r="J1052" s="5" t="s">
        <v>2095</v>
      </c>
      <c r="L1052" s="11">
        <v>5.4139625103139339</v>
      </c>
      <c r="N1052" s="12"/>
    </row>
    <row r="1053" spans="1:14" s="5" customFormat="1" ht="15" customHeight="1" x14ac:dyDescent="0.25">
      <c r="A1053" s="9" t="s">
        <v>2096</v>
      </c>
      <c r="C1053" s="9" t="str">
        <f>HYPERLINK("http://www.ncbi.nlm.nih.gov/protein/13385058","Ccdc59")</f>
        <v>Ccdc59</v>
      </c>
      <c r="D1053" s="10">
        <f t="shared" si="16"/>
        <v>3.836022562598107</v>
      </c>
      <c r="F1053" s="8" t="str">
        <f>HYPERLINK("https://esbl.nhlbi.nih.gov/Databases/mpkFractions/proteomic_fractions_log_files/Yang_log_img/13385058.jpg","show blot")</f>
        <v>show blot</v>
      </c>
      <c r="H1053" s="8" t="str">
        <f>HYPERLINK("https://esbl.nhlbi.nih.gov/Databases/mpkFractions/proteomic_fractions_linear_files/Yang_linear_img/13385058.jpg","show blot")</f>
        <v>show blot</v>
      </c>
      <c r="J1053" s="5" t="s">
        <v>2097</v>
      </c>
      <c r="L1053" s="11">
        <v>3.836022562598107</v>
      </c>
      <c r="N1053" s="12"/>
    </row>
    <row r="1054" spans="1:14" s="5" customFormat="1" ht="15" customHeight="1" x14ac:dyDescent="0.25">
      <c r="A1054" s="9" t="s">
        <v>2098</v>
      </c>
      <c r="C1054" s="9" t="str">
        <f>HYPERLINK("http://www.ncbi.nlm.nih.gov/protein/162135971","Ccdc6")</f>
        <v>Ccdc6</v>
      </c>
      <c r="D1054" s="10">
        <f t="shared" si="16"/>
        <v>4.5712405204824176</v>
      </c>
      <c r="F1054" s="8" t="str">
        <f>HYPERLINK("https://esbl.nhlbi.nih.gov/Databases/mpkFractions/proteomic_fractions_log_files/Yang_log_img/162135971.jpg","show blot")</f>
        <v>show blot</v>
      </c>
      <c r="H1054" s="8" t="str">
        <f>HYPERLINK("https://esbl.nhlbi.nih.gov/Databases/mpkFractions/proteomic_fractions_linear_files/Yang_linear_img/162135971.jpg","show blot")</f>
        <v>show blot</v>
      </c>
      <c r="J1054" s="5" t="s">
        <v>2099</v>
      </c>
      <c r="L1054" s="11">
        <v>4.5712405204824176</v>
      </c>
      <c r="N1054" s="12"/>
    </row>
    <row r="1055" spans="1:14" s="5" customFormat="1" ht="15" customHeight="1" x14ac:dyDescent="0.25">
      <c r="A1055" s="9" t="s">
        <v>2100</v>
      </c>
      <c r="C1055" s="9" t="str">
        <f>HYPERLINK("http://www.ncbi.nlm.nih.gov/protein/115270981","Ccdc69")</f>
        <v>Ccdc69</v>
      </c>
      <c r="D1055" s="10">
        <f t="shared" si="16"/>
        <v>2.5639966909184699</v>
      </c>
      <c r="F1055" s="8" t="str">
        <f>HYPERLINK("https://esbl.nhlbi.nih.gov/Databases/mpkFractions/proteomic_fractions_log_files/Yang_log_img/115270981.jpg","show blot")</f>
        <v>show blot</v>
      </c>
      <c r="H1055" s="8" t="str">
        <f>HYPERLINK("https://esbl.nhlbi.nih.gov/Databases/mpkFractions/proteomic_fractions_linear_files/Yang_linear_img/115270981.jpg","show blot")</f>
        <v>show blot</v>
      </c>
      <c r="J1055" s="5" t="s">
        <v>2101</v>
      </c>
      <c r="L1055" s="11">
        <v>2.5639966909184699</v>
      </c>
      <c r="N1055" s="12"/>
    </row>
    <row r="1056" spans="1:14" s="5" customFormat="1" ht="15" customHeight="1" x14ac:dyDescent="0.25">
      <c r="A1056" s="9" t="s">
        <v>2102</v>
      </c>
      <c r="C1056" s="9" t="str">
        <f>HYPERLINK("http://www.ncbi.nlm.nih.gov/protein/47059089","Ccdc88c")</f>
        <v>Ccdc88c</v>
      </c>
      <c r="D1056" s="10">
        <f t="shared" si="16"/>
        <v>3.2501868187288889</v>
      </c>
      <c r="F1056" s="8" t="str">
        <f>HYPERLINK("https://esbl.nhlbi.nih.gov/Databases/mpkFractions/proteomic_fractions_log_files/Yang_log_img/47059089.jpg","show blot")</f>
        <v>show blot</v>
      </c>
      <c r="H1056" s="8" t="str">
        <f>HYPERLINK("https://esbl.nhlbi.nih.gov/Databases/mpkFractions/proteomic_fractions_linear_files/Yang_linear_img/47059089.jpg","show blot")</f>
        <v>show blot</v>
      </c>
      <c r="J1056" s="5" t="s">
        <v>2103</v>
      </c>
      <c r="L1056" s="11">
        <v>3.2501868187288889</v>
      </c>
      <c r="N1056" s="12"/>
    </row>
    <row r="1057" spans="1:14" s="5" customFormat="1" ht="15" customHeight="1" x14ac:dyDescent="0.25">
      <c r="A1057" s="9" t="s">
        <v>2104</v>
      </c>
      <c r="C1057" s="9" t="str">
        <f>HYPERLINK("http://www.ncbi.nlm.nih.gov/protein/160333440","Ccdc93")</f>
        <v>Ccdc93</v>
      </c>
      <c r="D1057" s="10">
        <f t="shared" si="16"/>
        <v>5.049119191310905</v>
      </c>
      <c r="F1057" s="8" t="str">
        <f>HYPERLINK("https://esbl.nhlbi.nih.gov/Databases/mpkFractions/proteomic_fractions_log_files/Yang_log_img/160333440.jpg","show blot")</f>
        <v>show blot</v>
      </c>
      <c r="H1057" s="8" t="str">
        <f>HYPERLINK("https://esbl.nhlbi.nih.gov/Databases/mpkFractions/proteomic_fractions_linear_files/Yang_linear_img/160333440.jpg","show blot")</f>
        <v>show blot</v>
      </c>
      <c r="J1057" s="5" t="s">
        <v>2105</v>
      </c>
      <c r="L1057" s="11">
        <v>5.049119191310905</v>
      </c>
      <c r="N1057" s="12"/>
    </row>
    <row r="1058" spans="1:14" s="5" customFormat="1" ht="15" customHeight="1" x14ac:dyDescent="0.25">
      <c r="A1058" s="9" t="s">
        <v>2106</v>
      </c>
      <c r="C1058" s="9" t="str">
        <f>HYPERLINK("http://www.ncbi.nlm.nih.gov/protein/68448542","Ccdc93")</f>
        <v>Ccdc93</v>
      </c>
      <c r="D1058" s="10">
        <f t="shared" si="16"/>
        <v>5.049119191310905</v>
      </c>
      <c r="F1058" s="8" t="str">
        <f>HYPERLINK("https://esbl.nhlbi.nih.gov/Databases/mpkFractions/proteomic_fractions_log_files/Yang_log_img/68448542.jpg","show blot")</f>
        <v>show blot</v>
      </c>
      <c r="H1058" s="8" t="str">
        <f>HYPERLINK("https://esbl.nhlbi.nih.gov/Databases/mpkFractions/proteomic_fractions_linear_files/Yang_linear_img/68448542.jpg","show blot")</f>
        <v>show blot</v>
      </c>
      <c r="J1058" s="5" t="s">
        <v>2107</v>
      </c>
      <c r="L1058" s="11">
        <v>5.049119191310905</v>
      </c>
      <c r="N1058" s="12"/>
    </row>
    <row r="1059" spans="1:14" s="5" customFormat="1" ht="15" customHeight="1" x14ac:dyDescent="0.25">
      <c r="A1059" s="9" t="s">
        <v>2108</v>
      </c>
      <c r="C1059" s="9" t="str">
        <f>HYPERLINK("http://www.ncbi.nlm.nih.gov/protein/157738617","Cchcr1")</f>
        <v>Cchcr1</v>
      </c>
      <c r="D1059" s="10">
        <f t="shared" si="16"/>
        <v>3.4735456942187928</v>
      </c>
      <c r="F1059" s="8" t="str">
        <f>HYPERLINK("https://esbl.nhlbi.nih.gov/Databases/mpkFractions/proteomic_fractions_log_files/Yang_log_img/157738617.jpg","show blot")</f>
        <v>show blot</v>
      </c>
      <c r="H1059" s="8" t="str">
        <f>HYPERLINK("https://esbl.nhlbi.nih.gov/Databases/mpkFractions/proteomic_fractions_linear_files/Yang_linear_img/157738617.jpg","show blot")</f>
        <v>show blot</v>
      </c>
      <c r="J1059" s="5" t="s">
        <v>2109</v>
      </c>
      <c r="L1059" s="11">
        <v>3.4735456942187928</v>
      </c>
      <c r="N1059" s="12"/>
    </row>
    <row r="1060" spans="1:14" s="5" customFormat="1" ht="15" customHeight="1" x14ac:dyDescent="0.25">
      <c r="A1060" s="9" t="s">
        <v>2110</v>
      </c>
      <c r="C1060" s="9" t="str">
        <f>HYPERLINK("http://www.ncbi.nlm.nih.gov/protein/12963599","Ccnh")</f>
        <v>Ccnh</v>
      </c>
      <c r="D1060" s="10">
        <f t="shared" si="16"/>
        <v>2.820529715599553</v>
      </c>
      <c r="F1060" s="8" t="str">
        <f>HYPERLINK("https://esbl.nhlbi.nih.gov/Databases/mpkFractions/proteomic_fractions_log_files/Yang_log_img/12963599.jpg","show blot")</f>
        <v>show blot</v>
      </c>
      <c r="H1060" s="8" t="str">
        <f>HYPERLINK("https://esbl.nhlbi.nih.gov/Databases/mpkFractions/proteomic_fractions_linear_files/Yang_linear_img/12963599.jpg","show blot")</f>
        <v>show blot</v>
      </c>
      <c r="J1060" s="5" t="s">
        <v>2111</v>
      </c>
      <c r="L1060" s="11">
        <v>2.820529715599553</v>
      </c>
      <c r="N1060" s="12"/>
    </row>
    <row r="1061" spans="1:14" s="5" customFormat="1" ht="15" customHeight="1" x14ac:dyDescent="0.25">
      <c r="A1061" s="9" t="s">
        <v>2112</v>
      </c>
      <c r="C1061" s="9" t="str">
        <f>HYPERLINK("http://www.ncbi.nlm.nih.gov/protein/157841168","Ccnk")</f>
        <v>Ccnk</v>
      </c>
      <c r="D1061" s="10">
        <f t="shared" si="16"/>
        <v>3.3642517337804319</v>
      </c>
      <c r="F1061" s="8" t="str">
        <f>HYPERLINK("https://esbl.nhlbi.nih.gov/Databases/mpkFractions/proteomic_fractions_log_files/Yang_log_img/157841168.jpg","show blot")</f>
        <v>show blot</v>
      </c>
      <c r="H1061" s="8" t="str">
        <f>HYPERLINK("https://esbl.nhlbi.nih.gov/Databases/mpkFractions/proteomic_fractions_linear_files/Yang_linear_img/157841168.jpg","show blot")</f>
        <v>show blot</v>
      </c>
      <c r="J1061" s="5" t="s">
        <v>2113</v>
      </c>
      <c r="L1061" s="11">
        <v>3.3642517337804319</v>
      </c>
      <c r="N1061" s="12"/>
    </row>
    <row r="1062" spans="1:14" s="5" customFormat="1" ht="15" customHeight="1" x14ac:dyDescent="0.25">
      <c r="A1062" s="9" t="s">
        <v>2114</v>
      </c>
      <c r="C1062" s="9" t="str">
        <f>HYPERLINK("http://www.ncbi.nlm.nih.gov/protein/70906460","Ccnl1")</f>
        <v>Ccnl1</v>
      </c>
      <c r="D1062" s="10">
        <f t="shared" si="16"/>
        <v>2.8490268288315068</v>
      </c>
      <c r="F1062" s="8" t="str">
        <f>HYPERLINK("https://esbl.nhlbi.nih.gov/Databases/mpkFractions/proteomic_fractions_log_files/Yang_log_img/70906460.jpg","show blot")</f>
        <v>show blot</v>
      </c>
      <c r="H1062" s="8" t="str">
        <f>HYPERLINK("https://esbl.nhlbi.nih.gov/Databases/mpkFractions/proteomic_fractions_linear_files/Yang_linear_img/70906460.jpg","show blot")</f>
        <v>show blot</v>
      </c>
      <c r="J1062" s="5" t="s">
        <v>2115</v>
      </c>
      <c r="L1062" s="11">
        <v>2.8490268288315068</v>
      </c>
      <c r="N1062" s="12"/>
    </row>
    <row r="1063" spans="1:14" s="5" customFormat="1" ht="15" customHeight="1" x14ac:dyDescent="0.25">
      <c r="A1063" s="9" t="s">
        <v>2116</v>
      </c>
      <c r="C1063" s="9" t="str">
        <f>HYPERLINK("http://www.ncbi.nlm.nih.gov/protein/6753316","Ccnt1")</f>
        <v>Ccnt1</v>
      </c>
      <c r="D1063" s="10">
        <f t="shared" si="16"/>
        <v>2.8893437289710531</v>
      </c>
      <c r="F1063" s="8" t="str">
        <f>HYPERLINK("https://esbl.nhlbi.nih.gov/Databases/mpkFractions/proteomic_fractions_log_files/Yang_log_img/6753316.jpg","show blot")</f>
        <v>show blot</v>
      </c>
      <c r="H1063" s="8" t="str">
        <f>HYPERLINK("https://esbl.nhlbi.nih.gov/Databases/mpkFractions/proteomic_fractions_linear_files/Yang_linear_img/6753316.jpg","show blot")</f>
        <v>show blot</v>
      </c>
      <c r="J1063" s="5" t="s">
        <v>2117</v>
      </c>
      <c r="L1063" s="11">
        <v>2.8893437289710531</v>
      </c>
      <c r="N1063" s="12"/>
    </row>
    <row r="1064" spans="1:14" s="5" customFormat="1" ht="15" customHeight="1" x14ac:dyDescent="0.25">
      <c r="A1064" s="9" t="s">
        <v>2118</v>
      </c>
      <c r="C1064" s="9" t="str">
        <f>HYPERLINK("http://www.ncbi.nlm.nih.gov/protein/31542003","Ccny")</f>
        <v>Ccny</v>
      </c>
      <c r="D1064" s="10">
        <f t="shared" si="16"/>
        <v>2.9086911876372818</v>
      </c>
      <c r="F1064" s="8" t="str">
        <f>HYPERLINK("https://esbl.nhlbi.nih.gov/Databases/mpkFractions/proteomic_fractions_log_files/Yang_log_img/31542003.jpg","show blot")</f>
        <v>show blot</v>
      </c>
      <c r="H1064" s="8" t="str">
        <f>HYPERLINK("https://esbl.nhlbi.nih.gov/Databases/mpkFractions/proteomic_fractions_linear_files/Yang_linear_img/31542003.jpg","show blot")</f>
        <v>show blot</v>
      </c>
      <c r="J1064" s="5" t="s">
        <v>2119</v>
      </c>
      <c r="L1064" s="11">
        <v>2.9086911876372818</v>
      </c>
      <c r="N1064" s="12"/>
    </row>
    <row r="1065" spans="1:14" s="5" customFormat="1" ht="15" customHeight="1" x14ac:dyDescent="0.25">
      <c r="A1065" s="9" t="s">
        <v>2120</v>
      </c>
      <c r="C1065" s="9" t="str">
        <f>HYPERLINK("http://www.ncbi.nlm.nih.gov/protein/148237243","Ccnyl1")</f>
        <v>Ccnyl1</v>
      </c>
      <c r="D1065" s="10">
        <f t="shared" si="16"/>
        <v>2.2258411795044171</v>
      </c>
      <c r="F1065" s="8" t="str">
        <f>HYPERLINK("https://esbl.nhlbi.nih.gov/Databases/mpkFractions/proteomic_fractions_log_files/Yang_log_img/148237243.jpg","show blot")</f>
        <v>show blot</v>
      </c>
      <c r="H1065" s="8" t="str">
        <f>HYPERLINK("https://esbl.nhlbi.nih.gov/Databases/mpkFractions/proteomic_fractions_linear_files/Yang_linear_img/148237243.jpg","show blot")</f>
        <v>show blot</v>
      </c>
      <c r="J1065" s="5" t="s">
        <v>2121</v>
      </c>
      <c r="L1065" s="11">
        <v>2.2258411795044171</v>
      </c>
      <c r="N1065" s="12"/>
    </row>
    <row r="1066" spans="1:14" s="5" customFormat="1" ht="15" customHeight="1" x14ac:dyDescent="0.25">
      <c r="A1066" s="9" t="s">
        <v>2122</v>
      </c>
      <c r="C1066" s="9" t="str">
        <f>HYPERLINK("http://www.ncbi.nlm.nih.gov/protein/8393066","Ccs")</f>
        <v>Ccs</v>
      </c>
      <c r="D1066" s="10">
        <f t="shared" si="16"/>
        <v>5.2749916307694349</v>
      </c>
      <c r="F1066" s="8" t="str">
        <f>HYPERLINK("https://esbl.nhlbi.nih.gov/Databases/mpkFractions/proteomic_fractions_log_files/Yang_log_img/8393066.jpg","show blot")</f>
        <v>show blot</v>
      </c>
      <c r="H1066" s="8" t="str">
        <f>HYPERLINK("https://esbl.nhlbi.nih.gov/Databases/mpkFractions/proteomic_fractions_linear_files/Yang_linear_img/8393066.jpg","show blot")</f>
        <v>show blot</v>
      </c>
      <c r="J1066" s="5" t="s">
        <v>2123</v>
      </c>
      <c r="L1066" s="11">
        <v>5.2749916307694349</v>
      </c>
      <c r="N1066" s="12"/>
    </row>
    <row r="1067" spans="1:14" s="5" customFormat="1" ht="15" customHeight="1" x14ac:dyDescent="0.25">
      <c r="A1067" s="9" t="s">
        <v>2124</v>
      </c>
      <c r="C1067" s="9" t="str">
        <f>HYPERLINK("http://www.ncbi.nlm.nih.gov/protein/126521835","Cct2")</f>
        <v>Cct2</v>
      </c>
      <c r="D1067" s="10">
        <f t="shared" si="16"/>
        <v>6.3953903758661674</v>
      </c>
      <c r="F1067" s="8" t="str">
        <f>HYPERLINK("https://esbl.nhlbi.nih.gov/Databases/mpkFractions/proteomic_fractions_log_files/Yang_log_img/126521835.jpg","show blot")</f>
        <v>show blot</v>
      </c>
      <c r="H1067" s="8" t="str">
        <f>HYPERLINK("https://esbl.nhlbi.nih.gov/Databases/mpkFractions/proteomic_fractions_linear_files/Yang_linear_img/126521835.jpg","show blot")</f>
        <v>show blot</v>
      </c>
      <c r="J1067" s="5" t="s">
        <v>2125</v>
      </c>
      <c r="L1067" s="11">
        <v>6.3953903758661674</v>
      </c>
      <c r="N1067" s="12"/>
    </row>
    <row r="1068" spans="1:14" s="5" customFormat="1" ht="15" customHeight="1" x14ac:dyDescent="0.25">
      <c r="A1068" s="9" t="s">
        <v>2126</v>
      </c>
      <c r="C1068" s="9" t="str">
        <f>HYPERLINK("http://www.ncbi.nlm.nih.gov/protein/6753320","Cct3")</f>
        <v>Cct3</v>
      </c>
      <c r="D1068" s="10">
        <f t="shared" si="16"/>
        <v>6.7544375646026307</v>
      </c>
      <c r="F1068" s="8" t="str">
        <f>HYPERLINK("https://esbl.nhlbi.nih.gov/Databases/mpkFractions/proteomic_fractions_log_files/Yang_log_img/6753320.jpg","show blot")</f>
        <v>show blot</v>
      </c>
      <c r="H1068" s="8" t="str">
        <f>HYPERLINK("https://esbl.nhlbi.nih.gov/Databases/mpkFractions/proteomic_fractions_linear_files/Yang_linear_img/6753320.jpg","show blot")</f>
        <v>show blot</v>
      </c>
      <c r="J1068" s="5" t="s">
        <v>2127</v>
      </c>
      <c r="L1068" s="11">
        <v>6.7544375646026307</v>
      </c>
      <c r="N1068" s="12"/>
    </row>
    <row r="1069" spans="1:14" s="5" customFormat="1" ht="15" customHeight="1" x14ac:dyDescent="0.25">
      <c r="A1069" s="9" t="s">
        <v>2128</v>
      </c>
      <c r="C1069" s="9" t="str">
        <f>HYPERLINK("http://www.ncbi.nlm.nih.gov/protein/6753322","Cct4")</f>
        <v>Cct4</v>
      </c>
      <c r="D1069" s="10">
        <f t="shared" si="16"/>
        <v>6.5339128378947873</v>
      </c>
      <c r="F1069" s="8" t="str">
        <f>HYPERLINK("https://esbl.nhlbi.nih.gov/Databases/mpkFractions/proteomic_fractions_log_files/Yang_log_img/6753322.jpg","show blot")</f>
        <v>show blot</v>
      </c>
      <c r="H1069" s="8" t="str">
        <f>HYPERLINK("https://esbl.nhlbi.nih.gov/Databases/mpkFractions/proteomic_fractions_linear_files/Yang_linear_img/6753322.jpg","show blot")</f>
        <v>show blot</v>
      </c>
      <c r="J1069" s="5" t="s">
        <v>2129</v>
      </c>
      <c r="L1069" s="11">
        <v>6.5339128378947873</v>
      </c>
      <c r="N1069" s="12"/>
    </row>
    <row r="1070" spans="1:14" s="5" customFormat="1" ht="15" customHeight="1" x14ac:dyDescent="0.25">
      <c r="A1070" s="9" t="s">
        <v>2130</v>
      </c>
      <c r="C1070" s="9" t="str">
        <f>HYPERLINK("http://www.ncbi.nlm.nih.gov/protein/6671702","Cct5")</f>
        <v>Cct5</v>
      </c>
      <c r="D1070" s="10">
        <f t="shared" si="16"/>
        <v>6.5937861433076579</v>
      </c>
      <c r="F1070" s="8" t="str">
        <f>HYPERLINK("https://esbl.nhlbi.nih.gov/Databases/mpkFractions/proteomic_fractions_log_files/Yang_log_img/6671702.jpg","show blot")</f>
        <v>show blot</v>
      </c>
      <c r="H1070" s="8" t="str">
        <f>HYPERLINK("https://esbl.nhlbi.nih.gov/Databases/mpkFractions/proteomic_fractions_linear_files/Yang_linear_img/6671702.jpg","show blot")</f>
        <v>show blot</v>
      </c>
      <c r="J1070" s="5" t="s">
        <v>2131</v>
      </c>
      <c r="L1070" s="11">
        <v>6.5937861433076579</v>
      </c>
      <c r="N1070" s="12"/>
    </row>
    <row r="1071" spans="1:14" s="5" customFormat="1" ht="15" customHeight="1" x14ac:dyDescent="0.25">
      <c r="A1071" s="9" t="s">
        <v>2132</v>
      </c>
      <c r="C1071" s="9" t="str">
        <f>HYPERLINK("http://www.ncbi.nlm.nih.gov/protein/6753324","Cct6a")</f>
        <v>Cct6a</v>
      </c>
      <c r="D1071" s="10">
        <f t="shared" si="16"/>
        <v>6.5542468008245143</v>
      </c>
      <c r="F1071" s="8" t="str">
        <f>HYPERLINK("https://esbl.nhlbi.nih.gov/Databases/mpkFractions/proteomic_fractions_log_files/Yang_log_img/6753324.jpg","show blot")</f>
        <v>show blot</v>
      </c>
      <c r="H1071" s="8" t="str">
        <f>HYPERLINK("https://esbl.nhlbi.nih.gov/Databases/mpkFractions/proteomic_fractions_linear_files/Yang_linear_img/6753324.jpg","show blot")</f>
        <v>show blot</v>
      </c>
      <c r="J1071" s="5" t="s">
        <v>2133</v>
      </c>
      <c r="L1071" s="11">
        <v>6.5542468008245143</v>
      </c>
      <c r="N1071" s="12"/>
    </row>
    <row r="1072" spans="1:14" s="5" customFormat="1" ht="15" customHeight="1" x14ac:dyDescent="0.25">
      <c r="A1072" s="9" t="s">
        <v>2134</v>
      </c>
      <c r="C1072" s="9" t="str">
        <f>HYPERLINK("http://www.ncbi.nlm.nih.gov/protein/226693361","Cct6b")</f>
        <v>Cct6b</v>
      </c>
      <c r="D1072" s="10">
        <f t="shared" si="16"/>
        <v>5.6293273509632478</v>
      </c>
      <c r="F1072" s="8" t="str">
        <f>HYPERLINK("https://esbl.nhlbi.nih.gov/Databases/mpkFractions/proteomic_fractions_log_files/Yang_log_img/226693361.jpg","show blot")</f>
        <v>show blot</v>
      </c>
      <c r="H1072" s="8" t="str">
        <f>HYPERLINK("https://esbl.nhlbi.nih.gov/Databases/mpkFractions/proteomic_fractions_linear_files/Yang_linear_img/226693361.jpg","show blot")</f>
        <v>show blot</v>
      </c>
      <c r="J1072" s="5" t="s">
        <v>2135</v>
      </c>
      <c r="L1072" s="11">
        <v>5.6293273509632478</v>
      </c>
      <c r="N1072" s="12"/>
    </row>
    <row r="1073" spans="1:14" s="5" customFormat="1" ht="15" customHeight="1" x14ac:dyDescent="0.25">
      <c r="A1073" s="9" t="s">
        <v>2136</v>
      </c>
      <c r="C1073" s="9" t="str">
        <f>HYPERLINK("http://www.ncbi.nlm.nih.gov/protein/238814391","Cct7")</f>
        <v>Cct7</v>
      </c>
      <c r="D1073" s="10">
        <f t="shared" si="16"/>
        <v>6.5142113211279868</v>
      </c>
      <c r="F1073" s="8" t="str">
        <f>HYPERLINK("https://esbl.nhlbi.nih.gov/Databases/mpkFractions/proteomic_fractions_log_files/Yang_log_img/238814391.jpg","show blot")</f>
        <v>show blot</v>
      </c>
      <c r="H1073" s="8" t="str">
        <f>HYPERLINK("https://esbl.nhlbi.nih.gov/Databases/mpkFractions/proteomic_fractions_linear_files/Yang_linear_img/238814391.jpg","show blot")</f>
        <v>show blot</v>
      </c>
      <c r="J1073" s="5" t="s">
        <v>2137</v>
      </c>
      <c r="L1073" s="11">
        <v>6.5142113211279868</v>
      </c>
      <c r="N1073" s="12"/>
    </row>
    <row r="1074" spans="1:14" s="5" customFormat="1" ht="15" customHeight="1" x14ac:dyDescent="0.25">
      <c r="A1074" s="9" t="s">
        <v>2138</v>
      </c>
      <c r="C1074" s="9" t="str">
        <f>HYPERLINK("http://www.ncbi.nlm.nih.gov/protein/126723461","Cct8")</f>
        <v>Cct8</v>
      </c>
      <c r="D1074" s="10">
        <f t="shared" si="16"/>
        <v>6.9101744179736961</v>
      </c>
      <c r="F1074" s="8" t="str">
        <f>HYPERLINK("https://esbl.nhlbi.nih.gov/Databases/mpkFractions/proteomic_fractions_log_files/Yang_log_img/126723461.jpg","show blot")</f>
        <v>show blot</v>
      </c>
      <c r="H1074" s="8" t="str">
        <f>HYPERLINK("https://esbl.nhlbi.nih.gov/Databases/mpkFractions/proteomic_fractions_linear_files/Yang_linear_img/126723461.jpg","show blot")</f>
        <v>show blot</v>
      </c>
      <c r="J1074" s="5" t="s">
        <v>2139</v>
      </c>
      <c r="L1074" s="11">
        <v>6.9101744179736961</v>
      </c>
      <c r="N1074" s="12"/>
    </row>
    <row r="1075" spans="1:14" s="5" customFormat="1" ht="15" customHeight="1" x14ac:dyDescent="0.25">
      <c r="A1075" s="9" t="s">
        <v>2140</v>
      </c>
      <c r="C1075" s="9" t="str">
        <f>HYPERLINK("http://www.ncbi.nlm.nih.gov/protein/29244114","Ccz1")</f>
        <v>Ccz1</v>
      </c>
      <c r="D1075" s="10">
        <f t="shared" si="16"/>
        <v>3.579813953361791</v>
      </c>
      <c r="F1075" s="8" t="str">
        <f>HYPERLINK("https://esbl.nhlbi.nih.gov/Databases/mpkFractions/proteomic_fractions_log_files/Yang_log_img/29244114.jpg","show blot")</f>
        <v>show blot</v>
      </c>
      <c r="H1075" s="8" t="str">
        <f>HYPERLINK("https://esbl.nhlbi.nih.gov/Databases/mpkFractions/proteomic_fractions_linear_files/Yang_linear_img/29244114.jpg","show blot")</f>
        <v>show blot</v>
      </c>
      <c r="J1075" s="5" t="s">
        <v>2141</v>
      </c>
      <c r="L1075" s="11">
        <v>3.579813953361791</v>
      </c>
      <c r="N1075" s="12"/>
    </row>
    <row r="1076" spans="1:14" s="5" customFormat="1" ht="15" customHeight="1" x14ac:dyDescent="0.25">
      <c r="A1076" s="9" t="s">
        <v>2142</v>
      </c>
      <c r="C1076" s="9" t="str">
        <f>HYPERLINK("http://www.ncbi.nlm.nih.gov/protein/6753332","Cd14")</f>
        <v>Cd14</v>
      </c>
      <c r="D1076" s="10">
        <f t="shared" si="16"/>
        <v>1.975891136401793</v>
      </c>
      <c r="F1076" s="8" t="str">
        <f>HYPERLINK("https://esbl.nhlbi.nih.gov/Databases/mpkFractions/proteomic_fractions_log_files/Yang_log_img/6753332.jpg","show blot")</f>
        <v>show blot</v>
      </c>
      <c r="H1076" s="8" t="str">
        <f>HYPERLINK("https://esbl.nhlbi.nih.gov/Databases/mpkFractions/proteomic_fractions_linear_files/Yang_linear_img/6753332.jpg","show blot")</f>
        <v>show blot</v>
      </c>
      <c r="J1076" s="5" t="s">
        <v>2143</v>
      </c>
      <c r="L1076" s="11">
        <v>1.975891136401793</v>
      </c>
      <c r="N1076" s="12"/>
    </row>
    <row r="1077" spans="1:14" s="5" customFormat="1" ht="15" customHeight="1" x14ac:dyDescent="0.25">
      <c r="A1077" s="9" t="s">
        <v>2144</v>
      </c>
      <c r="C1077" s="9" t="str">
        <f>HYPERLINK("http://www.ncbi.nlm.nih.gov/protein/161353452","Cd151")</f>
        <v>Cd151</v>
      </c>
      <c r="D1077" s="10">
        <f t="shared" si="16"/>
        <v>4.3184845513626051</v>
      </c>
      <c r="F1077" s="8" t="str">
        <f>HYPERLINK("https://esbl.nhlbi.nih.gov/Databases/mpkFractions/proteomic_fractions_log_files/Yang_log_img/161353452.jpg","show blot")</f>
        <v>show blot</v>
      </c>
      <c r="H1077" s="8" t="str">
        <f>HYPERLINK("https://esbl.nhlbi.nih.gov/Databases/mpkFractions/proteomic_fractions_linear_files/Yang_linear_img/161353452.jpg","show blot")</f>
        <v>show blot</v>
      </c>
      <c r="J1077" s="5" t="s">
        <v>2145</v>
      </c>
      <c r="L1077" s="11">
        <v>4.3184845513626051</v>
      </c>
      <c r="N1077" s="12"/>
    </row>
    <row r="1078" spans="1:14" s="5" customFormat="1" ht="15" customHeight="1" x14ac:dyDescent="0.25">
      <c r="A1078" s="9" t="s">
        <v>2146</v>
      </c>
      <c r="C1078" s="9" t="str">
        <f>HYPERLINK("http://www.ncbi.nlm.nih.gov/protein/125987599","Cd2ap")</f>
        <v>Cd2ap</v>
      </c>
      <c r="D1078" s="10">
        <f t="shared" si="16"/>
        <v>5.4854909256941946</v>
      </c>
      <c r="F1078" s="8" t="str">
        <f>HYPERLINK("https://esbl.nhlbi.nih.gov/Databases/mpkFractions/proteomic_fractions_log_files/Yang_log_img/125987599.jpg","show blot")</f>
        <v>show blot</v>
      </c>
      <c r="H1078" s="8" t="str">
        <f>HYPERLINK("https://esbl.nhlbi.nih.gov/Databases/mpkFractions/proteomic_fractions_linear_files/Yang_linear_img/125987599.jpg","show blot")</f>
        <v>show blot</v>
      </c>
      <c r="J1078" s="5" t="s">
        <v>2147</v>
      </c>
      <c r="L1078" s="11">
        <v>5.4854909256941946</v>
      </c>
      <c r="N1078" s="12"/>
    </row>
    <row r="1079" spans="1:14" s="5" customFormat="1" ht="15" customHeight="1" x14ac:dyDescent="0.25">
      <c r="A1079" s="9" t="s">
        <v>2148</v>
      </c>
      <c r="C1079" s="9" t="str">
        <f>HYPERLINK("http://www.ncbi.nlm.nih.gov/protein/17505208","Cd2bp2")</f>
        <v>Cd2bp2</v>
      </c>
      <c r="D1079" s="10">
        <f t="shared" si="16"/>
        <v>3.813179063517941</v>
      </c>
      <c r="F1079" s="8" t="str">
        <f>HYPERLINK("https://esbl.nhlbi.nih.gov/Databases/mpkFractions/proteomic_fractions_log_files/Yang_log_img/17505208.jpg","show blot")</f>
        <v>show blot</v>
      </c>
      <c r="H1079" s="8" t="str">
        <f>HYPERLINK("https://esbl.nhlbi.nih.gov/Databases/mpkFractions/proteomic_fractions_linear_files/Yang_linear_img/17505208.jpg","show blot")</f>
        <v>show blot</v>
      </c>
      <c r="J1079" s="5" t="s">
        <v>2149</v>
      </c>
      <c r="L1079" s="11">
        <v>3.813179063517941</v>
      </c>
      <c r="N1079" s="12"/>
    </row>
    <row r="1080" spans="1:14" s="5" customFormat="1" ht="15" customHeight="1" x14ac:dyDescent="0.25">
      <c r="A1080" s="9" t="s">
        <v>2150</v>
      </c>
      <c r="C1080" s="9" t="str">
        <f>HYPERLINK("http://www.ncbi.nlm.nih.gov/protein/295293144","Cd44")</f>
        <v>Cd44</v>
      </c>
      <c r="D1080" s="10">
        <f t="shared" si="16"/>
        <v>3.2094657126223671</v>
      </c>
      <c r="F1080" s="8" t="str">
        <f>HYPERLINK("https://esbl.nhlbi.nih.gov/Databases/mpkFractions/proteomic_fractions_log_files/Yang_log_img/295293144.jpg","show blot")</f>
        <v>show blot</v>
      </c>
      <c r="H1080" s="8" t="str">
        <f>HYPERLINK("https://esbl.nhlbi.nih.gov/Databases/mpkFractions/proteomic_fractions_linear_files/Yang_linear_img/295293144.jpg","show blot")</f>
        <v>show blot</v>
      </c>
      <c r="J1080" s="5" t="s">
        <v>2151</v>
      </c>
      <c r="L1080" s="11">
        <v>3.2094657126223671</v>
      </c>
      <c r="N1080" s="12"/>
    </row>
    <row r="1081" spans="1:14" s="5" customFormat="1" ht="15" customHeight="1" x14ac:dyDescent="0.25">
      <c r="A1081" s="9" t="s">
        <v>2152</v>
      </c>
      <c r="C1081" s="9" t="str">
        <f>HYPERLINK("http://www.ncbi.nlm.nih.gov/protein/295293146","Cd44")</f>
        <v>Cd44</v>
      </c>
      <c r="D1081" s="10">
        <f t="shared" si="16"/>
        <v>3.2094657126223671</v>
      </c>
      <c r="F1081" s="8" t="str">
        <f>HYPERLINK("https://esbl.nhlbi.nih.gov/Databases/mpkFractions/proteomic_fractions_log_files/Yang_log_img/295293146.jpg","show blot")</f>
        <v>show blot</v>
      </c>
      <c r="H1081" s="8" t="str">
        <f>HYPERLINK("https://esbl.nhlbi.nih.gov/Databases/mpkFractions/proteomic_fractions_linear_files/Yang_linear_img/295293146.jpg","show blot")</f>
        <v>show blot</v>
      </c>
      <c r="J1081" s="5" t="s">
        <v>2153</v>
      </c>
      <c r="L1081" s="11">
        <v>3.2094657126223671</v>
      </c>
      <c r="N1081" s="12"/>
    </row>
    <row r="1082" spans="1:14" s="5" customFormat="1" ht="15" customHeight="1" x14ac:dyDescent="0.25">
      <c r="A1082" s="9" t="s">
        <v>2154</v>
      </c>
      <c r="C1082" s="9" t="str">
        <f>HYPERLINK("http://www.ncbi.nlm.nih.gov/protein/295293148","Cd44")</f>
        <v>Cd44</v>
      </c>
      <c r="D1082" s="10">
        <f t="shared" si="16"/>
        <v>3.2094657126223671</v>
      </c>
      <c r="F1082" s="8" t="str">
        <f>HYPERLINK("https://esbl.nhlbi.nih.gov/Databases/mpkFractions/proteomic_fractions_log_files/Yang_log_img/295293148.jpg","show blot")</f>
        <v>show blot</v>
      </c>
      <c r="H1082" s="8" t="str">
        <f>HYPERLINK("https://esbl.nhlbi.nih.gov/Databases/mpkFractions/proteomic_fractions_linear_files/Yang_linear_img/295293148.jpg","show blot")</f>
        <v>show blot</v>
      </c>
      <c r="J1082" s="5" t="s">
        <v>2155</v>
      </c>
      <c r="L1082" s="11">
        <v>3.2094657126223671</v>
      </c>
      <c r="N1082" s="12"/>
    </row>
    <row r="1083" spans="1:14" s="5" customFormat="1" ht="15" customHeight="1" x14ac:dyDescent="0.25">
      <c r="A1083" s="9" t="s">
        <v>2156</v>
      </c>
      <c r="C1083" s="9" t="str">
        <f>HYPERLINK("http://www.ncbi.nlm.nih.gov/protein/85540466","Cd44")</f>
        <v>Cd44</v>
      </c>
      <c r="D1083" s="10">
        <f t="shared" si="16"/>
        <v>3.2094657126223671</v>
      </c>
      <c r="F1083" s="8" t="str">
        <f>HYPERLINK("https://esbl.nhlbi.nih.gov/Databases/mpkFractions/proteomic_fractions_log_files/Yang_log_img/85540466.jpg","show blot")</f>
        <v>show blot</v>
      </c>
      <c r="H1083" s="8" t="str">
        <f>HYPERLINK("https://esbl.nhlbi.nih.gov/Databases/mpkFractions/proteomic_fractions_linear_files/Yang_linear_img/85540466.jpg","show blot")</f>
        <v>show blot</v>
      </c>
      <c r="J1083" s="5" t="s">
        <v>2157</v>
      </c>
      <c r="L1083" s="11">
        <v>3.2094657126223671</v>
      </c>
      <c r="N1083" s="12"/>
    </row>
    <row r="1084" spans="1:14" s="5" customFormat="1" ht="15" customHeight="1" x14ac:dyDescent="0.25">
      <c r="A1084" s="9" t="s">
        <v>2158</v>
      </c>
      <c r="C1084" s="9" t="str">
        <f>HYPERLINK("http://www.ncbi.nlm.nih.gov/protein/85540468","Cd44")</f>
        <v>Cd44</v>
      </c>
      <c r="D1084" s="10">
        <f t="shared" si="16"/>
        <v>3.2094657126223671</v>
      </c>
      <c r="F1084" s="8" t="str">
        <f>HYPERLINK("https://esbl.nhlbi.nih.gov/Databases/mpkFractions/proteomic_fractions_log_files/Yang_log_img/85540468.jpg","show blot")</f>
        <v>show blot</v>
      </c>
      <c r="H1084" s="8" t="str">
        <f>HYPERLINK("https://esbl.nhlbi.nih.gov/Databases/mpkFractions/proteomic_fractions_linear_files/Yang_linear_img/85540468.jpg","show blot")</f>
        <v>show blot</v>
      </c>
      <c r="J1084" s="5" t="s">
        <v>2159</v>
      </c>
      <c r="L1084" s="11">
        <v>3.2094657126223671</v>
      </c>
      <c r="N1084" s="12"/>
    </row>
    <row r="1085" spans="1:14" s="5" customFormat="1" ht="15" customHeight="1" x14ac:dyDescent="0.25">
      <c r="A1085" s="9" t="s">
        <v>2160</v>
      </c>
      <c r="C1085" s="9" t="str">
        <f>HYPERLINK("http://www.ncbi.nlm.nih.gov/protein/85540471","Cd44")</f>
        <v>Cd44</v>
      </c>
      <c r="D1085" s="10">
        <f t="shared" si="16"/>
        <v>3.2094657126223671</v>
      </c>
      <c r="F1085" s="8" t="str">
        <f>HYPERLINK("https://esbl.nhlbi.nih.gov/Databases/mpkFractions/proteomic_fractions_log_files/Yang_log_img/85540471.jpg","show blot")</f>
        <v>show blot</v>
      </c>
      <c r="H1085" s="8" t="str">
        <f>HYPERLINK("https://esbl.nhlbi.nih.gov/Databases/mpkFractions/proteomic_fractions_linear_files/Yang_linear_img/85540471.jpg","show blot")</f>
        <v>show blot</v>
      </c>
      <c r="J1085" s="5" t="s">
        <v>2161</v>
      </c>
      <c r="L1085" s="11">
        <v>3.2094657126223671</v>
      </c>
      <c r="N1085" s="12"/>
    </row>
    <row r="1086" spans="1:14" s="5" customFormat="1" ht="15" customHeight="1" x14ac:dyDescent="0.25">
      <c r="A1086" s="9" t="s">
        <v>2162</v>
      </c>
      <c r="C1086" s="9" t="str">
        <f>HYPERLINK("http://www.ncbi.nlm.nih.gov/protein/6754382","Cd47")</f>
        <v>Cd47</v>
      </c>
      <c r="D1086" s="10">
        <f t="shared" si="16"/>
        <v>5.0120440292204256</v>
      </c>
      <c r="F1086" s="8" t="str">
        <f>HYPERLINK("https://esbl.nhlbi.nih.gov/Databases/mpkFractions/proteomic_fractions_log_files/Yang_log_img/6754382.jpg","show blot")</f>
        <v>show blot</v>
      </c>
      <c r="H1086" s="8" t="str">
        <f>HYPERLINK("https://esbl.nhlbi.nih.gov/Databases/mpkFractions/proteomic_fractions_linear_files/Yang_linear_img/6754382.jpg","show blot")</f>
        <v>show blot</v>
      </c>
      <c r="J1086" s="5" t="s">
        <v>2163</v>
      </c>
      <c r="L1086" s="11">
        <v>5.0120440292204256</v>
      </c>
      <c r="N1086" s="12"/>
    </row>
    <row r="1087" spans="1:14" s="5" customFormat="1" ht="15" customHeight="1" x14ac:dyDescent="0.25">
      <c r="A1087" s="9" t="s">
        <v>2164</v>
      </c>
      <c r="C1087" s="9" t="str">
        <f>HYPERLINK("http://www.ncbi.nlm.nih.gov/protein/6671714","Cd59a")</f>
        <v>Cd59a</v>
      </c>
      <c r="D1087" s="10">
        <f t="shared" si="16"/>
        <v>3.3318265883300748</v>
      </c>
      <c r="F1087" s="8" t="str">
        <f>HYPERLINK("https://esbl.nhlbi.nih.gov/Databases/mpkFractions/proteomic_fractions_log_files/Yang_log_img/6671714.jpg","show blot")</f>
        <v>show blot</v>
      </c>
      <c r="H1087" s="8" t="str">
        <f>HYPERLINK("https://esbl.nhlbi.nih.gov/Databases/mpkFractions/proteomic_fractions_linear_files/Yang_linear_img/6671714.jpg","show blot")</f>
        <v>show blot</v>
      </c>
      <c r="J1087" s="5" t="s">
        <v>2165</v>
      </c>
      <c r="L1087" s="11">
        <v>3.3318265883300748</v>
      </c>
      <c r="N1087" s="12"/>
    </row>
    <row r="1088" spans="1:14" s="5" customFormat="1" ht="15" customHeight="1" x14ac:dyDescent="0.25">
      <c r="A1088" s="9" t="s">
        <v>2166</v>
      </c>
      <c r="C1088" s="9" t="str">
        <f>HYPERLINK("http://www.ncbi.nlm.nih.gov/protein/6680888","Cd63")</f>
        <v>Cd63</v>
      </c>
      <c r="D1088" s="10">
        <f t="shared" si="16"/>
        <v>6.1110160950737251</v>
      </c>
      <c r="F1088" s="8" t="str">
        <f>HYPERLINK("https://esbl.nhlbi.nih.gov/Databases/mpkFractions/proteomic_fractions_log_files/Yang_log_img/6680888.jpg","show blot")</f>
        <v>show blot</v>
      </c>
      <c r="H1088" s="8" t="str">
        <f>HYPERLINK("https://esbl.nhlbi.nih.gov/Databases/mpkFractions/proteomic_fractions_linear_files/Yang_linear_img/6680888.jpg","show blot")</f>
        <v>show blot</v>
      </c>
      <c r="J1088" s="5" t="s">
        <v>2167</v>
      </c>
      <c r="L1088" s="11">
        <v>6.1110160950737251</v>
      </c>
      <c r="N1088" s="12"/>
    </row>
    <row r="1089" spans="1:14" s="5" customFormat="1" ht="15" customHeight="1" x14ac:dyDescent="0.25">
      <c r="A1089" s="9" t="s">
        <v>2168</v>
      </c>
      <c r="C1089" s="9" t="str">
        <f>HYPERLINK("http://www.ncbi.nlm.nih.gov/protein/19526794","Cd81")</f>
        <v>Cd81</v>
      </c>
      <c r="D1089" s="10">
        <f t="shared" si="16"/>
        <v>3.8012308211393959</v>
      </c>
      <c r="F1089" s="8" t="str">
        <f>HYPERLINK("https://esbl.nhlbi.nih.gov/Databases/mpkFractions/proteomic_fractions_log_files/Yang_log_img/19526794.jpg","show blot")</f>
        <v>show blot</v>
      </c>
      <c r="H1089" s="8" t="str">
        <f>HYPERLINK("https://esbl.nhlbi.nih.gov/Databases/mpkFractions/proteomic_fractions_linear_files/Yang_linear_img/19526794.jpg","show blot")</f>
        <v>show blot</v>
      </c>
      <c r="J1089" s="5" t="s">
        <v>2169</v>
      </c>
      <c r="L1089" s="11">
        <v>3.8012308211393959</v>
      </c>
      <c r="N1089" s="12"/>
    </row>
    <row r="1090" spans="1:14" s="5" customFormat="1" ht="15" customHeight="1" x14ac:dyDescent="0.25">
      <c r="A1090" s="9" t="s">
        <v>2170</v>
      </c>
      <c r="C1090" s="9" t="str">
        <f>HYPERLINK("http://www.ncbi.nlm.nih.gov/protein/6671718","Cd82")</f>
        <v>Cd82</v>
      </c>
      <c r="D1090" s="10">
        <f t="shared" si="16"/>
        <v>5.8146437927812302</v>
      </c>
      <c r="F1090" s="8" t="str">
        <f>HYPERLINK("https://esbl.nhlbi.nih.gov/Databases/mpkFractions/proteomic_fractions_log_files/Yang_log_img/6671718.jpg","show blot")</f>
        <v>show blot</v>
      </c>
      <c r="H1090" s="8" t="str">
        <f>HYPERLINK("https://esbl.nhlbi.nih.gov/Databases/mpkFractions/proteomic_fractions_linear_files/Yang_linear_img/6671718.jpg","show blot")</f>
        <v>show blot</v>
      </c>
      <c r="J1090" s="5" t="s">
        <v>2171</v>
      </c>
      <c r="L1090" s="11">
        <v>5.8146437927812302</v>
      </c>
      <c r="N1090" s="12"/>
    </row>
    <row r="1091" spans="1:14" s="5" customFormat="1" ht="15" customHeight="1" x14ac:dyDescent="0.25">
      <c r="A1091" s="9" t="s">
        <v>2172</v>
      </c>
      <c r="C1091" s="9" t="str">
        <f>HYPERLINK("http://www.ncbi.nlm.nih.gov/protein/6680894","Cd9")</f>
        <v>Cd9</v>
      </c>
      <c r="D1091" s="10">
        <f t="shared" si="16"/>
        <v>4.5769640870386397</v>
      </c>
      <c r="F1091" s="8" t="str">
        <f>HYPERLINK("https://esbl.nhlbi.nih.gov/Databases/mpkFractions/proteomic_fractions_log_files/Yang_log_img/6680894.jpg","show blot")</f>
        <v>show blot</v>
      </c>
      <c r="H1091" s="8" t="str">
        <f>HYPERLINK("https://esbl.nhlbi.nih.gov/Databases/mpkFractions/proteomic_fractions_linear_files/Yang_linear_img/6680894.jpg","show blot")</f>
        <v>show blot</v>
      </c>
      <c r="J1091" s="5" t="s">
        <v>2173</v>
      </c>
      <c r="L1091" s="11">
        <v>4.5769640870386397</v>
      </c>
      <c r="N1091" s="12"/>
    </row>
    <row r="1092" spans="1:14" s="5" customFormat="1" ht="15" customHeight="1" x14ac:dyDescent="0.25">
      <c r="A1092" s="9" t="s">
        <v>2174</v>
      </c>
      <c r="C1092" s="9" t="str">
        <f>HYPERLINK("http://www.ncbi.nlm.nih.gov/protein/58037289","Cda")</f>
        <v>Cda</v>
      </c>
      <c r="D1092" s="10">
        <f t="shared" si="16"/>
        <v>4.5964849698768981</v>
      </c>
      <c r="F1092" s="8" t="str">
        <f>HYPERLINK("https://esbl.nhlbi.nih.gov/Databases/mpkFractions/proteomic_fractions_log_files/Yang_log_img/58037289.jpg","show blot")</f>
        <v>show blot</v>
      </c>
      <c r="H1092" s="8" t="str">
        <f>HYPERLINK("https://esbl.nhlbi.nih.gov/Databases/mpkFractions/proteomic_fractions_linear_files/Yang_linear_img/58037289.jpg","show blot")</f>
        <v>show blot</v>
      </c>
      <c r="J1092" s="5" t="s">
        <v>2175</v>
      </c>
      <c r="L1092" s="11">
        <v>4.5964849698768981</v>
      </c>
      <c r="N1092" s="12"/>
    </row>
    <row r="1093" spans="1:14" s="5" customFormat="1" ht="15" customHeight="1" x14ac:dyDescent="0.25">
      <c r="A1093" s="9" t="s">
        <v>2176</v>
      </c>
      <c r="C1093" s="9" t="str">
        <f>HYPERLINK("http://www.ncbi.nlm.nih.gov/protein/19527052","Cdc123")</f>
        <v>Cdc123</v>
      </c>
      <c r="D1093" s="10">
        <f t="shared" ref="D1093:D1156" si="17">L1093</f>
        <v>4.6269932009614303</v>
      </c>
      <c r="F1093" s="8" t="str">
        <f>HYPERLINK("https://esbl.nhlbi.nih.gov/Databases/mpkFractions/proteomic_fractions_log_files/Yang_log_img/19527052.jpg","show blot")</f>
        <v>show blot</v>
      </c>
      <c r="H1093" s="8" t="str">
        <f>HYPERLINK("https://esbl.nhlbi.nih.gov/Databases/mpkFractions/proteomic_fractions_linear_files/Yang_linear_img/19527052.jpg","show blot")</f>
        <v>show blot</v>
      </c>
      <c r="J1093" s="5" t="s">
        <v>2177</v>
      </c>
      <c r="L1093" s="11">
        <v>4.6269932009614303</v>
      </c>
      <c r="N1093" s="12"/>
    </row>
    <row r="1094" spans="1:14" s="5" customFormat="1" ht="15" customHeight="1" x14ac:dyDescent="0.25">
      <c r="A1094" s="9" t="s">
        <v>2178</v>
      </c>
      <c r="C1094" s="9" t="str">
        <f>HYPERLINK("http://www.ncbi.nlm.nih.gov/protein/68448515","Cdc16")</f>
        <v>Cdc16</v>
      </c>
      <c r="D1094" s="10">
        <f t="shared" si="17"/>
        <v>4.2763402921375366</v>
      </c>
      <c r="F1094" s="8" t="str">
        <f>HYPERLINK("https://esbl.nhlbi.nih.gov/Databases/mpkFractions/proteomic_fractions_log_files/Yang_log_img/68448515.jpg","show blot")</f>
        <v>show blot</v>
      </c>
      <c r="H1094" s="8" t="str">
        <f>HYPERLINK("https://esbl.nhlbi.nih.gov/Databases/mpkFractions/proteomic_fractions_linear_files/Yang_linear_img/68448515.jpg","show blot")</f>
        <v>show blot</v>
      </c>
      <c r="J1094" s="5" t="s">
        <v>2179</v>
      </c>
      <c r="L1094" s="11">
        <v>4.2763402921375366</v>
      </c>
      <c r="N1094" s="12"/>
    </row>
    <row r="1095" spans="1:14" s="5" customFormat="1" ht="15" customHeight="1" x14ac:dyDescent="0.25">
      <c r="A1095" s="9" t="s">
        <v>2180</v>
      </c>
      <c r="C1095" s="9" t="str">
        <f>HYPERLINK("http://www.ncbi.nlm.nih.gov/protein/30387632","Cdc23")</f>
        <v>Cdc23</v>
      </c>
      <c r="D1095" s="10">
        <f t="shared" si="17"/>
        <v>4.6709686812548927</v>
      </c>
      <c r="F1095" s="8" t="str">
        <f>HYPERLINK("https://esbl.nhlbi.nih.gov/Databases/mpkFractions/proteomic_fractions_log_files/Yang_log_img/30387632.jpg","show blot")</f>
        <v>show blot</v>
      </c>
      <c r="H1095" s="8" t="str">
        <f>HYPERLINK("https://esbl.nhlbi.nih.gov/Databases/mpkFractions/proteomic_fractions_linear_files/Yang_linear_img/30387632.jpg","show blot")</f>
        <v>show blot</v>
      </c>
      <c r="J1095" s="5" t="s">
        <v>2181</v>
      </c>
      <c r="L1095" s="11">
        <v>4.6709686812548927</v>
      </c>
      <c r="N1095" s="12"/>
    </row>
    <row r="1096" spans="1:14" s="5" customFormat="1" ht="15" customHeight="1" x14ac:dyDescent="0.25">
      <c r="A1096" s="9" t="s">
        <v>2182</v>
      </c>
      <c r="C1096" s="9" t="str">
        <f>HYPERLINK("http://www.ncbi.nlm.nih.gov/protein/12963487","Cdc25b")</f>
        <v>Cdc25b</v>
      </c>
      <c r="D1096" s="10">
        <f t="shared" si="17"/>
        <v>3.2082502298258979</v>
      </c>
      <c r="F1096" s="8" t="str">
        <f>HYPERLINK("https://esbl.nhlbi.nih.gov/Databases/mpkFractions/proteomic_fractions_log_files/Yang_log_img/12963487.jpg","show blot")</f>
        <v>show blot</v>
      </c>
      <c r="H1096" s="8" t="str">
        <f>HYPERLINK("https://esbl.nhlbi.nih.gov/Databases/mpkFractions/proteomic_fractions_linear_files/Yang_linear_img/12963487.jpg","show blot")</f>
        <v>show blot</v>
      </c>
      <c r="J1096" s="5" t="s">
        <v>2183</v>
      </c>
      <c r="L1096" s="11">
        <v>3.2082502298258979</v>
      </c>
      <c r="N1096" s="12"/>
    </row>
    <row r="1097" spans="1:14" s="5" customFormat="1" ht="15" customHeight="1" x14ac:dyDescent="0.25">
      <c r="A1097" s="9" t="s">
        <v>2184</v>
      </c>
      <c r="C1097" s="9" t="str">
        <f>HYPERLINK("http://www.ncbi.nlm.nih.gov/protein/161621261","Cdc25b")</f>
        <v>Cdc25b</v>
      </c>
      <c r="D1097" s="10">
        <f t="shared" si="17"/>
        <v>3.2082502298258979</v>
      </c>
      <c r="F1097" s="8" t="str">
        <f>HYPERLINK("https://esbl.nhlbi.nih.gov/Databases/mpkFractions/proteomic_fractions_log_files/Yang_log_img/161621261.jpg","show blot")</f>
        <v>show blot</v>
      </c>
      <c r="H1097" s="8" t="str">
        <f>HYPERLINK("https://esbl.nhlbi.nih.gov/Databases/mpkFractions/proteomic_fractions_linear_files/Yang_linear_img/161621261.jpg","show blot")</f>
        <v>show blot</v>
      </c>
      <c r="J1097" s="5" t="s">
        <v>2185</v>
      </c>
      <c r="L1097" s="11">
        <v>3.2082502298258979</v>
      </c>
      <c r="N1097" s="12"/>
    </row>
    <row r="1098" spans="1:14" s="5" customFormat="1" ht="15" customHeight="1" x14ac:dyDescent="0.25">
      <c r="A1098" s="9" t="s">
        <v>2186</v>
      </c>
      <c r="C1098" s="9" t="str">
        <f>HYPERLINK("http://www.ncbi.nlm.nih.gov/protein/21314828","Cdc26")</f>
        <v>Cdc26</v>
      </c>
      <c r="D1098" s="10">
        <f t="shared" si="17"/>
        <v>4.4487994370311306</v>
      </c>
      <c r="F1098" s="8" t="str">
        <f>HYPERLINK("https://esbl.nhlbi.nih.gov/Databases/mpkFractions/proteomic_fractions_log_files/Yang_log_img/21314828.jpg","show blot")</f>
        <v>show blot</v>
      </c>
      <c r="H1098" s="8" t="str">
        <f>HYPERLINK("https://esbl.nhlbi.nih.gov/Databases/mpkFractions/proteomic_fractions_linear_files/Yang_linear_img/21314828.jpg","show blot")</f>
        <v>show blot</v>
      </c>
      <c r="J1098" s="5" t="s">
        <v>2187</v>
      </c>
      <c r="L1098" s="11">
        <v>4.4487994370311306</v>
      </c>
      <c r="N1098" s="12"/>
    </row>
    <row r="1099" spans="1:14" s="5" customFormat="1" ht="15" customHeight="1" x14ac:dyDescent="0.25">
      <c r="A1099" s="9" t="s">
        <v>2188</v>
      </c>
      <c r="C1099" s="9" t="str">
        <f>HYPERLINK("http://www.ncbi.nlm.nih.gov/protein/29243988","Cdc34")</f>
        <v>Cdc34</v>
      </c>
      <c r="D1099" s="10">
        <f t="shared" si="17"/>
        <v>4.6295911816813389</v>
      </c>
      <c r="F1099" s="8" t="str">
        <f>HYPERLINK("https://esbl.nhlbi.nih.gov/Databases/mpkFractions/proteomic_fractions_log_files/Yang_log_img/29243988.jpg","show blot")</f>
        <v>show blot</v>
      </c>
      <c r="H1099" s="8" t="str">
        <f>HYPERLINK("https://esbl.nhlbi.nih.gov/Databases/mpkFractions/proteomic_fractions_linear_files/Yang_linear_img/29243988.jpg","show blot")</f>
        <v>show blot</v>
      </c>
      <c r="J1099" s="5" t="s">
        <v>2189</v>
      </c>
      <c r="L1099" s="11">
        <v>4.6295911816813389</v>
      </c>
      <c r="N1099" s="12"/>
    </row>
    <row r="1100" spans="1:14" s="5" customFormat="1" ht="15" customHeight="1" x14ac:dyDescent="0.25">
      <c r="A1100" s="9" t="s">
        <v>2190</v>
      </c>
      <c r="C1100" s="9" t="str">
        <f>HYPERLINK("http://www.ncbi.nlm.nih.gov/protein/7949018","Cdc37")</f>
        <v>Cdc37</v>
      </c>
      <c r="D1100" s="10">
        <f t="shared" si="17"/>
        <v>6.0271464978643472</v>
      </c>
      <c r="F1100" s="8" t="str">
        <f>HYPERLINK("https://esbl.nhlbi.nih.gov/Databases/mpkFractions/proteomic_fractions_log_files/Yang_log_img/7949018.jpg","show blot")</f>
        <v>show blot</v>
      </c>
      <c r="H1100" s="8" t="str">
        <f>HYPERLINK("https://esbl.nhlbi.nih.gov/Databases/mpkFractions/proteomic_fractions_linear_files/Yang_linear_img/7949018.jpg","show blot")</f>
        <v>show blot</v>
      </c>
      <c r="J1100" s="5" t="s">
        <v>2191</v>
      </c>
      <c r="L1100" s="11">
        <v>6.0271464978643472</v>
      </c>
      <c r="N1100" s="12"/>
    </row>
    <row r="1101" spans="1:14" s="5" customFormat="1" ht="15" customHeight="1" x14ac:dyDescent="0.25">
      <c r="A1101" s="9" t="s">
        <v>2192</v>
      </c>
      <c r="C1101" s="9" t="str">
        <f>HYPERLINK("http://www.ncbi.nlm.nih.gov/protein/198278501","Cdc40")</f>
        <v>Cdc40</v>
      </c>
      <c r="D1101" s="10">
        <f t="shared" si="17"/>
        <v>2.1708031172708941</v>
      </c>
      <c r="F1101" s="8" t="str">
        <f>HYPERLINK("https://esbl.nhlbi.nih.gov/Databases/mpkFractions/proteomic_fractions_log_files/Yang_log_img/198278501.jpg","show blot")</f>
        <v>show blot</v>
      </c>
      <c r="H1101" s="8" t="str">
        <f>HYPERLINK("https://esbl.nhlbi.nih.gov/Databases/mpkFractions/proteomic_fractions_linear_files/Yang_linear_img/198278501.jpg","show blot")</f>
        <v>show blot</v>
      </c>
      <c r="J1101" s="5" t="s">
        <v>2193</v>
      </c>
      <c r="L1101" s="11">
        <v>2.1708031172708941</v>
      </c>
      <c r="N1101" s="12"/>
    </row>
    <row r="1102" spans="1:14" s="5" customFormat="1" ht="15" customHeight="1" x14ac:dyDescent="0.25">
      <c r="A1102" s="9" t="s">
        <v>2194</v>
      </c>
      <c r="C1102" s="9" t="str">
        <f>HYPERLINK("http://www.ncbi.nlm.nih.gov/protein/344313177","Cdc42")</f>
        <v>Cdc42</v>
      </c>
      <c r="D1102" s="10">
        <f t="shared" si="17"/>
        <v>6.3255117167684176</v>
      </c>
      <c r="F1102" s="8" t="str">
        <f>HYPERLINK("https://esbl.nhlbi.nih.gov/Databases/mpkFractions/proteomic_fractions_log_files/Yang_log_img/344313177.jpg","show blot")</f>
        <v>show blot</v>
      </c>
      <c r="H1102" s="8" t="str">
        <f>HYPERLINK("https://esbl.nhlbi.nih.gov/Databases/mpkFractions/proteomic_fractions_linear_files/Yang_linear_img/344313177.jpg","show blot")</f>
        <v>show blot</v>
      </c>
      <c r="J1102" s="5" t="s">
        <v>2195</v>
      </c>
      <c r="L1102" s="11">
        <v>6.3255117167684176</v>
      </c>
      <c r="N1102" s="12"/>
    </row>
    <row r="1103" spans="1:14" s="5" customFormat="1" ht="15" customHeight="1" x14ac:dyDescent="0.25">
      <c r="A1103" s="9" t="s">
        <v>2196</v>
      </c>
      <c r="C1103" s="9" t="str">
        <f>HYPERLINK("http://www.ncbi.nlm.nih.gov/protein/6753364","Cdc42")</f>
        <v>Cdc42</v>
      </c>
      <c r="D1103" s="10">
        <f t="shared" si="17"/>
        <v>6.3255117167684176</v>
      </c>
      <c r="F1103" s="8" t="str">
        <f>HYPERLINK("https://esbl.nhlbi.nih.gov/Databases/mpkFractions/proteomic_fractions_log_files/Yang_log_img/6753364.jpg","show blot")</f>
        <v>show blot</v>
      </c>
      <c r="H1103" s="8" t="str">
        <f>HYPERLINK("https://esbl.nhlbi.nih.gov/Databases/mpkFractions/proteomic_fractions_linear_files/Yang_linear_img/6753364.jpg","show blot")</f>
        <v>show blot</v>
      </c>
      <c r="J1103" s="5" t="s">
        <v>2197</v>
      </c>
      <c r="L1103" s="11">
        <v>6.3255117167684176</v>
      </c>
      <c r="N1103" s="12"/>
    </row>
    <row r="1104" spans="1:14" s="5" customFormat="1" ht="15" customHeight="1" x14ac:dyDescent="0.25">
      <c r="A1104" s="9" t="s">
        <v>2198</v>
      </c>
      <c r="C1104" s="9" t="str">
        <f>HYPERLINK("http://www.ncbi.nlm.nih.gov/protein/254692972","Cdc42bpa")</f>
        <v>Cdc42bpa</v>
      </c>
      <c r="D1104" s="10">
        <f t="shared" si="17"/>
        <v>3.9145063040549641</v>
      </c>
      <c r="F1104" s="8" t="str">
        <f>HYPERLINK("https://esbl.nhlbi.nih.gov/Databases/mpkFractions/proteomic_fractions_log_files/Yang_log_img/254692972.jpg","show blot")</f>
        <v>show blot</v>
      </c>
      <c r="H1104" s="8" t="str">
        <f>HYPERLINK("https://esbl.nhlbi.nih.gov/Databases/mpkFractions/proteomic_fractions_linear_files/Yang_linear_img/254692972.jpg","show blot")</f>
        <v>show blot</v>
      </c>
      <c r="J1104" s="5" t="s">
        <v>2199</v>
      </c>
      <c r="L1104" s="11">
        <v>3.9145063040549641</v>
      </c>
      <c r="N1104" s="12"/>
    </row>
    <row r="1105" spans="1:14" s="5" customFormat="1" ht="15" customHeight="1" x14ac:dyDescent="0.25">
      <c r="A1105" s="9" t="s">
        <v>2200</v>
      </c>
      <c r="C1105" s="9" t="str">
        <f>HYPERLINK("http://www.ncbi.nlm.nih.gov/protein/283135190","Cdc42bpb")</f>
        <v>Cdc42bpb</v>
      </c>
      <c r="D1105" s="10">
        <f t="shared" si="17"/>
        <v>5.2082056502125411</v>
      </c>
      <c r="F1105" s="8" t="str">
        <f>HYPERLINK("https://esbl.nhlbi.nih.gov/Databases/mpkFractions/proteomic_fractions_log_files/Yang_log_img/283135190.jpg","show blot")</f>
        <v>show blot</v>
      </c>
      <c r="H1105" s="8" t="str">
        <f>HYPERLINK("https://esbl.nhlbi.nih.gov/Databases/mpkFractions/proteomic_fractions_linear_files/Yang_linear_img/283135190.jpg","show blot")</f>
        <v>show blot</v>
      </c>
      <c r="J1105" s="5" t="s">
        <v>2201</v>
      </c>
      <c r="L1105" s="11">
        <v>5.2082056502125411</v>
      </c>
      <c r="N1105" s="12"/>
    </row>
    <row r="1106" spans="1:14" s="5" customFormat="1" ht="15" customHeight="1" x14ac:dyDescent="0.25">
      <c r="A1106" s="9" t="s">
        <v>2202</v>
      </c>
      <c r="C1106" s="9" t="str">
        <f>HYPERLINK("http://www.ncbi.nlm.nih.gov/protein/254675191","Cdc42bpg")</f>
        <v>Cdc42bpg</v>
      </c>
      <c r="D1106" s="10">
        <f t="shared" si="17"/>
        <v>4.08550644361208</v>
      </c>
      <c r="F1106" s="8" t="str">
        <f>HYPERLINK("https://esbl.nhlbi.nih.gov/Databases/mpkFractions/proteomic_fractions_log_files/Yang_log_img/254675191.jpg","show blot")</f>
        <v>show blot</v>
      </c>
      <c r="H1106" s="8" t="str">
        <f>HYPERLINK("https://esbl.nhlbi.nih.gov/Databases/mpkFractions/proteomic_fractions_linear_files/Yang_linear_img/254675191.jpg","show blot")</f>
        <v>show blot</v>
      </c>
      <c r="J1106" s="5" t="s">
        <v>2203</v>
      </c>
      <c r="L1106" s="11">
        <v>4.08550644361208</v>
      </c>
      <c r="N1106" s="12"/>
    </row>
    <row r="1107" spans="1:14" s="5" customFormat="1" ht="15" customHeight="1" x14ac:dyDescent="0.25">
      <c r="A1107" s="9" t="s">
        <v>2204</v>
      </c>
      <c r="C1107" s="9" t="str">
        <f>HYPERLINK("http://www.ncbi.nlm.nih.gov/protein/9910142","Cdc42ep4")</f>
        <v>Cdc42ep4</v>
      </c>
      <c r="D1107" s="10">
        <f t="shared" si="17"/>
        <v>3.4875578970518402</v>
      </c>
      <c r="F1107" s="8" t="str">
        <f>HYPERLINK("https://esbl.nhlbi.nih.gov/Databases/mpkFractions/proteomic_fractions_log_files/Yang_log_img/9910142.jpg","show blot")</f>
        <v>show blot</v>
      </c>
      <c r="H1107" s="8" t="str">
        <f>HYPERLINK("https://esbl.nhlbi.nih.gov/Databases/mpkFractions/proteomic_fractions_linear_files/Yang_linear_img/9910142.jpg","show blot")</f>
        <v>show blot</v>
      </c>
      <c r="J1107" s="5" t="s">
        <v>2205</v>
      </c>
      <c r="L1107" s="11">
        <v>3.4875578970518402</v>
      </c>
      <c r="N1107" s="12"/>
    </row>
    <row r="1108" spans="1:14" s="5" customFormat="1" ht="15" customHeight="1" x14ac:dyDescent="0.25">
      <c r="A1108" s="9" t="s">
        <v>2206</v>
      </c>
      <c r="C1108" s="9" t="str">
        <f>HYPERLINK("http://www.ncbi.nlm.nih.gov/protein/10946838","Cdc42ep5")</f>
        <v>Cdc42ep5</v>
      </c>
      <c r="D1108" s="10">
        <f t="shared" si="17"/>
        <v>3.3429965445962289</v>
      </c>
      <c r="F1108" s="8" t="str">
        <f>HYPERLINK("https://esbl.nhlbi.nih.gov/Databases/mpkFractions/proteomic_fractions_log_files/Yang_log_img/10946838.jpg","show blot")</f>
        <v>show blot</v>
      </c>
      <c r="H1108" s="8" t="str">
        <f>HYPERLINK("https://esbl.nhlbi.nih.gov/Databases/mpkFractions/proteomic_fractions_linear_files/Yang_linear_img/10946838.jpg","show blot")</f>
        <v>show blot</v>
      </c>
      <c r="J1108" s="5" t="s">
        <v>2207</v>
      </c>
      <c r="L1108" s="11">
        <v>3.3429965445962289</v>
      </c>
      <c r="N1108" s="12"/>
    </row>
    <row r="1109" spans="1:14" s="5" customFormat="1" ht="15" customHeight="1" x14ac:dyDescent="0.25">
      <c r="A1109" s="9" t="s">
        <v>2208</v>
      </c>
      <c r="C1109" s="9" t="str">
        <f>HYPERLINK("http://www.ncbi.nlm.nih.gov/protein/84781706","Cdc42se1")</f>
        <v>Cdc42se1</v>
      </c>
      <c r="D1109" s="10">
        <f t="shared" si="17"/>
        <v>3.277739136834775</v>
      </c>
      <c r="F1109" s="8" t="str">
        <f>HYPERLINK("https://esbl.nhlbi.nih.gov/Databases/mpkFractions/proteomic_fractions_log_files/Yang_log_img/84781706.jpg","show blot")</f>
        <v>show blot</v>
      </c>
      <c r="H1109" s="8" t="str">
        <f>HYPERLINK("https://esbl.nhlbi.nih.gov/Databases/mpkFractions/proteomic_fractions_linear_files/Yang_linear_img/84781706.jpg","show blot")</f>
        <v>show blot</v>
      </c>
      <c r="J1109" s="5" t="s">
        <v>2209</v>
      </c>
      <c r="L1109" s="11">
        <v>3.277739136834775</v>
      </c>
      <c r="N1109" s="12"/>
    </row>
    <row r="1110" spans="1:14" s="5" customFormat="1" ht="15" customHeight="1" x14ac:dyDescent="0.25">
      <c r="A1110" s="9" t="s">
        <v>2210</v>
      </c>
      <c r="C1110" s="9" t="str">
        <f>HYPERLINK("http://www.ncbi.nlm.nih.gov/protein/22779899","Cdc5l")</f>
        <v>Cdc5l</v>
      </c>
      <c r="D1110" s="10">
        <f t="shared" si="17"/>
        <v>4.7907697043650144</v>
      </c>
      <c r="F1110" s="8" t="str">
        <f>HYPERLINK("https://esbl.nhlbi.nih.gov/Databases/mpkFractions/proteomic_fractions_log_files/Yang_log_img/22779899.jpg","show blot")</f>
        <v>show blot</v>
      </c>
      <c r="H1110" s="8" t="str">
        <f>HYPERLINK("https://esbl.nhlbi.nih.gov/Databases/mpkFractions/proteomic_fractions_linear_files/Yang_linear_img/22779899.jpg","show blot")</f>
        <v>show blot</v>
      </c>
      <c r="J1110" s="5" t="s">
        <v>2211</v>
      </c>
      <c r="L1110" s="11">
        <v>4.7907697043650144</v>
      </c>
      <c r="N1110" s="12"/>
    </row>
    <row r="1111" spans="1:14" s="5" customFormat="1" ht="15" customHeight="1" x14ac:dyDescent="0.25">
      <c r="A1111" s="9" t="s">
        <v>2212</v>
      </c>
      <c r="C1111" s="9" t="str">
        <f>HYPERLINK("http://www.ncbi.nlm.nih.gov/protein/22122445","Cdc73")</f>
        <v>Cdc73</v>
      </c>
      <c r="D1111" s="10">
        <f t="shared" si="17"/>
        <v>3.696463594190309</v>
      </c>
      <c r="F1111" s="8" t="str">
        <f>HYPERLINK("https://esbl.nhlbi.nih.gov/Databases/mpkFractions/proteomic_fractions_log_files/Yang_log_img/22122445.jpg","show blot")</f>
        <v>show blot</v>
      </c>
      <c r="H1111" s="8" t="str">
        <f>HYPERLINK("https://esbl.nhlbi.nih.gov/Databases/mpkFractions/proteomic_fractions_linear_files/Yang_linear_img/22122445.jpg","show blot")</f>
        <v>show blot</v>
      </c>
      <c r="J1111" s="5" t="s">
        <v>2213</v>
      </c>
      <c r="L1111" s="11">
        <v>3.696463594190309</v>
      </c>
      <c r="N1111" s="12"/>
    </row>
    <row r="1112" spans="1:14" s="5" customFormat="1" ht="15" customHeight="1" x14ac:dyDescent="0.25">
      <c r="A1112" s="9" t="s">
        <v>2214</v>
      </c>
      <c r="C1112" s="9" t="str">
        <f>HYPERLINK("http://www.ncbi.nlm.nih.gov/protein/61098143","Cdcp1")</f>
        <v>Cdcp1</v>
      </c>
      <c r="D1112" s="10">
        <f t="shared" si="17"/>
        <v>2.6614653321393078</v>
      </c>
      <c r="F1112" s="8" t="str">
        <f>HYPERLINK("https://esbl.nhlbi.nih.gov/Databases/mpkFractions/proteomic_fractions_log_files/Yang_log_img/61098143.jpg","show blot")</f>
        <v>show blot</v>
      </c>
      <c r="H1112" s="8" t="str">
        <f>HYPERLINK("https://esbl.nhlbi.nih.gov/Databases/mpkFractions/proteomic_fractions_linear_files/Yang_linear_img/61098143.jpg","show blot")</f>
        <v>show blot</v>
      </c>
      <c r="J1112" s="5" t="s">
        <v>2215</v>
      </c>
      <c r="L1112" s="11">
        <v>2.6614653321393078</v>
      </c>
      <c r="N1112" s="12"/>
    </row>
    <row r="1113" spans="1:14" s="5" customFormat="1" ht="15" customHeight="1" x14ac:dyDescent="0.25">
      <c r="A1113" s="9" t="s">
        <v>2216</v>
      </c>
      <c r="C1113" s="9" t="str">
        <f>HYPERLINK("http://www.ncbi.nlm.nih.gov/protein/6753374","Cdh1")</f>
        <v>Cdh1</v>
      </c>
      <c r="D1113" s="10">
        <f t="shared" si="17"/>
        <v>5.2563049707080376</v>
      </c>
      <c r="F1113" s="8" t="str">
        <f>HYPERLINK("https://esbl.nhlbi.nih.gov/Databases/mpkFractions/proteomic_fractions_log_files/Yang_log_img/6753374.jpg","show blot")</f>
        <v>show blot</v>
      </c>
      <c r="H1113" s="8" t="str">
        <f>HYPERLINK("https://esbl.nhlbi.nih.gov/Databases/mpkFractions/proteomic_fractions_linear_files/Yang_linear_img/6753374.jpg","show blot")</f>
        <v>show blot</v>
      </c>
      <c r="J1113" s="5" t="s">
        <v>2217</v>
      </c>
      <c r="L1113" s="11">
        <v>5.2563049707080376</v>
      </c>
      <c r="N1113" s="12"/>
    </row>
    <row r="1114" spans="1:14" s="5" customFormat="1" ht="15" customHeight="1" x14ac:dyDescent="0.25">
      <c r="A1114" s="9" t="s">
        <v>2218</v>
      </c>
      <c r="C1114" s="9" t="str">
        <f>HYPERLINK("http://www.ncbi.nlm.nih.gov/protein/357933652","Cdh16")</f>
        <v>Cdh16</v>
      </c>
      <c r="D1114" s="10">
        <f t="shared" si="17"/>
        <v>5.6862296711708034</v>
      </c>
      <c r="F1114" s="8" t="str">
        <f>HYPERLINK("https://esbl.nhlbi.nih.gov/Databases/mpkFractions/proteomic_fractions_log_files/Yang_log_img/357933652.jpg","show blot")</f>
        <v>show blot</v>
      </c>
      <c r="H1114" s="8" t="str">
        <f>HYPERLINK("https://esbl.nhlbi.nih.gov/Databases/mpkFractions/proteomic_fractions_linear_files/Yang_linear_img/357933652.jpg","show blot")</f>
        <v>show blot</v>
      </c>
      <c r="J1114" s="5" t="s">
        <v>2219</v>
      </c>
      <c r="L1114" s="11">
        <v>5.6862296711708034</v>
      </c>
      <c r="N1114" s="12"/>
    </row>
    <row r="1115" spans="1:14" s="5" customFormat="1" ht="15" customHeight="1" x14ac:dyDescent="0.25">
      <c r="A1115" s="9" t="s">
        <v>2220</v>
      </c>
      <c r="C1115" s="9" t="str">
        <f>HYPERLINK("http://www.ncbi.nlm.nih.gov/protein/357933654","Cdh16")</f>
        <v>Cdh16</v>
      </c>
      <c r="D1115" s="10">
        <f t="shared" si="17"/>
        <v>5.6862296711708034</v>
      </c>
      <c r="F1115" s="8" t="str">
        <f>HYPERLINK("https://esbl.nhlbi.nih.gov/Databases/mpkFractions/proteomic_fractions_log_files/Yang_log_img/357933654.jpg","show blot")</f>
        <v>show blot</v>
      </c>
      <c r="H1115" s="8" t="str">
        <f>HYPERLINK("https://esbl.nhlbi.nih.gov/Databases/mpkFractions/proteomic_fractions_linear_files/Yang_linear_img/357933654.jpg","show blot")</f>
        <v>show blot</v>
      </c>
      <c r="J1115" s="5" t="s">
        <v>2221</v>
      </c>
      <c r="L1115" s="11">
        <v>5.6862296711708034</v>
      </c>
      <c r="N1115" s="12"/>
    </row>
    <row r="1116" spans="1:14" s="5" customFormat="1" ht="15" customHeight="1" x14ac:dyDescent="0.25">
      <c r="A1116" s="9" t="s">
        <v>2222</v>
      </c>
      <c r="C1116" s="9" t="str">
        <f>HYPERLINK("http://www.ncbi.nlm.nih.gov/protein/6680900","Cdh16")</f>
        <v>Cdh16</v>
      </c>
      <c r="D1116" s="10">
        <f t="shared" si="17"/>
        <v>5.6862296711708034</v>
      </c>
      <c r="F1116" s="8" t="str">
        <f>HYPERLINK("https://esbl.nhlbi.nih.gov/Databases/mpkFractions/proteomic_fractions_log_files/Yang_log_img/6680900.jpg","show blot")</f>
        <v>show blot</v>
      </c>
      <c r="H1116" s="8" t="str">
        <f>HYPERLINK("https://esbl.nhlbi.nih.gov/Databases/mpkFractions/proteomic_fractions_linear_files/Yang_linear_img/6680900.jpg","show blot")</f>
        <v>show blot</v>
      </c>
      <c r="J1116" s="5" t="s">
        <v>2223</v>
      </c>
      <c r="L1116" s="11">
        <v>5.6862296711708034</v>
      </c>
      <c r="N1116" s="12"/>
    </row>
    <row r="1117" spans="1:14" s="5" customFormat="1" ht="15" customHeight="1" x14ac:dyDescent="0.25">
      <c r="A1117" s="9" t="s">
        <v>2224</v>
      </c>
      <c r="C1117" s="9" t="str">
        <f>HYPERLINK("http://www.ncbi.nlm.nih.gov/protein/124517680","Cdh23")</f>
        <v>Cdh23</v>
      </c>
      <c r="D1117" s="10">
        <f t="shared" si="17"/>
        <v>2.7998267711431848</v>
      </c>
      <c r="F1117" s="8" t="str">
        <f>HYPERLINK("https://esbl.nhlbi.nih.gov/Databases/mpkFractions/proteomic_fractions_log_files/Yang_log_img/124517680.jpg","show blot")</f>
        <v>show blot</v>
      </c>
      <c r="H1117" s="8" t="str">
        <f>HYPERLINK("https://esbl.nhlbi.nih.gov/Databases/mpkFractions/proteomic_fractions_linear_files/Yang_linear_img/124517680.jpg","show blot")</f>
        <v>show blot</v>
      </c>
      <c r="J1117" s="5" t="s">
        <v>2225</v>
      </c>
      <c r="L1117" s="11">
        <v>2.7998267711431848</v>
      </c>
      <c r="N1117" s="12"/>
    </row>
    <row r="1118" spans="1:14" s="5" customFormat="1" ht="15" customHeight="1" x14ac:dyDescent="0.25">
      <c r="A1118" s="9" t="s">
        <v>2226</v>
      </c>
      <c r="C1118" s="9" t="str">
        <f>HYPERLINK("http://www.ncbi.nlm.nih.gov/protein/358001060","Cdh23")</f>
        <v>Cdh23</v>
      </c>
      <c r="D1118" s="10">
        <f t="shared" si="17"/>
        <v>2.7998267711431848</v>
      </c>
      <c r="F1118" s="8" t="str">
        <f>HYPERLINK("https://esbl.nhlbi.nih.gov/Databases/mpkFractions/proteomic_fractions_log_files/Yang_log_img/358001060.jpg","show blot")</f>
        <v>show blot</v>
      </c>
      <c r="H1118" s="8" t="str">
        <f>HYPERLINK("https://esbl.nhlbi.nih.gov/Databases/mpkFractions/proteomic_fractions_linear_files/Yang_linear_img/358001060.jpg","show blot")</f>
        <v>show blot</v>
      </c>
      <c r="J1118" s="5" t="s">
        <v>2227</v>
      </c>
      <c r="L1118" s="11">
        <v>2.7998267711431848</v>
      </c>
      <c r="N1118" s="12"/>
    </row>
    <row r="1119" spans="1:14" s="5" customFormat="1" ht="15" customHeight="1" x14ac:dyDescent="0.25">
      <c r="A1119" s="9" t="s">
        <v>2228</v>
      </c>
      <c r="C1119" s="9" t="str">
        <f>HYPERLINK("http://www.ncbi.nlm.nih.gov/protein/45496816","Cdh3")</f>
        <v>Cdh3</v>
      </c>
      <c r="D1119" s="10">
        <f t="shared" si="17"/>
        <v>3.6947875223573581</v>
      </c>
      <c r="F1119" s="8" t="str">
        <f>HYPERLINK("https://esbl.nhlbi.nih.gov/Databases/mpkFractions/proteomic_fractions_log_files/Yang_log_img/45496816.jpg","show blot")</f>
        <v>show blot</v>
      </c>
      <c r="H1119" s="8" t="str">
        <f>HYPERLINK("https://esbl.nhlbi.nih.gov/Databases/mpkFractions/proteomic_fractions_linear_files/Yang_linear_img/45496816.jpg","show blot")</f>
        <v>show blot</v>
      </c>
      <c r="J1119" s="5" t="s">
        <v>2229</v>
      </c>
      <c r="L1119" s="11">
        <v>3.6947875223573581</v>
      </c>
      <c r="N1119" s="12"/>
    </row>
    <row r="1120" spans="1:14" s="5" customFormat="1" ht="15" customHeight="1" x14ac:dyDescent="0.25">
      <c r="A1120" s="9" t="s">
        <v>2230</v>
      </c>
      <c r="C1120" s="9" t="str">
        <f>HYPERLINK("http://www.ncbi.nlm.nih.gov/protein/83715978","Cdh3")</f>
        <v>Cdh3</v>
      </c>
      <c r="D1120" s="10">
        <f t="shared" si="17"/>
        <v>3.6947875223573581</v>
      </c>
      <c r="F1120" s="8" t="str">
        <f>HYPERLINK("https://esbl.nhlbi.nih.gov/Databases/mpkFractions/proteomic_fractions_log_files/Yang_log_img/83715978.jpg","show blot")</f>
        <v>show blot</v>
      </c>
      <c r="H1120" s="8" t="str">
        <f>HYPERLINK("https://esbl.nhlbi.nih.gov/Databases/mpkFractions/proteomic_fractions_linear_files/Yang_linear_img/83715978.jpg","show blot")</f>
        <v>show blot</v>
      </c>
      <c r="J1120" s="5" t="s">
        <v>2231</v>
      </c>
      <c r="L1120" s="11">
        <v>3.6947875223573581</v>
      </c>
      <c r="N1120" s="12"/>
    </row>
    <row r="1121" spans="1:14" s="5" customFormat="1" ht="15" customHeight="1" x14ac:dyDescent="0.25">
      <c r="A1121" s="9" t="s">
        <v>2232</v>
      </c>
      <c r="C1121" s="9" t="str">
        <f>HYPERLINK("http://www.ncbi.nlm.nih.gov/protein/28076897","Cdipt")</f>
        <v>Cdipt</v>
      </c>
      <c r="D1121" s="10">
        <f t="shared" si="17"/>
        <v>5.5174980859621598</v>
      </c>
      <c r="F1121" s="8" t="str">
        <f>HYPERLINK("https://esbl.nhlbi.nih.gov/Databases/mpkFractions/proteomic_fractions_log_files/Yang_log_img/28076897.jpg","show blot")</f>
        <v>show blot</v>
      </c>
      <c r="H1121" s="8" t="str">
        <f>HYPERLINK("https://esbl.nhlbi.nih.gov/Databases/mpkFractions/proteomic_fractions_linear_files/Yang_linear_img/28076897.jpg","show blot")</f>
        <v>show blot</v>
      </c>
      <c r="J1121" s="5" t="s">
        <v>2233</v>
      </c>
      <c r="L1121" s="11">
        <v>5.5174980859621598</v>
      </c>
      <c r="N1121" s="12"/>
    </row>
    <row r="1122" spans="1:14" s="5" customFormat="1" ht="15" customHeight="1" x14ac:dyDescent="0.25">
      <c r="A1122" s="9" t="s">
        <v>2234</v>
      </c>
      <c r="C1122" s="9" t="str">
        <f>HYPERLINK("http://www.ncbi.nlm.nih.gov/protein/31542366","Cdk1")</f>
        <v>Cdk1</v>
      </c>
      <c r="D1122" s="10">
        <f t="shared" si="17"/>
        <v>6.0880302956240637</v>
      </c>
      <c r="F1122" s="8" t="str">
        <f>HYPERLINK("https://esbl.nhlbi.nih.gov/Databases/mpkFractions/proteomic_fractions_log_files/Yang_log_img/31542366.jpg","show blot")</f>
        <v>show blot</v>
      </c>
      <c r="H1122" s="8" t="str">
        <f>HYPERLINK("https://esbl.nhlbi.nih.gov/Databases/mpkFractions/proteomic_fractions_linear_files/Yang_linear_img/31542366.jpg","show blot")</f>
        <v>show blot</v>
      </c>
      <c r="J1122" s="5" t="s">
        <v>2235</v>
      </c>
      <c r="L1122" s="11">
        <v>6.0880302956240637</v>
      </c>
      <c r="N1122" s="12"/>
    </row>
    <row r="1123" spans="1:14" s="5" customFormat="1" ht="15" customHeight="1" x14ac:dyDescent="0.25">
      <c r="A1123" s="9" t="s">
        <v>2236</v>
      </c>
      <c r="C1123" s="9" t="str">
        <f>HYPERLINK("http://www.ncbi.nlm.nih.gov/protein/33695123","Cdk11b")</f>
        <v>Cdk11b</v>
      </c>
      <c r="D1123" s="10">
        <f t="shared" si="17"/>
        <v>4.0367184888992247</v>
      </c>
      <c r="F1123" s="8" t="str">
        <f>HYPERLINK("https://esbl.nhlbi.nih.gov/Databases/mpkFractions/proteomic_fractions_log_files/Yang_log_img/33695123.jpg","show blot")</f>
        <v>show blot</v>
      </c>
      <c r="H1123" s="8" t="str">
        <f>HYPERLINK("https://esbl.nhlbi.nih.gov/Databases/mpkFractions/proteomic_fractions_linear_files/Yang_linear_img/33695123.jpg","show blot")</f>
        <v>show blot</v>
      </c>
      <c r="J1123" s="5" t="s">
        <v>2237</v>
      </c>
      <c r="L1123" s="11">
        <v>4.0367184888992247</v>
      </c>
      <c r="N1123" s="12"/>
    </row>
    <row r="1124" spans="1:14" s="5" customFormat="1" ht="15" customHeight="1" x14ac:dyDescent="0.25">
      <c r="A1124" s="9" t="s">
        <v>2238</v>
      </c>
      <c r="C1124" s="9" t="str">
        <f>HYPERLINK("http://www.ncbi.nlm.nih.gov/protein/157816935","Cdk12")</f>
        <v>Cdk12</v>
      </c>
      <c r="D1124" s="10">
        <f t="shared" si="17"/>
        <v>4.8149860769726871</v>
      </c>
      <c r="F1124" s="8" t="str">
        <f>HYPERLINK("https://esbl.nhlbi.nih.gov/Databases/mpkFractions/proteomic_fractions_log_files/Yang_log_img/157816935.jpg","show blot")</f>
        <v>show blot</v>
      </c>
      <c r="H1124" s="8" t="str">
        <f>HYPERLINK("https://esbl.nhlbi.nih.gov/Databases/mpkFractions/proteomic_fractions_linear_files/Yang_linear_img/157816935.jpg","show blot")</f>
        <v>show blot</v>
      </c>
      <c r="J1124" s="5" t="s">
        <v>2239</v>
      </c>
      <c r="L1124" s="11">
        <v>4.8149860769726871</v>
      </c>
      <c r="N1124" s="12"/>
    </row>
    <row r="1125" spans="1:14" s="5" customFormat="1" ht="15" customHeight="1" x14ac:dyDescent="0.25">
      <c r="A1125" s="9" t="s">
        <v>2240</v>
      </c>
      <c r="C1125" s="9" t="str">
        <f>HYPERLINK("http://www.ncbi.nlm.nih.gov/protein/157816961","Cdk12")</f>
        <v>Cdk12</v>
      </c>
      <c r="D1125" s="10">
        <f t="shared" si="17"/>
        <v>4.8149860769726871</v>
      </c>
      <c r="F1125" s="8" t="str">
        <f>HYPERLINK("https://esbl.nhlbi.nih.gov/Databases/mpkFractions/proteomic_fractions_log_files/Yang_log_img/157816961.jpg","show blot")</f>
        <v>show blot</v>
      </c>
      <c r="H1125" s="8" t="str">
        <f>HYPERLINK("https://esbl.nhlbi.nih.gov/Databases/mpkFractions/proteomic_fractions_linear_files/Yang_linear_img/157816961.jpg","show blot")</f>
        <v>show blot</v>
      </c>
      <c r="J1125" s="5" t="s">
        <v>2241</v>
      </c>
      <c r="L1125" s="11">
        <v>4.8149860769726871</v>
      </c>
      <c r="N1125" s="12"/>
    </row>
    <row r="1126" spans="1:14" s="5" customFormat="1" ht="15" customHeight="1" x14ac:dyDescent="0.25">
      <c r="A1126" s="9" t="s">
        <v>2242</v>
      </c>
      <c r="C1126" s="9" t="str">
        <f>HYPERLINK("http://www.ncbi.nlm.nih.gov/protein/157824204","Cdk12")</f>
        <v>Cdk12</v>
      </c>
      <c r="D1126" s="10">
        <f t="shared" si="17"/>
        <v>4.8149860769726871</v>
      </c>
      <c r="F1126" s="8" t="str">
        <f>HYPERLINK("https://esbl.nhlbi.nih.gov/Databases/mpkFractions/proteomic_fractions_log_files/Yang_log_img/157824204.jpg","show blot")</f>
        <v>show blot</v>
      </c>
      <c r="H1126" s="8" t="str">
        <f>HYPERLINK("https://esbl.nhlbi.nih.gov/Databases/mpkFractions/proteomic_fractions_linear_files/Yang_linear_img/157824204.jpg","show blot")</f>
        <v>show blot</v>
      </c>
      <c r="J1126" s="5" t="s">
        <v>2243</v>
      </c>
      <c r="L1126" s="11">
        <v>4.8149860769726871</v>
      </c>
      <c r="N1126" s="12"/>
    </row>
    <row r="1127" spans="1:14" s="5" customFormat="1" ht="15" customHeight="1" x14ac:dyDescent="0.25">
      <c r="A1127" s="9" t="s">
        <v>2244</v>
      </c>
      <c r="C1127" s="9" t="str">
        <f>HYPERLINK("http://www.ncbi.nlm.nih.gov/protein/124486698","Cdk13")</f>
        <v>Cdk13</v>
      </c>
      <c r="D1127" s="10">
        <f t="shared" si="17"/>
        <v>4.7664149716899251</v>
      </c>
      <c r="F1127" s="8" t="str">
        <f>HYPERLINK("https://esbl.nhlbi.nih.gov/Databases/mpkFractions/proteomic_fractions_log_files/Yang_log_img/124486698.jpg","show blot")</f>
        <v>show blot</v>
      </c>
      <c r="H1127" s="8" t="str">
        <f>HYPERLINK("https://esbl.nhlbi.nih.gov/Databases/mpkFractions/proteomic_fractions_linear_files/Yang_linear_img/124486698.jpg","show blot")</f>
        <v>show blot</v>
      </c>
      <c r="J1127" s="5" t="s">
        <v>2245</v>
      </c>
      <c r="L1127" s="11">
        <v>4.7664149716899251</v>
      </c>
      <c r="N1127" s="12"/>
    </row>
    <row r="1128" spans="1:14" s="5" customFormat="1" ht="15" customHeight="1" x14ac:dyDescent="0.25">
      <c r="A1128" s="9" t="s">
        <v>2246</v>
      </c>
      <c r="C1128" s="9" t="str">
        <f>HYPERLINK("http://www.ncbi.nlm.nih.gov/protein/189409171","Cdk13")</f>
        <v>Cdk13</v>
      </c>
      <c r="D1128" s="10">
        <f t="shared" si="17"/>
        <v>4.7664149716899251</v>
      </c>
      <c r="F1128" s="8" t="str">
        <f>HYPERLINK("https://esbl.nhlbi.nih.gov/Databases/mpkFractions/proteomic_fractions_log_files/Yang_log_img/189409171.jpg","show blot")</f>
        <v>show blot</v>
      </c>
      <c r="H1128" s="8" t="str">
        <f>HYPERLINK("https://esbl.nhlbi.nih.gov/Databases/mpkFractions/proteomic_fractions_linear_files/Yang_linear_img/189409171.jpg","show blot")</f>
        <v>show blot</v>
      </c>
      <c r="J1128" s="5" t="s">
        <v>2247</v>
      </c>
      <c r="L1128" s="11">
        <v>4.7664149716899251</v>
      </c>
      <c r="N1128" s="12"/>
    </row>
    <row r="1129" spans="1:14" s="5" customFormat="1" ht="15" customHeight="1" x14ac:dyDescent="0.25">
      <c r="A1129" s="9" t="s">
        <v>2248</v>
      </c>
      <c r="C1129" s="9" t="str">
        <f>HYPERLINK("http://www.ncbi.nlm.nih.gov/protein/161086911","Cdk14")</f>
        <v>Cdk14</v>
      </c>
      <c r="D1129" s="10">
        <f t="shared" si="17"/>
        <v>5.2368382430501361</v>
      </c>
      <c r="F1129" s="8" t="str">
        <f>HYPERLINK("https://esbl.nhlbi.nih.gov/Databases/mpkFractions/proteomic_fractions_log_files/Yang_log_img/161086911.jpg","show blot")</f>
        <v>show blot</v>
      </c>
      <c r="H1129" s="8" t="str">
        <f>HYPERLINK("https://esbl.nhlbi.nih.gov/Databases/mpkFractions/proteomic_fractions_linear_files/Yang_linear_img/161086911.jpg","show blot")</f>
        <v>show blot</v>
      </c>
      <c r="J1129" s="5" t="s">
        <v>2249</v>
      </c>
      <c r="L1129" s="11">
        <v>5.2368382430501361</v>
      </c>
      <c r="N1129" s="12"/>
    </row>
    <row r="1130" spans="1:14" s="5" customFormat="1" ht="15" customHeight="1" x14ac:dyDescent="0.25">
      <c r="A1130" s="9" t="s">
        <v>2250</v>
      </c>
      <c r="C1130" s="9" t="str">
        <f>HYPERLINK("http://www.ncbi.nlm.nih.gov/protein/241666398","Cdk15")</f>
        <v>Cdk15</v>
      </c>
      <c r="D1130" s="10">
        <f t="shared" si="17"/>
        <v>5.2988405550985016</v>
      </c>
      <c r="F1130" s="8" t="str">
        <f>HYPERLINK("https://esbl.nhlbi.nih.gov/Databases/mpkFractions/proteomic_fractions_log_files/Yang_log_img/241666398.jpg","show blot")</f>
        <v>show blot</v>
      </c>
      <c r="H1130" s="8" t="str">
        <f>HYPERLINK("https://esbl.nhlbi.nih.gov/Databases/mpkFractions/proteomic_fractions_linear_files/Yang_linear_img/241666398.jpg","show blot")</f>
        <v>show blot</v>
      </c>
      <c r="J1130" s="5" t="s">
        <v>2251</v>
      </c>
      <c r="L1130" s="11">
        <v>5.2988405550985016</v>
      </c>
      <c r="N1130" s="12"/>
    </row>
    <row r="1131" spans="1:14" s="5" customFormat="1" ht="15" customHeight="1" x14ac:dyDescent="0.25">
      <c r="A1131" s="9" t="s">
        <v>2252</v>
      </c>
      <c r="C1131" s="9" t="str">
        <f>HYPERLINK("http://www.ncbi.nlm.nih.gov/protein/7242173","Cdk16")</f>
        <v>Cdk16</v>
      </c>
      <c r="D1131" s="10">
        <f t="shared" si="17"/>
        <v>5.222984079924462</v>
      </c>
      <c r="F1131" s="8" t="str">
        <f>HYPERLINK("https://esbl.nhlbi.nih.gov/Databases/mpkFractions/proteomic_fractions_log_files/Yang_log_img/7242173.jpg","show blot")</f>
        <v>show blot</v>
      </c>
      <c r="H1131" s="8" t="str">
        <f>HYPERLINK("https://esbl.nhlbi.nih.gov/Databases/mpkFractions/proteomic_fractions_linear_files/Yang_linear_img/7242173.jpg","show blot")</f>
        <v>show blot</v>
      </c>
      <c r="J1131" s="5" t="s">
        <v>2253</v>
      </c>
      <c r="L1131" s="11">
        <v>5.222984079924462</v>
      </c>
      <c r="N1131" s="12"/>
    </row>
    <row r="1132" spans="1:14" s="5" customFormat="1" ht="15" customHeight="1" x14ac:dyDescent="0.25">
      <c r="A1132" s="9" t="s">
        <v>2254</v>
      </c>
      <c r="C1132" s="9" t="str">
        <f>HYPERLINK("http://www.ncbi.nlm.nih.gov/protein/160333476","Cdk17")</f>
        <v>Cdk17</v>
      </c>
      <c r="D1132" s="10">
        <f t="shared" si="17"/>
        <v>5.2400613134313341</v>
      </c>
      <c r="F1132" s="8" t="str">
        <f>HYPERLINK("https://esbl.nhlbi.nih.gov/Databases/mpkFractions/proteomic_fractions_log_files/Yang_log_img/160333476.jpg","show blot")</f>
        <v>show blot</v>
      </c>
      <c r="H1132" s="8" t="str">
        <f>HYPERLINK("https://esbl.nhlbi.nih.gov/Databases/mpkFractions/proteomic_fractions_linear_files/Yang_linear_img/160333476.jpg","show blot")</f>
        <v>show blot</v>
      </c>
      <c r="J1132" s="5" t="s">
        <v>2255</v>
      </c>
      <c r="L1132" s="11">
        <v>5.2400613134313341</v>
      </c>
      <c r="N1132" s="12"/>
    </row>
    <row r="1133" spans="1:14" s="5" customFormat="1" ht="15" customHeight="1" x14ac:dyDescent="0.25">
      <c r="A1133" s="9" t="s">
        <v>2256</v>
      </c>
      <c r="C1133" s="9" t="str">
        <f>HYPERLINK("http://www.ncbi.nlm.nih.gov/protein/6679233","Cdk18")</f>
        <v>Cdk18</v>
      </c>
      <c r="D1133" s="10">
        <f t="shared" si="17"/>
        <v>5.346653399551621</v>
      </c>
      <c r="F1133" s="8" t="str">
        <f>HYPERLINK("https://esbl.nhlbi.nih.gov/Databases/mpkFractions/proteomic_fractions_log_files/Yang_log_img/6679233.jpg","show blot")</f>
        <v>show blot</v>
      </c>
      <c r="H1133" s="8" t="str">
        <f>HYPERLINK("https://esbl.nhlbi.nih.gov/Databases/mpkFractions/proteomic_fractions_linear_files/Yang_linear_img/6679233.jpg","show blot")</f>
        <v>show blot</v>
      </c>
      <c r="J1133" s="5" t="s">
        <v>2257</v>
      </c>
      <c r="L1133" s="11">
        <v>5.346653399551621</v>
      </c>
      <c r="N1133" s="12"/>
    </row>
    <row r="1134" spans="1:14" s="5" customFormat="1" ht="15" customHeight="1" x14ac:dyDescent="0.25">
      <c r="A1134" s="9" t="s">
        <v>2258</v>
      </c>
      <c r="C1134" s="9" t="str">
        <f>HYPERLINK("http://www.ncbi.nlm.nih.gov/protein/34556205","Cdk2")</f>
        <v>Cdk2</v>
      </c>
      <c r="D1134" s="10">
        <f t="shared" si="17"/>
        <v>5.8046355186074408</v>
      </c>
      <c r="F1134" s="8" t="str">
        <f>HYPERLINK("https://esbl.nhlbi.nih.gov/Databases/mpkFractions/proteomic_fractions_log_files/Yang_log_img/34556205.jpg","show blot")</f>
        <v>show blot</v>
      </c>
      <c r="H1134" s="8" t="str">
        <f>HYPERLINK("https://esbl.nhlbi.nih.gov/Databases/mpkFractions/proteomic_fractions_linear_files/Yang_linear_img/34556205.jpg","show blot")</f>
        <v>show blot</v>
      </c>
      <c r="J1134" s="5" t="s">
        <v>2259</v>
      </c>
      <c r="L1134" s="11">
        <v>5.8046355186074408</v>
      </c>
      <c r="N1134" s="12"/>
    </row>
    <row r="1135" spans="1:14" s="5" customFormat="1" ht="15" customHeight="1" x14ac:dyDescent="0.25">
      <c r="A1135" s="9" t="s">
        <v>2260</v>
      </c>
      <c r="C1135" s="9" t="str">
        <f>HYPERLINK("http://www.ncbi.nlm.nih.gov/protein/7949020","Cdk2")</f>
        <v>Cdk2</v>
      </c>
      <c r="D1135" s="10">
        <f t="shared" si="17"/>
        <v>5.8046355186074408</v>
      </c>
      <c r="F1135" s="8" t="str">
        <f>HYPERLINK("https://esbl.nhlbi.nih.gov/Databases/mpkFractions/proteomic_fractions_log_files/Yang_log_img/7949020.jpg","show blot")</f>
        <v>show blot</v>
      </c>
      <c r="H1135" s="8" t="str">
        <f>HYPERLINK("https://esbl.nhlbi.nih.gov/Databases/mpkFractions/proteomic_fractions_linear_files/Yang_linear_img/7949020.jpg","show blot")</f>
        <v>show blot</v>
      </c>
      <c r="J1135" s="5" t="s">
        <v>2261</v>
      </c>
      <c r="L1135" s="11">
        <v>5.8046355186074408</v>
      </c>
      <c r="N1135" s="12"/>
    </row>
    <row r="1136" spans="1:14" s="5" customFormat="1" ht="15" customHeight="1" x14ac:dyDescent="0.25">
      <c r="A1136" s="9" t="s">
        <v>2262</v>
      </c>
      <c r="C1136" s="9" t="str">
        <f>HYPERLINK("http://www.ncbi.nlm.nih.gov/protein/16716469","Cdk20")</f>
        <v>Cdk20</v>
      </c>
      <c r="D1136" s="10">
        <f t="shared" si="17"/>
        <v>5.3813305160341143</v>
      </c>
      <c r="F1136" s="8" t="str">
        <f>HYPERLINK("https://esbl.nhlbi.nih.gov/Databases/mpkFractions/proteomic_fractions_log_files/Yang_log_img/16716469.jpg","show blot")</f>
        <v>show blot</v>
      </c>
      <c r="H1136" s="8" t="str">
        <f>HYPERLINK("https://esbl.nhlbi.nih.gov/Databases/mpkFractions/proteomic_fractions_linear_files/Yang_linear_img/16716469.jpg","show blot")</f>
        <v>show blot</v>
      </c>
      <c r="J1136" s="5" t="s">
        <v>2263</v>
      </c>
      <c r="L1136" s="11">
        <v>5.3813305160341143</v>
      </c>
      <c r="N1136" s="12"/>
    </row>
    <row r="1137" spans="1:14" s="5" customFormat="1" ht="15" customHeight="1" x14ac:dyDescent="0.25">
      <c r="A1137" s="9" t="s">
        <v>2264</v>
      </c>
      <c r="C1137" s="9" t="str">
        <f>HYPERLINK("http://www.ncbi.nlm.nih.gov/protein/6753380","Cdk4")</f>
        <v>Cdk4</v>
      </c>
      <c r="D1137" s="10">
        <f t="shared" si="17"/>
        <v>5.6740943539639854</v>
      </c>
      <c r="F1137" s="8" t="str">
        <f>HYPERLINK("https://esbl.nhlbi.nih.gov/Databases/mpkFractions/proteomic_fractions_log_files/Yang_log_img/6753380.jpg","show blot")</f>
        <v>show blot</v>
      </c>
      <c r="H1137" s="8" t="str">
        <f>HYPERLINK("https://esbl.nhlbi.nih.gov/Databases/mpkFractions/proteomic_fractions_linear_files/Yang_linear_img/6753380.jpg","show blot")</f>
        <v>show blot</v>
      </c>
      <c r="J1137" s="5" t="s">
        <v>2265</v>
      </c>
      <c r="L1137" s="11">
        <v>5.6740943539639854</v>
      </c>
      <c r="N1137" s="12"/>
    </row>
    <row r="1138" spans="1:14" s="5" customFormat="1" ht="15" customHeight="1" x14ac:dyDescent="0.25">
      <c r="A1138" s="9" t="s">
        <v>2266</v>
      </c>
      <c r="C1138" s="9" t="str">
        <f>HYPERLINK("http://www.ncbi.nlm.nih.gov/protein/6680908","Cdk5")</f>
        <v>Cdk5</v>
      </c>
      <c r="D1138" s="10">
        <f t="shared" si="17"/>
        <v>5.5645387863576001</v>
      </c>
      <c r="F1138" s="8" t="str">
        <f>HYPERLINK("https://esbl.nhlbi.nih.gov/Databases/mpkFractions/proteomic_fractions_log_files/Yang_log_img/6680908.jpg","show blot")</f>
        <v>show blot</v>
      </c>
      <c r="H1138" s="8" t="str">
        <f>HYPERLINK("https://esbl.nhlbi.nih.gov/Databases/mpkFractions/proteomic_fractions_linear_files/Yang_linear_img/6680908.jpg","show blot")</f>
        <v>show blot</v>
      </c>
      <c r="J1138" s="5" t="s">
        <v>2267</v>
      </c>
      <c r="L1138" s="11">
        <v>5.5645387863576001</v>
      </c>
      <c r="N1138" s="12"/>
    </row>
    <row r="1139" spans="1:14" s="5" customFormat="1" ht="15" customHeight="1" x14ac:dyDescent="0.25">
      <c r="A1139" s="9" t="s">
        <v>2268</v>
      </c>
      <c r="C1139" s="9" t="str">
        <f>HYPERLINK("http://www.ncbi.nlm.nih.gov/protein/50657347","Cdk5rap2")</f>
        <v>Cdk5rap2</v>
      </c>
      <c r="D1139" s="10">
        <f t="shared" si="17"/>
        <v>1.6118573065669091</v>
      </c>
      <c r="F1139" s="8" t="str">
        <f>HYPERLINK("https://esbl.nhlbi.nih.gov/Databases/mpkFractions/proteomic_fractions_log_files/Yang_log_img/50657347.jpg","show blot")</f>
        <v>show blot</v>
      </c>
      <c r="H1139" s="8" t="str">
        <f>HYPERLINK("https://esbl.nhlbi.nih.gov/Databases/mpkFractions/proteomic_fractions_linear_files/Yang_linear_img/50657347.jpg","show blot")</f>
        <v>show blot</v>
      </c>
      <c r="J1139" s="5" t="s">
        <v>2269</v>
      </c>
      <c r="L1139" s="11">
        <v>1.6118573065669091</v>
      </c>
      <c r="N1139" s="12"/>
    </row>
    <row r="1140" spans="1:14" s="5" customFormat="1" ht="15" customHeight="1" x14ac:dyDescent="0.25">
      <c r="A1140" s="9" t="s">
        <v>2270</v>
      </c>
      <c r="C1140" s="9" t="str">
        <f>HYPERLINK("http://www.ncbi.nlm.nih.gov/protein/13384788","Cdk5rap3")</f>
        <v>Cdk5rap3</v>
      </c>
      <c r="D1140" s="10">
        <f t="shared" si="17"/>
        <v>3.3837153550213559</v>
      </c>
      <c r="F1140" s="8" t="str">
        <f>HYPERLINK("https://esbl.nhlbi.nih.gov/Databases/mpkFractions/proteomic_fractions_log_files/Yang_log_img/13384788.jpg","show blot")</f>
        <v>show blot</v>
      </c>
      <c r="H1140" s="8" t="str">
        <f>HYPERLINK("https://esbl.nhlbi.nih.gov/Databases/mpkFractions/proteomic_fractions_linear_files/Yang_linear_img/13384788.jpg","show blot")</f>
        <v>show blot</v>
      </c>
      <c r="J1140" s="5" t="s">
        <v>2271</v>
      </c>
      <c r="L1140" s="11">
        <v>3.3837153550213559</v>
      </c>
      <c r="N1140" s="12"/>
    </row>
    <row r="1141" spans="1:14" s="5" customFormat="1" ht="15" customHeight="1" x14ac:dyDescent="0.25">
      <c r="A1141" s="9" t="s">
        <v>2272</v>
      </c>
      <c r="C1141" s="9" t="str">
        <f>HYPERLINK("http://www.ncbi.nlm.nih.gov/protein/14149637","Cdk6")</f>
        <v>Cdk6</v>
      </c>
      <c r="D1141" s="10">
        <f t="shared" si="17"/>
        <v>5.4953633448690411</v>
      </c>
      <c r="F1141" s="8" t="str">
        <f>HYPERLINK("https://esbl.nhlbi.nih.gov/Databases/mpkFractions/proteomic_fractions_log_files/Yang_log_img/14149637.jpg","show blot")</f>
        <v>show blot</v>
      </c>
      <c r="H1141" s="8" t="str">
        <f>HYPERLINK("https://esbl.nhlbi.nih.gov/Databases/mpkFractions/proteomic_fractions_linear_files/Yang_linear_img/14149637.jpg","show blot")</f>
        <v>show blot</v>
      </c>
      <c r="J1141" s="5" t="s">
        <v>2273</v>
      </c>
      <c r="L1141" s="11">
        <v>5.4953633448690411</v>
      </c>
      <c r="N1141" s="12"/>
    </row>
    <row r="1142" spans="1:14" s="5" customFormat="1" ht="15" customHeight="1" x14ac:dyDescent="0.25">
      <c r="A1142" s="9" t="s">
        <v>2274</v>
      </c>
      <c r="C1142" s="9" t="str">
        <f>HYPERLINK("http://www.ncbi.nlm.nih.gov/protein/160333726","Cdk7")</f>
        <v>Cdk7</v>
      </c>
      <c r="D1142" s="10">
        <f t="shared" si="17"/>
        <v>4.4384308480761421</v>
      </c>
      <c r="F1142" s="8" t="str">
        <f>HYPERLINK("https://esbl.nhlbi.nih.gov/Databases/mpkFractions/proteomic_fractions_log_files/Yang_log_img/160333726.jpg","show blot")</f>
        <v>show blot</v>
      </c>
      <c r="H1142" s="8" t="str">
        <f>HYPERLINK("https://esbl.nhlbi.nih.gov/Databases/mpkFractions/proteomic_fractions_linear_files/Yang_linear_img/160333726.jpg","show blot")</f>
        <v>show blot</v>
      </c>
      <c r="J1142" s="5" t="s">
        <v>2275</v>
      </c>
      <c r="L1142" s="11">
        <v>4.4384308480761421</v>
      </c>
      <c r="N1142" s="12"/>
    </row>
    <row r="1143" spans="1:14" s="5" customFormat="1" ht="15" customHeight="1" x14ac:dyDescent="0.25">
      <c r="A1143" s="9" t="s">
        <v>2276</v>
      </c>
      <c r="C1143" s="9" t="str">
        <f>HYPERLINK("http://www.ncbi.nlm.nih.gov/protein/18699998","Cdk9")</f>
        <v>Cdk9</v>
      </c>
      <c r="D1143" s="10">
        <f t="shared" si="17"/>
        <v>5.6037296304358923</v>
      </c>
      <c r="F1143" s="8" t="str">
        <f>HYPERLINK("https://esbl.nhlbi.nih.gov/Databases/mpkFractions/proteomic_fractions_log_files/Yang_log_img/18699998.jpg","show blot")</f>
        <v>show blot</v>
      </c>
      <c r="H1143" s="8" t="str">
        <f>HYPERLINK("https://esbl.nhlbi.nih.gov/Databases/mpkFractions/proteomic_fractions_linear_files/Yang_linear_img/18699998.jpg","show blot")</f>
        <v>show blot</v>
      </c>
      <c r="J1143" s="5" t="s">
        <v>2277</v>
      </c>
      <c r="L1143" s="11">
        <v>5.6037296304358923</v>
      </c>
      <c r="N1143" s="12"/>
    </row>
    <row r="1144" spans="1:14" s="5" customFormat="1" ht="15" customHeight="1" x14ac:dyDescent="0.25">
      <c r="A1144" s="9" t="s">
        <v>2278</v>
      </c>
      <c r="C1144" s="9" t="str">
        <f>HYPERLINK("http://www.ncbi.nlm.nih.gov/protein/21617853","Cdkal1")</f>
        <v>Cdkal1</v>
      </c>
      <c r="D1144" s="10">
        <f t="shared" si="17"/>
        <v>3.463057457681368</v>
      </c>
      <c r="F1144" s="8" t="str">
        <f>HYPERLINK("https://esbl.nhlbi.nih.gov/Databases/mpkFractions/proteomic_fractions_log_files/Yang_log_img/21617853.jpg","show blot")</f>
        <v>show blot</v>
      </c>
      <c r="H1144" s="8" t="str">
        <f>HYPERLINK("https://esbl.nhlbi.nih.gov/Databases/mpkFractions/proteomic_fractions_linear_files/Yang_linear_img/21617853.jpg","show blot")</f>
        <v>show blot</v>
      </c>
      <c r="J1144" s="5" t="s">
        <v>2279</v>
      </c>
      <c r="L1144" s="11">
        <v>3.463057457681368</v>
      </c>
      <c r="N1144" s="12"/>
    </row>
    <row r="1145" spans="1:14" s="5" customFormat="1" ht="15" customHeight="1" x14ac:dyDescent="0.25">
      <c r="A1145" s="9" t="s">
        <v>2280</v>
      </c>
      <c r="C1145" s="9" t="str">
        <f>HYPERLINK("http://www.ncbi.nlm.nih.gov/protein/34304105","Cdkl1")</f>
        <v>Cdkl1</v>
      </c>
      <c r="D1145" s="10">
        <f t="shared" si="17"/>
        <v>4.2954601653464026</v>
      </c>
      <c r="F1145" s="8" t="str">
        <f>HYPERLINK("https://esbl.nhlbi.nih.gov/Databases/mpkFractions/proteomic_fractions_log_files/Yang_log_img/34304105.jpg","show blot")</f>
        <v>show blot</v>
      </c>
      <c r="H1145" s="8" t="str">
        <f>HYPERLINK("https://esbl.nhlbi.nih.gov/Databases/mpkFractions/proteomic_fractions_linear_files/Yang_linear_img/34304105.jpg","show blot")</f>
        <v>show blot</v>
      </c>
      <c r="J1145" s="5" t="s">
        <v>2281</v>
      </c>
      <c r="L1145" s="11">
        <v>4.2954601653464026</v>
      </c>
      <c r="N1145" s="12"/>
    </row>
    <row r="1146" spans="1:14" s="5" customFormat="1" ht="15" customHeight="1" x14ac:dyDescent="0.25">
      <c r="A1146" s="9" t="s">
        <v>2282</v>
      </c>
      <c r="C1146" s="9" t="str">
        <f>HYPERLINK("http://www.ncbi.nlm.nih.gov/protein/31542372","Cdkn1b")</f>
        <v>Cdkn1b</v>
      </c>
      <c r="D1146" s="10">
        <f t="shared" si="17"/>
        <v>5.1341267036164044</v>
      </c>
      <c r="F1146" s="8" t="str">
        <f>HYPERLINK("https://esbl.nhlbi.nih.gov/Databases/mpkFractions/proteomic_fractions_log_files/Yang_log_img/31542372.jpg","show blot")</f>
        <v>show blot</v>
      </c>
      <c r="H1146" s="8" t="str">
        <f>HYPERLINK("https://esbl.nhlbi.nih.gov/Databases/mpkFractions/proteomic_fractions_linear_files/Yang_linear_img/31542372.jpg","show blot")</f>
        <v>show blot</v>
      </c>
      <c r="J1146" s="5" t="s">
        <v>2283</v>
      </c>
      <c r="L1146" s="11">
        <v>5.1341267036164044</v>
      </c>
      <c r="N1146" s="12"/>
    </row>
    <row r="1147" spans="1:14" s="5" customFormat="1" ht="15" customHeight="1" x14ac:dyDescent="0.25">
      <c r="A1147" s="9" t="s">
        <v>2284</v>
      </c>
      <c r="C1147" s="9" t="str">
        <f>HYPERLINK("http://www.ncbi.nlm.nih.gov/protein/6753390","Cdkn2a")</f>
        <v>Cdkn2a</v>
      </c>
      <c r="D1147" s="10">
        <f t="shared" si="17"/>
        <v>4.1622368486466286</v>
      </c>
      <c r="F1147" s="8" t="str">
        <f>HYPERLINK("https://esbl.nhlbi.nih.gov/Databases/mpkFractions/proteomic_fractions_log_files/Yang_log_img/6753390.jpg","show blot")</f>
        <v>show blot</v>
      </c>
      <c r="H1147" s="8" t="str">
        <f>HYPERLINK("https://esbl.nhlbi.nih.gov/Databases/mpkFractions/proteomic_fractions_linear_files/Yang_linear_img/6753390.jpg","show blot")</f>
        <v>show blot</v>
      </c>
      <c r="J1147" s="5" t="s">
        <v>2285</v>
      </c>
      <c r="L1147" s="11">
        <v>4.1622368486466286</v>
      </c>
      <c r="N1147" s="12"/>
    </row>
    <row r="1148" spans="1:14" s="5" customFormat="1" ht="15" customHeight="1" x14ac:dyDescent="0.25">
      <c r="A1148" s="9" t="s">
        <v>2286</v>
      </c>
      <c r="C1148" s="9" t="str">
        <f>HYPERLINK("http://www.ncbi.nlm.nih.gov/protein/27369527","Cdkn2aip")</f>
        <v>Cdkn2aip</v>
      </c>
      <c r="D1148" s="10">
        <f t="shared" si="17"/>
        <v>3.3828554627248422</v>
      </c>
      <c r="F1148" s="8" t="str">
        <f>HYPERLINK("https://esbl.nhlbi.nih.gov/Databases/mpkFractions/proteomic_fractions_log_files/Yang_log_img/27369527.jpg","show blot")</f>
        <v>show blot</v>
      </c>
      <c r="H1148" s="8" t="str">
        <f>HYPERLINK("https://esbl.nhlbi.nih.gov/Databases/mpkFractions/proteomic_fractions_linear_files/Yang_linear_img/27369527.jpg","show blot")</f>
        <v>show blot</v>
      </c>
      <c r="J1148" s="5" t="s">
        <v>2287</v>
      </c>
      <c r="L1148" s="11">
        <v>3.3828554627248422</v>
      </c>
      <c r="N1148" s="12"/>
    </row>
    <row r="1149" spans="1:14" s="5" customFormat="1" ht="15" customHeight="1" x14ac:dyDescent="0.25">
      <c r="A1149" s="9" t="s">
        <v>2288</v>
      </c>
      <c r="C1149" s="9" t="str">
        <f>HYPERLINK("http://www.ncbi.nlm.nih.gov/protein/21313402","Cdkn2aipnl")</f>
        <v>Cdkn2aipnl</v>
      </c>
      <c r="D1149" s="10">
        <f t="shared" si="17"/>
        <v>3.6861058297646538</v>
      </c>
      <c r="F1149" s="8" t="str">
        <f>HYPERLINK("https://esbl.nhlbi.nih.gov/Databases/mpkFractions/proteomic_fractions_log_files/Yang_log_img/21313402.jpg","show blot")</f>
        <v>show blot</v>
      </c>
      <c r="H1149" s="8" t="str">
        <f>HYPERLINK("https://esbl.nhlbi.nih.gov/Databases/mpkFractions/proteomic_fractions_linear_files/Yang_linear_img/21313402.jpg","show blot")</f>
        <v>show blot</v>
      </c>
      <c r="J1149" s="5" t="s">
        <v>2289</v>
      </c>
      <c r="L1149" s="11">
        <v>3.6861058297646538</v>
      </c>
      <c r="N1149" s="12"/>
    </row>
    <row r="1150" spans="1:14" s="5" customFormat="1" ht="15" customHeight="1" x14ac:dyDescent="0.25">
      <c r="A1150" s="9" t="s">
        <v>2290</v>
      </c>
      <c r="C1150" s="9" t="str">
        <f>HYPERLINK("http://www.ncbi.nlm.nih.gov/protein/6671728","Cdkn2b")</f>
        <v>Cdkn2b</v>
      </c>
      <c r="D1150" s="10">
        <f t="shared" si="17"/>
        <v>4.8594579102295281</v>
      </c>
      <c r="F1150" s="8" t="str">
        <f>HYPERLINK("https://esbl.nhlbi.nih.gov/Databases/mpkFractions/proteomic_fractions_log_files/Yang_log_img/6671728.jpg","show blot")</f>
        <v>show blot</v>
      </c>
      <c r="H1150" s="8" t="str">
        <f>HYPERLINK("https://esbl.nhlbi.nih.gov/Databases/mpkFractions/proteomic_fractions_linear_files/Yang_linear_img/6671728.jpg","show blot")</f>
        <v>show blot</v>
      </c>
      <c r="J1150" s="5" t="s">
        <v>2291</v>
      </c>
      <c r="L1150" s="11">
        <v>4.8594579102295281</v>
      </c>
      <c r="N1150" s="12"/>
    </row>
    <row r="1151" spans="1:14" s="5" customFormat="1" ht="15" customHeight="1" x14ac:dyDescent="0.25">
      <c r="A1151" s="9" t="s">
        <v>2292</v>
      </c>
      <c r="C1151" s="9" t="str">
        <f>HYPERLINK("http://www.ncbi.nlm.nih.gov/protein/6680910","Cdkn2c")</f>
        <v>Cdkn2c</v>
      </c>
      <c r="D1151" s="10">
        <f t="shared" si="17"/>
        <v>5.2573984735517314</v>
      </c>
      <c r="F1151" s="8" t="str">
        <f>HYPERLINK("https://esbl.nhlbi.nih.gov/Databases/mpkFractions/proteomic_fractions_log_files/Yang_log_img/6680910.jpg","show blot")</f>
        <v>show blot</v>
      </c>
      <c r="H1151" s="8" t="str">
        <f>HYPERLINK("https://esbl.nhlbi.nih.gov/Databases/mpkFractions/proteomic_fractions_linear_files/Yang_linear_img/6680910.jpg","show blot")</f>
        <v>show blot</v>
      </c>
      <c r="J1151" s="5" t="s">
        <v>2293</v>
      </c>
      <c r="L1151" s="11">
        <v>5.2573984735517314</v>
      </c>
      <c r="N1151" s="12"/>
    </row>
    <row r="1152" spans="1:14" s="5" customFormat="1" ht="15" customHeight="1" x14ac:dyDescent="0.25">
      <c r="A1152" s="9" t="s">
        <v>2294</v>
      </c>
      <c r="C1152" s="9" t="str">
        <f>HYPERLINK("http://www.ncbi.nlm.nih.gov/protein/14719434","Cdo1")</f>
        <v>Cdo1</v>
      </c>
      <c r="D1152" s="10">
        <f t="shared" si="17"/>
        <v>5.8775959027014926</v>
      </c>
      <c r="F1152" s="8" t="str">
        <f>HYPERLINK("https://esbl.nhlbi.nih.gov/Databases/mpkFractions/proteomic_fractions_log_files/Yang_log_img/14719434.jpg","show blot")</f>
        <v>show blot</v>
      </c>
      <c r="H1152" s="8" t="str">
        <f>HYPERLINK("https://esbl.nhlbi.nih.gov/Databases/mpkFractions/proteomic_fractions_linear_files/Yang_linear_img/14719434.jpg","show blot")</f>
        <v>show blot</v>
      </c>
      <c r="J1152" s="5" t="s">
        <v>2295</v>
      </c>
      <c r="L1152" s="11">
        <v>5.8775959027014926</v>
      </c>
      <c r="N1152" s="12"/>
    </row>
    <row r="1153" spans="1:14" s="5" customFormat="1" ht="15" customHeight="1" x14ac:dyDescent="0.25">
      <c r="A1153" s="9" t="s">
        <v>2296</v>
      </c>
      <c r="C1153" s="9" t="str">
        <f>HYPERLINK("http://www.ncbi.nlm.nih.gov/protein/257467494","Cdpf1")</f>
        <v>Cdpf1</v>
      </c>
      <c r="D1153" s="10">
        <f t="shared" si="17"/>
        <v>3.375181227967631</v>
      </c>
      <c r="F1153" s="8" t="str">
        <f>HYPERLINK("https://esbl.nhlbi.nih.gov/Databases/mpkFractions/proteomic_fractions_log_files/Yang_log_img/257467494.jpg","show blot")</f>
        <v>show blot</v>
      </c>
      <c r="H1153" s="8" t="str">
        <f>HYPERLINK("https://esbl.nhlbi.nih.gov/Databases/mpkFractions/proteomic_fractions_linear_files/Yang_linear_img/257467494.jpg","show blot")</f>
        <v>show blot</v>
      </c>
      <c r="J1153" s="5" t="s">
        <v>2297</v>
      </c>
      <c r="L1153" s="11">
        <v>3.375181227967631</v>
      </c>
      <c r="N1153" s="12"/>
    </row>
    <row r="1154" spans="1:14" s="5" customFormat="1" ht="15" customHeight="1" x14ac:dyDescent="0.25">
      <c r="A1154" s="9" t="s">
        <v>2298</v>
      </c>
      <c r="C1154" s="9" t="str">
        <f>HYPERLINK("http://www.ncbi.nlm.nih.gov/protein/20149726","Cds2")</f>
        <v>Cds2</v>
      </c>
      <c r="D1154" s="10">
        <f t="shared" si="17"/>
        <v>3.6999374607959719</v>
      </c>
      <c r="F1154" s="8" t="str">
        <f>HYPERLINK("https://esbl.nhlbi.nih.gov/Databases/mpkFractions/proteomic_fractions_log_files/Yang_log_img/20149726.jpg","show blot")</f>
        <v>show blot</v>
      </c>
      <c r="H1154" s="8" t="str">
        <f>HYPERLINK("https://esbl.nhlbi.nih.gov/Databases/mpkFractions/proteomic_fractions_linear_files/Yang_linear_img/20149726.jpg","show blot")</f>
        <v>show blot</v>
      </c>
      <c r="J1154" s="5" t="s">
        <v>2299</v>
      </c>
      <c r="L1154" s="11">
        <v>3.6999374607959719</v>
      </c>
      <c r="N1154" s="12"/>
    </row>
    <row r="1155" spans="1:14" s="5" customFormat="1" ht="15" customHeight="1" x14ac:dyDescent="0.25">
      <c r="A1155" s="9" t="s">
        <v>2300</v>
      </c>
      <c r="C1155" s="9" t="str">
        <f>HYPERLINK("http://www.ncbi.nlm.nih.gov/protein/31982546","Cdt1")</f>
        <v>Cdt1</v>
      </c>
      <c r="D1155" s="10">
        <f t="shared" si="17"/>
        <v>2.9556067182575001</v>
      </c>
      <c r="F1155" s="8" t="str">
        <f>HYPERLINK("https://esbl.nhlbi.nih.gov/Databases/mpkFractions/proteomic_fractions_log_files/Yang_log_img/31982546.jpg","show blot")</f>
        <v>show blot</v>
      </c>
      <c r="H1155" s="8" t="str">
        <f>HYPERLINK("https://esbl.nhlbi.nih.gov/Databases/mpkFractions/proteomic_fractions_linear_files/Yang_linear_img/31982546.jpg","show blot")</f>
        <v>show blot</v>
      </c>
      <c r="J1155" s="5" t="s">
        <v>2301</v>
      </c>
      <c r="L1155" s="11">
        <v>2.9556067182575001</v>
      </c>
      <c r="N1155" s="12"/>
    </row>
    <row r="1156" spans="1:14" s="5" customFormat="1" ht="15" customHeight="1" x14ac:dyDescent="0.25">
      <c r="A1156" s="9" t="s">
        <v>2302</v>
      </c>
      <c r="C1156" s="9" t="str">
        <f>HYPERLINK("http://www.ncbi.nlm.nih.gov/protein/197313683","Cdv3")</f>
        <v>Cdv3</v>
      </c>
      <c r="D1156" s="10">
        <f t="shared" si="17"/>
        <v>5.6105629322853856</v>
      </c>
      <c r="F1156" s="8" t="str">
        <f>HYPERLINK("https://esbl.nhlbi.nih.gov/Databases/mpkFractions/proteomic_fractions_log_files/Yang_log_img/197313683.jpg","show blot")</f>
        <v>show blot</v>
      </c>
      <c r="H1156" s="8" t="str">
        <f>HYPERLINK("https://esbl.nhlbi.nih.gov/Databases/mpkFractions/proteomic_fractions_linear_files/Yang_linear_img/197313683.jpg","show blot")</f>
        <v>show blot</v>
      </c>
      <c r="J1156" s="5" t="s">
        <v>2303</v>
      </c>
      <c r="L1156" s="11">
        <v>5.6105629322853856</v>
      </c>
      <c r="N1156" s="12"/>
    </row>
    <row r="1157" spans="1:14" s="5" customFormat="1" ht="15" customHeight="1" x14ac:dyDescent="0.25">
      <c r="A1157" s="9" t="s">
        <v>2304</v>
      </c>
      <c r="C1157" s="9" t="str">
        <f>HYPERLINK("http://www.ncbi.nlm.nih.gov/protein/197313685","Cdv3")</f>
        <v>Cdv3</v>
      </c>
      <c r="D1157" s="10">
        <f t="shared" ref="D1157:D1220" si="18">L1157</f>
        <v>5.6105629322853856</v>
      </c>
      <c r="F1157" s="8" t="str">
        <f>HYPERLINK("https://esbl.nhlbi.nih.gov/Databases/mpkFractions/proteomic_fractions_log_files/Yang_log_img/197313685.jpg","show blot")</f>
        <v>show blot</v>
      </c>
      <c r="H1157" s="8" t="str">
        <f>HYPERLINK("https://esbl.nhlbi.nih.gov/Databases/mpkFractions/proteomic_fractions_linear_files/Yang_linear_img/197313685.jpg","show blot")</f>
        <v>show blot</v>
      </c>
      <c r="J1157" s="5" t="s">
        <v>2305</v>
      </c>
      <c r="L1157" s="11">
        <v>5.6105629322853856</v>
      </c>
      <c r="N1157" s="12"/>
    </row>
    <row r="1158" spans="1:14" s="5" customFormat="1" ht="15" customHeight="1" x14ac:dyDescent="0.25">
      <c r="A1158" s="9" t="s">
        <v>2306</v>
      </c>
      <c r="C1158" s="9" t="str">
        <f>HYPERLINK("http://www.ncbi.nlm.nih.gov/protein/28202071","Cdv3")</f>
        <v>Cdv3</v>
      </c>
      <c r="D1158" s="10">
        <f t="shared" si="18"/>
        <v>5.6105629322853856</v>
      </c>
      <c r="F1158" s="8" t="str">
        <f>HYPERLINK("https://esbl.nhlbi.nih.gov/Databases/mpkFractions/proteomic_fractions_log_files/Yang_log_img/28202071.jpg","show blot")</f>
        <v>show blot</v>
      </c>
      <c r="H1158" s="8" t="str">
        <f>HYPERLINK("https://esbl.nhlbi.nih.gov/Databases/mpkFractions/proteomic_fractions_linear_files/Yang_linear_img/28202071.jpg","show blot")</f>
        <v>show blot</v>
      </c>
      <c r="J1158" s="5" t="s">
        <v>2307</v>
      </c>
      <c r="L1158" s="11">
        <v>5.6105629322853856</v>
      </c>
      <c r="N1158" s="12"/>
    </row>
    <row r="1159" spans="1:14" s="5" customFormat="1" ht="15" customHeight="1" x14ac:dyDescent="0.25">
      <c r="A1159" s="9" t="s">
        <v>2308</v>
      </c>
      <c r="C1159" s="9" t="str">
        <f>HYPERLINK("http://www.ncbi.nlm.nih.gov/protein/28461294","Cdv3")</f>
        <v>Cdv3</v>
      </c>
      <c r="D1159" s="10">
        <f t="shared" si="18"/>
        <v>5.6105629322853856</v>
      </c>
      <c r="F1159" s="8" t="str">
        <f>HYPERLINK("https://esbl.nhlbi.nih.gov/Databases/mpkFractions/proteomic_fractions_log_files/Yang_log_img/28461294.jpg","show blot")</f>
        <v>show blot</v>
      </c>
      <c r="H1159" s="8" t="str">
        <f>HYPERLINK("https://esbl.nhlbi.nih.gov/Databases/mpkFractions/proteomic_fractions_linear_files/Yang_linear_img/28461294.jpg","show blot")</f>
        <v>show blot</v>
      </c>
      <c r="J1159" s="5" t="s">
        <v>2309</v>
      </c>
      <c r="L1159" s="11">
        <v>5.6105629322853856</v>
      </c>
      <c r="N1159" s="12"/>
    </row>
    <row r="1160" spans="1:14" s="5" customFormat="1" ht="15" customHeight="1" x14ac:dyDescent="0.25">
      <c r="A1160" s="9" t="s">
        <v>2310</v>
      </c>
      <c r="C1160" s="9" t="str">
        <f>HYPERLINK("http://www.ncbi.nlm.nih.gov/protein/21450187","Cecr5")</f>
        <v>Cecr5</v>
      </c>
      <c r="D1160" s="10">
        <f t="shared" si="18"/>
        <v>3.5582832801867852</v>
      </c>
      <c r="F1160" s="8" t="str">
        <f>HYPERLINK("https://esbl.nhlbi.nih.gov/Databases/mpkFractions/proteomic_fractions_log_files/Yang_log_img/21450187.jpg","show blot")</f>
        <v>show blot</v>
      </c>
      <c r="H1160" s="8" t="str">
        <f>HYPERLINK("https://esbl.nhlbi.nih.gov/Databases/mpkFractions/proteomic_fractions_linear_files/Yang_linear_img/21450187.jpg","show blot")</f>
        <v>show blot</v>
      </c>
      <c r="J1160" s="5" t="s">
        <v>2311</v>
      </c>
      <c r="L1160" s="11">
        <v>3.5582832801867852</v>
      </c>
      <c r="N1160" s="12"/>
    </row>
    <row r="1161" spans="1:14" s="5" customFormat="1" ht="15" customHeight="1" x14ac:dyDescent="0.25">
      <c r="A1161" s="9" t="s">
        <v>2312</v>
      </c>
      <c r="C1161" s="9" t="str">
        <f>HYPERLINK("http://www.ncbi.nlm.nih.gov/protein/349585220","Celf1")</f>
        <v>Celf1</v>
      </c>
      <c r="D1161" s="10">
        <f t="shared" si="18"/>
        <v>4.8358656218969882</v>
      </c>
      <c r="F1161" s="8" t="str">
        <f>HYPERLINK("https://esbl.nhlbi.nih.gov/Databases/mpkFractions/proteomic_fractions_log_files/Yang_log_img/349585220.jpg","show blot")</f>
        <v>show blot</v>
      </c>
      <c r="H1161" s="8" t="str">
        <f>HYPERLINK("https://esbl.nhlbi.nih.gov/Databases/mpkFractions/proteomic_fractions_linear_files/Yang_linear_img/349585220.jpg","show blot")</f>
        <v>show blot</v>
      </c>
      <c r="J1161" s="5" t="s">
        <v>2313</v>
      </c>
      <c r="L1161" s="11">
        <v>4.8358656218969882</v>
      </c>
      <c r="N1161" s="12"/>
    </row>
    <row r="1162" spans="1:14" s="5" customFormat="1" ht="15" customHeight="1" x14ac:dyDescent="0.25">
      <c r="A1162" s="9" t="s">
        <v>2314</v>
      </c>
      <c r="C1162" s="9" t="str">
        <f>HYPERLINK("http://www.ncbi.nlm.nih.gov/protein/38570086","Celf1")</f>
        <v>Celf1</v>
      </c>
      <c r="D1162" s="10">
        <f t="shared" si="18"/>
        <v>4.8358656218969882</v>
      </c>
      <c r="F1162" s="8" t="str">
        <f>HYPERLINK("https://esbl.nhlbi.nih.gov/Databases/mpkFractions/proteomic_fractions_log_files/Yang_log_img/38570086.jpg","show blot")</f>
        <v>show blot</v>
      </c>
      <c r="H1162" s="8" t="str">
        <f>HYPERLINK("https://esbl.nhlbi.nih.gov/Databases/mpkFractions/proteomic_fractions_linear_files/Yang_linear_img/38570086.jpg","show blot")</f>
        <v>show blot</v>
      </c>
      <c r="J1162" s="5" t="s">
        <v>2315</v>
      </c>
      <c r="L1162" s="11">
        <v>4.8358656218969882</v>
      </c>
      <c r="N1162" s="12"/>
    </row>
    <row r="1163" spans="1:14" s="5" customFormat="1" ht="15" customHeight="1" x14ac:dyDescent="0.25">
      <c r="A1163" s="9" t="s">
        <v>2316</v>
      </c>
      <c r="C1163" s="9" t="str">
        <f>HYPERLINK("http://www.ncbi.nlm.nih.gov/protein/124286791","Celf2")</f>
        <v>Celf2</v>
      </c>
      <c r="D1163" s="10">
        <f t="shared" si="18"/>
        <v>4.3447356432276143</v>
      </c>
      <c r="F1163" s="8" t="str">
        <f>HYPERLINK("https://esbl.nhlbi.nih.gov/Databases/mpkFractions/proteomic_fractions_log_files/Yang_log_img/124286791.jpg","show blot")</f>
        <v>show blot</v>
      </c>
      <c r="H1163" s="8" t="str">
        <f>HYPERLINK("https://esbl.nhlbi.nih.gov/Databases/mpkFractions/proteomic_fractions_linear_files/Yang_linear_img/124286791.jpg","show blot")</f>
        <v>show blot</v>
      </c>
      <c r="J1163" s="5" t="s">
        <v>2317</v>
      </c>
      <c r="L1163" s="11">
        <v>4.3447356432276143</v>
      </c>
      <c r="N1163" s="12"/>
    </row>
    <row r="1164" spans="1:14" s="5" customFormat="1" ht="15" customHeight="1" x14ac:dyDescent="0.25">
      <c r="A1164" s="9" t="s">
        <v>2318</v>
      </c>
      <c r="C1164" s="9" t="str">
        <f>HYPERLINK("http://www.ncbi.nlm.nih.gov/protein/159032033","Celf2")</f>
        <v>Celf2</v>
      </c>
      <c r="D1164" s="10">
        <f t="shared" si="18"/>
        <v>4.3447356432276143</v>
      </c>
      <c r="F1164" s="8" t="str">
        <f>HYPERLINK("https://esbl.nhlbi.nih.gov/Databases/mpkFractions/proteomic_fractions_log_files/Yang_log_img/159032033.jpg","show blot")</f>
        <v>show blot</v>
      </c>
      <c r="H1164" s="8" t="str">
        <f>HYPERLINK("https://esbl.nhlbi.nih.gov/Databases/mpkFractions/proteomic_fractions_linear_files/Yang_linear_img/159032033.jpg","show blot")</f>
        <v>show blot</v>
      </c>
      <c r="J1164" s="5" t="s">
        <v>2319</v>
      </c>
      <c r="L1164" s="11">
        <v>4.3447356432276143</v>
      </c>
      <c r="N1164" s="12"/>
    </row>
    <row r="1165" spans="1:14" s="5" customFormat="1" ht="15" customHeight="1" x14ac:dyDescent="0.25">
      <c r="A1165" s="9" t="s">
        <v>2320</v>
      </c>
      <c r="C1165" s="9" t="str">
        <f>HYPERLINK("http://www.ncbi.nlm.nih.gov/protein/159032035","Celf2")</f>
        <v>Celf2</v>
      </c>
      <c r="D1165" s="10">
        <f t="shared" si="18"/>
        <v>4.3447356432276143</v>
      </c>
      <c r="F1165" s="8" t="str">
        <f>HYPERLINK("https://esbl.nhlbi.nih.gov/Databases/mpkFractions/proteomic_fractions_log_files/Yang_log_img/159032035.jpg","show blot")</f>
        <v>show blot</v>
      </c>
      <c r="H1165" s="8" t="str">
        <f>HYPERLINK("https://esbl.nhlbi.nih.gov/Databases/mpkFractions/proteomic_fractions_linear_files/Yang_linear_img/159032035.jpg","show blot")</f>
        <v>show blot</v>
      </c>
      <c r="J1165" s="5" t="s">
        <v>2321</v>
      </c>
      <c r="L1165" s="11">
        <v>4.3447356432276143</v>
      </c>
      <c r="N1165" s="12"/>
    </row>
    <row r="1166" spans="1:14" s="5" customFormat="1" ht="15" customHeight="1" x14ac:dyDescent="0.25">
      <c r="A1166" s="9" t="s">
        <v>2322</v>
      </c>
      <c r="C1166" s="9" t="str">
        <f>HYPERLINK("http://www.ncbi.nlm.nih.gov/protein/159032037","Celf2")</f>
        <v>Celf2</v>
      </c>
      <c r="D1166" s="10">
        <f t="shared" si="18"/>
        <v>4.3447356432276143</v>
      </c>
      <c r="F1166" s="8" t="str">
        <f>HYPERLINK("https://esbl.nhlbi.nih.gov/Databases/mpkFractions/proteomic_fractions_log_files/Yang_log_img/159032037.jpg","show blot")</f>
        <v>show blot</v>
      </c>
      <c r="H1166" s="8" t="str">
        <f>HYPERLINK("https://esbl.nhlbi.nih.gov/Databases/mpkFractions/proteomic_fractions_linear_files/Yang_linear_img/159032037.jpg","show blot")</f>
        <v>show blot</v>
      </c>
      <c r="J1166" s="5" t="s">
        <v>2323</v>
      </c>
      <c r="L1166" s="11">
        <v>4.3447356432276143</v>
      </c>
      <c r="N1166" s="12"/>
    </row>
    <row r="1167" spans="1:14" s="5" customFormat="1" ht="15" customHeight="1" x14ac:dyDescent="0.25">
      <c r="A1167" s="9" t="s">
        <v>2324</v>
      </c>
      <c r="C1167" s="9" t="str">
        <f>HYPERLINK("http://www.ncbi.nlm.nih.gov/protein/159032039","Celf2")</f>
        <v>Celf2</v>
      </c>
      <c r="D1167" s="10">
        <f t="shared" si="18"/>
        <v>4.3447356432276143</v>
      </c>
      <c r="F1167" s="8" t="str">
        <f>HYPERLINK("https://esbl.nhlbi.nih.gov/Databases/mpkFractions/proteomic_fractions_log_files/Yang_log_img/159032039.jpg","show blot")</f>
        <v>show blot</v>
      </c>
      <c r="H1167" s="8" t="str">
        <f>HYPERLINK("https://esbl.nhlbi.nih.gov/Databases/mpkFractions/proteomic_fractions_linear_files/Yang_linear_img/159032039.jpg","show blot")</f>
        <v>show blot</v>
      </c>
      <c r="J1167" s="5" t="s">
        <v>2325</v>
      </c>
      <c r="L1167" s="11">
        <v>4.3447356432276143</v>
      </c>
      <c r="N1167" s="12"/>
    </row>
    <row r="1168" spans="1:14" s="5" customFormat="1" ht="15" customHeight="1" x14ac:dyDescent="0.25">
      <c r="A1168" s="9" t="s">
        <v>2326</v>
      </c>
      <c r="C1168" s="9" t="str">
        <f>HYPERLINK("http://www.ncbi.nlm.nih.gov/protein/237757269","Celf2")</f>
        <v>Celf2</v>
      </c>
      <c r="D1168" s="10">
        <f t="shared" si="18"/>
        <v>4.3447356432276143</v>
      </c>
      <c r="F1168" s="8" t="str">
        <f>HYPERLINK("https://esbl.nhlbi.nih.gov/Databases/mpkFractions/proteomic_fractions_log_files/Yang_log_img/237757269.jpg","show blot")</f>
        <v>show blot</v>
      </c>
      <c r="H1168" s="8" t="str">
        <f>HYPERLINK("https://esbl.nhlbi.nih.gov/Databases/mpkFractions/proteomic_fractions_linear_files/Yang_linear_img/237757269.jpg","show blot")</f>
        <v>show blot</v>
      </c>
      <c r="J1168" s="5" t="s">
        <v>2327</v>
      </c>
      <c r="L1168" s="11">
        <v>4.3447356432276143</v>
      </c>
      <c r="N1168" s="12"/>
    </row>
    <row r="1169" spans="1:14" s="5" customFormat="1" ht="15" customHeight="1" x14ac:dyDescent="0.25">
      <c r="A1169" s="9" t="s">
        <v>2328</v>
      </c>
      <c r="C1169" s="9" t="str">
        <f>HYPERLINK("http://www.ncbi.nlm.nih.gov/protein/237757271;159032031","Celf2")</f>
        <v>Celf2</v>
      </c>
      <c r="D1169" s="10">
        <f t="shared" si="18"/>
        <v>4.3447356432276143</v>
      </c>
      <c r="F1169" s="8" t="str">
        <f>HYPERLINK("https://esbl.nhlbi.nih.gov/Databases/mpkFractions/proteomic_fractions_log_files/Yang_log_img/237757271;159032031.jpg","show blot")</f>
        <v>show blot</v>
      </c>
      <c r="H1169" s="8" t="str">
        <f>HYPERLINK("https://esbl.nhlbi.nih.gov/Databases/mpkFractions/proteomic_fractions_linear_files/Yang_linear_img/237757271;159032031.jpg","show blot")</f>
        <v>show blot</v>
      </c>
      <c r="J1169" s="5" t="s">
        <v>2329</v>
      </c>
      <c r="L1169" s="11">
        <v>4.3447356432276143</v>
      </c>
      <c r="N1169" s="12"/>
    </row>
    <row r="1170" spans="1:14" s="5" customFormat="1" ht="15" customHeight="1" x14ac:dyDescent="0.25">
      <c r="A1170" s="9" t="s">
        <v>2330</v>
      </c>
      <c r="C1170" s="9" t="str">
        <f>HYPERLINK("http://www.ncbi.nlm.nih.gov/protein/114050895","Celsr2")</f>
        <v>Celsr2</v>
      </c>
      <c r="D1170" s="10">
        <f t="shared" si="18"/>
        <v>2.505466391553715</v>
      </c>
      <c r="F1170" s="8" t="str">
        <f>HYPERLINK("https://esbl.nhlbi.nih.gov/Databases/mpkFractions/proteomic_fractions_log_files/Yang_log_img/114050895.jpg","show blot")</f>
        <v>show blot</v>
      </c>
      <c r="H1170" s="8" t="str">
        <f>HYPERLINK("https://esbl.nhlbi.nih.gov/Databases/mpkFractions/proteomic_fractions_linear_files/Yang_linear_img/114050895.jpg","show blot")</f>
        <v>show blot</v>
      </c>
      <c r="J1170" s="5" t="s">
        <v>2331</v>
      </c>
      <c r="L1170" s="11">
        <v>2.505466391553715</v>
      </c>
      <c r="N1170" s="12"/>
    </row>
    <row r="1171" spans="1:14" s="5" customFormat="1" ht="15" customHeight="1" x14ac:dyDescent="0.25">
      <c r="A1171" s="9" t="s">
        <v>2332</v>
      </c>
      <c r="C1171" s="9" t="str">
        <f>HYPERLINK("http://www.ncbi.nlm.nih.gov/protein/114050897","Celsr2")</f>
        <v>Celsr2</v>
      </c>
      <c r="D1171" s="10">
        <f t="shared" si="18"/>
        <v>2.505466391553715</v>
      </c>
      <c r="F1171" s="8" t="str">
        <f>HYPERLINK("https://esbl.nhlbi.nih.gov/Databases/mpkFractions/proteomic_fractions_log_files/Yang_log_img/114050897.jpg","show blot")</f>
        <v>show blot</v>
      </c>
      <c r="H1171" s="8" t="str">
        <f>HYPERLINK("https://esbl.nhlbi.nih.gov/Databases/mpkFractions/proteomic_fractions_linear_files/Yang_linear_img/114050897.jpg","show blot")</f>
        <v>show blot</v>
      </c>
      <c r="J1171" s="5" t="s">
        <v>2333</v>
      </c>
      <c r="L1171" s="11">
        <v>2.505466391553715</v>
      </c>
      <c r="N1171" s="12"/>
    </row>
    <row r="1172" spans="1:14" s="5" customFormat="1" ht="15" customHeight="1" x14ac:dyDescent="0.25">
      <c r="A1172" s="9" t="s">
        <v>2334</v>
      </c>
      <c r="C1172" s="9" t="str">
        <f>HYPERLINK("http://www.ncbi.nlm.nih.gov/protein/115648101","Cenpe")</f>
        <v>Cenpe</v>
      </c>
      <c r="D1172" s="10">
        <f t="shared" si="18"/>
        <v>2.645221703984113</v>
      </c>
      <c r="F1172" s="8" t="str">
        <f>HYPERLINK("https://esbl.nhlbi.nih.gov/Databases/mpkFractions/proteomic_fractions_log_files/Yang_log_img/115648101.jpg","show blot")</f>
        <v>show blot</v>
      </c>
      <c r="H1172" s="8" t="str">
        <f>HYPERLINK("https://esbl.nhlbi.nih.gov/Databases/mpkFractions/proteomic_fractions_linear_files/Yang_linear_img/115648101.jpg","show blot")</f>
        <v>show blot</v>
      </c>
      <c r="J1172" s="5" t="s">
        <v>2335</v>
      </c>
      <c r="L1172" s="11">
        <v>2.645221703984113</v>
      </c>
      <c r="N1172" s="12"/>
    </row>
    <row r="1173" spans="1:14" s="5" customFormat="1" ht="15" customHeight="1" x14ac:dyDescent="0.25">
      <c r="A1173" s="9" t="s">
        <v>2336</v>
      </c>
      <c r="C1173" s="9" t="str">
        <f>HYPERLINK("http://www.ncbi.nlm.nih.gov/protein/11230784","Cenph")</f>
        <v>Cenph</v>
      </c>
      <c r="D1173" s="10">
        <f t="shared" si="18"/>
        <v>5.2290839485133098</v>
      </c>
      <c r="F1173" s="8" t="str">
        <f>HYPERLINK("https://esbl.nhlbi.nih.gov/Databases/mpkFractions/proteomic_fractions_log_files/Yang_log_img/11230784.jpg","show blot")</f>
        <v>show blot</v>
      </c>
      <c r="H1173" s="8" t="str">
        <f>HYPERLINK("https://esbl.nhlbi.nih.gov/Databases/mpkFractions/proteomic_fractions_linear_files/Yang_linear_img/11230784.jpg","show blot")</f>
        <v>show blot</v>
      </c>
      <c r="J1173" s="5" t="s">
        <v>2337</v>
      </c>
      <c r="L1173" s="11">
        <v>5.2290839485133098</v>
      </c>
      <c r="N1173" s="12"/>
    </row>
    <row r="1174" spans="1:14" s="5" customFormat="1" ht="15" customHeight="1" x14ac:dyDescent="0.25">
      <c r="A1174" s="9" t="s">
        <v>2338</v>
      </c>
      <c r="C1174" s="9" t="str">
        <f>HYPERLINK("http://www.ncbi.nlm.nih.gov/protein/122939139","Cenpm")</f>
        <v>Cenpm</v>
      </c>
      <c r="D1174" s="10">
        <f t="shared" si="18"/>
        <v>3.1360991122547661</v>
      </c>
      <c r="F1174" s="8" t="str">
        <f>HYPERLINK("https://esbl.nhlbi.nih.gov/Databases/mpkFractions/proteomic_fractions_log_files/Yang_log_img/122939139.jpg","show blot")</f>
        <v>show blot</v>
      </c>
      <c r="H1174" s="8" t="str">
        <f>HYPERLINK("https://esbl.nhlbi.nih.gov/Databases/mpkFractions/proteomic_fractions_linear_files/Yang_linear_img/122939139.jpg","show blot")</f>
        <v>show blot</v>
      </c>
      <c r="J1174" s="5" t="s">
        <v>2339</v>
      </c>
      <c r="L1174" s="11">
        <v>3.1360991122547661</v>
      </c>
      <c r="N1174" s="12"/>
    </row>
    <row r="1175" spans="1:14" s="5" customFormat="1" ht="15" customHeight="1" x14ac:dyDescent="0.25">
      <c r="A1175" s="9" t="s">
        <v>2340</v>
      </c>
      <c r="C1175" s="9" t="str">
        <f>HYPERLINK("http://www.ncbi.nlm.nih.gov/protein/13385104","Cenpm")</f>
        <v>Cenpm</v>
      </c>
      <c r="D1175" s="10">
        <f t="shared" si="18"/>
        <v>3.1360991122547661</v>
      </c>
      <c r="F1175" s="8" t="str">
        <f>HYPERLINK("https://esbl.nhlbi.nih.gov/Databases/mpkFractions/proteomic_fractions_log_files/Yang_log_img/13385104.jpg","show blot")</f>
        <v>show blot</v>
      </c>
      <c r="H1175" s="8" t="str">
        <f>HYPERLINK("https://esbl.nhlbi.nih.gov/Databases/mpkFractions/proteomic_fractions_linear_files/Yang_linear_img/13385104.jpg","show blot")</f>
        <v>show blot</v>
      </c>
      <c r="J1175" s="5" t="s">
        <v>2341</v>
      </c>
      <c r="L1175" s="11">
        <v>3.1360991122547661</v>
      </c>
      <c r="N1175" s="12"/>
    </row>
    <row r="1176" spans="1:14" s="5" customFormat="1" ht="15" customHeight="1" x14ac:dyDescent="0.25">
      <c r="A1176" s="9" t="s">
        <v>2342</v>
      </c>
      <c r="C1176" s="9" t="str">
        <f>HYPERLINK("http://www.ncbi.nlm.nih.gov/protein/189458800","Cep250")</f>
        <v>Cep250</v>
      </c>
      <c r="D1176" s="10">
        <f t="shared" si="18"/>
        <v>0.66749806964927005</v>
      </c>
      <c r="F1176" s="8" t="str">
        <f>HYPERLINK("https://esbl.nhlbi.nih.gov/Databases/mpkFractions/proteomic_fractions_log_files/Yang_log_img/189458800.jpg","show blot")</f>
        <v>show blot</v>
      </c>
      <c r="H1176" s="8" t="str">
        <f>HYPERLINK("https://esbl.nhlbi.nih.gov/Databases/mpkFractions/proteomic_fractions_linear_files/Yang_linear_img/189458800.jpg","show blot")</f>
        <v>show blot</v>
      </c>
      <c r="J1176" s="5" t="s">
        <v>2343</v>
      </c>
      <c r="L1176" s="11">
        <v>0.66749806964927005</v>
      </c>
      <c r="N1176" s="12"/>
    </row>
    <row r="1177" spans="1:14" s="5" customFormat="1" ht="15" customHeight="1" x14ac:dyDescent="0.25">
      <c r="A1177" s="9" t="s">
        <v>2344</v>
      </c>
      <c r="C1177" s="9" t="str">
        <f>HYPERLINK("http://www.ncbi.nlm.nih.gov/protein/194018503","Cep250")</f>
        <v>Cep250</v>
      </c>
      <c r="D1177" s="10">
        <f t="shared" si="18"/>
        <v>0.66749806964927005</v>
      </c>
      <c r="F1177" s="8" t="str">
        <f>HYPERLINK("https://esbl.nhlbi.nih.gov/Databases/mpkFractions/proteomic_fractions_log_files/Yang_log_img/194018503.jpg","show blot")</f>
        <v>show blot</v>
      </c>
      <c r="H1177" s="8" t="str">
        <f>HYPERLINK("https://esbl.nhlbi.nih.gov/Databases/mpkFractions/proteomic_fractions_linear_files/Yang_linear_img/194018503.jpg","show blot")</f>
        <v>show blot</v>
      </c>
      <c r="J1177" s="5" t="s">
        <v>2345</v>
      </c>
      <c r="L1177" s="11">
        <v>0.66749806964927005</v>
      </c>
      <c r="N1177" s="12"/>
    </row>
    <row r="1178" spans="1:14" s="5" customFormat="1" ht="15" customHeight="1" x14ac:dyDescent="0.25">
      <c r="A1178" s="9" t="s">
        <v>2346</v>
      </c>
      <c r="C1178" s="9" t="str">
        <f>HYPERLINK("http://www.ncbi.nlm.nih.gov/protein/194097345","Cep250")</f>
        <v>Cep250</v>
      </c>
      <c r="D1178" s="10">
        <f t="shared" si="18"/>
        <v>0.66749806964927005</v>
      </c>
      <c r="F1178" s="8" t="str">
        <f>HYPERLINK("https://esbl.nhlbi.nih.gov/Databases/mpkFractions/proteomic_fractions_log_files/Yang_log_img/194097345.jpg","show blot")</f>
        <v>show blot</v>
      </c>
      <c r="H1178" s="8" t="str">
        <f>HYPERLINK("https://esbl.nhlbi.nih.gov/Databases/mpkFractions/proteomic_fractions_linear_files/Yang_linear_img/194097345.jpg","show blot")</f>
        <v>show blot</v>
      </c>
      <c r="J1178" s="5" t="s">
        <v>2347</v>
      </c>
      <c r="L1178" s="11">
        <v>0.66749806964927005</v>
      </c>
      <c r="N1178" s="12"/>
    </row>
    <row r="1179" spans="1:14" s="5" customFormat="1" ht="15" customHeight="1" x14ac:dyDescent="0.25">
      <c r="A1179" s="9" t="s">
        <v>2348</v>
      </c>
      <c r="C1179" s="9" t="str">
        <f>HYPERLINK("http://www.ncbi.nlm.nih.gov/protein/163965444","Cep290")</f>
        <v>Cep290</v>
      </c>
      <c r="D1179" s="10">
        <f t="shared" si="18"/>
        <v>0.61822848902284966</v>
      </c>
      <c r="F1179" s="8" t="str">
        <f>HYPERLINK("https://esbl.nhlbi.nih.gov/Databases/mpkFractions/proteomic_fractions_log_files/Yang_log_img/163965444.jpg","show blot")</f>
        <v>show blot</v>
      </c>
      <c r="H1179" s="8" t="str">
        <f>HYPERLINK("https://esbl.nhlbi.nih.gov/Databases/mpkFractions/proteomic_fractions_linear_files/Yang_linear_img/163965444.jpg","show blot")</f>
        <v>show blot</v>
      </c>
      <c r="J1179" s="5" t="s">
        <v>2349</v>
      </c>
      <c r="L1179" s="11">
        <v>0.61822848902284966</v>
      </c>
      <c r="N1179" s="12"/>
    </row>
    <row r="1180" spans="1:14" s="5" customFormat="1" ht="15" customHeight="1" x14ac:dyDescent="0.25">
      <c r="A1180" s="9" t="s">
        <v>2350</v>
      </c>
      <c r="C1180" s="9" t="str">
        <f>HYPERLINK("http://www.ncbi.nlm.nih.gov/protein/255982600","Cep350")</f>
        <v>Cep350</v>
      </c>
      <c r="D1180" s="10">
        <f t="shared" si="18"/>
        <v>2.762746605203608</v>
      </c>
      <c r="F1180" s="8" t="str">
        <f>HYPERLINK("https://esbl.nhlbi.nih.gov/Databases/mpkFractions/proteomic_fractions_log_files/Yang_log_img/255982600.jpg","show blot")</f>
        <v>show blot</v>
      </c>
      <c r="H1180" s="8" t="str">
        <f>HYPERLINK("https://esbl.nhlbi.nih.gov/Databases/mpkFractions/proteomic_fractions_linear_files/Yang_linear_img/255982600.jpg","show blot")</f>
        <v>show blot</v>
      </c>
      <c r="J1180" s="5" t="s">
        <v>2351</v>
      </c>
      <c r="L1180" s="11">
        <v>2.762746605203608</v>
      </c>
      <c r="N1180" s="12"/>
    </row>
    <row r="1181" spans="1:14" s="5" customFormat="1" ht="15" customHeight="1" x14ac:dyDescent="0.25">
      <c r="A1181" s="9" t="s">
        <v>2352</v>
      </c>
      <c r="C1181" s="9" t="str">
        <f>HYPERLINK("http://www.ncbi.nlm.nih.gov/protein/14030773","Cep41")</f>
        <v>Cep41</v>
      </c>
      <c r="D1181" s="10">
        <f t="shared" si="18"/>
        <v>2.8200251483134329</v>
      </c>
      <c r="F1181" s="8" t="str">
        <f>HYPERLINK("https://esbl.nhlbi.nih.gov/Databases/mpkFractions/proteomic_fractions_log_files/Yang_log_img/14030773.jpg","show blot")</f>
        <v>show blot</v>
      </c>
      <c r="H1181" s="8" t="str">
        <f>HYPERLINK("https://esbl.nhlbi.nih.gov/Databases/mpkFractions/proteomic_fractions_linear_files/Yang_linear_img/14030773.jpg","show blot")</f>
        <v>show blot</v>
      </c>
      <c r="J1181" s="5" t="s">
        <v>2353</v>
      </c>
      <c r="L1181" s="11">
        <v>2.8200251483134329</v>
      </c>
      <c r="N1181" s="12"/>
    </row>
    <row r="1182" spans="1:14" s="5" customFormat="1" ht="15" customHeight="1" x14ac:dyDescent="0.25">
      <c r="A1182" s="9" t="s">
        <v>2354</v>
      </c>
      <c r="C1182" s="9" t="str">
        <f>HYPERLINK("http://www.ncbi.nlm.nih.gov/protein/256355030","Cep55")</f>
        <v>Cep55</v>
      </c>
      <c r="D1182" s="10">
        <f t="shared" si="18"/>
        <v>2.8919299897395838</v>
      </c>
      <c r="F1182" s="8" t="str">
        <f>HYPERLINK("https://esbl.nhlbi.nih.gov/Databases/mpkFractions/proteomic_fractions_log_files/Yang_log_img/256355030.jpg","show blot")</f>
        <v>show blot</v>
      </c>
      <c r="H1182" s="8" t="str">
        <f>HYPERLINK("https://esbl.nhlbi.nih.gov/Databases/mpkFractions/proteomic_fractions_linear_files/Yang_linear_img/256355030.jpg","show blot")</f>
        <v>show blot</v>
      </c>
      <c r="J1182" s="5" t="s">
        <v>2355</v>
      </c>
      <c r="L1182" s="11">
        <v>2.8919299897395838</v>
      </c>
      <c r="N1182" s="12"/>
    </row>
    <row r="1183" spans="1:14" s="5" customFormat="1" ht="15" customHeight="1" x14ac:dyDescent="0.25">
      <c r="A1183" s="9" t="s">
        <v>2356</v>
      </c>
      <c r="C1183" s="9" t="str">
        <f>HYPERLINK("http://www.ncbi.nlm.nih.gov/protein/256355032","Cep55")</f>
        <v>Cep55</v>
      </c>
      <c r="D1183" s="10">
        <f t="shared" si="18"/>
        <v>2.8919299897395838</v>
      </c>
      <c r="F1183" s="8" t="str">
        <f>HYPERLINK("https://esbl.nhlbi.nih.gov/Databases/mpkFractions/proteomic_fractions_log_files/Yang_log_img/256355032.jpg","show blot")</f>
        <v>show blot</v>
      </c>
      <c r="H1183" s="8" t="str">
        <f>HYPERLINK("https://esbl.nhlbi.nih.gov/Databases/mpkFractions/proteomic_fractions_linear_files/Yang_linear_img/256355032.jpg","show blot")</f>
        <v>show blot</v>
      </c>
      <c r="J1183" s="5" t="s">
        <v>2357</v>
      </c>
      <c r="L1183" s="11">
        <v>2.8919299897395838</v>
      </c>
      <c r="N1183" s="12"/>
    </row>
    <row r="1184" spans="1:14" s="5" customFormat="1" ht="15" customHeight="1" x14ac:dyDescent="0.25">
      <c r="A1184" s="9" t="s">
        <v>2358</v>
      </c>
      <c r="C1184" s="9" t="str">
        <f>HYPERLINK("http://www.ncbi.nlm.nih.gov/protein/262331530","Cep95")</f>
        <v>Cep95</v>
      </c>
      <c r="D1184" s="10">
        <f t="shared" si="18"/>
        <v>1.121585094600712</v>
      </c>
      <c r="F1184" s="8" t="str">
        <f>HYPERLINK("https://esbl.nhlbi.nih.gov/Databases/mpkFractions/proteomic_fractions_log_files/Yang_log_img/262331530.jpg","show blot")</f>
        <v>show blot</v>
      </c>
      <c r="H1184" s="8" t="str">
        <f>HYPERLINK("https://esbl.nhlbi.nih.gov/Databases/mpkFractions/proteomic_fractions_linear_files/Yang_linear_img/262331530.jpg","show blot")</f>
        <v>show blot</v>
      </c>
      <c r="J1184" s="5" t="s">
        <v>2359</v>
      </c>
      <c r="L1184" s="11">
        <v>1.121585094600712</v>
      </c>
      <c r="N1184" s="12"/>
    </row>
    <row r="1185" spans="1:14" s="5" customFormat="1" ht="15" customHeight="1" x14ac:dyDescent="0.25">
      <c r="A1185" s="9" t="s">
        <v>2360</v>
      </c>
      <c r="C1185" s="9" t="str">
        <f>HYPERLINK("http://www.ncbi.nlm.nih.gov/protein/262331533","Cep95")</f>
        <v>Cep95</v>
      </c>
      <c r="D1185" s="10">
        <f t="shared" si="18"/>
        <v>1.121585094600712</v>
      </c>
      <c r="F1185" s="8" t="str">
        <f>HYPERLINK("https://esbl.nhlbi.nih.gov/Databases/mpkFractions/proteomic_fractions_log_files/Yang_log_img/262331533.jpg","show blot")</f>
        <v>show blot</v>
      </c>
      <c r="H1185" s="8" t="str">
        <f>HYPERLINK("https://esbl.nhlbi.nih.gov/Databases/mpkFractions/proteomic_fractions_linear_files/Yang_linear_img/262331533.jpg","show blot")</f>
        <v>show blot</v>
      </c>
      <c r="J1185" s="5" t="s">
        <v>2361</v>
      </c>
      <c r="L1185" s="11">
        <v>1.121585094600712</v>
      </c>
      <c r="N1185" s="12"/>
    </row>
    <row r="1186" spans="1:14" s="5" customFormat="1" ht="15" customHeight="1" x14ac:dyDescent="0.25">
      <c r="A1186" s="9" t="s">
        <v>2362</v>
      </c>
      <c r="C1186" s="9" t="str">
        <f>HYPERLINK("http://www.ncbi.nlm.nih.gov/protein/21312662","Cep97")</f>
        <v>Cep97</v>
      </c>
      <c r="D1186" s="10">
        <f t="shared" si="18"/>
        <v>2.319515448746706</v>
      </c>
      <c r="F1186" s="8" t="str">
        <f>HYPERLINK("https://esbl.nhlbi.nih.gov/Databases/mpkFractions/proteomic_fractions_log_files/Yang_log_img/21312662.jpg","show blot")</f>
        <v>show blot</v>
      </c>
      <c r="H1186" s="8" t="str">
        <f>HYPERLINK("https://esbl.nhlbi.nih.gov/Databases/mpkFractions/proteomic_fractions_linear_files/Yang_linear_img/21312662.jpg","show blot")</f>
        <v>show blot</v>
      </c>
      <c r="J1186" s="5" t="s">
        <v>2363</v>
      </c>
      <c r="L1186" s="11">
        <v>2.319515448746706</v>
      </c>
      <c r="N1186" s="12"/>
    </row>
    <row r="1187" spans="1:14" s="5" customFormat="1" ht="15" customHeight="1" x14ac:dyDescent="0.25">
      <c r="A1187" s="9" t="s">
        <v>2364</v>
      </c>
      <c r="C1187" s="9" t="str">
        <f>HYPERLINK("http://www.ncbi.nlm.nih.gov/protein/31559983","Cept1")</f>
        <v>Cept1</v>
      </c>
      <c r="D1187" s="10">
        <f t="shared" si="18"/>
        <v>3.578111462868129</v>
      </c>
      <c r="F1187" s="8" t="str">
        <f>HYPERLINK("https://esbl.nhlbi.nih.gov/Databases/mpkFractions/proteomic_fractions_log_files/Yang_log_img/31559983.jpg","show blot")</f>
        <v>show blot</v>
      </c>
      <c r="H1187" s="8" t="str">
        <f>HYPERLINK("https://esbl.nhlbi.nih.gov/Databases/mpkFractions/proteomic_fractions_linear_files/Yang_linear_img/31559983.jpg","show blot")</f>
        <v>show blot</v>
      </c>
      <c r="J1187" s="5" t="s">
        <v>2365</v>
      </c>
      <c r="L1187" s="11">
        <v>3.578111462868129</v>
      </c>
      <c r="N1187" s="12"/>
    </row>
    <row r="1188" spans="1:14" s="5" customFormat="1" ht="15" customHeight="1" x14ac:dyDescent="0.25">
      <c r="A1188" s="9" t="s">
        <v>2366</v>
      </c>
      <c r="C1188" s="9" t="str">
        <f>HYPERLINK("http://www.ncbi.nlm.nih.gov/protein/22095015","Cers2")</f>
        <v>Cers2</v>
      </c>
      <c r="D1188" s="10">
        <f t="shared" si="18"/>
        <v>4.036553568390806</v>
      </c>
      <c r="F1188" s="8" t="str">
        <f>HYPERLINK("https://esbl.nhlbi.nih.gov/Databases/mpkFractions/proteomic_fractions_log_files/Yang_log_img/22095015.jpg","show blot")</f>
        <v>show blot</v>
      </c>
      <c r="H1188" s="8" t="str">
        <f>HYPERLINK("https://esbl.nhlbi.nih.gov/Databases/mpkFractions/proteomic_fractions_linear_files/Yang_linear_img/22095015.jpg","show blot")</f>
        <v>show blot</v>
      </c>
      <c r="J1188" s="5" t="s">
        <v>2367</v>
      </c>
      <c r="L1188" s="11">
        <v>4.036553568390806</v>
      </c>
      <c r="N1188" s="12"/>
    </row>
    <row r="1189" spans="1:14" s="5" customFormat="1" ht="15" customHeight="1" x14ac:dyDescent="0.25">
      <c r="A1189" s="9" t="s">
        <v>2368</v>
      </c>
      <c r="C1189" s="9" t="str">
        <f>HYPERLINK("http://www.ncbi.nlm.nih.gov/protein/117553604","Ces1d")</f>
        <v>Ces1d</v>
      </c>
      <c r="D1189" s="10">
        <f t="shared" si="18"/>
        <v>2.030796592666094</v>
      </c>
      <c r="F1189" s="8" t="str">
        <f>HYPERLINK("https://esbl.nhlbi.nih.gov/Databases/mpkFractions/proteomic_fractions_log_files/Yang_log_img/117553604.jpg","show blot")</f>
        <v>show blot</v>
      </c>
      <c r="H1189" s="8" t="str">
        <f>HYPERLINK("https://esbl.nhlbi.nih.gov/Databases/mpkFractions/proteomic_fractions_linear_files/Yang_linear_img/117553604.jpg","show blot")</f>
        <v>show blot</v>
      </c>
      <c r="J1189" s="5" t="s">
        <v>2369</v>
      </c>
      <c r="L1189" s="11">
        <v>2.030796592666094</v>
      </c>
      <c r="N1189" s="12"/>
    </row>
    <row r="1190" spans="1:14" s="5" customFormat="1" ht="15" customHeight="1" x14ac:dyDescent="0.25">
      <c r="A1190" s="9" t="s">
        <v>2370</v>
      </c>
      <c r="C1190" s="9" t="str">
        <f>HYPERLINK("http://www.ncbi.nlm.nih.gov/protein/76253942","Cetn1")</f>
        <v>Cetn1</v>
      </c>
      <c r="D1190" s="10">
        <f t="shared" si="18"/>
        <v>3.710022667696768</v>
      </c>
      <c r="F1190" s="8" t="str">
        <f>HYPERLINK("https://esbl.nhlbi.nih.gov/Databases/mpkFractions/proteomic_fractions_log_files/Yang_log_img/76253942.jpg","show blot")</f>
        <v>show blot</v>
      </c>
      <c r="H1190" s="8" t="str">
        <f>HYPERLINK("https://esbl.nhlbi.nih.gov/Databases/mpkFractions/proteomic_fractions_linear_files/Yang_linear_img/76253942.jpg","show blot")</f>
        <v>show blot</v>
      </c>
      <c r="J1190" s="5" t="s">
        <v>2371</v>
      </c>
      <c r="L1190" s="11">
        <v>3.710022667696768</v>
      </c>
      <c r="N1190" s="12"/>
    </row>
    <row r="1191" spans="1:14" s="5" customFormat="1" ht="15" customHeight="1" x14ac:dyDescent="0.25">
      <c r="A1191" s="9" t="s">
        <v>2372</v>
      </c>
      <c r="C1191" s="9" t="str">
        <f>HYPERLINK("http://www.ncbi.nlm.nih.gov/protein/10257421","Cetn2")</f>
        <v>Cetn2</v>
      </c>
      <c r="D1191" s="10">
        <f t="shared" si="18"/>
        <v>4.2266370150559087</v>
      </c>
      <c r="F1191" s="8" t="str">
        <f>HYPERLINK("https://esbl.nhlbi.nih.gov/Databases/mpkFractions/proteomic_fractions_log_files/Yang_log_img/10257421.jpg","show blot")</f>
        <v>show blot</v>
      </c>
      <c r="H1191" s="8" t="str">
        <f>HYPERLINK("https://esbl.nhlbi.nih.gov/Databases/mpkFractions/proteomic_fractions_linear_files/Yang_linear_img/10257421.jpg","show blot")</f>
        <v>show blot</v>
      </c>
      <c r="J1191" s="5" t="s">
        <v>2373</v>
      </c>
      <c r="L1191" s="11">
        <v>4.2266370150559087</v>
      </c>
      <c r="N1191" s="12"/>
    </row>
    <row r="1192" spans="1:14" s="5" customFormat="1" ht="15" customHeight="1" x14ac:dyDescent="0.25">
      <c r="A1192" s="9" t="s">
        <v>2374</v>
      </c>
      <c r="C1192" s="9" t="str">
        <f>HYPERLINK("http://www.ncbi.nlm.nih.gov/protein/6680922","Cetn3")</f>
        <v>Cetn3</v>
      </c>
      <c r="D1192" s="10">
        <f t="shared" si="18"/>
        <v>4.1102656855010169</v>
      </c>
      <c r="F1192" s="8" t="str">
        <f>HYPERLINK("https://esbl.nhlbi.nih.gov/Databases/mpkFractions/proteomic_fractions_log_files/Yang_log_img/6680922.jpg","show blot")</f>
        <v>show blot</v>
      </c>
      <c r="H1192" s="8" t="str">
        <f>HYPERLINK("https://esbl.nhlbi.nih.gov/Databases/mpkFractions/proteomic_fractions_linear_files/Yang_linear_img/6680922.jpg","show blot")</f>
        <v>show blot</v>
      </c>
      <c r="J1192" s="5" t="s">
        <v>2375</v>
      </c>
      <c r="L1192" s="11">
        <v>4.1102656855010169</v>
      </c>
      <c r="N1192" s="12"/>
    </row>
    <row r="1193" spans="1:14" s="5" customFormat="1" ht="15" customHeight="1" x14ac:dyDescent="0.25">
      <c r="A1193" s="9" t="s">
        <v>2376</v>
      </c>
      <c r="C1193" s="9" t="str">
        <f>HYPERLINK("http://www.ncbi.nlm.nih.gov/protein/6753412","Cfdp1")</f>
        <v>Cfdp1</v>
      </c>
      <c r="D1193" s="10">
        <f t="shared" si="18"/>
        <v>5.2580331996291649</v>
      </c>
      <c r="F1193" s="8" t="str">
        <f>HYPERLINK("https://esbl.nhlbi.nih.gov/Databases/mpkFractions/proteomic_fractions_log_files/Yang_log_img/6753412.jpg","show blot")</f>
        <v>show blot</v>
      </c>
      <c r="H1193" s="8" t="str">
        <f>HYPERLINK("https://esbl.nhlbi.nih.gov/Databases/mpkFractions/proteomic_fractions_linear_files/Yang_linear_img/6753412.jpg","show blot")</f>
        <v>show blot</v>
      </c>
      <c r="J1193" s="5" t="s">
        <v>2377</v>
      </c>
      <c r="L1193" s="11">
        <v>5.2580331996291649</v>
      </c>
      <c r="N1193" s="12"/>
    </row>
    <row r="1194" spans="1:14" s="5" customFormat="1" ht="15" customHeight="1" x14ac:dyDescent="0.25">
      <c r="A1194" s="9" t="s">
        <v>2378</v>
      </c>
      <c r="C1194" s="9" t="str">
        <f>HYPERLINK("http://www.ncbi.nlm.nih.gov/protein/6680924","Cfl1")</f>
        <v>Cfl1</v>
      </c>
      <c r="D1194" s="10">
        <f t="shared" si="18"/>
        <v>6.9681706969009412</v>
      </c>
      <c r="F1194" s="8" t="str">
        <f>HYPERLINK("https://esbl.nhlbi.nih.gov/Databases/mpkFractions/proteomic_fractions_log_files/Yang_log_img/6680924.jpg","show blot")</f>
        <v>show blot</v>
      </c>
      <c r="H1194" s="8" t="str">
        <f>HYPERLINK("https://esbl.nhlbi.nih.gov/Databases/mpkFractions/proteomic_fractions_linear_files/Yang_linear_img/6680924.jpg","show blot")</f>
        <v>show blot</v>
      </c>
      <c r="J1194" s="5" t="s">
        <v>2379</v>
      </c>
      <c r="L1194" s="11">
        <v>6.9681706969009412</v>
      </c>
      <c r="N1194" s="12"/>
    </row>
    <row r="1195" spans="1:14" s="5" customFormat="1" ht="15" customHeight="1" x14ac:dyDescent="0.25">
      <c r="A1195" s="9" t="s">
        <v>2380</v>
      </c>
      <c r="C1195" s="9" t="str">
        <f>HYPERLINK("http://www.ncbi.nlm.nih.gov/protein/6671746","Cfl2")</f>
        <v>Cfl2</v>
      </c>
      <c r="D1195" s="10">
        <f t="shared" si="18"/>
        <v>6.5366218107659426</v>
      </c>
      <c r="F1195" s="8" t="str">
        <f>HYPERLINK("https://esbl.nhlbi.nih.gov/Databases/mpkFractions/proteomic_fractions_log_files/Yang_log_img/6671746.jpg","show blot")</f>
        <v>show blot</v>
      </c>
      <c r="H1195" s="8" t="str">
        <f>HYPERLINK("https://esbl.nhlbi.nih.gov/Databases/mpkFractions/proteomic_fractions_linear_files/Yang_linear_img/6671746.jpg","show blot")</f>
        <v>show blot</v>
      </c>
      <c r="J1195" s="5" t="s">
        <v>2381</v>
      </c>
      <c r="L1195" s="11">
        <v>6.5366218107659426</v>
      </c>
      <c r="N1195" s="12"/>
    </row>
    <row r="1196" spans="1:14" s="5" customFormat="1" ht="15" customHeight="1" x14ac:dyDescent="0.25">
      <c r="A1196" s="9" t="s">
        <v>2382</v>
      </c>
      <c r="C1196" s="9" t="str">
        <f>HYPERLINK("http://www.ncbi.nlm.nih.gov/protein/46559393","Cflar")</f>
        <v>Cflar</v>
      </c>
      <c r="D1196" s="10">
        <f t="shared" si="18"/>
        <v>3.9206971900647472</v>
      </c>
      <c r="F1196" s="8" t="str">
        <f>HYPERLINK("https://esbl.nhlbi.nih.gov/Databases/mpkFractions/proteomic_fractions_log_files/Yang_log_img/46559393.jpg","show blot")</f>
        <v>show blot</v>
      </c>
      <c r="H1196" s="8" t="str">
        <f>HYPERLINK("https://esbl.nhlbi.nih.gov/Databases/mpkFractions/proteomic_fractions_linear_files/Yang_linear_img/46559393.jpg","show blot")</f>
        <v>show blot</v>
      </c>
      <c r="J1196" s="5" t="s">
        <v>2383</v>
      </c>
      <c r="L1196" s="11">
        <v>3.9206971900647472</v>
      </c>
      <c r="N1196" s="12"/>
    </row>
    <row r="1197" spans="1:14" s="5" customFormat="1" ht="15" customHeight="1" x14ac:dyDescent="0.25">
      <c r="A1197" s="9" t="s">
        <v>2384</v>
      </c>
      <c r="C1197" s="9" t="str">
        <f>HYPERLINK("http://www.ncbi.nlm.nih.gov/protein/86198303","Cflar")</f>
        <v>Cflar</v>
      </c>
      <c r="D1197" s="10">
        <f t="shared" si="18"/>
        <v>3.9206971900647472</v>
      </c>
      <c r="F1197" s="8" t="str">
        <f>HYPERLINK("https://esbl.nhlbi.nih.gov/Databases/mpkFractions/proteomic_fractions_log_files/Yang_log_img/86198303.jpg","show blot")</f>
        <v>show blot</v>
      </c>
      <c r="H1197" s="8" t="str">
        <f>HYPERLINK("https://esbl.nhlbi.nih.gov/Databases/mpkFractions/proteomic_fractions_linear_files/Yang_linear_img/86198303.jpg","show blot")</f>
        <v>show blot</v>
      </c>
      <c r="J1197" s="5" t="s">
        <v>2385</v>
      </c>
      <c r="L1197" s="11">
        <v>3.9206971900647472</v>
      </c>
      <c r="N1197" s="12"/>
    </row>
    <row r="1198" spans="1:14" s="5" customFormat="1" ht="15" customHeight="1" x14ac:dyDescent="0.25">
      <c r="A1198" s="9" t="s">
        <v>2386</v>
      </c>
      <c r="C1198" s="9" t="str">
        <f>HYPERLINK("http://www.ncbi.nlm.nih.gov/protein/14141185","Cftr")</f>
        <v>Cftr</v>
      </c>
      <c r="D1198" s="10">
        <f t="shared" si="18"/>
        <v>4.0985992006472101</v>
      </c>
      <c r="F1198" s="8" t="str">
        <f>HYPERLINK("https://esbl.nhlbi.nih.gov/Databases/mpkFractions/proteomic_fractions_log_files/Yang_log_img/14141185.jpg","show blot")</f>
        <v>show blot</v>
      </c>
      <c r="H1198" s="8" t="str">
        <f>HYPERLINK("https://esbl.nhlbi.nih.gov/Databases/mpkFractions/proteomic_fractions_linear_files/Yang_linear_img/14141185.jpg","show blot")</f>
        <v>show blot</v>
      </c>
      <c r="J1198" s="5" t="s">
        <v>2387</v>
      </c>
      <c r="L1198" s="11">
        <v>4.0985992006472101</v>
      </c>
      <c r="N1198" s="12"/>
    </row>
    <row r="1199" spans="1:14" s="5" customFormat="1" ht="15" customHeight="1" x14ac:dyDescent="0.25">
      <c r="A1199" s="9" t="s">
        <v>2388</v>
      </c>
      <c r="C1199" s="9" t="str">
        <f>HYPERLINK("http://www.ncbi.nlm.nih.gov/protein/30520001","Cggbp1")</f>
        <v>Cggbp1</v>
      </c>
      <c r="D1199" s="10">
        <f t="shared" si="18"/>
        <v>4.5818519091258949</v>
      </c>
      <c r="F1199" s="8" t="str">
        <f>HYPERLINK("https://esbl.nhlbi.nih.gov/Databases/mpkFractions/proteomic_fractions_log_files/Yang_log_img/30520001.jpg","show blot")</f>
        <v>show blot</v>
      </c>
      <c r="H1199" s="8" t="str">
        <f>HYPERLINK("https://esbl.nhlbi.nih.gov/Databases/mpkFractions/proteomic_fractions_linear_files/Yang_linear_img/30520001.jpg","show blot")</f>
        <v>show blot</v>
      </c>
      <c r="J1199" s="5" t="s">
        <v>2389</v>
      </c>
      <c r="L1199" s="11">
        <v>4.5818519091258949</v>
      </c>
      <c r="N1199" s="12"/>
    </row>
    <row r="1200" spans="1:14" s="5" customFormat="1" ht="15" customHeight="1" x14ac:dyDescent="0.25">
      <c r="A1200" s="9" t="s">
        <v>2390</v>
      </c>
      <c r="C1200" s="9" t="str">
        <f>HYPERLINK("http://www.ncbi.nlm.nih.gov/protein/189458807","Cgn")</f>
        <v>Cgn</v>
      </c>
      <c r="D1200" s="10">
        <f t="shared" si="18"/>
        <v>5.3010346447330878</v>
      </c>
      <c r="F1200" s="8" t="str">
        <f>HYPERLINK("https://esbl.nhlbi.nih.gov/Databases/mpkFractions/proteomic_fractions_log_files/Yang_log_img/189458807.jpg","show blot")</f>
        <v>show blot</v>
      </c>
      <c r="H1200" s="8" t="str">
        <f>HYPERLINK("https://esbl.nhlbi.nih.gov/Databases/mpkFractions/proteomic_fractions_linear_files/Yang_linear_img/189458807.jpg","show blot")</f>
        <v>show blot</v>
      </c>
      <c r="J1200" s="5" t="s">
        <v>2391</v>
      </c>
      <c r="L1200" s="11">
        <v>5.3010346447330878</v>
      </c>
      <c r="N1200" s="12"/>
    </row>
    <row r="1201" spans="1:14" s="5" customFormat="1" ht="15" customHeight="1" x14ac:dyDescent="0.25">
      <c r="A1201" s="9" t="s">
        <v>2392</v>
      </c>
      <c r="C1201" s="9" t="str">
        <f>HYPERLINK("http://www.ncbi.nlm.nih.gov/protein/13386024","Chac2")</f>
        <v>Chac2</v>
      </c>
      <c r="D1201" s="10">
        <f t="shared" si="18"/>
        <v>3.9814858015508672</v>
      </c>
      <c r="F1201" s="8" t="str">
        <f>HYPERLINK("https://esbl.nhlbi.nih.gov/Databases/mpkFractions/proteomic_fractions_log_files/Yang_log_img/13386024.jpg","show blot")</f>
        <v>show blot</v>
      </c>
      <c r="H1201" s="8" t="str">
        <f>HYPERLINK("https://esbl.nhlbi.nih.gov/Databases/mpkFractions/proteomic_fractions_linear_files/Yang_linear_img/13386024.jpg","show blot")</f>
        <v>show blot</v>
      </c>
      <c r="J1201" s="5" t="s">
        <v>2393</v>
      </c>
      <c r="L1201" s="11">
        <v>3.9814858015508672</v>
      </c>
      <c r="N1201" s="12"/>
    </row>
    <row r="1202" spans="1:14" s="5" customFormat="1" ht="15" customHeight="1" x14ac:dyDescent="0.25">
      <c r="A1202" s="9" t="s">
        <v>2394</v>
      </c>
      <c r="C1202" s="9" t="str">
        <f>HYPERLINK("http://www.ncbi.nlm.nih.gov/protein/7304957","Chaf1a")</f>
        <v>Chaf1a</v>
      </c>
      <c r="D1202" s="10">
        <f t="shared" si="18"/>
        <v>3.405797400654357</v>
      </c>
      <c r="F1202" s="8" t="str">
        <f>HYPERLINK("https://esbl.nhlbi.nih.gov/Databases/mpkFractions/proteomic_fractions_log_files/Yang_log_img/7304957.jpg","show blot")</f>
        <v>show blot</v>
      </c>
      <c r="H1202" s="8" t="str">
        <f>HYPERLINK("https://esbl.nhlbi.nih.gov/Databases/mpkFractions/proteomic_fractions_linear_files/Yang_linear_img/7304957.jpg","show blot")</f>
        <v>show blot</v>
      </c>
      <c r="J1202" s="5" t="s">
        <v>2395</v>
      </c>
      <c r="L1202" s="11">
        <v>3.405797400654357</v>
      </c>
      <c r="N1202" s="12"/>
    </row>
    <row r="1203" spans="1:14" s="5" customFormat="1" ht="15" customHeight="1" x14ac:dyDescent="0.25">
      <c r="A1203" s="9" t="s">
        <v>2396</v>
      </c>
      <c r="C1203" s="9" t="str">
        <f>HYPERLINK("http://www.ncbi.nlm.nih.gov/protein/21312470","Chaf1b")</f>
        <v>Chaf1b</v>
      </c>
      <c r="D1203" s="10">
        <f t="shared" si="18"/>
        <v>4.5349890380547402</v>
      </c>
      <c r="F1203" s="8" t="str">
        <f>HYPERLINK("https://esbl.nhlbi.nih.gov/Databases/mpkFractions/proteomic_fractions_log_files/Yang_log_img/21312470.jpg","show blot")</f>
        <v>show blot</v>
      </c>
      <c r="H1203" s="8" t="str">
        <f>HYPERLINK("https://esbl.nhlbi.nih.gov/Databases/mpkFractions/proteomic_fractions_linear_files/Yang_linear_img/21312470.jpg","show blot")</f>
        <v>show blot</v>
      </c>
      <c r="J1203" s="5" t="s">
        <v>2397</v>
      </c>
      <c r="L1203" s="11">
        <v>4.5349890380547402</v>
      </c>
      <c r="N1203" s="12"/>
    </row>
    <row r="1204" spans="1:14" s="5" customFormat="1" ht="15" customHeight="1" x14ac:dyDescent="0.25">
      <c r="A1204" s="9" t="s">
        <v>2398</v>
      </c>
      <c r="C1204" s="9" t="str">
        <f>HYPERLINK("http://www.ncbi.nlm.nih.gov/protein/32469497","Champ1")</f>
        <v>Champ1</v>
      </c>
      <c r="D1204" s="10">
        <f t="shared" si="18"/>
        <v>3.693206599820698</v>
      </c>
      <c r="F1204" s="8" t="str">
        <f>HYPERLINK("https://esbl.nhlbi.nih.gov/Databases/mpkFractions/proteomic_fractions_log_files/Yang_log_img/32469497.jpg","show blot")</f>
        <v>show blot</v>
      </c>
      <c r="H1204" s="8" t="str">
        <f>HYPERLINK("https://esbl.nhlbi.nih.gov/Databases/mpkFractions/proteomic_fractions_linear_files/Yang_linear_img/32469497.jpg","show blot")</f>
        <v>show blot</v>
      </c>
      <c r="J1204" s="5" t="s">
        <v>2399</v>
      </c>
      <c r="L1204" s="11">
        <v>3.693206599820698</v>
      </c>
      <c r="N1204" s="12"/>
    </row>
    <row r="1205" spans="1:14" s="5" customFormat="1" ht="15" customHeight="1" x14ac:dyDescent="0.25">
      <c r="A1205" s="9" t="s">
        <v>2400</v>
      </c>
      <c r="C1205" s="9" t="str">
        <f>HYPERLINK("http://www.ncbi.nlm.nih.gov/protein/13384734","Chchd1")</f>
        <v>Chchd1</v>
      </c>
      <c r="D1205" s="10">
        <f t="shared" si="18"/>
        <v>4.4120775568904218</v>
      </c>
      <c r="F1205" s="8" t="str">
        <f>HYPERLINK("https://esbl.nhlbi.nih.gov/Databases/mpkFractions/proteomic_fractions_log_files/Yang_log_img/13384734.jpg","show blot")</f>
        <v>show blot</v>
      </c>
      <c r="H1205" s="8" t="str">
        <f>HYPERLINK("https://esbl.nhlbi.nih.gov/Databases/mpkFractions/proteomic_fractions_linear_files/Yang_linear_img/13384734.jpg","show blot")</f>
        <v>show blot</v>
      </c>
      <c r="J1205" s="5" t="s">
        <v>2401</v>
      </c>
      <c r="L1205" s="11">
        <v>4.4120775568904218</v>
      </c>
      <c r="N1205" s="12"/>
    </row>
    <row r="1206" spans="1:14" s="5" customFormat="1" ht="15" customHeight="1" x14ac:dyDescent="0.25">
      <c r="A1206" s="9" t="s">
        <v>2402</v>
      </c>
      <c r="C1206" s="9" t="str">
        <f>HYPERLINK("http://www.ncbi.nlm.nih.gov/protein/18079334","Chchd2")</f>
        <v>Chchd2</v>
      </c>
      <c r="D1206" s="10">
        <f t="shared" si="18"/>
        <v>5.0193925048789243</v>
      </c>
      <c r="F1206" s="8" t="str">
        <f>HYPERLINK("https://esbl.nhlbi.nih.gov/Databases/mpkFractions/proteomic_fractions_log_files/Yang_log_img/18079334.jpg","show blot")</f>
        <v>show blot</v>
      </c>
      <c r="H1206" s="8" t="str">
        <f>HYPERLINK("https://esbl.nhlbi.nih.gov/Databases/mpkFractions/proteomic_fractions_linear_files/Yang_linear_img/18079334.jpg","show blot")</f>
        <v>show blot</v>
      </c>
      <c r="J1206" s="5" t="s">
        <v>2403</v>
      </c>
      <c r="L1206" s="11">
        <v>5.0193925048789243</v>
      </c>
      <c r="N1206" s="12"/>
    </row>
    <row r="1207" spans="1:14" s="5" customFormat="1" ht="15" customHeight="1" x14ac:dyDescent="0.25">
      <c r="A1207" s="9" t="s">
        <v>2404</v>
      </c>
      <c r="C1207" s="9" t="str">
        <f>HYPERLINK("http://www.ncbi.nlm.nih.gov/protein/21313618","Chchd3")</f>
        <v>Chchd3</v>
      </c>
      <c r="D1207" s="10">
        <f t="shared" si="18"/>
        <v>5.8719432975826278</v>
      </c>
      <c r="F1207" s="8" t="str">
        <f>HYPERLINK("https://esbl.nhlbi.nih.gov/Databases/mpkFractions/proteomic_fractions_log_files/Yang_log_img/21313618.jpg","show blot")</f>
        <v>show blot</v>
      </c>
      <c r="H1207" s="8" t="str">
        <f>HYPERLINK("https://esbl.nhlbi.nih.gov/Databases/mpkFractions/proteomic_fractions_linear_files/Yang_linear_img/21313618.jpg","show blot")</f>
        <v>show blot</v>
      </c>
      <c r="J1207" s="5" t="s">
        <v>2405</v>
      </c>
      <c r="L1207" s="11">
        <v>5.8719432975826278</v>
      </c>
      <c r="N1207" s="12"/>
    </row>
    <row r="1208" spans="1:14" s="5" customFormat="1" ht="15" customHeight="1" x14ac:dyDescent="0.25">
      <c r="A1208" s="9" t="s">
        <v>2406</v>
      </c>
      <c r="C1208" s="9" t="str">
        <f>HYPERLINK("http://www.ncbi.nlm.nih.gov/protein/19527144","Chchd4")</f>
        <v>Chchd4</v>
      </c>
      <c r="D1208" s="10">
        <f t="shared" si="18"/>
        <v>4.2911371459170793</v>
      </c>
      <c r="F1208" s="8" t="str">
        <f>HYPERLINK("https://esbl.nhlbi.nih.gov/Databases/mpkFractions/proteomic_fractions_log_files/Yang_log_img/19527144.jpg","show blot")</f>
        <v>show blot</v>
      </c>
      <c r="H1208" s="8" t="str">
        <f>HYPERLINK("https://esbl.nhlbi.nih.gov/Databases/mpkFractions/proteomic_fractions_linear_files/Yang_linear_img/19527144.jpg","show blot")</f>
        <v>show blot</v>
      </c>
      <c r="J1208" s="5" t="s">
        <v>2407</v>
      </c>
      <c r="L1208" s="11">
        <v>4.2911371459170793</v>
      </c>
      <c r="N1208" s="12"/>
    </row>
    <row r="1209" spans="1:14" s="5" customFormat="1" ht="15" customHeight="1" x14ac:dyDescent="0.25">
      <c r="A1209" s="9" t="s">
        <v>2408</v>
      </c>
      <c r="C1209" s="9" t="str">
        <f>HYPERLINK("http://www.ncbi.nlm.nih.gov/protein/28076873","Chchd5")</f>
        <v>Chchd5</v>
      </c>
      <c r="D1209" s="10">
        <f t="shared" si="18"/>
        <v>3.7150433401814058</v>
      </c>
      <c r="F1209" s="8" t="str">
        <f>HYPERLINK("https://esbl.nhlbi.nih.gov/Databases/mpkFractions/proteomic_fractions_log_files/Yang_log_img/28076873.jpg","show blot")</f>
        <v>show blot</v>
      </c>
      <c r="H1209" s="8" t="str">
        <f>HYPERLINK("https://esbl.nhlbi.nih.gov/Databases/mpkFractions/proteomic_fractions_linear_files/Yang_linear_img/28076873.jpg","show blot")</f>
        <v>show blot</v>
      </c>
      <c r="J1209" s="5" t="s">
        <v>2409</v>
      </c>
      <c r="L1209" s="11">
        <v>3.7150433401814058</v>
      </c>
      <c r="N1209" s="12"/>
    </row>
    <row r="1210" spans="1:14" s="5" customFormat="1" ht="15" customHeight="1" x14ac:dyDescent="0.25">
      <c r="A1210" s="9" t="s">
        <v>2410</v>
      </c>
      <c r="C1210" s="9" t="str">
        <f>HYPERLINK("http://www.ncbi.nlm.nih.gov/protein/267844804","Chchd6")</f>
        <v>Chchd6</v>
      </c>
      <c r="D1210" s="10">
        <f t="shared" si="18"/>
        <v>5.1519010384275266</v>
      </c>
      <c r="F1210" s="8" t="str">
        <f>HYPERLINK("https://esbl.nhlbi.nih.gov/Databases/mpkFractions/proteomic_fractions_log_files/Yang_log_img/267844804.jpg","show blot")</f>
        <v>show blot</v>
      </c>
      <c r="H1210" s="8" t="str">
        <f>HYPERLINK("https://esbl.nhlbi.nih.gov/Databases/mpkFractions/proteomic_fractions_linear_files/Yang_linear_img/267844804.jpg","show blot")</f>
        <v>show blot</v>
      </c>
      <c r="J1210" s="5" t="s">
        <v>2411</v>
      </c>
      <c r="L1210" s="11">
        <v>5.1519010384275266</v>
      </c>
      <c r="N1210" s="12"/>
    </row>
    <row r="1211" spans="1:14" s="5" customFormat="1" ht="15" customHeight="1" x14ac:dyDescent="0.25">
      <c r="A1211" s="9" t="s">
        <v>2412</v>
      </c>
      <c r="C1211" s="9" t="str">
        <f>HYPERLINK("http://www.ncbi.nlm.nih.gov/protein/267844806","Chchd6")</f>
        <v>Chchd6</v>
      </c>
      <c r="D1211" s="10">
        <f t="shared" si="18"/>
        <v>5.1519010384275266</v>
      </c>
      <c r="F1211" s="8" t="str">
        <f>HYPERLINK("https://esbl.nhlbi.nih.gov/Databases/mpkFractions/proteomic_fractions_log_files/Yang_log_img/267844806.jpg","show blot")</f>
        <v>show blot</v>
      </c>
      <c r="H1211" s="8" t="str">
        <f>HYPERLINK("https://esbl.nhlbi.nih.gov/Databases/mpkFractions/proteomic_fractions_linear_files/Yang_linear_img/267844806.jpg","show blot")</f>
        <v>show blot</v>
      </c>
      <c r="J1211" s="5" t="s">
        <v>2413</v>
      </c>
      <c r="L1211" s="11">
        <v>5.1519010384275266</v>
      </c>
      <c r="N1211" s="12"/>
    </row>
    <row r="1212" spans="1:14" s="5" customFormat="1" ht="15" customHeight="1" x14ac:dyDescent="0.25">
      <c r="A1212" s="9" t="s">
        <v>2414</v>
      </c>
      <c r="C1212" s="9" t="str">
        <f>HYPERLINK("http://www.ncbi.nlm.nih.gov/protein/298358505;298358513","Chchd7")</f>
        <v>Chchd7</v>
      </c>
      <c r="D1212" s="10">
        <f t="shared" si="18"/>
        <v>3.7972094397784928</v>
      </c>
      <c r="F1212" s="8" t="str">
        <f>HYPERLINK("https://esbl.nhlbi.nih.gov/Databases/mpkFractions/proteomic_fractions_log_files/Yang_log_img/298358505;298358513.jpg","show blot")</f>
        <v>show blot</v>
      </c>
      <c r="H1212" s="8" t="str">
        <f>HYPERLINK("https://esbl.nhlbi.nih.gov/Databases/mpkFractions/proteomic_fractions_linear_files/Yang_linear_img/298358505;298358513.jpg","show blot")</f>
        <v>show blot</v>
      </c>
      <c r="J1212" s="5" t="s">
        <v>2415</v>
      </c>
      <c r="L1212" s="11">
        <v>3.7972094397784928</v>
      </c>
      <c r="N1212" s="12"/>
    </row>
    <row r="1213" spans="1:14" s="5" customFormat="1" ht="15" customHeight="1" x14ac:dyDescent="0.25">
      <c r="A1213" s="9" t="s">
        <v>2416</v>
      </c>
      <c r="C1213" s="9" t="str">
        <f>HYPERLINK("http://www.ncbi.nlm.nih.gov/protein/357527416","Chd3")</f>
        <v>Chd3</v>
      </c>
      <c r="D1213" s="10">
        <f t="shared" si="18"/>
        <v>4.5219248263224214</v>
      </c>
      <c r="F1213" s="8" t="str">
        <f>HYPERLINK("https://esbl.nhlbi.nih.gov/Databases/mpkFractions/proteomic_fractions_log_files/Yang_log_img/357527416.jpg","show blot")</f>
        <v>show blot</v>
      </c>
      <c r="H1213" s="8" t="str">
        <f>HYPERLINK("https://esbl.nhlbi.nih.gov/Databases/mpkFractions/proteomic_fractions_linear_files/Yang_linear_img/357527416.jpg","show blot")</f>
        <v>show blot</v>
      </c>
      <c r="J1213" s="5" t="s">
        <v>2417</v>
      </c>
      <c r="L1213" s="11">
        <v>4.5219248263224214</v>
      </c>
      <c r="N1213" s="12"/>
    </row>
    <row r="1214" spans="1:14" s="5" customFormat="1" ht="15" customHeight="1" x14ac:dyDescent="0.25">
      <c r="A1214" s="9" t="s">
        <v>2418</v>
      </c>
      <c r="C1214" s="9" t="str">
        <f>HYPERLINK("http://www.ncbi.nlm.nih.gov/protein/39204553","Chd4")</f>
        <v>Chd4</v>
      </c>
      <c r="D1214" s="10">
        <f t="shared" si="18"/>
        <v>4.8742802431881156</v>
      </c>
      <c r="F1214" s="8" t="str">
        <f>HYPERLINK("https://esbl.nhlbi.nih.gov/Databases/mpkFractions/proteomic_fractions_log_files/Yang_log_img/39204553.jpg","show blot")</f>
        <v>show blot</v>
      </c>
      <c r="H1214" s="8" t="str">
        <f>HYPERLINK("https://esbl.nhlbi.nih.gov/Databases/mpkFractions/proteomic_fractions_linear_files/Yang_linear_img/39204553.jpg","show blot")</f>
        <v>show blot</v>
      </c>
      <c r="J1214" s="5" t="s">
        <v>2419</v>
      </c>
      <c r="L1214" s="11">
        <v>4.8742802431881156</v>
      </c>
      <c r="N1214" s="12"/>
    </row>
    <row r="1215" spans="1:14" s="5" customFormat="1" ht="15" customHeight="1" x14ac:dyDescent="0.25">
      <c r="A1215" s="9" t="s">
        <v>2420</v>
      </c>
      <c r="C1215" s="9" t="str">
        <f>HYPERLINK("http://www.ncbi.nlm.nih.gov/protein/124487025","Chd5")</f>
        <v>Chd5</v>
      </c>
      <c r="D1215" s="10">
        <f t="shared" si="18"/>
        <v>4.5385366620899674</v>
      </c>
      <c r="F1215" s="8" t="str">
        <f>HYPERLINK("https://esbl.nhlbi.nih.gov/Databases/mpkFractions/proteomic_fractions_log_files/Yang_log_img/124487025.jpg","show blot")</f>
        <v>show blot</v>
      </c>
      <c r="H1215" s="8" t="str">
        <f>HYPERLINK("https://esbl.nhlbi.nih.gov/Databases/mpkFractions/proteomic_fractions_linear_files/Yang_linear_img/124487025.jpg","show blot")</f>
        <v>show blot</v>
      </c>
      <c r="J1215" s="5" t="s">
        <v>2421</v>
      </c>
      <c r="L1215" s="11">
        <v>4.5385366620899674</v>
      </c>
      <c r="N1215" s="12"/>
    </row>
    <row r="1216" spans="1:14" s="5" customFormat="1" ht="15" customHeight="1" x14ac:dyDescent="0.25">
      <c r="A1216" s="9" t="s">
        <v>2422</v>
      </c>
      <c r="C1216" s="9" t="str">
        <f>HYPERLINK("http://www.ncbi.nlm.nih.gov/protein/189458814","Chd5")</f>
        <v>Chd5</v>
      </c>
      <c r="D1216" s="10">
        <f t="shared" si="18"/>
        <v>4.5385366620899674</v>
      </c>
      <c r="F1216" s="8" t="str">
        <f>HYPERLINK("https://esbl.nhlbi.nih.gov/Databases/mpkFractions/proteomic_fractions_log_files/Yang_log_img/189458814.jpg","show blot")</f>
        <v>show blot</v>
      </c>
      <c r="H1216" s="8" t="str">
        <f>HYPERLINK("https://esbl.nhlbi.nih.gov/Databases/mpkFractions/proteomic_fractions_linear_files/Yang_linear_img/189458814.jpg","show blot")</f>
        <v>show blot</v>
      </c>
      <c r="J1216" s="5" t="s">
        <v>2423</v>
      </c>
      <c r="L1216" s="11">
        <v>4.5385366620899674</v>
      </c>
      <c r="N1216" s="12"/>
    </row>
    <row r="1217" spans="1:14" s="5" customFormat="1" ht="15" customHeight="1" x14ac:dyDescent="0.25">
      <c r="A1217" s="9" t="s">
        <v>2424</v>
      </c>
      <c r="C1217" s="9" t="str">
        <f>HYPERLINK("http://www.ncbi.nlm.nih.gov/protein/30425036","Chdh")</f>
        <v>Chdh</v>
      </c>
      <c r="D1217" s="10">
        <f t="shared" si="18"/>
        <v>5.5240366757655286</v>
      </c>
      <c r="F1217" s="8" t="str">
        <f>HYPERLINK("https://esbl.nhlbi.nih.gov/Databases/mpkFractions/proteomic_fractions_log_files/Yang_log_img/30425036.jpg","show blot")</f>
        <v>show blot</v>
      </c>
      <c r="H1217" s="8" t="str">
        <f>HYPERLINK("https://esbl.nhlbi.nih.gov/Databases/mpkFractions/proteomic_fractions_linear_files/Yang_linear_img/30425036.jpg","show blot")</f>
        <v>show blot</v>
      </c>
      <c r="J1217" s="5" t="s">
        <v>2425</v>
      </c>
      <c r="L1217" s="11">
        <v>5.5240366757655286</v>
      </c>
      <c r="N1217" s="12"/>
    </row>
    <row r="1218" spans="1:14" s="5" customFormat="1" ht="15" customHeight="1" x14ac:dyDescent="0.25">
      <c r="A1218" s="9" t="s">
        <v>2426</v>
      </c>
      <c r="C1218" s="9" t="str">
        <f>HYPERLINK("http://www.ncbi.nlm.nih.gov/protein/31542385","Chek1")</f>
        <v>Chek1</v>
      </c>
      <c r="D1218" s="10">
        <f t="shared" si="18"/>
        <v>3.415195026121761</v>
      </c>
      <c r="F1218" s="8" t="str">
        <f>HYPERLINK("https://esbl.nhlbi.nih.gov/Databases/mpkFractions/proteomic_fractions_log_files/Yang_log_img/31542385.jpg","show blot")</f>
        <v>show blot</v>
      </c>
      <c r="H1218" s="8" t="str">
        <f>HYPERLINK("https://esbl.nhlbi.nih.gov/Databases/mpkFractions/proteomic_fractions_linear_files/Yang_linear_img/31542385.jpg","show blot")</f>
        <v>show blot</v>
      </c>
      <c r="J1218" s="5" t="s">
        <v>2427</v>
      </c>
      <c r="L1218" s="11">
        <v>3.415195026121761</v>
      </c>
      <c r="N1218" s="12"/>
    </row>
    <row r="1219" spans="1:14" s="5" customFormat="1" ht="15" customHeight="1" x14ac:dyDescent="0.25">
      <c r="A1219" s="9" t="s">
        <v>2428</v>
      </c>
      <c r="C1219" s="9" t="str">
        <f>HYPERLINK("http://www.ncbi.nlm.nih.gov/protein/119672912","Cherp")</f>
        <v>Cherp</v>
      </c>
      <c r="D1219" s="10">
        <f t="shared" si="18"/>
        <v>3.4252008890753332</v>
      </c>
      <c r="F1219" s="8" t="str">
        <f>HYPERLINK("https://esbl.nhlbi.nih.gov/Databases/mpkFractions/proteomic_fractions_log_files/Yang_log_img/119672912.jpg","show blot")</f>
        <v>show blot</v>
      </c>
      <c r="H1219" s="8" t="str">
        <f>HYPERLINK("https://esbl.nhlbi.nih.gov/Databases/mpkFractions/proteomic_fractions_linear_files/Yang_linear_img/119672912.jpg","show blot")</f>
        <v>show blot</v>
      </c>
      <c r="J1219" s="5" t="s">
        <v>2429</v>
      </c>
      <c r="L1219" s="11">
        <v>3.4252008890753332</v>
      </c>
      <c r="N1219" s="12"/>
    </row>
    <row r="1220" spans="1:14" s="5" customFormat="1" ht="15" customHeight="1" x14ac:dyDescent="0.25">
      <c r="A1220" s="9" t="s">
        <v>2430</v>
      </c>
      <c r="C1220" s="9" t="str">
        <f>HYPERLINK("http://www.ncbi.nlm.nih.gov/protein/218083710","Chid1")</f>
        <v>Chid1</v>
      </c>
      <c r="D1220" s="10">
        <f t="shared" si="18"/>
        <v>2.5833018461138559</v>
      </c>
      <c r="F1220" s="8" t="str">
        <f>HYPERLINK("https://esbl.nhlbi.nih.gov/Databases/mpkFractions/proteomic_fractions_log_files/Yang_log_img/218083710.jpg","show blot")</f>
        <v>show blot</v>
      </c>
      <c r="H1220" s="8" t="str">
        <f>HYPERLINK("https://esbl.nhlbi.nih.gov/Databases/mpkFractions/proteomic_fractions_linear_files/Yang_linear_img/218083710.jpg","show blot")</f>
        <v>show blot</v>
      </c>
      <c r="J1220" s="5" t="s">
        <v>2431</v>
      </c>
      <c r="L1220" s="11">
        <v>2.5833018461138559</v>
      </c>
      <c r="N1220" s="12"/>
    </row>
    <row r="1221" spans="1:14" s="5" customFormat="1" ht="15" customHeight="1" x14ac:dyDescent="0.25">
      <c r="A1221" s="9" t="s">
        <v>2432</v>
      </c>
      <c r="C1221" s="9" t="str">
        <f>HYPERLINK("http://www.ncbi.nlm.nih.gov/protein/31541939","Chid1")</f>
        <v>Chid1</v>
      </c>
      <c r="D1221" s="10">
        <f t="shared" ref="D1221:D1284" si="19">L1221</f>
        <v>2.5833018461138559</v>
      </c>
      <c r="F1221" s="8" t="str">
        <f>HYPERLINK("https://esbl.nhlbi.nih.gov/Databases/mpkFractions/proteomic_fractions_log_files/Yang_log_img/31541939.jpg","show blot")</f>
        <v>show blot</v>
      </c>
      <c r="H1221" s="8" t="str">
        <f>HYPERLINK("https://esbl.nhlbi.nih.gov/Databases/mpkFractions/proteomic_fractions_linear_files/Yang_linear_img/31541939.jpg","show blot")</f>
        <v>show blot</v>
      </c>
      <c r="J1221" s="5" t="s">
        <v>2433</v>
      </c>
      <c r="L1221" s="11">
        <v>2.5833018461138559</v>
      </c>
      <c r="N1221" s="12"/>
    </row>
    <row r="1222" spans="1:14" s="5" customFormat="1" ht="15" customHeight="1" x14ac:dyDescent="0.25">
      <c r="A1222" s="9" t="s">
        <v>2434</v>
      </c>
      <c r="C1222" s="9" t="str">
        <f>HYPERLINK("http://www.ncbi.nlm.nih.gov/protein/407970974","Chka")</f>
        <v>Chka</v>
      </c>
      <c r="D1222" s="10">
        <f t="shared" si="19"/>
        <v>3.8012238893304531</v>
      </c>
      <c r="F1222" s="8" t="str">
        <f>HYPERLINK("https://esbl.nhlbi.nih.gov/Databases/mpkFractions/proteomic_fractions_log_files/Yang_log_img/407970974.jpg","show blot")</f>
        <v>show blot</v>
      </c>
      <c r="H1222" s="8" t="str">
        <f>HYPERLINK("https://esbl.nhlbi.nih.gov/Databases/mpkFractions/proteomic_fractions_linear_files/Yang_linear_img/407970974.jpg","show blot")</f>
        <v>show blot</v>
      </c>
      <c r="J1222" s="5" t="s">
        <v>2435</v>
      </c>
      <c r="L1222" s="11">
        <v>3.8012238893304531</v>
      </c>
      <c r="N1222" s="12"/>
    </row>
    <row r="1223" spans="1:14" s="5" customFormat="1" ht="15" customHeight="1" x14ac:dyDescent="0.25">
      <c r="A1223" s="9" t="s">
        <v>2436</v>
      </c>
      <c r="C1223" s="9" t="str">
        <f>HYPERLINK("http://www.ncbi.nlm.nih.gov/protein/70908364","Chka")</f>
        <v>Chka</v>
      </c>
      <c r="D1223" s="10">
        <f t="shared" si="19"/>
        <v>3.8012238893304531</v>
      </c>
      <c r="F1223" s="8" t="str">
        <f>HYPERLINK("https://esbl.nhlbi.nih.gov/Databases/mpkFractions/proteomic_fractions_log_files/Yang_log_img/70908364.jpg","show blot")</f>
        <v>show blot</v>
      </c>
      <c r="H1223" s="8" t="str">
        <f>HYPERLINK("https://esbl.nhlbi.nih.gov/Databases/mpkFractions/proteomic_fractions_linear_files/Yang_linear_img/70908364.jpg","show blot")</f>
        <v>show blot</v>
      </c>
      <c r="J1223" s="5" t="s">
        <v>2437</v>
      </c>
      <c r="L1223" s="11">
        <v>3.8012238893304531</v>
      </c>
      <c r="N1223" s="12"/>
    </row>
    <row r="1224" spans="1:14" s="5" customFormat="1" ht="15" customHeight="1" x14ac:dyDescent="0.25">
      <c r="A1224" s="9" t="s">
        <v>2438</v>
      </c>
      <c r="C1224" s="9" t="str">
        <f>HYPERLINK("http://www.ncbi.nlm.nih.gov/protein/6671748","Chkb")</f>
        <v>Chkb</v>
      </c>
      <c r="D1224" s="10">
        <f t="shared" si="19"/>
        <v>4.1629571614075394</v>
      </c>
      <c r="F1224" s="8" t="str">
        <f>HYPERLINK("https://esbl.nhlbi.nih.gov/Databases/mpkFractions/proteomic_fractions_log_files/Yang_log_img/6671748.jpg","show blot")</f>
        <v>show blot</v>
      </c>
      <c r="H1224" s="8" t="str">
        <f>HYPERLINK("https://esbl.nhlbi.nih.gov/Databases/mpkFractions/proteomic_fractions_linear_files/Yang_linear_img/6671748.jpg","show blot")</f>
        <v>show blot</v>
      </c>
      <c r="J1224" s="5" t="s">
        <v>2439</v>
      </c>
      <c r="L1224" s="11">
        <v>4.1629571614075394</v>
      </c>
      <c r="N1224" s="12"/>
    </row>
    <row r="1225" spans="1:14" s="5" customFormat="1" ht="15" customHeight="1" x14ac:dyDescent="0.25">
      <c r="A1225" s="9" t="s">
        <v>2440</v>
      </c>
      <c r="C1225" s="9" t="str">
        <f>HYPERLINK("http://www.ncbi.nlm.nih.gov/protein/110681714","Chm")</f>
        <v>Chm</v>
      </c>
      <c r="D1225" s="10">
        <f t="shared" si="19"/>
        <v>3.7479226741289331</v>
      </c>
      <c r="F1225" s="8" t="str">
        <f>HYPERLINK("https://esbl.nhlbi.nih.gov/Databases/mpkFractions/proteomic_fractions_log_files/Yang_log_img/110681714.jpg","show blot")</f>
        <v>show blot</v>
      </c>
      <c r="H1225" s="8" t="str">
        <f>HYPERLINK("https://esbl.nhlbi.nih.gov/Databases/mpkFractions/proteomic_fractions_linear_files/Yang_linear_img/110681714.jpg","show blot")</f>
        <v>show blot</v>
      </c>
      <c r="J1225" s="5" t="s">
        <v>2441</v>
      </c>
      <c r="L1225" s="11">
        <v>3.7479226741289331</v>
      </c>
      <c r="N1225" s="12"/>
    </row>
    <row r="1226" spans="1:14" s="5" customFormat="1" ht="15" customHeight="1" x14ac:dyDescent="0.25">
      <c r="A1226" s="9" t="s">
        <v>2442</v>
      </c>
      <c r="C1226" s="9" t="str">
        <f>HYPERLINK("http://www.ncbi.nlm.nih.gov/protein/377834613","Chm")</f>
        <v>Chm</v>
      </c>
      <c r="D1226" s="10">
        <f t="shared" si="19"/>
        <v>3.7479226741289331</v>
      </c>
      <c r="F1226" s="8" t="str">
        <f>HYPERLINK("https://esbl.nhlbi.nih.gov/Databases/mpkFractions/proteomic_fractions_log_files/Yang_log_img/377834613.jpg","show blot")</f>
        <v>show blot</v>
      </c>
      <c r="H1226" s="8" t="str">
        <f>HYPERLINK("https://esbl.nhlbi.nih.gov/Databases/mpkFractions/proteomic_fractions_linear_files/Yang_linear_img/377834613.jpg","show blot")</f>
        <v>show blot</v>
      </c>
      <c r="J1226" s="5" t="s">
        <v>2443</v>
      </c>
      <c r="L1226" s="11">
        <v>3.7479226741289331</v>
      </c>
      <c r="N1226" s="12"/>
    </row>
    <row r="1227" spans="1:14" s="5" customFormat="1" ht="15" customHeight="1" x14ac:dyDescent="0.25">
      <c r="A1227" s="9" t="s">
        <v>2444</v>
      </c>
      <c r="C1227" s="9" t="str">
        <f>HYPERLINK("http://www.ncbi.nlm.nih.gov/protein/21704220","Chmp1a")</f>
        <v>Chmp1a</v>
      </c>
      <c r="D1227" s="10">
        <f t="shared" si="19"/>
        <v>4.1821452520972846</v>
      </c>
      <c r="F1227" s="8" t="str">
        <f>HYPERLINK("https://esbl.nhlbi.nih.gov/Databases/mpkFractions/proteomic_fractions_log_files/Yang_log_img/21704220.jpg","show blot")</f>
        <v>show blot</v>
      </c>
      <c r="H1227" s="8" t="str">
        <f>HYPERLINK("https://esbl.nhlbi.nih.gov/Databases/mpkFractions/proteomic_fractions_linear_files/Yang_linear_img/21704220.jpg","show blot")</f>
        <v>show blot</v>
      </c>
      <c r="J1227" s="5" t="s">
        <v>2445</v>
      </c>
      <c r="L1227" s="11">
        <v>4.1821452520972846</v>
      </c>
      <c r="N1227" s="12"/>
    </row>
    <row r="1228" spans="1:14" s="5" customFormat="1" ht="15" customHeight="1" x14ac:dyDescent="0.25">
      <c r="A1228" s="9" t="s">
        <v>2446</v>
      </c>
      <c r="C1228" s="9" t="str">
        <f>HYPERLINK("http://www.ncbi.nlm.nih.gov/protein/21312151","Chmp2a")</f>
        <v>Chmp2a</v>
      </c>
      <c r="D1228" s="10">
        <f t="shared" si="19"/>
        <v>5.0825921524438469</v>
      </c>
      <c r="F1228" s="8" t="str">
        <f>HYPERLINK("https://esbl.nhlbi.nih.gov/Databases/mpkFractions/proteomic_fractions_log_files/Yang_log_img/21312151.jpg","show blot")</f>
        <v>show blot</v>
      </c>
      <c r="H1228" s="8" t="str">
        <f>HYPERLINK("https://esbl.nhlbi.nih.gov/Databases/mpkFractions/proteomic_fractions_linear_files/Yang_linear_img/21312151.jpg","show blot")</f>
        <v>show blot</v>
      </c>
      <c r="J1228" s="5" t="s">
        <v>2447</v>
      </c>
      <c r="L1228" s="11">
        <v>5.0825921524438469</v>
      </c>
      <c r="N1228" s="12"/>
    </row>
    <row r="1229" spans="1:14" s="5" customFormat="1" ht="15" customHeight="1" x14ac:dyDescent="0.25">
      <c r="A1229" s="9" t="s">
        <v>2448</v>
      </c>
      <c r="C1229" s="9" t="str">
        <f>HYPERLINK("http://www.ncbi.nlm.nih.gov/protein/30794432","Chmp2b")</f>
        <v>Chmp2b</v>
      </c>
      <c r="D1229" s="10">
        <f t="shared" si="19"/>
        <v>5.0270265278506558</v>
      </c>
      <c r="F1229" s="8" t="str">
        <f>HYPERLINK("https://esbl.nhlbi.nih.gov/Databases/mpkFractions/proteomic_fractions_log_files/Yang_log_img/30794432.jpg","show blot")</f>
        <v>show blot</v>
      </c>
      <c r="H1229" s="8" t="str">
        <f>HYPERLINK("https://esbl.nhlbi.nih.gov/Databases/mpkFractions/proteomic_fractions_linear_files/Yang_linear_img/30794432.jpg","show blot")</f>
        <v>show blot</v>
      </c>
      <c r="J1229" s="5" t="s">
        <v>2449</v>
      </c>
      <c r="L1229" s="11">
        <v>5.0270265278506558</v>
      </c>
      <c r="N1229" s="12"/>
    </row>
    <row r="1230" spans="1:14" s="5" customFormat="1" ht="15" customHeight="1" x14ac:dyDescent="0.25">
      <c r="A1230" s="9" t="s">
        <v>2450</v>
      </c>
      <c r="C1230" s="9" t="str">
        <f>HYPERLINK("http://www.ncbi.nlm.nih.gov/protein/31541959","Chmp3")</f>
        <v>Chmp3</v>
      </c>
      <c r="D1230" s="10">
        <f t="shared" si="19"/>
        <v>4.9764634203327347</v>
      </c>
      <c r="F1230" s="8" t="str">
        <f>HYPERLINK("https://esbl.nhlbi.nih.gov/Databases/mpkFractions/proteomic_fractions_log_files/Yang_log_img/31541959.jpg","show blot")</f>
        <v>show blot</v>
      </c>
      <c r="H1230" s="8" t="str">
        <f>HYPERLINK("https://esbl.nhlbi.nih.gov/Databases/mpkFractions/proteomic_fractions_linear_files/Yang_linear_img/31541959.jpg","show blot")</f>
        <v>show blot</v>
      </c>
      <c r="J1230" s="5" t="s">
        <v>2451</v>
      </c>
      <c r="L1230" s="11">
        <v>4.9764634203327347</v>
      </c>
      <c r="N1230" s="12"/>
    </row>
    <row r="1231" spans="1:14" s="5" customFormat="1" ht="15" customHeight="1" x14ac:dyDescent="0.25">
      <c r="A1231" s="9" t="s">
        <v>2452</v>
      </c>
      <c r="C1231" s="9" t="str">
        <f>HYPERLINK("http://www.ncbi.nlm.nih.gov/protein/28077049","Chmp4b")</f>
        <v>Chmp4b</v>
      </c>
      <c r="D1231" s="10">
        <f t="shared" si="19"/>
        <v>5.6145336502437164</v>
      </c>
      <c r="F1231" s="8" t="str">
        <f>HYPERLINK("https://esbl.nhlbi.nih.gov/Databases/mpkFractions/proteomic_fractions_log_files/Yang_log_img/28077049.jpg","show blot")</f>
        <v>show blot</v>
      </c>
      <c r="H1231" s="8" t="str">
        <f>HYPERLINK("https://esbl.nhlbi.nih.gov/Databases/mpkFractions/proteomic_fractions_linear_files/Yang_linear_img/28077049.jpg","show blot")</f>
        <v>show blot</v>
      </c>
      <c r="J1231" s="5" t="s">
        <v>2453</v>
      </c>
      <c r="L1231" s="11">
        <v>5.6145336502437164</v>
      </c>
      <c r="N1231" s="12"/>
    </row>
    <row r="1232" spans="1:14" s="5" customFormat="1" ht="15" customHeight="1" x14ac:dyDescent="0.25">
      <c r="A1232" s="9" t="s">
        <v>2454</v>
      </c>
      <c r="C1232" s="9" t="str">
        <f>HYPERLINK("http://www.ncbi.nlm.nih.gov/protein/13386442","Chmp5")</f>
        <v>Chmp5</v>
      </c>
      <c r="D1232" s="10">
        <f t="shared" si="19"/>
        <v>5.3595304384293323</v>
      </c>
      <c r="F1232" s="8" t="str">
        <f>HYPERLINK("https://esbl.nhlbi.nih.gov/Databases/mpkFractions/proteomic_fractions_log_files/Yang_log_img/13386442.jpg","show blot")</f>
        <v>show blot</v>
      </c>
      <c r="H1232" s="8" t="str">
        <f>HYPERLINK("https://esbl.nhlbi.nih.gov/Databases/mpkFractions/proteomic_fractions_linear_files/Yang_linear_img/13386442.jpg","show blot")</f>
        <v>show blot</v>
      </c>
      <c r="J1232" s="5" t="s">
        <v>2455</v>
      </c>
      <c r="L1232" s="11">
        <v>5.3595304384293323</v>
      </c>
      <c r="N1232" s="12"/>
    </row>
    <row r="1233" spans="1:14" s="5" customFormat="1" ht="15" customHeight="1" x14ac:dyDescent="0.25">
      <c r="A1233" s="9" t="s">
        <v>2456</v>
      </c>
      <c r="C1233" s="9" t="str">
        <f>HYPERLINK("http://www.ncbi.nlm.nih.gov/protein/147904547","Chmp6")</f>
        <v>Chmp6</v>
      </c>
      <c r="D1233" s="10">
        <f t="shared" si="19"/>
        <v>5.1320103212515811</v>
      </c>
      <c r="F1233" s="8" t="str">
        <f>HYPERLINK("https://esbl.nhlbi.nih.gov/Databases/mpkFractions/proteomic_fractions_log_files/Yang_log_img/147904547.jpg","show blot")</f>
        <v>show blot</v>
      </c>
      <c r="H1233" s="8" t="str">
        <f>HYPERLINK("https://esbl.nhlbi.nih.gov/Databases/mpkFractions/proteomic_fractions_linear_files/Yang_linear_img/147904547.jpg","show blot")</f>
        <v>show blot</v>
      </c>
      <c r="J1233" s="5" t="s">
        <v>2457</v>
      </c>
      <c r="L1233" s="11">
        <v>5.1320103212515811</v>
      </c>
      <c r="N1233" s="12"/>
    </row>
    <row r="1234" spans="1:14" s="5" customFormat="1" ht="15" customHeight="1" x14ac:dyDescent="0.25">
      <c r="A1234" s="9" t="s">
        <v>2458</v>
      </c>
      <c r="C1234" s="9" t="str">
        <f>HYPERLINK("http://www.ncbi.nlm.nih.gov/protein/13385324","Chordc1")</f>
        <v>Chordc1</v>
      </c>
      <c r="D1234" s="10">
        <f t="shared" si="19"/>
        <v>4.6199227853928511</v>
      </c>
      <c r="F1234" s="8" t="str">
        <f>HYPERLINK("https://esbl.nhlbi.nih.gov/Databases/mpkFractions/proteomic_fractions_log_files/Yang_log_img/13385324.jpg","show blot")</f>
        <v>show blot</v>
      </c>
      <c r="H1234" s="8" t="str">
        <f>HYPERLINK("https://esbl.nhlbi.nih.gov/Databases/mpkFractions/proteomic_fractions_linear_files/Yang_linear_img/13385324.jpg","show blot")</f>
        <v>show blot</v>
      </c>
      <c r="J1234" s="5" t="s">
        <v>2459</v>
      </c>
      <c r="L1234" s="11">
        <v>4.6199227853928511</v>
      </c>
      <c r="N1234" s="12"/>
    </row>
    <row r="1235" spans="1:14" s="5" customFormat="1" ht="15" customHeight="1" x14ac:dyDescent="0.25">
      <c r="A1235" s="9" t="s">
        <v>2460</v>
      </c>
      <c r="C1235" s="9" t="str">
        <f>HYPERLINK("http://www.ncbi.nlm.nih.gov/protein/9790225","Chp1")</f>
        <v>Chp1</v>
      </c>
      <c r="D1235" s="10">
        <f t="shared" si="19"/>
        <v>5.3538841237707873</v>
      </c>
      <c r="F1235" s="8" t="str">
        <f>HYPERLINK("https://esbl.nhlbi.nih.gov/Databases/mpkFractions/proteomic_fractions_log_files/Yang_log_img/9790225.jpg","show blot")</f>
        <v>show blot</v>
      </c>
      <c r="H1235" s="8" t="str">
        <f>HYPERLINK("https://esbl.nhlbi.nih.gov/Databases/mpkFractions/proteomic_fractions_linear_files/Yang_linear_img/9790225.jpg","show blot")</f>
        <v>show blot</v>
      </c>
      <c r="J1235" s="5" t="s">
        <v>2461</v>
      </c>
      <c r="L1235" s="11">
        <v>5.3538841237707873</v>
      </c>
      <c r="N1235" s="12"/>
    </row>
    <row r="1236" spans="1:14" s="5" customFormat="1" ht="15" customHeight="1" x14ac:dyDescent="0.25">
      <c r="A1236" s="9" t="s">
        <v>2462</v>
      </c>
      <c r="C1236" s="9" t="str">
        <f>HYPERLINK("http://www.ncbi.nlm.nih.gov/protein/226442811","Chpt1")</f>
        <v>Chpt1</v>
      </c>
      <c r="D1236" s="10">
        <f t="shared" si="19"/>
        <v>3.0226345399441188</v>
      </c>
      <c r="F1236" s="8" t="str">
        <f>HYPERLINK("https://esbl.nhlbi.nih.gov/Databases/mpkFractions/proteomic_fractions_log_files/Yang_log_img/226442811.jpg","show blot")</f>
        <v>show blot</v>
      </c>
      <c r="H1236" s="8" t="str">
        <f>HYPERLINK("https://esbl.nhlbi.nih.gov/Databases/mpkFractions/proteomic_fractions_linear_files/Yang_linear_img/226442811.jpg","show blot")</f>
        <v>show blot</v>
      </c>
      <c r="J1236" s="5" t="s">
        <v>2463</v>
      </c>
      <c r="L1236" s="11">
        <v>3.0226345399441188</v>
      </c>
      <c r="N1236" s="12"/>
    </row>
    <row r="1237" spans="1:14" s="5" customFormat="1" ht="15" customHeight="1" x14ac:dyDescent="0.25">
      <c r="A1237" s="9" t="s">
        <v>2464</v>
      </c>
      <c r="C1237" s="9" t="str">
        <f>HYPERLINK("http://www.ncbi.nlm.nih.gov/protein/226442815","Chpt1")</f>
        <v>Chpt1</v>
      </c>
      <c r="D1237" s="10">
        <f t="shared" si="19"/>
        <v>3.0226345399441188</v>
      </c>
      <c r="F1237" s="8" t="str">
        <f>HYPERLINK("https://esbl.nhlbi.nih.gov/Databases/mpkFractions/proteomic_fractions_log_files/Yang_log_img/226442815.jpg","show blot")</f>
        <v>show blot</v>
      </c>
      <c r="H1237" s="8" t="str">
        <f>HYPERLINK("https://esbl.nhlbi.nih.gov/Databases/mpkFractions/proteomic_fractions_linear_files/Yang_linear_img/226442815.jpg","show blot")</f>
        <v>show blot</v>
      </c>
      <c r="J1237" s="5" t="s">
        <v>2465</v>
      </c>
      <c r="L1237" s="11">
        <v>3.0226345399441188</v>
      </c>
      <c r="N1237" s="12"/>
    </row>
    <row r="1238" spans="1:14" s="5" customFormat="1" ht="15" customHeight="1" x14ac:dyDescent="0.25">
      <c r="A1238" s="9" t="s">
        <v>2466</v>
      </c>
      <c r="C1238" s="9" t="str">
        <f>HYPERLINK("http://www.ncbi.nlm.nih.gov/protein/6752950","Chrne")</f>
        <v>Chrne</v>
      </c>
      <c r="D1238" s="10">
        <f t="shared" si="19"/>
        <v>4.2661036451100607</v>
      </c>
      <c r="F1238" s="8" t="str">
        <f>HYPERLINK("https://esbl.nhlbi.nih.gov/Databases/mpkFractions/proteomic_fractions_log_files/Yang_log_img/6752950.jpg","show blot")</f>
        <v>show blot</v>
      </c>
      <c r="H1238" s="8" t="str">
        <f>HYPERLINK("https://esbl.nhlbi.nih.gov/Databases/mpkFractions/proteomic_fractions_linear_files/Yang_linear_img/6752950.jpg","show blot")</f>
        <v>show blot</v>
      </c>
      <c r="J1238" s="5" t="s">
        <v>2467</v>
      </c>
      <c r="L1238" s="11">
        <v>4.2661036451100607</v>
      </c>
      <c r="N1238" s="12"/>
    </row>
    <row r="1239" spans="1:14" s="5" customFormat="1" ht="15" customHeight="1" x14ac:dyDescent="0.25">
      <c r="A1239" s="9" t="s">
        <v>2468</v>
      </c>
      <c r="C1239" s="9" t="str">
        <f>HYPERLINK("http://www.ncbi.nlm.nih.gov/protein/157951666","Chtf18")</f>
        <v>Chtf18</v>
      </c>
      <c r="D1239" s="10">
        <f t="shared" si="19"/>
        <v>4.1973650194660026</v>
      </c>
      <c r="F1239" s="8" t="str">
        <f>HYPERLINK("https://esbl.nhlbi.nih.gov/Databases/mpkFractions/proteomic_fractions_log_files/Yang_log_img/157951666.jpg","show blot")</f>
        <v>show blot</v>
      </c>
      <c r="H1239" s="8" t="str">
        <f>HYPERLINK("https://esbl.nhlbi.nih.gov/Databases/mpkFractions/proteomic_fractions_linear_files/Yang_linear_img/157951666.jpg","show blot")</f>
        <v>show blot</v>
      </c>
      <c r="J1239" s="5" t="s">
        <v>2469</v>
      </c>
      <c r="L1239" s="11">
        <v>4.1973650194660026</v>
      </c>
      <c r="N1239" s="12"/>
    </row>
    <row r="1240" spans="1:14" s="5" customFormat="1" ht="15" customHeight="1" x14ac:dyDescent="0.25">
      <c r="A1240" s="9" t="s">
        <v>2470</v>
      </c>
      <c r="C1240" s="9" t="str">
        <f>HYPERLINK("http://www.ncbi.nlm.nih.gov/protein/84000434","Chtf8")</f>
        <v>Chtf8</v>
      </c>
      <c r="D1240" s="10">
        <f t="shared" si="19"/>
        <v>4.1464137630419877</v>
      </c>
      <c r="F1240" s="8" t="str">
        <f>HYPERLINK("https://esbl.nhlbi.nih.gov/Databases/mpkFractions/proteomic_fractions_log_files/Yang_log_img/84000434.jpg","show blot")</f>
        <v>show blot</v>
      </c>
      <c r="H1240" s="8" t="str">
        <f>HYPERLINK("https://esbl.nhlbi.nih.gov/Databases/mpkFractions/proteomic_fractions_linear_files/Yang_linear_img/84000434.jpg","show blot")</f>
        <v>show blot</v>
      </c>
      <c r="J1240" s="5" t="s">
        <v>2471</v>
      </c>
      <c r="L1240" s="11">
        <v>4.1464137630419877</v>
      </c>
      <c r="N1240" s="12"/>
    </row>
    <row r="1241" spans="1:14" s="5" customFormat="1" ht="15" customHeight="1" x14ac:dyDescent="0.25">
      <c r="A1241" s="9" t="s">
        <v>2472</v>
      </c>
      <c r="C1241" s="9" t="str">
        <f>HYPERLINK("http://www.ncbi.nlm.nih.gov/protein/31981251","Chtop")</f>
        <v>Chtop</v>
      </c>
      <c r="D1241" s="10">
        <f t="shared" si="19"/>
        <v>5.15769473467219</v>
      </c>
      <c r="F1241" s="8" t="str">
        <f>HYPERLINK("https://esbl.nhlbi.nih.gov/Databases/mpkFractions/proteomic_fractions_log_files/Yang_log_img/31981251.jpg","show blot")</f>
        <v>show blot</v>
      </c>
      <c r="H1241" s="8" t="str">
        <f>HYPERLINK("https://esbl.nhlbi.nih.gov/Databases/mpkFractions/proteomic_fractions_linear_files/Yang_linear_img/31981251.jpg","show blot")</f>
        <v>show blot</v>
      </c>
      <c r="J1241" s="5" t="s">
        <v>2473</v>
      </c>
      <c r="L1241" s="11">
        <v>5.15769473467219</v>
      </c>
      <c r="N1241" s="12"/>
    </row>
    <row r="1242" spans="1:14" s="5" customFormat="1" ht="15" customHeight="1" x14ac:dyDescent="0.25">
      <c r="A1242" s="9" t="s">
        <v>2474</v>
      </c>
      <c r="C1242" s="9" t="str">
        <f>HYPERLINK("http://www.ncbi.nlm.nih.gov/protein/124249115","Churc1")</f>
        <v>Churc1</v>
      </c>
      <c r="D1242" s="10">
        <f t="shared" si="19"/>
        <v>3.977241219295593</v>
      </c>
      <c r="F1242" s="8" t="str">
        <f>HYPERLINK("https://esbl.nhlbi.nih.gov/Databases/mpkFractions/proteomic_fractions_log_files/Yang_log_img/124249115.jpg","show blot")</f>
        <v>show blot</v>
      </c>
      <c r="H1242" s="8" t="str">
        <f>HYPERLINK("https://esbl.nhlbi.nih.gov/Databases/mpkFractions/proteomic_fractions_linear_files/Yang_linear_img/124249115.jpg","show blot")</f>
        <v>show blot</v>
      </c>
      <c r="J1242" s="5" t="s">
        <v>2475</v>
      </c>
      <c r="L1242" s="11">
        <v>3.977241219295593</v>
      </c>
      <c r="N1242" s="12"/>
    </row>
    <row r="1243" spans="1:14" s="5" customFormat="1" ht="15" customHeight="1" x14ac:dyDescent="0.25">
      <c r="A1243" s="9" t="s">
        <v>2476</v>
      </c>
      <c r="C1243" s="9" t="str">
        <f>HYPERLINK("http://www.ncbi.nlm.nih.gov/protein/31542399","Ciao1")</f>
        <v>Ciao1</v>
      </c>
      <c r="D1243" s="10">
        <f t="shared" si="19"/>
        <v>5.168411557876496</v>
      </c>
      <c r="F1243" s="8" t="str">
        <f>HYPERLINK("https://esbl.nhlbi.nih.gov/Databases/mpkFractions/proteomic_fractions_log_files/Yang_log_img/31542399.jpg","show blot")</f>
        <v>show blot</v>
      </c>
      <c r="H1243" s="8" t="str">
        <f>HYPERLINK("https://esbl.nhlbi.nih.gov/Databases/mpkFractions/proteomic_fractions_linear_files/Yang_linear_img/31542399.jpg","show blot")</f>
        <v>show blot</v>
      </c>
      <c r="J1243" s="5" t="s">
        <v>2477</v>
      </c>
      <c r="L1243" s="11">
        <v>5.168411557876496</v>
      </c>
      <c r="N1243" s="12"/>
    </row>
    <row r="1244" spans="1:14" s="5" customFormat="1" ht="15" customHeight="1" x14ac:dyDescent="0.25">
      <c r="A1244" s="9" t="s">
        <v>2478</v>
      </c>
      <c r="C1244" s="9" t="str">
        <f>HYPERLINK("http://www.ncbi.nlm.nih.gov/protein/19527376","Ciapin1")</f>
        <v>Ciapin1</v>
      </c>
      <c r="D1244" s="10">
        <f t="shared" si="19"/>
        <v>5.1884816335488759</v>
      </c>
      <c r="F1244" s="8" t="str">
        <f>HYPERLINK("https://esbl.nhlbi.nih.gov/Databases/mpkFractions/proteomic_fractions_log_files/Yang_log_img/19527376.jpg","show blot")</f>
        <v>show blot</v>
      </c>
      <c r="H1244" s="8" t="str">
        <f>HYPERLINK("https://esbl.nhlbi.nih.gov/Databases/mpkFractions/proteomic_fractions_linear_files/Yang_linear_img/19527376.jpg","show blot")</f>
        <v>show blot</v>
      </c>
      <c r="J1244" s="5" t="s">
        <v>2479</v>
      </c>
      <c r="L1244" s="11">
        <v>5.1884816335488759</v>
      </c>
      <c r="N1244" s="12"/>
    </row>
    <row r="1245" spans="1:14" s="5" customFormat="1" ht="15" customHeight="1" x14ac:dyDescent="0.25">
      <c r="A1245" s="9" t="s">
        <v>2480</v>
      </c>
      <c r="C1245" s="9" t="str">
        <f>HYPERLINK("http://www.ncbi.nlm.nih.gov/protein/6680946","Cirbp")</f>
        <v>Cirbp</v>
      </c>
      <c r="D1245" s="10">
        <f t="shared" si="19"/>
        <v>5.3876958747874859</v>
      </c>
      <c r="F1245" s="8" t="str">
        <f>HYPERLINK("https://esbl.nhlbi.nih.gov/Databases/mpkFractions/proteomic_fractions_log_files/Yang_log_img/6680946.jpg","show blot")</f>
        <v>show blot</v>
      </c>
      <c r="H1245" s="8" t="str">
        <f>HYPERLINK("https://esbl.nhlbi.nih.gov/Databases/mpkFractions/proteomic_fractions_linear_files/Yang_linear_img/6680946.jpg","show blot")</f>
        <v>show blot</v>
      </c>
      <c r="J1245" s="5" t="s">
        <v>2481</v>
      </c>
      <c r="L1245" s="11">
        <v>5.3876958747874859</v>
      </c>
      <c r="N1245" s="12"/>
    </row>
    <row r="1246" spans="1:14" s="5" customFormat="1" ht="15" customHeight="1" x14ac:dyDescent="0.25">
      <c r="A1246" s="9" t="s">
        <v>2482</v>
      </c>
      <c r="C1246" s="9" t="str">
        <f>HYPERLINK("http://www.ncbi.nlm.nih.gov/protein/19527228","Cisd1")</f>
        <v>Cisd1</v>
      </c>
      <c r="D1246" s="10">
        <f t="shared" si="19"/>
        <v>6.4607690968231779</v>
      </c>
      <c r="F1246" s="8" t="str">
        <f>HYPERLINK("https://esbl.nhlbi.nih.gov/Databases/mpkFractions/proteomic_fractions_log_files/Yang_log_img/19527228.jpg","show blot")</f>
        <v>show blot</v>
      </c>
      <c r="H1246" s="8" t="str">
        <f>HYPERLINK("https://esbl.nhlbi.nih.gov/Databases/mpkFractions/proteomic_fractions_linear_files/Yang_linear_img/19527228.jpg","show blot")</f>
        <v>show blot</v>
      </c>
      <c r="J1246" s="5" t="s">
        <v>2483</v>
      </c>
      <c r="L1246" s="11">
        <v>6.4607690968231779</v>
      </c>
      <c r="N1246" s="12"/>
    </row>
    <row r="1247" spans="1:14" s="5" customFormat="1" ht="15" customHeight="1" x14ac:dyDescent="0.25">
      <c r="A1247" s="9" t="s">
        <v>2484</v>
      </c>
      <c r="C1247" s="9" t="str">
        <f>HYPERLINK("http://www.ncbi.nlm.nih.gov/protein/21728370","Cisd2")</f>
        <v>Cisd2</v>
      </c>
      <c r="D1247" s="10">
        <f t="shared" si="19"/>
        <v>5.7929105993168264</v>
      </c>
      <c r="F1247" s="8" t="str">
        <f>HYPERLINK("https://esbl.nhlbi.nih.gov/Databases/mpkFractions/proteomic_fractions_log_files/Yang_log_img/21728370.jpg","show blot")</f>
        <v>show blot</v>
      </c>
      <c r="H1247" s="8" t="str">
        <f>HYPERLINK("https://esbl.nhlbi.nih.gov/Databases/mpkFractions/proteomic_fractions_linear_files/Yang_linear_img/21728370.jpg","show blot")</f>
        <v>show blot</v>
      </c>
      <c r="J1247" s="5" t="s">
        <v>2485</v>
      </c>
      <c r="L1247" s="11">
        <v>5.7929105993168264</v>
      </c>
      <c r="N1247" s="12"/>
    </row>
    <row r="1248" spans="1:14" s="5" customFormat="1" ht="15" customHeight="1" x14ac:dyDescent="0.25">
      <c r="A1248" s="9" t="s">
        <v>2486</v>
      </c>
      <c r="C1248" s="9" t="str">
        <f>HYPERLINK("http://www.ncbi.nlm.nih.gov/protein/168229148","Cisd3")</f>
        <v>Cisd3</v>
      </c>
      <c r="D1248" s="10">
        <f t="shared" si="19"/>
        <v>3.871458249786909</v>
      </c>
      <c r="F1248" s="8" t="str">
        <f>HYPERLINK("https://esbl.nhlbi.nih.gov/Databases/mpkFractions/proteomic_fractions_log_files/Yang_log_img/168229148.jpg","show blot")</f>
        <v>show blot</v>
      </c>
      <c r="H1248" s="8" t="str">
        <f>HYPERLINK("https://esbl.nhlbi.nih.gov/Databases/mpkFractions/proteomic_fractions_linear_files/Yang_linear_img/168229148.jpg","show blot")</f>
        <v>show blot</v>
      </c>
      <c r="J1248" s="5" t="s">
        <v>2487</v>
      </c>
      <c r="L1248" s="11">
        <v>3.871458249786909</v>
      </c>
      <c r="N1248" s="12"/>
    </row>
    <row r="1249" spans="1:14" s="5" customFormat="1" ht="15" customHeight="1" x14ac:dyDescent="0.25">
      <c r="A1249" s="9" t="s">
        <v>2488</v>
      </c>
      <c r="C1249" s="9" t="str">
        <f>HYPERLINK("http://www.ncbi.nlm.nih.gov/protein/62526118","Ckap4")</f>
        <v>Ckap4</v>
      </c>
      <c r="D1249" s="10">
        <f t="shared" si="19"/>
        <v>4.1157538578876878</v>
      </c>
      <c r="F1249" s="8" t="str">
        <f>HYPERLINK("https://esbl.nhlbi.nih.gov/Databases/mpkFractions/proteomic_fractions_log_files/Yang_log_img/62526118.jpg","show blot")</f>
        <v>show blot</v>
      </c>
      <c r="H1249" s="8" t="str">
        <f>HYPERLINK("https://esbl.nhlbi.nih.gov/Databases/mpkFractions/proteomic_fractions_linear_files/Yang_linear_img/62526118.jpg","show blot")</f>
        <v>show blot</v>
      </c>
      <c r="J1249" s="5" t="s">
        <v>2489</v>
      </c>
      <c r="L1249" s="11">
        <v>4.1157538578876878</v>
      </c>
      <c r="N1249" s="12"/>
    </row>
    <row r="1250" spans="1:14" s="5" customFormat="1" ht="15" customHeight="1" x14ac:dyDescent="0.25">
      <c r="A1250" s="9" t="s">
        <v>2490</v>
      </c>
      <c r="C1250" s="9" t="str">
        <f>HYPERLINK("http://www.ncbi.nlm.nih.gov/protein/260166719","Ckap5")</f>
        <v>Ckap5</v>
      </c>
      <c r="D1250" s="10">
        <f t="shared" si="19"/>
        <v>3.6826566163496048</v>
      </c>
      <c r="F1250" s="8" t="str">
        <f>HYPERLINK("https://esbl.nhlbi.nih.gov/Databases/mpkFractions/proteomic_fractions_log_files/Yang_log_img/260166719.jpg","show blot")</f>
        <v>show blot</v>
      </c>
      <c r="H1250" s="8" t="str">
        <f>HYPERLINK("https://esbl.nhlbi.nih.gov/Databases/mpkFractions/proteomic_fractions_linear_files/Yang_linear_img/260166719.jpg","show blot")</f>
        <v>show blot</v>
      </c>
      <c r="J1250" s="5" t="s">
        <v>2491</v>
      </c>
      <c r="L1250" s="11">
        <v>3.6826566163496048</v>
      </c>
      <c r="N1250" s="12"/>
    </row>
    <row r="1251" spans="1:14" s="5" customFormat="1" ht="15" customHeight="1" x14ac:dyDescent="0.25">
      <c r="A1251" s="9" t="s">
        <v>2492</v>
      </c>
      <c r="C1251" s="9" t="str">
        <f>HYPERLINK("http://www.ncbi.nlm.nih.gov/protein/260166721","Ckap5")</f>
        <v>Ckap5</v>
      </c>
      <c r="D1251" s="10">
        <f t="shared" si="19"/>
        <v>3.6826566163496048</v>
      </c>
      <c r="F1251" s="8" t="str">
        <f>HYPERLINK("https://esbl.nhlbi.nih.gov/Databases/mpkFractions/proteomic_fractions_log_files/Yang_log_img/260166721.jpg","show blot")</f>
        <v>show blot</v>
      </c>
      <c r="H1251" s="8" t="str">
        <f>HYPERLINK("https://esbl.nhlbi.nih.gov/Databases/mpkFractions/proteomic_fractions_linear_files/Yang_linear_img/260166721.jpg","show blot")</f>
        <v>show blot</v>
      </c>
      <c r="J1251" s="5" t="s">
        <v>2493</v>
      </c>
      <c r="L1251" s="11">
        <v>3.6826566163496048</v>
      </c>
      <c r="N1251" s="12"/>
    </row>
    <row r="1252" spans="1:14" s="5" customFormat="1" ht="15" customHeight="1" x14ac:dyDescent="0.25">
      <c r="A1252" s="9" t="s">
        <v>2494</v>
      </c>
      <c r="C1252" s="9" t="str">
        <f>HYPERLINK("http://www.ncbi.nlm.nih.gov/protein/6753428","Ckmt1")</f>
        <v>Ckmt1</v>
      </c>
      <c r="D1252" s="10">
        <f t="shared" si="19"/>
        <v>6.2350254972521482</v>
      </c>
      <c r="F1252" s="8" t="str">
        <f>HYPERLINK("https://esbl.nhlbi.nih.gov/Databases/mpkFractions/proteomic_fractions_log_files/Yang_log_img/6753428.jpg","show blot")</f>
        <v>show blot</v>
      </c>
      <c r="H1252" s="8" t="str">
        <f>HYPERLINK("https://esbl.nhlbi.nih.gov/Databases/mpkFractions/proteomic_fractions_linear_files/Yang_linear_img/6753428.jpg","show blot")</f>
        <v>show blot</v>
      </c>
      <c r="J1252" s="5" t="s">
        <v>2495</v>
      </c>
      <c r="L1252" s="11">
        <v>6.2350254972521482</v>
      </c>
      <c r="N1252" s="12"/>
    </row>
    <row r="1253" spans="1:14" s="5" customFormat="1" ht="15" customHeight="1" x14ac:dyDescent="0.25">
      <c r="A1253" s="9" t="s">
        <v>2496</v>
      </c>
      <c r="C1253" s="9" t="str">
        <f>HYPERLINK("http://www.ncbi.nlm.nih.gov/protein/38259206","Ckmt2")</f>
        <v>Ckmt2</v>
      </c>
      <c r="D1253" s="10">
        <f t="shared" si="19"/>
        <v>6.2284396991708437</v>
      </c>
      <c r="F1253" s="8" t="str">
        <f>HYPERLINK("https://esbl.nhlbi.nih.gov/Databases/mpkFractions/proteomic_fractions_log_files/Yang_log_img/38259206.jpg","show blot")</f>
        <v>show blot</v>
      </c>
      <c r="H1253" s="8" t="str">
        <f>HYPERLINK("https://esbl.nhlbi.nih.gov/Databases/mpkFractions/proteomic_fractions_linear_files/Yang_linear_img/38259206.jpg","show blot")</f>
        <v>show blot</v>
      </c>
      <c r="J1253" s="5" t="s">
        <v>2497</v>
      </c>
      <c r="L1253" s="11">
        <v>6.2284396991708437</v>
      </c>
      <c r="N1253" s="12"/>
    </row>
    <row r="1254" spans="1:14" s="5" customFormat="1" ht="15" customHeight="1" x14ac:dyDescent="0.25">
      <c r="A1254" s="9" t="s">
        <v>2498</v>
      </c>
      <c r="C1254" s="9" t="str">
        <f>HYPERLINK("http://www.ncbi.nlm.nih.gov/protein/8393135","Cks1b")</f>
        <v>Cks1b</v>
      </c>
      <c r="D1254" s="10">
        <f t="shared" si="19"/>
        <v>4.0331926246247427</v>
      </c>
      <c r="F1254" s="8" t="str">
        <f>HYPERLINK("https://esbl.nhlbi.nih.gov/Databases/mpkFractions/proteomic_fractions_log_files/Yang_log_img/8393135.jpg","show blot")</f>
        <v>show blot</v>
      </c>
      <c r="H1254" s="8" t="str">
        <f>HYPERLINK("https://esbl.nhlbi.nih.gov/Databases/mpkFractions/proteomic_fractions_linear_files/Yang_linear_img/8393135.jpg","show blot")</f>
        <v>show blot</v>
      </c>
      <c r="J1254" s="5" t="s">
        <v>2499</v>
      </c>
      <c r="L1254" s="11">
        <v>4.0331926246247427</v>
      </c>
      <c r="N1254" s="12"/>
    </row>
    <row r="1255" spans="1:14" s="5" customFormat="1" ht="15" customHeight="1" x14ac:dyDescent="0.25">
      <c r="A1255" s="9" t="s">
        <v>2500</v>
      </c>
      <c r="C1255" s="9" t="str">
        <f>HYPERLINK("http://www.ncbi.nlm.nih.gov/protein/13384804","Cks2")</f>
        <v>Cks2</v>
      </c>
      <c r="D1255" s="10">
        <f t="shared" si="19"/>
        <v>3.5982690496995362</v>
      </c>
      <c r="F1255" s="8" t="str">
        <f>HYPERLINK("https://esbl.nhlbi.nih.gov/Databases/mpkFractions/proteomic_fractions_log_files/Yang_log_img/13384804.jpg","show blot")</f>
        <v>show blot</v>
      </c>
      <c r="H1255" s="8" t="str">
        <f>HYPERLINK("https://esbl.nhlbi.nih.gov/Databases/mpkFractions/proteomic_fractions_linear_files/Yang_linear_img/13384804.jpg","show blot")</f>
        <v>show blot</v>
      </c>
      <c r="J1255" s="5" t="s">
        <v>2501</v>
      </c>
      <c r="L1255" s="11">
        <v>3.5982690496995362</v>
      </c>
      <c r="N1255" s="12"/>
    </row>
    <row r="1256" spans="1:14" s="5" customFormat="1" ht="15" customHeight="1" x14ac:dyDescent="0.25">
      <c r="A1256" s="9" t="s">
        <v>2502</v>
      </c>
      <c r="C1256" s="9" t="str">
        <f>HYPERLINK("http://www.ncbi.nlm.nih.gov/protein/124486879","Clasp1")</f>
        <v>Clasp1</v>
      </c>
      <c r="D1256" s="10">
        <f t="shared" si="19"/>
        <v>2.53655844257153</v>
      </c>
      <c r="F1256" s="8" t="str">
        <f>HYPERLINK("https://esbl.nhlbi.nih.gov/Databases/mpkFractions/proteomic_fractions_log_files/Yang_log_img/124486879.jpg","show blot")</f>
        <v>show blot</v>
      </c>
      <c r="H1256" s="8" t="str">
        <f>HYPERLINK("https://esbl.nhlbi.nih.gov/Databases/mpkFractions/proteomic_fractions_linear_files/Yang_linear_img/124486879.jpg","show blot")</f>
        <v>show blot</v>
      </c>
      <c r="J1256" s="5" t="s">
        <v>2503</v>
      </c>
      <c r="L1256" s="11">
        <v>2.53655844257153</v>
      </c>
      <c r="N1256" s="12"/>
    </row>
    <row r="1257" spans="1:14" s="5" customFormat="1" ht="15" customHeight="1" x14ac:dyDescent="0.25">
      <c r="A1257" s="9" t="s">
        <v>2504</v>
      </c>
      <c r="C1257" s="9" t="str">
        <f>HYPERLINK("http://www.ncbi.nlm.nih.gov/protein/163644247","Clasp1")</f>
        <v>Clasp1</v>
      </c>
      <c r="D1257" s="10">
        <f t="shared" si="19"/>
        <v>2.53655844257153</v>
      </c>
      <c r="F1257" s="8" t="str">
        <f>HYPERLINK("https://esbl.nhlbi.nih.gov/Databases/mpkFractions/proteomic_fractions_log_files/Yang_log_img/163644247.jpg","show blot")</f>
        <v>show blot</v>
      </c>
      <c r="H1257" s="8" t="str">
        <f>HYPERLINK("https://esbl.nhlbi.nih.gov/Databases/mpkFractions/proteomic_fractions_linear_files/Yang_linear_img/163644247.jpg","show blot")</f>
        <v>show blot</v>
      </c>
      <c r="J1257" s="5" t="s">
        <v>2505</v>
      </c>
      <c r="L1257" s="11">
        <v>2.53655844257153</v>
      </c>
      <c r="N1257" s="12"/>
    </row>
    <row r="1258" spans="1:14" s="5" customFormat="1" ht="15" customHeight="1" x14ac:dyDescent="0.25">
      <c r="A1258" s="9" t="s">
        <v>2506</v>
      </c>
      <c r="C1258" s="9" t="str">
        <f>HYPERLINK("http://www.ncbi.nlm.nih.gov/protein/163644249","Clasp1")</f>
        <v>Clasp1</v>
      </c>
      <c r="D1258" s="10">
        <f t="shared" si="19"/>
        <v>2.53655844257153</v>
      </c>
      <c r="F1258" s="8" t="str">
        <f>HYPERLINK("https://esbl.nhlbi.nih.gov/Databases/mpkFractions/proteomic_fractions_log_files/Yang_log_img/163644249.jpg","show blot")</f>
        <v>show blot</v>
      </c>
      <c r="H1258" s="8" t="str">
        <f>HYPERLINK("https://esbl.nhlbi.nih.gov/Databases/mpkFractions/proteomic_fractions_linear_files/Yang_linear_img/163644249.jpg","show blot")</f>
        <v>show blot</v>
      </c>
      <c r="J1258" s="5" t="s">
        <v>2507</v>
      </c>
      <c r="L1258" s="11">
        <v>2.53655844257153</v>
      </c>
      <c r="N1258" s="12"/>
    </row>
    <row r="1259" spans="1:14" s="5" customFormat="1" ht="15" customHeight="1" x14ac:dyDescent="0.25">
      <c r="A1259" s="9" t="s">
        <v>2508</v>
      </c>
      <c r="C1259" s="9" t="str">
        <f>HYPERLINK("http://www.ncbi.nlm.nih.gov/protein/295293088","Clcc1")</f>
        <v>Clcc1</v>
      </c>
      <c r="D1259" s="10">
        <f t="shared" si="19"/>
        <v>2.6053415752421412</v>
      </c>
      <c r="F1259" s="8" t="str">
        <f>HYPERLINK("https://esbl.nhlbi.nih.gov/Databases/mpkFractions/proteomic_fractions_log_files/Yang_log_img/295293088.jpg","show blot")</f>
        <v>show blot</v>
      </c>
      <c r="H1259" s="8" t="str">
        <f>HYPERLINK("https://esbl.nhlbi.nih.gov/Databases/mpkFractions/proteomic_fractions_linear_files/Yang_linear_img/295293088.jpg","show blot")</f>
        <v>show blot</v>
      </c>
      <c r="J1259" s="5" t="s">
        <v>2509</v>
      </c>
      <c r="L1259" s="11">
        <v>2.6053415752421412</v>
      </c>
      <c r="N1259" s="12"/>
    </row>
    <row r="1260" spans="1:14" s="5" customFormat="1" ht="15" customHeight="1" x14ac:dyDescent="0.25">
      <c r="A1260" s="9" t="s">
        <v>2510</v>
      </c>
      <c r="C1260" s="9" t="str">
        <f>HYPERLINK("http://www.ncbi.nlm.nih.gov/protein/295293090;21704070","Clcc1")</f>
        <v>Clcc1</v>
      </c>
      <c r="D1260" s="10">
        <f t="shared" si="19"/>
        <v>2.6053415752421412</v>
      </c>
      <c r="F1260" s="8" t="str">
        <f>HYPERLINK("https://esbl.nhlbi.nih.gov/Databases/mpkFractions/proteomic_fractions_log_files/Yang_log_img/295293090;21704070.jpg","show blot")</f>
        <v>show blot</v>
      </c>
      <c r="H1260" s="8" t="str">
        <f>HYPERLINK("https://esbl.nhlbi.nih.gov/Databases/mpkFractions/proteomic_fractions_linear_files/Yang_linear_img/295293090;21704070.jpg","show blot")</f>
        <v>show blot</v>
      </c>
      <c r="J1260" s="5" t="s">
        <v>2511</v>
      </c>
      <c r="L1260" s="11">
        <v>2.6053415752421412</v>
      </c>
      <c r="N1260" s="12"/>
    </row>
    <row r="1261" spans="1:14" s="5" customFormat="1" ht="15" customHeight="1" x14ac:dyDescent="0.25">
      <c r="A1261" s="9" t="s">
        <v>2512</v>
      </c>
      <c r="C1261" s="9" t="str">
        <f>HYPERLINK("http://www.ncbi.nlm.nih.gov/protein/189458826","Clcn3")</f>
        <v>Clcn3</v>
      </c>
      <c r="D1261" s="10">
        <f t="shared" si="19"/>
        <v>2.674861140737812</v>
      </c>
      <c r="F1261" s="8" t="str">
        <f>HYPERLINK("https://esbl.nhlbi.nih.gov/Databases/mpkFractions/proteomic_fractions_log_files/Yang_log_img/189458826.jpg","show blot")</f>
        <v>show blot</v>
      </c>
      <c r="H1261" s="8" t="str">
        <f>HYPERLINK("https://esbl.nhlbi.nih.gov/Databases/mpkFractions/proteomic_fractions_linear_files/Yang_linear_img/189458826.jpg","show blot")</f>
        <v>show blot</v>
      </c>
      <c r="J1261" s="5" t="s">
        <v>2513</v>
      </c>
      <c r="L1261" s="11">
        <v>2.674861140737812</v>
      </c>
      <c r="N1261" s="12"/>
    </row>
    <row r="1262" spans="1:14" s="5" customFormat="1" ht="15" customHeight="1" x14ac:dyDescent="0.25">
      <c r="A1262" s="9" t="s">
        <v>2514</v>
      </c>
      <c r="C1262" s="9" t="str">
        <f>HYPERLINK("http://www.ncbi.nlm.nih.gov/protein/189458829","Clcn3")</f>
        <v>Clcn3</v>
      </c>
      <c r="D1262" s="10">
        <f t="shared" si="19"/>
        <v>2.674861140737812</v>
      </c>
      <c r="F1262" s="8" t="str">
        <f>HYPERLINK("https://esbl.nhlbi.nih.gov/Databases/mpkFractions/proteomic_fractions_log_files/Yang_log_img/189458829.jpg","show blot")</f>
        <v>show blot</v>
      </c>
      <c r="H1262" s="8" t="str">
        <f>HYPERLINK("https://esbl.nhlbi.nih.gov/Databases/mpkFractions/proteomic_fractions_linear_files/Yang_linear_img/189458829.jpg","show blot")</f>
        <v>show blot</v>
      </c>
      <c r="J1262" s="5" t="s">
        <v>2515</v>
      </c>
      <c r="L1262" s="11">
        <v>2.674861140737812</v>
      </c>
      <c r="N1262" s="12"/>
    </row>
    <row r="1263" spans="1:14" s="5" customFormat="1" ht="15" customHeight="1" x14ac:dyDescent="0.25">
      <c r="A1263" s="9" t="s">
        <v>2516</v>
      </c>
      <c r="C1263" s="9" t="str">
        <f>HYPERLINK("http://www.ncbi.nlm.nih.gov/protein/41281837","Clcn3")</f>
        <v>Clcn3</v>
      </c>
      <c r="D1263" s="10">
        <f t="shared" si="19"/>
        <v>2.674861140737812</v>
      </c>
      <c r="F1263" s="8" t="str">
        <f>HYPERLINK("https://esbl.nhlbi.nih.gov/Databases/mpkFractions/proteomic_fractions_log_files/Yang_log_img/41281837.jpg","show blot")</f>
        <v>show blot</v>
      </c>
      <c r="H1263" s="8" t="str">
        <f>HYPERLINK("https://esbl.nhlbi.nih.gov/Databases/mpkFractions/proteomic_fractions_linear_files/Yang_linear_img/41281837.jpg","show blot")</f>
        <v>show blot</v>
      </c>
      <c r="J1263" s="5" t="s">
        <v>2517</v>
      </c>
      <c r="L1263" s="11">
        <v>2.674861140737812</v>
      </c>
      <c r="N1263" s="12"/>
    </row>
    <row r="1264" spans="1:14" s="5" customFormat="1" ht="15" customHeight="1" x14ac:dyDescent="0.25">
      <c r="A1264" s="9" t="s">
        <v>2518</v>
      </c>
      <c r="C1264" s="9" t="str">
        <f>HYPERLINK("http://www.ncbi.nlm.nih.gov/protein/6680948","Clcn3")</f>
        <v>Clcn3</v>
      </c>
      <c r="D1264" s="10">
        <f t="shared" si="19"/>
        <v>2.674861140737812</v>
      </c>
      <c r="F1264" s="8" t="str">
        <f>HYPERLINK("https://esbl.nhlbi.nih.gov/Databases/mpkFractions/proteomic_fractions_log_files/Yang_log_img/6680948.jpg","show blot")</f>
        <v>show blot</v>
      </c>
      <c r="H1264" s="8" t="str">
        <f>HYPERLINK("https://esbl.nhlbi.nih.gov/Databases/mpkFractions/proteomic_fractions_linear_files/Yang_linear_img/6680948.jpg","show blot")</f>
        <v>show blot</v>
      </c>
      <c r="J1264" s="5" t="s">
        <v>2519</v>
      </c>
      <c r="L1264" s="11">
        <v>2.674861140737812</v>
      </c>
      <c r="N1264" s="12"/>
    </row>
    <row r="1265" spans="1:14" s="5" customFormat="1" ht="15" customHeight="1" x14ac:dyDescent="0.25">
      <c r="A1265" s="9" t="s">
        <v>2520</v>
      </c>
      <c r="C1265" s="9" t="str">
        <f>HYPERLINK("http://www.ncbi.nlm.nih.gov/protein/110625940","Clcn4-2")</f>
        <v>Clcn4-2</v>
      </c>
      <c r="D1265" s="10">
        <f t="shared" si="19"/>
        <v>2.674861140737812</v>
      </c>
      <c r="F1265" s="8" t="str">
        <f>HYPERLINK("https://esbl.nhlbi.nih.gov/Databases/mpkFractions/proteomic_fractions_log_files/Yang_log_img/110625940.jpg","show blot")</f>
        <v>show blot</v>
      </c>
      <c r="H1265" s="8" t="str">
        <f>HYPERLINK("https://esbl.nhlbi.nih.gov/Databases/mpkFractions/proteomic_fractions_linear_files/Yang_linear_img/110625940.jpg","show blot")</f>
        <v>show blot</v>
      </c>
      <c r="J1265" s="5" t="s">
        <v>2521</v>
      </c>
      <c r="L1265" s="11">
        <v>2.674861140737812</v>
      </c>
      <c r="N1265" s="12"/>
    </row>
    <row r="1266" spans="1:14" s="5" customFormat="1" ht="15" customHeight="1" x14ac:dyDescent="0.25">
      <c r="A1266" s="9" t="s">
        <v>2522</v>
      </c>
      <c r="C1266" s="9" t="str">
        <f>HYPERLINK("http://www.ncbi.nlm.nih.gov/protein/261823931","Clcn5")</f>
        <v>Clcn5</v>
      </c>
      <c r="D1266" s="10">
        <f t="shared" si="19"/>
        <v>2.3588289526713511</v>
      </c>
      <c r="F1266" s="8" t="str">
        <f>HYPERLINK("https://esbl.nhlbi.nih.gov/Databases/mpkFractions/proteomic_fractions_log_files/Yang_log_img/261823931.jpg","show blot")</f>
        <v>show blot</v>
      </c>
      <c r="H1266" s="8" t="str">
        <f>HYPERLINK("https://esbl.nhlbi.nih.gov/Databases/mpkFractions/proteomic_fractions_linear_files/Yang_linear_img/261823931.jpg","show blot")</f>
        <v>show blot</v>
      </c>
      <c r="J1266" s="5" t="s">
        <v>2523</v>
      </c>
      <c r="L1266" s="11">
        <v>2.3588289526713511</v>
      </c>
      <c r="N1266" s="12"/>
    </row>
    <row r="1267" spans="1:14" s="5" customFormat="1" ht="15" customHeight="1" x14ac:dyDescent="0.25">
      <c r="A1267" s="9" t="s">
        <v>2524</v>
      </c>
      <c r="C1267" s="9" t="str">
        <f>HYPERLINK("http://www.ncbi.nlm.nih.gov/protein/344313157","Clcn5")</f>
        <v>Clcn5</v>
      </c>
      <c r="D1267" s="10">
        <f t="shared" si="19"/>
        <v>2.3588289526713511</v>
      </c>
      <c r="F1267" s="8" t="str">
        <f>HYPERLINK("https://esbl.nhlbi.nih.gov/Databases/mpkFractions/proteomic_fractions_log_files/Yang_log_img/344313157.jpg","show blot")</f>
        <v>show blot</v>
      </c>
      <c r="H1267" s="8" t="str">
        <f>HYPERLINK("https://esbl.nhlbi.nih.gov/Databases/mpkFractions/proteomic_fractions_linear_files/Yang_linear_img/344313157.jpg","show blot")</f>
        <v>show blot</v>
      </c>
      <c r="J1267" s="5" t="s">
        <v>2525</v>
      </c>
      <c r="L1267" s="11">
        <v>2.3588289526713511</v>
      </c>
      <c r="N1267" s="12"/>
    </row>
    <row r="1268" spans="1:14" s="5" customFormat="1" ht="15" customHeight="1" x14ac:dyDescent="0.25">
      <c r="A1268" s="9" t="s">
        <v>2526</v>
      </c>
      <c r="C1268" s="9" t="str">
        <f>HYPERLINK("http://www.ncbi.nlm.nih.gov/protein/6753436","Clcn7")</f>
        <v>Clcn7</v>
      </c>
      <c r="D1268" s="10">
        <f t="shared" si="19"/>
        <v>3.0120500725576842</v>
      </c>
      <c r="F1268" s="8" t="str">
        <f>HYPERLINK("https://esbl.nhlbi.nih.gov/Databases/mpkFractions/proteomic_fractions_log_files/Yang_log_img/6753436.jpg","show blot")</f>
        <v>show blot</v>
      </c>
      <c r="H1268" s="8" t="str">
        <f>HYPERLINK("https://esbl.nhlbi.nih.gov/Databases/mpkFractions/proteomic_fractions_linear_files/Yang_linear_img/6753436.jpg","show blot")</f>
        <v>show blot</v>
      </c>
      <c r="J1268" s="5" t="s">
        <v>2527</v>
      </c>
      <c r="L1268" s="11">
        <v>3.0120500725576842</v>
      </c>
      <c r="N1268" s="12"/>
    </row>
    <row r="1269" spans="1:14" s="5" customFormat="1" ht="15" customHeight="1" x14ac:dyDescent="0.25">
      <c r="A1269" s="9" t="s">
        <v>2528</v>
      </c>
      <c r="C1269" s="9" t="str">
        <f>HYPERLINK("http://www.ncbi.nlm.nih.gov/protein/7710002","Cldn1")</f>
        <v>Cldn1</v>
      </c>
      <c r="D1269" s="10">
        <f t="shared" si="19"/>
        <v>3.263291186996693</v>
      </c>
      <c r="F1269" s="8" t="str">
        <f>HYPERLINK("https://esbl.nhlbi.nih.gov/Databases/mpkFractions/proteomic_fractions_log_files/Yang_log_img/7710002.jpg","show blot")</f>
        <v>show blot</v>
      </c>
      <c r="H1269" s="8" t="str">
        <f>HYPERLINK("https://esbl.nhlbi.nih.gov/Databases/mpkFractions/proteomic_fractions_linear_files/Yang_linear_img/7710002.jpg","show blot")</f>
        <v>show blot</v>
      </c>
      <c r="J1269" s="5" t="s">
        <v>2529</v>
      </c>
      <c r="L1269" s="11">
        <v>3.263291186996693</v>
      </c>
      <c r="N1269" s="12"/>
    </row>
    <row r="1270" spans="1:14" s="5" customFormat="1" ht="15" customHeight="1" x14ac:dyDescent="0.25">
      <c r="A1270" s="9" t="s">
        <v>2530</v>
      </c>
      <c r="C1270" s="9" t="str">
        <f>HYPERLINK("http://www.ncbi.nlm.nih.gov/protein/25188197","Cldn25")</f>
        <v>Cldn25</v>
      </c>
      <c r="D1270" s="10">
        <f t="shared" si="19"/>
        <v>3.3026887520321062</v>
      </c>
      <c r="F1270" s="8" t="str">
        <f>HYPERLINK("https://esbl.nhlbi.nih.gov/Databases/mpkFractions/proteomic_fractions_log_files/Yang_log_img/25188197.jpg","show blot")</f>
        <v>show blot</v>
      </c>
      <c r="H1270" s="8" t="str">
        <f>HYPERLINK("https://esbl.nhlbi.nih.gov/Databases/mpkFractions/proteomic_fractions_linear_files/Yang_linear_img/25188197.jpg","show blot")</f>
        <v>show blot</v>
      </c>
      <c r="J1270" s="5" t="s">
        <v>2531</v>
      </c>
      <c r="L1270" s="11">
        <v>3.3026887520321062</v>
      </c>
      <c r="N1270" s="12"/>
    </row>
    <row r="1271" spans="1:14" s="5" customFormat="1" ht="15" customHeight="1" x14ac:dyDescent="0.25">
      <c r="A1271" s="9" t="s">
        <v>2532</v>
      </c>
      <c r="C1271" s="9" t="str">
        <f>HYPERLINK("http://www.ncbi.nlm.nih.gov/protein/356991139","Cldn25")</f>
        <v>Cldn25</v>
      </c>
      <c r="D1271" s="10">
        <f t="shared" si="19"/>
        <v>3.3026887520321062</v>
      </c>
      <c r="F1271" s="8" t="str">
        <f>HYPERLINK("https://esbl.nhlbi.nih.gov/Databases/mpkFractions/proteomic_fractions_log_files/Yang_log_img/356991139.jpg","show blot")</f>
        <v>show blot</v>
      </c>
      <c r="H1271" s="8" t="str">
        <f>HYPERLINK("https://esbl.nhlbi.nih.gov/Databases/mpkFractions/proteomic_fractions_linear_files/Yang_linear_img/356991139.jpg","show blot")</f>
        <v>show blot</v>
      </c>
      <c r="J1271" s="5" t="s">
        <v>2533</v>
      </c>
      <c r="L1271" s="11">
        <v>3.3026887520321062</v>
      </c>
      <c r="N1271" s="12"/>
    </row>
    <row r="1272" spans="1:14" s="5" customFormat="1" ht="15" customHeight="1" x14ac:dyDescent="0.25">
      <c r="A1272" s="9" t="s">
        <v>2534</v>
      </c>
      <c r="C1272" s="9" t="str">
        <f>HYPERLINK("http://www.ncbi.nlm.nih.gov/protein/356995848","Cldn25")</f>
        <v>Cldn25</v>
      </c>
      <c r="D1272" s="10">
        <f t="shared" si="19"/>
        <v>3.3026887520321062</v>
      </c>
      <c r="F1272" s="8" t="str">
        <f>HYPERLINK("https://esbl.nhlbi.nih.gov/Databases/mpkFractions/proteomic_fractions_log_files/Yang_log_img/356995848.jpg","show blot")</f>
        <v>show blot</v>
      </c>
      <c r="H1272" s="8" t="str">
        <f>HYPERLINK("https://esbl.nhlbi.nih.gov/Databases/mpkFractions/proteomic_fractions_linear_files/Yang_linear_img/356995848.jpg","show blot")</f>
        <v>show blot</v>
      </c>
      <c r="J1272" s="5" t="s">
        <v>2535</v>
      </c>
      <c r="L1272" s="11">
        <v>3.3026887520321062</v>
      </c>
      <c r="N1272" s="12"/>
    </row>
    <row r="1273" spans="1:14" s="5" customFormat="1" ht="15" customHeight="1" x14ac:dyDescent="0.25">
      <c r="A1273" s="9" t="s">
        <v>2536</v>
      </c>
      <c r="C1273" s="9" t="str">
        <f>HYPERLINK("http://www.ncbi.nlm.nih.gov/protein/6753438","Cldn3")</f>
        <v>Cldn3</v>
      </c>
      <c r="D1273" s="10">
        <f t="shared" si="19"/>
        <v>5.6981283729709817</v>
      </c>
      <c r="F1273" s="8" t="str">
        <f>HYPERLINK("https://esbl.nhlbi.nih.gov/Databases/mpkFractions/proteomic_fractions_log_files/Yang_log_img/6753438.jpg","show blot")</f>
        <v>show blot</v>
      </c>
      <c r="H1273" s="8" t="str">
        <f>HYPERLINK("https://esbl.nhlbi.nih.gov/Databases/mpkFractions/proteomic_fractions_linear_files/Yang_linear_img/6753438.jpg","show blot")</f>
        <v>show blot</v>
      </c>
      <c r="J1273" s="5" t="s">
        <v>2537</v>
      </c>
      <c r="L1273" s="11">
        <v>5.6981283729709817</v>
      </c>
      <c r="N1273" s="12"/>
    </row>
    <row r="1274" spans="1:14" s="5" customFormat="1" ht="15" customHeight="1" x14ac:dyDescent="0.25">
      <c r="A1274" s="9" t="s">
        <v>2538</v>
      </c>
      <c r="C1274" s="9" t="str">
        <f>HYPERLINK("http://www.ncbi.nlm.nih.gov/protein/6753440","Cldn4")</f>
        <v>Cldn4</v>
      </c>
      <c r="D1274" s="10">
        <f t="shared" si="19"/>
        <v>5.4430844605747923</v>
      </c>
      <c r="F1274" s="8" t="str">
        <f>HYPERLINK("https://esbl.nhlbi.nih.gov/Databases/mpkFractions/proteomic_fractions_log_files/Yang_log_img/6753440.jpg","show blot")</f>
        <v>show blot</v>
      </c>
      <c r="H1274" s="8" t="str">
        <f>HYPERLINK("https://esbl.nhlbi.nih.gov/Databases/mpkFractions/proteomic_fractions_linear_files/Yang_linear_img/6753440.jpg","show blot")</f>
        <v>show blot</v>
      </c>
      <c r="J1274" s="5" t="s">
        <v>2539</v>
      </c>
      <c r="L1274" s="11">
        <v>5.4430844605747923</v>
      </c>
      <c r="N1274" s="12"/>
    </row>
    <row r="1275" spans="1:14" s="5" customFormat="1" ht="15" customHeight="1" x14ac:dyDescent="0.25">
      <c r="A1275" s="9" t="s">
        <v>2540</v>
      </c>
      <c r="C1275" s="9" t="str">
        <f>HYPERLINK("http://www.ncbi.nlm.nih.gov/protein/9055190","Cldn6")</f>
        <v>Cldn6</v>
      </c>
      <c r="D1275" s="10">
        <f t="shared" si="19"/>
        <v>5.036798712617391</v>
      </c>
      <c r="F1275" s="8" t="str">
        <f>HYPERLINK("https://esbl.nhlbi.nih.gov/Databases/mpkFractions/proteomic_fractions_log_files/Yang_log_img/9055190.jpg","show blot")</f>
        <v>show blot</v>
      </c>
      <c r="H1275" s="8" t="str">
        <f>HYPERLINK("https://esbl.nhlbi.nih.gov/Databases/mpkFractions/proteomic_fractions_linear_files/Yang_linear_img/9055190.jpg","show blot")</f>
        <v>show blot</v>
      </c>
      <c r="J1275" s="5" t="s">
        <v>2541</v>
      </c>
      <c r="L1275" s="11">
        <v>5.036798712617391</v>
      </c>
      <c r="N1275" s="12"/>
    </row>
    <row r="1276" spans="1:14" s="5" customFormat="1" ht="15" customHeight="1" x14ac:dyDescent="0.25">
      <c r="A1276" s="9" t="s">
        <v>2542</v>
      </c>
      <c r="C1276" s="9" t="str">
        <f>HYPERLINK("http://www.ncbi.nlm.nih.gov/protein/302318906;8393144","Cldn7")</f>
        <v>Cldn7</v>
      </c>
      <c r="D1276" s="10">
        <f t="shared" si="19"/>
        <v>5.0548102852169086</v>
      </c>
      <c r="F1276" s="8" t="str">
        <f>HYPERLINK("https://esbl.nhlbi.nih.gov/Databases/mpkFractions/proteomic_fractions_log_files/Yang_log_img/302318906;8393144.jpg","show blot")</f>
        <v>show blot</v>
      </c>
      <c r="H1276" s="8" t="str">
        <f>HYPERLINK("https://esbl.nhlbi.nih.gov/Databases/mpkFractions/proteomic_fractions_linear_files/Yang_linear_img/302318906;8393144.jpg","show blot")</f>
        <v>show blot</v>
      </c>
      <c r="J1276" s="5" t="s">
        <v>2543</v>
      </c>
      <c r="L1276" s="11">
        <v>5.0548102852169086</v>
      </c>
      <c r="N1276" s="12"/>
    </row>
    <row r="1277" spans="1:14" s="5" customFormat="1" ht="15" customHeight="1" x14ac:dyDescent="0.25">
      <c r="A1277" s="9" t="s">
        <v>2544</v>
      </c>
      <c r="C1277" s="9" t="str">
        <f>HYPERLINK("http://www.ncbi.nlm.nih.gov/protein/8393144","Cldn7")</f>
        <v>Cldn7</v>
      </c>
      <c r="D1277" s="10">
        <f t="shared" si="19"/>
        <v>5.0548102852169086</v>
      </c>
      <c r="F1277" s="8" t="str">
        <f>HYPERLINK("https://esbl.nhlbi.nih.gov/Databases/mpkFractions/proteomic_fractions_log_files/Yang_log_img/8393144.jpg","show blot")</f>
        <v>show blot</v>
      </c>
      <c r="H1277" s="8" t="str">
        <f>HYPERLINK("https://esbl.nhlbi.nih.gov/Databases/mpkFractions/proteomic_fractions_linear_files/Yang_linear_img/8393144.jpg","show blot")</f>
        <v>show blot</v>
      </c>
      <c r="J1277" s="5" t="s">
        <v>2545</v>
      </c>
      <c r="L1277" s="11">
        <v>5.0548102852169086</v>
      </c>
      <c r="N1277" s="12"/>
    </row>
    <row r="1278" spans="1:14" s="5" customFormat="1" ht="15" customHeight="1" x14ac:dyDescent="0.25">
      <c r="A1278" s="9" t="s">
        <v>2546</v>
      </c>
      <c r="C1278" s="9" t="str">
        <f>HYPERLINK("http://www.ncbi.nlm.nih.gov/protein/9055192","Cldn8")</f>
        <v>Cldn8</v>
      </c>
      <c r="D1278" s="10">
        <f t="shared" si="19"/>
        <v>4.8987053587672076</v>
      </c>
      <c r="F1278" s="8" t="str">
        <f>HYPERLINK("https://esbl.nhlbi.nih.gov/Databases/mpkFractions/proteomic_fractions_log_files/Yang_log_img/9055192.jpg","show blot")</f>
        <v>show blot</v>
      </c>
      <c r="H1278" s="8" t="str">
        <f>HYPERLINK("https://esbl.nhlbi.nih.gov/Databases/mpkFractions/proteomic_fractions_linear_files/Yang_linear_img/9055192.jpg","show blot")</f>
        <v>show blot</v>
      </c>
      <c r="J1278" s="5" t="s">
        <v>2547</v>
      </c>
      <c r="L1278" s="11">
        <v>4.8987053587672076</v>
      </c>
      <c r="N1278" s="12"/>
    </row>
    <row r="1279" spans="1:14" s="5" customFormat="1" ht="15" customHeight="1" x14ac:dyDescent="0.25">
      <c r="A1279" s="9" t="s">
        <v>2548</v>
      </c>
      <c r="C1279" s="9" t="str">
        <f>HYPERLINK("http://www.ncbi.nlm.nih.gov/protein/61098102","Cldn9")</f>
        <v>Cldn9</v>
      </c>
      <c r="D1279" s="10">
        <f t="shared" si="19"/>
        <v>4.8974256797190501</v>
      </c>
      <c r="F1279" s="8" t="str">
        <f>HYPERLINK("https://esbl.nhlbi.nih.gov/Databases/mpkFractions/proteomic_fractions_log_files/Yang_log_img/61098102.jpg","show blot")</f>
        <v>show blot</v>
      </c>
      <c r="H1279" s="8" t="str">
        <f>HYPERLINK("https://esbl.nhlbi.nih.gov/Databases/mpkFractions/proteomic_fractions_linear_files/Yang_linear_img/61098102.jpg","show blot")</f>
        <v>show blot</v>
      </c>
      <c r="J1279" s="5" t="s">
        <v>2549</v>
      </c>
      <c r="L1279" s="11">
        <v>4.8974256797190501</v>
      </c>
      <c r="N1279" s="12"/>
    </row>
    <row r="1280" spans="1:14" s="5" customFormat="1" ht="15" customHeight="1" x14ac:dyDescent="0.25">
      <c r="A1280" s="9" t="s">
        <v>2550</v>
      </c>
      <c r="C1280" s="9" t="str">
        <f>HYPERLINK("http://www.ncbi.nlm.nih.gov/protein/323668269","Clec16a")</f>
        <v>Clec16a</v>
      </c>
      <c r="D1280" s="10">
        <f t="shared" si="19"/>
        <v>2.8706228112189018</v>
      </c>
      <c r="F1280" s="8" t="str">
        <f>HYPERLINK("https://esbl.nhlbi.nih.gov/Databases/mpkFractions/proteomic_fractions_log_files/Yang_log_img/323668269.jpg","show blot")</f>
        <v>show blot</v>
      </c>
      <c r="H1280" s="8" t="str">
        <f>HYPERLINK("https://esbl.nhlbi.nih.gov/Databases/mpkFractions/proteomic_fractions_linear_files/Yang_linear_img/323668269.jpg","show blot")</f>
        <v>show blot</v>
      </c>
      <c r="J1280" s="5" t="s">
        <v>2551</v>
      </c>
      <c r="L1280" s="11">
        <v>2.8706228112189018</v>
      </c>
      <c r="N1280" s="12"/>
    </row>
    <row r="1281" spans="1:14" s="5" customFormat="1" ht="15" customHeight="1" x14ac:dyDescent="0.25">
      <c r="A1281" s="9" t="s">
        <v>2552</v>
      </c>
      <c r="C1281" s="9" t="str">
        <f>HYPERLINK("http://www.ncbi.nlm.nih.gov/protein/61656175","Clec16a")</f>
        <v>Clec16a</v>
      </c>
      <c r="D1281" s="10">
        <f t="shared" si="19"/>
        <v>2.8706228112189018</v>
      </c>
      <c r="F1281" s="8" t="str">
        <f>HYPERLINK("https://esbl.nhlbi.nih.gov/Databases/mpkFractions/proteomic_fractions_log_files/Yang_log_img/61656175.jpg","show blot")</f>
        <v>show blot</v>
      </c>
      <c r="H1281" s="8" t="str">
        <f>HYPERLINK("https://esbl.nhlbi.nih.gov/Databases/mpkFractions/proteomic_fractions_linear_files/Yang_linear_img/61656175.jpg","show blot")</f>
        <v>show blot</v>
      </c>
      <c r="J1281" s="5" t="s">
        <v>2553</v>
      </c>
      <c r="L1281" s="11">
        <v>2.8706228112189018</v>
      </c>
      <c r="N1281" s="12"/>
    </row>
    <row r="1282" spans="1:14" s="5" customFormat="1" ht="15" customHeight="1" x14ac:dyDescent="0.25">
      <c r="A1282" s="9" t="s">
        <v>2554</v>
      </c>
      <c r="C1282" s="9" t="str">
        <f>HYPERLINK("http://www.ncbi.nlm.nih.gov/protein/15617203","Clic1")</f>
        <v>Clic1</v>
      </c>
      <c r="D1282" s="10">
        <f t="shared" si="19"/>
        <v>6.4573205052533034</v>
      </c>
      <c r="F1282" s="8" t="str">
        <f>HYPERLINK("https://esbl.nhlbi.nih.gov/Databases/mpkFractions/proteomic_fractions_log_files/Yang_log_img/15617203.jpg","show blot")</f>
        <v>show blot</v>
      </c>
      <c r="H1282" s="8" t="str">
        <f>HYPERLINK("https://esbl.nhlbi.nih.gov/Databases/mpkFractions/proteomic_fractions_linear_files/Yang_linear_img/15617203.jpg","show blot")</f>
        <v>show blot</v>
      </c>
      <c r="J1282" s="5" t="s">
        <v>2555</v>
      </c>
      <c r="L1282" s="11">
        <v>6.4573205052533034</v>
      </c>
      <c r="N1282" s="12"/>
    </row>
    <row r="1283" spans="1:14" s="5" customFormat="1" ht="15" customHeight="1" x14ac:dyDescent="0.25">
      <c r="A1283" s="9" t="s">
        <v>2556</v>
      </c>
      <c r="C1283" s="9" t="str">
        <f>HYPERLINK("http://www.ncbi.nlm.nih.gov/protein/27229085","Clic3")</f>
        <v>Clic3</v>
      </c>
      <c r="D1283" s="10">
        <f t="shared" si="19"/>
        <v>3.0062441237559501</v>
      </c>
      <c r="F1283" s="8" t="str">
        <f>HYPERLINK("https://esbl.nhlbi.nih.gov/Databases/mpkFractions/proteomic_fractions_log_files/Yang_log_img/27229085.jpg","show blot")</f>
        <v>show blot</v>
      </c>
      <c r="H1283" s="8" t="str">
        <f>HYPERLINK("https://esbl.nhlbi.nih.gov/Databases/mpkFractions/proteomic_fractions_linear_files/Yang_linear_img/27229085.jpg","show blot")</f>
        <v>show blot</v>
      </c>
      <c r="J1283" s="5" t="s">
        <v>2557</v>
      </c>
      <c r="L1283" s="11">
        <v>3.0062441237559501</v>
      </c>
      <c r="N1283" s="12"/>
    </row>
    <row r="1284" spans="1:14" s="5" customFormat="1" ht="15" customHeight="1" x14ac:dyDescent="0.25">
      <c r="A1284" s="9" t="s">
        <v>2558</v>
      </c>
      <c r="C1284" s="9" t="str">
        <f>HYPERLINK("http://www.ncbi.nlm.nih.gov/protein/7304963","Clic4")</f>
        <v>Clic4</v>
      </c>
      <c r="D1284" s="10">
        <f t="shared" si="19"/>
        <v>5.7470136163102161</v>
      </c>
      <c r="F1284" s="8" t="str">
        <f>HYPERLINK("https://esbl.nhlbi.nih.gov/Databases/mpkFractions/proteomic_fractions_log_files/Yang_log_img/7304963.jpg","show blot")</f>
        <v>show blot</v>
      </c>
      <c r="H1284" s="8" t="str">
        <f>HYPERLINK("https://esbl.nhlbi.nih.gov/Databases/mpkFractions/proteomic_fractions_linear_files/Yang_linear_img/7304963.jpg","show blot")</f>
        <v>show blot</v>
      </c>
      <c r="J1284" s="5" t="s">
        <v>2559</v>
      </c>
      <c r="L1284" s="11">
        <v>5.7470136163102161</v>
      </c>
      <c r="N1284" s="12"/>
    </row>
    <row r="1285" spans="1:14" s="5" customFormat="1" ht="15" customHeight="1" x14ac:dyDescent="0.25">
      <c r="A1285" s="9" t="s">
        <v>2560</v>
      </c>
      <c r="C1285" s="9" t="str">
        <f>HYPERLINK("http://www.ncbi.nlm.nih.gov/protein/27369886","Clic5")</f>
        <v>Clic5</v>
      </c>
      <c r="D1285" s="10">
        <f t="shared" ref="D1285:D1348" si="20">L1285</f>
        <v>2.3536277589855441</v>
      </c>
      <c r="F1285" s="8" t="str">
        <f>HYPERLINK("https://esbl.nhlbi.nih.gov/Databases/mpkFractions/proteomic_fractions_log_files/Yang_log_img/27369886.jpg","show blot")</f>
        <v>show blot</v>
      </c>
      <c r="H1285" s="8" t="str">
        <f>HYPERLINK("https://esbl.nhlbi.nih.gov/Databases/mpkFractions/proteomic_fractions_linear_files/Yang_linear_img/27369886.jpg","show blot")</f>
        <v>show blot</v>
      </c>
      <c r="J1285" s="5" t="s">
        <v>2561</v>
      </c>
      <c r="L1285" s="11">
        <v>2.3536277589855441</v>
      </c>
      <c r="N1285" s="12"/>
    </row>
    <row r="1286" spans="1:14" s="5" customFormat="1" ht="15" customHeight="1" x14ac:dyDescent="0.25">
      <c r="A1286" s="9" t="s">
        <v>2562</v>
      </c>
      <c r="C1286" s="9" t="str">
        <f>HYPERLINK("http://www.ncbi.nlm.nih.gov/protein/154240730","Clint1")</f>
        <v>Clint1</v>
      </c>
      <c r="D1286" s="10">
        <f t="shared" si="20"/>
        <v>5.4825128321931791</v>
      </c>
      <c r="F1286" s="8" t="str">
        <f>HYPERLINK("https://esbl.nhlbi.nih.gov/Databases/mpkFractions/proteomic_fractions_log_files/Yang_log_img/154240730.jpg","show blot")</f>
        <v>show blot</v>
      </c>
      <c r="H1286" s="8" t="str">
        <f>HYPERLINK("https://esbl.nhlbi.nih.gov/Databases/mpkFractions/proteomic_fractions_linear_files/Yang_linear_img/154240730.jpg","show blot")</f>
        <v>show blot</v>
      </c>
      <c r="J1286" s="5" t="s">
        <v>2563</v>
      </c>
      <c r="L1286" s="11">
        <v>5.4825128321931791</v>
      </c>
      <c r="N1286" s="12"/>
    </row>
    <row r="1287" spans="1:14" s="5" customFormat="1" ht="15" customHeight="1" x14ac:dyDescent="0.25">
      <c r="A1287" s="9" t="s">
        <v>2564</v>
      </c>
      <c r="C1287" s="9" t="str">
        <f>HYPERLINK("http://www.ncbi.nlm.nih.gov/protein/23821025","Clip1")</f>
        <v>Clip1</v>
      </c>
      <c r="D1287" s="10">
        <f t="shared" si="20"/>
        <v>4.8160432304610312</v>
      </c>
      <c r="F1287" s="8" t="str">
        <f>HYPERLINK("https://esbl.nhlbi.nih.gov/Databases/mpkFractions/proteomic_fractions_log_files/Yang_log_img/23821025.jpg","show blot")</f>
        <v>show blot</v>
      </c>
      <c r="H1287" s="8" t="str">
        <f>HYPERLINK("https://esbl.nhlbi.nih.gov/Databases/mpkFractions/proteomic_fractions_linear_files/Yang_linear_img/23821025.jpg","show blot")</f>
        <v>show blot</v>
      </c>
      <c r="J1287" s="5" t="s">
        <v>2565</v>
      </c>
      <c r="L1287" s="11">
        <v>4.8160432304610312</v>
      </c>
      <c r="N1287" s="12"/>
    </row>
    <row r="1288" spans="1:14" s="5" customFormat="1" ht="15" customHeight="1" x14ac:dyDescent="0.25">
      <c r="A1288" s="9" t="s">
        <v>2566</v>
      </c>
      <c r="C1288" s="9" t="str">
        <f>HYPERLINK("http://www.ncbi.nlm.nih.gov/protein/85662406","Clip2")</f>
        <v>Clip2</v>
      </c>
      <c r="D1288" s="10">
        <f t="shared" si="20"/>
        <v>4.4628842131744859</v>
      </c>
      <c r="F1288" s="8" t="str">
        <f>HYPERLINK("https://esbl.nhlbi.nih.gov/Databases/mpkFractions/proteomic_fractions_log_files/Yang_log_img/85662406.jpg","show blot")</f>
        <v>show blot</v>
      </c>
      <c r="H1288" s="8" t="str">
        <f>HYPERLINK("https://esbl.nhlbi.nih.gov/Databases/mpkFractions/proteomic_fractions_linear_files/Yang_linear_img/85662406.jpg","show blot")</f>
        <v>show blot</v>
      </c>
      <c r="J1288" s="5" t="s">
        <v>2567</v>
      </c>
      <c r="L1288" s="11">
        <v>4.4628842131744859</v>
      </c>
      <c r="N1288" s="12"/>
    </row>
    <row r="1289" spans="1:14" s="5" customFormat="1" ht="15" customHeight="1" x14ac:dyDescent="0.25">
      <c r="A1289" s="9" t="s">
        <v>2568</v>
      </c>
      <c r="C1289" s="9" t="str">
        <f>HYPERLINK("http://www.ncbi.nlm.nih.gov/protein/85662410","Clip2")</f>
        <v>Clip2</v>
      </c>
      <c r="D1289" s="10">
        <f t="shared" si="20"/>
        <v>4.4628842131744859</v>
      </c>
      <c r="F1289" s="8" t="str">
        <f>HYPERLINK("https://esbl.nhlbi.nih.gov/Databases/mpkFractions/proteomic_fractions_log_files/Yang_log_img/85662410.jpg","show blot")</f>
        <v>show blot</v>
      </c>
      <c r="H1289" s="8" t="str">
        <f>HYPERLINK("https://esbl.nhlbi.nih.gov/Databases/mpkFractions/proteomic_fractions_linear_files/Yang_linear_img/85662410.jpg","show blot")</f>
        <v>show blot</v>
      </c>
      <c r="J1289" s="5" t="s">
        <v>2569</v>
      </c>
      <c r="L1289" s="11">
        <v>4.4628842131744859</v>
      </c>
      <c r="N1289" s="12"/>
    </row>
    <row r="1290" spans="1:14" s="5" customFormat="1" ht="15" customHeight="1" x14ac:dyDescent="0.25">
      <c r="A1290" s="9" t="s">
        <v>2570</v>
      </c>
      <c r="C1290" s="9" t="str">
        <f>HYPERLINK("http://www.ncbi.nlm.nih.gov/protein/100816764","Clmn")</f>
        <v>Clmn</v>
      </c>
      <c r="D1290" s="10">
        <f t="shared" si="20"/>
        <v>3.7277432273967381</v>
      </c>
      <c r="F1290" s="8" t="str">
        <f>HYPERLINK("https://esbl.nhlbi.nih.gov/Databases/mpkFractions/proteomic_fractions_log_files/Yang_log_img/100816764.jpg","show blot")</f>
        <v>show blot</v>
      </c>
      <c r="H1290" s="8" t="str">
        <f>HYPERLINK("https://esbl.nhlbi.nih.gov/Databases/mpkFractions/proteomic_fractions_linear_files/Yang_linear_img/100816764.jpg","show blot")</f>
        <v>show blot</v>
      </c>
      <c r="J1290" s="5" t="s">
        <v>2571</v>
      </c>
      <c r="L1290" s="11">
        <v>3.7277432273967381</v>
      </c>
      <c r="N1290" s="12"/>
    </row>
    <row r="1291" spans="1:14" s="5" customFormat="1" ht="15" customHeight="1" x14ac:dyDescent="0.25">
      <c r="A1291" s="9" t="s">
        <v>2572</v>
      </c>
      <c r="C1291" s="9" t="str">
        <f>HYPERLINK("http://www.ncbi.nlm.nih.gov/protein/100816903","Clmn")</f>
        <v>Clmn</v>
      </c>
      <c r="D1291" s="10">
        <f t="shared" si="20"/>
        <v>3.7277432273967381</v>
      </c>
      <c r="F1291" s="8" t="str">
        <f>HYPERLINK("https://esbl.nhlbi.nih.gov/Databases/mpkFractions/proteomic_fractions_log_files/Yang_log_img/100816903.jpg","show blot")</f>
        <v>show blot</v>
      </c>
      <c r="H1291" s="8" t="str">
        <f>HYPERLINK("https://esbl.nhlbi.nih.gov/Databases/mpkFractions/proteomic_fractions_linear_files/Yang_linear_img/100816903.jpg","show blot")</f>
        <v>show blot</v>
      </c>
      <c r="J1291" s="5" t="s">
        <v>2573</v>
      </c>
      <c r="L1291" s="11">
        <v>3.7277432273967381</v>
      </c>
      <c r="N1291" s="12"/>
    </row>
    <row r="1292" spans="1:14" s="5" customFormat="1" ht="15" customHeight="1" x14ac:dyDescent="0.25">
      <c r="A1292" s="9" t="s">
        <v>2574</v>
      </c>
      <c r="C1292" s="9" t="str">
        <f>HYPERLINK("http://www.ncbi.nlm.nih.gov/protein/226423881","Cln3")</f>
        <v>Cln3</v>
      </c>
      <c r="D1292" s="10">
        <f t="shared" si="20"/>
        <v>2.3945745250279562</v>
      </c>
      <c r="F1292" s="8" t="str">
        <f>HYPERLINK("https://esbl.nhlbi.nih.gov/Databases/mpkFractions/proteomic_fractions_log_files/Yang_log_img/226423881.jpg","show blot")</f>
        <v>show blot</v>
      </c>
      <c r="H1292" s="8" t="str">
        <f>HYPERLINK("https://esbl.nhlbi.nih.gov/Databases/mpkFractions/proteomic_fractions_linear_files/Yang_linear_img/226423881.jpg","show blot")</f>
        <v>show blot</v>
      </c>
      <c r="J1292" s="5" t="s">
        <v>2575</v>
      </c>
      <c r="L1292" s="11">
        <v>2.3945745250279562</v>
      </c>
      <c r="N1292" s="12"/>
    </row>
    <row r="1293" spans="1:14" s="5" customFormat="1" ht="15" customHeight="1" x14ac:dyDescent="0.25">
      <c r="A1293" s="9" t="s">
        <v>2576</v>
      </c>
      <c r="C1293" s="9" t="str">
        <f>HYPERLINK("http://www.ncbi.nlm.nih.gov/protein/112734833","Cln5")</f>
        <v>Cln5</v>
      </c>
      <c r="D1293" s="10">
        <f t="shared" si="20"/>
        <v>4.2491162169080283</v>
      </c>
      <c r="F1293" s="8" t="str">
        <f>HYPERLINK("https://esbl.nhlbi.nih.gov/Databases/mpkFractions/proteomic_fractions_log_files/Yang_log_img/112734833.jpg","show blot")</f>
        <v>show blot</v>
      </c>
      <c r="H1293" s="8" t="str">
        <f>HYPERLINK("https://esbl.nhlbi.nih.gov/Databases/mpkFractions/proteomic_fractions_linear_files/Yang_linear_img/112734833.jpg","show blot")</f>
        <v>show blot</v>
      </c>
      <c r="J1293" s="5" t="s">
        <v>2577</v>
      </c>
      <c r="L1293" s="11">
        <v>4.2491162169080283</v>
      </c>
      <c r="N1293" s="12"/>
    </row>
    <row r="1294" spans="1:14" s="5" customFormat="1" ht="15" customHeight="1" x14ac:dyDescent="0.25">
      <c r="A1294" s="9" t="s">
        <v>2578</v>
      </c>
      <c r="C1294" s="9" t="str">
        <f>HYPERLINK("http://www.ncbi.nlm.nih.gov/protein/75677520","Cln6")</f>
        <v>Cln6</v>
      </c>
      <c r="D1294" s="10">
        <f t="shared" si="20"/>
        <v>4.4739663323097343</v>
      </c>
      <c r="F1294" s="8" t="str">
        <f>HYPERLINK("https://esbl.nhlbi.nih.gov/Databases/mpkFractions/proteomic_fractions_log_files/Yang_log_img/75677520.jpg","show blot")</f>
        <v>show blot</v>
      </c>
      <c r="H1294" s="8" t="str">
        <f>HYPERLINK("https://esbl.nhlbi.nih.gov/Databases/mpkFractions/proteomic_fractions_linear_files/Yang_linear_img/75677520.jpg","show blot")</f>
        <v>show blot</v>
      </c>
      <c r="J1294" s="5" t="s">
        <v>2579</v>
      </c>
      <c r="L1294" s="11">
        <v>4.4739663323097343</v>
      </c>
      <c r="N1294" s="12"/>
    </row>
    <row r="1295" spans="1:14" s="5" customFormat="1" ht="15" customHeight="1" x14ac:dyDescent="0.25">
      <c r="A1295" s="9" t="s">
        <v>2580</v>
      </c>
      <c r="C1295" s="9" t="str">
        <f>HYPERLINK("http://www.ncbi.nlm.nih.gov/protein/19263324","Clns1a")</f>
        <v>Clns1a</v>
      </c>
      <c r="D1295" s="10">
        <f t="shared" si="20"/>
        <v>5.3098636058768287</v>
      </c>
      <c r="F1295" s="8" t="str">
        <f>HYPERLINK("https://esbl.nhlbi.nih.gov/Databases/mpkFractions/proteomic_fractions_log_files/Yang_log_img/19263324.jpg","show blot")</f>
        <v>show blot</v>
      </c>
      <c r="H1295" s="8" t="str">
        <f>HYPERLINK("https://esbl.nhlbi.nih.gov/Databases/mpkFractions/proteomic_fractions_linear_files/Yang_linear_img/19263324.jpg","show blot")</f>
        <v>show blot</v>
      </c>
      <c r="J1295" s="5" t="s">
        <v>2581</v>
      </c>
      <c r="L1295" s="11">
        <v>5.3098636058768287</v>
      </c>
      <c r="N1295" s="12"/>
    </row>
    <row r="1296" spans="1:14" s="5" customFormat="1" ht="15" customHeight="1" x14ac:dyDescent="0.25">
      <c r="A1296" s="9" t="s">
        <v>2582</v>
      </c>
      <c r="C1296" s="9" t="str">
        <f>HYPERLINK("http://www.ncbi.nlm.nih.gov/protein/19527056","Clp1")</f>
        <v>Clp1</v>
      </c>
      <c r="D1296" s="10">
        <f t="shared" si="20"/>
        <v>2.984845979054719</v>
      </c>
      <c r="F1296" s="8" t="str">
        <f>HYPERLINK("https://esbl.nhlbi.nih.gov/Databases/mpkFractions/proteomic_fractions_log_files/Yang_log_img/19527056.jpg","show blot")</f>
        <v>show blot</v>
      </c>
      <c r="H1296" s="8" t="str">
        <f>HYPERLINK("https://esbl.nhlbi.nih.gov/Databases/mpkFractions/proteomic_fractions_linear_files/Yang_linear_img/19527056.jpg","show blot")</f>
        <v>show blot</v>
      </c>
      <c r="J1296" s="5" t="s">
        <v>2583</v>
      </c>
      <c r="L1296" s="11">
        <v>2.984845979054719</v>
      </c>
      <c r="N1296" s="12"/>
    </row>
    <row r="1297" spans="1:14" s="5" customFormat="1" ht="15" customHeight="1" x14ac:dyDescent="0.25">
      <c r="A1297" s="9" t="s">
        <v>2584</v>
      </c>
      <c r="C1297" s="9" t="str">
        <f>HYPERLINK("http://www.ncbi.nlm.nih.gov/protein/6677983","Clpb")</f>
        <v>Clpb</v>
      </c>
      <c r="D1297" s="10">
        <f t="shared" si="20"/>
        <v>1.053072987377246</v>
      </c>
      <c r="F1297" s="8" t="str">
        <f>HYPERLINK("https://esbl.nhlbi.nih.gov/Databases/mpkFractions/proteomic_fractions_log_files/Yang_log_img/6677983.jpg","show blot")</f>
        <v>show blot</v>
      </c>
      <c r="H1297" s="8" t="str">
        <f>HYPERLINK("https://esbl.nhlbi.nih.gov/Databases/mpkFractions/proteomic_fractions_linear_files/Yang_linear_img/6677983.jpg","show blot")</f>
        <v>show blot</v>
      </c>
      <c r="J1297" s="5" t="s">
        <v>2585</v>
      </c>
      <c r="L1297" s="11">
        <v>1.053072987377246</v>
      </c>
      <c r="N1297" s="12"/>
    </row>
    <row r="1298" spans="1:14" s="5" customFormat="1" ht="15" customHeight="1" x14ac:dyDescent="0.25">
      <c r="A1298" s="9" t="s">
        <v>2586</v>
      </c>
      <c r="C1298" s="9" t="str">
        <f>HYPERLINK("http://www.ncbi.nlm.nih.gov/protein/8393156","Clpp")</f>
        <v>Clpp</v>
      </c>
      <c r="D1298" s="10">
        <f t="shared" si="20"/>
        <v>5.4257344022809573</v>
      </c>
      <c r="F1298" s="8" t="str">
        <f>HYPERLINK("https://esbl.nhlbi.nih.gov/Databases/mpkFractions/proteomic_fractions_log_files/Yang_log_img/8393156.jpg","show blot")</f>
        <v>show blot</v>
      </c>
      <c r="H1298" s="8" t="str">
        <f>HYPERLINK("https://esbl.nhlbi.nih.gov/Databases/mpkFractions/proteomic_fractions_linear_files/Yang_linear_img/8393156.jpg","show blot")</f>
        <v>show blot</v>
      </c>
      <c r="J1298" s="5" t="s">
        <v>2587</v>
      </c>
      <c r="L1298" s="11">
        <v>5.4257344022809573</v>
      </c>
      <c r="N1298" s="12"/>
    </row>
    <row r="1299" spans="1:14" s="5" customFormat="1" ht="15" customHeight="1" x14ac:dyDescent="0.25">
      <c r="A1299" s="9" t="s">
        <v>2588</v>
      </c>
      <c r="C1299" s="9" t="str">
        <f>HYPERLINK("http://www.ncbi.nlm.nih.gov/protein/103472025","Clptm1")</f>
        <v>Clptm1</v>
      </c>
      <c r="D1299" s="10">
        <f t="shared" si="20"/>
        <v>4.3510354085561476</v>
      </c>
      <c r="F1299" s="8" t="str">
        <f>HYPERLINK("https://esbl.nhlbi.nih.gov/Databases/mpkFractions/proteomic_fractions_log_files/Yang_log_img/103472025.jpg","show blot")</f>
        <v>show blot</v>
      </c>
      <c r="H1299" s="8" t="str">
        <f>HYPERLINK("https://esbl.nhlbi.nih.gov/Databases/mpkFractions/proteomic_fractions_linear_files/Yang_linear_img/103472025.jpg","show blot")</f>
        <v>show blot</v>
      </c>
      <c r="J1299" s="5" t="s">
        <v>2589</v>
      </c>
      <c r="L1299" s="11">
        <v>4.3510354085561476</v>
      </c>
      <c r="N1299" s="12"/>
    </row>
    <row r="1300" spans="1:14" s="5" customFormat="1" ht="15" customHeight="1" x14ac:dyDescent="0.25">
      <c r="A1300" s="9" t="s">
        <v>2590</v>
      </c>
      <c r="C1300" s="9" t="str">
        <f>HYPERLINK("http://www.ncbi.nlm.nih.gov/protein/326937503","Clptm1l")</f>
        <v>Clptm1l</v>
      </c>
      <c r="D1300" s="10">
        <f t="shared" si="20"/>
        <v>2.371943811538058</v>
      </c>
      <c r="F1300" s="8" t="str">
        <f>HYPERLINK("https://esbl.nhlbi.nih.gov/Databases/mpkFractions/proteomic_fractions_log_files/Yang_log_img/326937503.jpg","show blot")</f>
        <v>show blot</v>
      </c>
      <c r="H1300" s="8" t="str">
        <f>HYPERLINK("https://esbl.nhlbi.nih.gov/Databases/mpkFractions/proteomic_fractions_linear_files/Yang_linear_img/326937503.jpg","show blot")</f>
        <v>show blot</v>
      </c>
      <c r="J1300" s="5" t="s">
        <v>2591</v>
      </c>
      <c r="L1300" s="11">
        <v>2.371943811538058</v>
      </c>
      <c r="N1300" s="12"/>
    </row>
    <row r="1301" spans="1:14" s="5" customFormat="1" ht="15" customHeight="1" x14ac:dyDescent="0.25">
      <c r="A1301" s="9" t="s">
        <v>2592</v>
      </c>
      <c r="C1301" s="9" t="str">
        <f>HYPERLINK("http://www.ncbi.nlm.nih.gov/protein/113205069","Clpx")</f>
        <v>Clpx</v>
      </c>
      <c r="D1301" s="10">
        <f t="shared" si="20"/>
        <v>4.0900830099967793</v>
      </c>
      <c r="F1301" s="8" t="str">
        <f>HYPERLINK("https://esbl.nhlbi.nih.gov/Databases/mpkFractions/proteomic_fractions_log_files/Yang_log_img/113205069.jpg","show blot")</f>
        <v>show blot</v>
      </c>
      <c r="H1301" s="8" t="str">
        <f>HYPERLINK("https://esbl.nhlbi.nih.gov/Databases/mpkFractions/proteomic_fractions_linear_files/Yang_linear_img/113205069.jpg","show blot")</f>
        <v>show blot</v>
      </c>
      <c r="J1301" s="5" t="s">
        <v>2593</v>
      </c>
      <c r="L1301" s="11">
        <v>4.0900830099967793</v>
      </c>
      <c r="N1301" s="12"/>
    </row>
    <row r="1302" spans="1:14" s="5" customFormat="1" ht="15" customHeight="1" x14ac:dyDescent="0.25">
      <c r="A1302" s="9" t="s">
        <v>2594</v>
      </c>
      <c r="C1302" s="9" t="str">
        <f>HYPERLINK("http://www.ncbi.nlm.nih.gov/protein/113205071","Clpx")</f>
        <v>Clpx</v>
      </c>
      <c r="D1302" s="10">
        <f t="shared" si="20"/>
        <v>4.0900830099967793</v>
      </c>
      <c r="F1302" s="8" t="str">
        <f>HYPERLINK("https://esbl.nhlbi.nih.gov/Databases/mpkFractions/proteomic_fractions_log_files/Yang_log_img/113205071.jpg","show blot")</f>
        <v>show blot</v>
      </c>
      <c r="H1302" s="8" t="str">
        <f>HYPERLINK("https://esbl.nhlbi.nih.gov/Databases/mpkFractions/proteomic_fractions_linear_files/Yang_linear_img/113205071.jpg","show blot")</f>
        <v>show blot</v>
      </c>
      <c r="J1302" s="5" t="s">
        <v>2595</v>
      </c>
      <c r="L1302" s="11">
        <v>4.0900830099967793</v>
      </c>
      <c r="N1302" s="12"/>
    </row>
    <row r="1303" spans="1:14" s="5" customFormat="1" ht="15" customHeight="1" x14ac:dyDescent="0.25">
      <c r="A1303" s="9" t="s">
        <v>2596</v>
      </c>
      <c r="C1303" s="9" t="str">
        <f>HYPERLINK("http://www.ncbi.nlm.nih.gov/protein/122939192","Clta")</f>
        <v>Clta</v>
      </c>
      <c r="D1303" s="10">
        <f t="shared" si="20"/>
        <v>4.841047575736936</v>
      </c>
      <c r="F1303" s="8" t="str">
        <f>HYPERLINK("https://esbl.nhlbi.nih.gov/Databases/mpkFractions/proteomic_fractions_log_files/Yang_log_img/122939192.jpg","show blot")</f>
        <v>show blot</v>
      </c>
      <c r="H1303" s="8" t="str">
        <f>HYPERLINK("https://esbl.nhlbi.nih.gov/Databases/mpkFractions/proteomic_fractions_linear_files/Yang_linear_img/122939192.jpg","show blot")</f>
        <v>show blot</v>
      </c>
      <c r="J1303" s="5" t="s">
        <v>2597</v>
      </c>
      <c r="L1303" s="11">
        <v>4.841047575736936</v>
      </c>
      <c r="N1303" s="12"/>
    </row>
    <row r="1304" spans="1:14" s="5" customFormat="1" ht="15" customHeight="1" x14ac:dyDescent="0.25">
      <c r="A1304" s="9" t="s">
        <v>2598</v>
      </c>
      <c r="C1304" s="9" t="str">
        <f>HYPERLINK("http://www.ncbi.nlm.nih.gov/protein/122939194","Clta")</f>
        <v>Clta</v>
      </c>
      <c r="D1304" s="10">
        <f t="shared" si="20"/>
        <v>4.841047575736936</v>
      </c>
      <c r="F1304" s="8" t="str">
        <f>HYPERLINK("https://esbl.nhlbi.nih.gov/Databases/mpkFractions/proteomic_fractions_log_files/Yang_log_img/122939194.jpg","show blot")</f>
        <v>show blot</v>
      </c>
      <c r="H1304" s="8" t="str">
        <f>HYPERLINK("https://esbl.nhlbi.nih.gov/Databases/mpkFractions/proteomic_fractions_linear_files/Yang_linear_img/122939194.jpg","show blot")</f>
        <v>show blot</v>
      </c>
      <c r="J1304" s="5" t="s">
        <v>2599</v>
      </c>
      <c r="L1304" s="11">
        <v>4.841047575736936</v>
      </c>
      <c r="N1304" s="12"/>
    </row>
    <row r="1305" spans="1:14" s="5" customFormat="1" ht="15" customHeight="1" x14ac:dyDescent="0.25">
      <c r="A1305" s="9" t="s">
        <v>2600</v>
      </c>
      <c r="C1305" s="9" t="str">
        <f>HYPERLINK("http://www.ncbi.nlm.nih.gov/protein/122939196","Clta")</f>
        <v>Clta</v>
      </c>
      <c r="D1305" s="10">
        <f t="shared" si="20"/>
        <v>4.841047575736936</v>
      </c>
      <c r="F1305" s="8" t="str">
        <f>HYPERLINK("https://esbl.nhlbi.nih.gov/Databases/mpkFractions/proteomic_fractions_log_files/Yang_log_img/122939196.jpg","show blot")</f>
        <v>show blot</v>
      </c>
      <c r="H1305" s="8" t="str">
        <f>HYPERLINK("https://esbl.nhlbi.nih.gov/Databases/mpkFractions/proteomic_fractions_linear_files/Yang_linear_img/122939196.jpg","show blot")</f>
        <v>show blot</v>
      </c>
      <c r="J1305" s="5" t="s">
        <v>2601</v>
      </c>
      <c r="L1305" s="11">
        <v>4.841047575736936</v>
      </c>
      <c r="N1305" s="12"/>
    </row>
    <row r="1306" spans="1:14" s="5" customFormat="1" ht="15" customHeight="1" x14ac:dyDescent="0.25">
      <c r="A1306" s="9" t="s">
        <v>2602</v>
      </c>
      <c r="C1306" s="9" t="str">
        <f>HYPERLINK("http://www.ncbi.nlm.nih.gov/protein/122939198","Clta")</f>
        <v>Clta</v>
      </c>
      <c r="D1306" s="10">
        <f t="shared" si="20"/>
        <v>4.841047575736936</v>
      </c>
      <c r="F1306" s="8" t="str">
        <f>HYPERLINK("https://esbl.nhlbi.nih.gov/Databases/mpkFractions/proteomic_fractions_log_files/Yang_log_img/122939198.jpg","show blot")</f>
        <v>show blot</v>
      </c>
      <c r="H1306" s="8" t="str">
        <f>HYPERLINK("https://esbl.nhlbi.nih.gov/Databases/mpkFractions/proteomic_fractions_linear_files/Yang_linear_img/122939198.jpg","show blot")</f>
        <v>show blot</v>
      </c>
      <c r="J1306" s="5" t="s">
        <v>2603</v>
      </c>
      <c r="L1306" s="11">
        <v>4.841047575736936</v>
      </c>
      <c r="N1306" s="12"/>
    </row>
    <row r="1307" spans="1:14" s="5" customFormat="1" ht="15" customHeight="1" x14ac:dyDescent="0.25">
      <c r="A1307" s="9" t="s">
        <v>2604</v>
      </c>
      <c r="C1307" s="9" t="str">
        <f>HYPERLINK("http://www.ncbi.nlm.nih.gov/protein/30794164","Cltb")</f>
        <v>Cltb</v>
      </c>
      <c r="D1307" s="10">
        <f t="shared" si="20"/>
        <v>5.0347474351443982</v>
      </c>
      <c r="F1307" s="8" t="str">
        <f>HYPERLINK("https://esbl.nhlbi.nih.gov/Databases/mpkFractions/proteomic_fractions_log_files/Yang_log_img/30794164.jpg","show blot")</f>
        <v>show blot</v>
      </c>
      <c r="H1307" s="8" t="str">
        <f>HYPERLINK("https://esbl.nhlbi.nih.gov/Databases/mpkFractions/proteomic_fractions_linear_files/Yang_linear_img/30794164.jpg","show blot")</f>
        <v>show blot</v>
      </c>
      <c r="J1307" s="5" t="s">
        <v>2605</v>
      </c>
      <c r="L1307" s="11">
        <v>5.0347474351443982</v>
      </c>
      <c r="N1307" s="12"/>
    </row>
    <row r="1308" spans="1:14" s="5" customFormat="1" ht="15" customHeight="1" x14ac:dyDescent="0.25">
      <c r="A1308" s="9" t="s">
        <v>2606</v>
      </c>
      <c r="C1308" s="9" t="str">
        <f>HYPERLINK("http://www.ncbi.nlm.nih.gov/protein/51491845","Cltc")</f>
        <v>Cltc</v>
      </c>
      <c r="D1308" s="10">
        <f t="shared" si="20"/>
        <v>6.486313024078207</v>
      </c>
      <c r="F1308" s="8" t="str">
        <f>HYPERLINK("https://esbl.nhlbi.nih.gov/Databases/mpkFractions/proteomic_fractions_log_files/Yang_log_img/51491845.jpg","show blot")</f>
        <v>show blot</v>
      </c>
      <c r="H1308" s="8" t="str">
        <f>HYPERLINK("https://esbl.nhlbi.nih.gov/Databases/mpkFractions/proteomic_fractions_linear_files/Yang_linear_img/51491845.jpg","show blot")</f>
        <v>show blot</v>
      </c>
      <c r="J1308" s="5" t="s">
        <v>2607</v>
      </c>
      <c r="L1308" s="11">
        <v>6.486313024078207</v>
      </c>
      <c r="N1308" s="12"/>
    </row>
    <row r="1309" spans="1:14" s="5" customFormat="1" ht="15" customHeight="1" x14ac:dyDescent="0.25">
      <c r="A1309" s="9" t="s">
        <v>2608</v>
      </c>
      <c r="C1309" s="9" t="str">
        <f>HYPERLINK("http://www.ncbi.nlm.nih.gov/protein/214010170","Clu")</f>
        <v>Clu</v>
      </c>
      <c r="D1309" s="10">
        <f t="shared" si="20"/>
        <v>3.8994814623785832</v>
      </c>
      <c r="F1309" s="8" t="str">
        <f>HYPERLINK("https://esbl.nhlbi.nih.gov/Databases/mpkFractions/proteomic_fractions_log_files/Yang_log_img/214010170.jpg","show blot")</f>
        <v>show blot</v>
      </c>
      <c r="H1309" s="8" t="str">
        <f>HYPERLINK("https://esbl.nhlbi.nih.gov/Databases/mpkFractions/proteomic_fractions_linear_files/Yang_linear_img/214010170.jpg","show blot")</f>
        <v>show blot</v>
      </c>
      <c r="J1309" s="5" t="s">
        <v>2609</v>
      </c>
      <c r="L1309" s="11">
        <v>3.8994814623785832</v>
      </c>
      <c r="N1309" s="12"/>
    </row>
    <row r="1310" spans="1:14" s="5" customFormat="1" ht="15" customHeight="1" x14ac:dyDescent="0.25">
      <c r="A1310" s="9" t="s">
        <v>2610</v>
      </c>
      <c r="C1310" s="9" t="str">
        <f>HYPERLINK("http://www.ncbi.nlm.nih.gov/protein/39930457","Cluap1")</f>
        <v>Cluap1</v>
      </c>
      <c r="D1310" s="10">
        <f t="shared" si="20"/>
        <v>3.6132203669744278</v>
      </c>
      <c r="F1310" s="8" t="str">
        <f>HYPERLINK("https://esbl.nhlbi.nih.gov/Databases/mpkFractions/proteomic_fractions_log_files/Yang_log_img/39930457.jpg","show blot")</f>
        <v>show blot</v>
      </c>
      <c r="H1310" s="8" t="str">
        <f>HYPERLINK("https://esbl.nhlbi.nih.gov/Databases/mpkFractions/proteomic_fractions_linear_files/Yang_linear_img/39930457.jpg","show blot")</f>
        <v>show blot</v>
      </c>
      <c r="J1310" s="5" t="s">
        <v>2611</v>
      </c>
      <c r="L1310" s="11">
        <v>3.6132203669744278</v>
      </c>
      <c r="N1310" s="12"/>
    </row>
    <row r="1311" spans="1:14" s="5" customFormat="1" ht="15" customHeight="1" x14ac:dyDescent="0.25">
      <c r="A1311" s="9" t="s">
        <v>2612</v>
      </c>
      <c r="C1311" s="9" t="str">
        <f>HYPERLINK("http://www.ncbi.nlm.nih.gov/protein/124487201","Cluh")</f>
        <v>Cluh</v>
      </c>
      <c r="D1311" s="10">
        <f t="shared" si="20"/>
        <v>4.6490732308942917</v>
      </c>
      <c r="F1311" s="8" t="str">
        <f>HYPERLINK("https://esbl.nhlbi.nih.gov/Databases/mpkFractions/proteomic_fractions_log_files/Yang_log_img/124487201.jpg","show blot")</f>
        <v>show blot</v>
      </c>
      <c r="H1311" s="8" t="str">
        <f>HYPERLINK("https://esbl.nhlbi.nih.gov/Databases/mpkFractions/proteomic_fractions_linear_files/Yang_linear_img/124487201.jpg","show blot")</f>
        <v>show blot</v>
      </c>
      <c r="J1311" s="5" t="s">
        <v>2613</v>
      </c>
      <c r="L1311" s="11">
        <v>4.6490732308942917</v>
      </c>
      <c r="N1311" s="12"/>
    </row>
    <row r="1312" spans="1:14" s="5" customFormat="1" ht="15" customHeight="1" x14ac:dyDescent="0.25">
      <c r="A1312" s="9" t="s">
        <v>2614</v>
      </c>
      <c r="C1312" s="9" t="str">
        <f>HYPERLINK("http://www.ncbi.nlm.nih.gov/protein/256220113","Clybl")</f>
        <v>Clybl</v>
      </c>
      <c r="D1312" s="10">
        <f t="shared" si="20"/>
        <v>4.6111225662045383</v>
      </c>
      <c r="F1312" s="8" t="str">
        <f>HYPERLINK("https://esbl.nhlbi.nih.gov/Databases/mpkFractions/proteomic_fractions_log_files/Yang_log_img/256220113.jpg","show blot")</f>
        <v>show blot</v>
      </c>
      <c r="H1312" s="8" t="str">
        <f>HYPERLINK("https://esbl.nhlbi.nih.gov/Databases/mpkFractions/proteomic_fractions_linear_files/Yang_linear_img/256220113.jpg","show blot")</f>
        <v>show blot</v>
      </c>
      <c r="J1312" s="5" t="s">
        <v>2615</v>
      </c>
      <c r="L1312" s="11">
        <v>4.6111225662045383</v>
      </c>
      <c r="N1312" s="12"/>
    </row>
    <row r="1313" spans="1:14" s="5" customFormat="1" ht="15" customHeight="1" x14ac:dyDescent="0.25">
      <c r="A1313" s="9" t="s">
        <v>2616</v>
      </c>
      <c r="C1313" s="9" t="str">
        <f>HYPERLINK("http://www.ncbi.nlm.nih.gov/protein/247269309","Cmas")</f>
        <v>Cmas</v>
      </c>
      <c r="D1313" s="10">
        <f t="shared" si="20"/>
        <v>3.9809395944020061</v>
      </c>
      <c r="F1313" s="8" t="str">
        <f>HYPERLINK("https://esbl.nhlbi.nih.gov/Databases/mpkFractions/proteomic_fractions_log_files/Yang_log_img/247269309.jpg","show blot")</f>
        <v>show blot</v>
      </c>
      <c r="H1313" s="8" t="str">
        <f>HYPERLINK("https://esbl.nhlbi.nih.gov/Databases/mpkFractions/proteomic_fractions_linear_files/Yang_linear_img/247269309.jpg","show blot")</f>
        <v>show blot</v>
      </c>
      <c r="J1313" s="5" t="s">
        <v>2617</v>
      </c>
      <c r="L1313" s="11">
        <v>3.9809395944020061</v>
      </c>
      <c r="N1313" s="12"/>
    </row>
    <row r="1314" spans="1:14" s="5" customFormat="1" ht="15" customHeight="1" x14ac:dyDescent="0.25">
      <c r="A1314" s="9" t="s">
        <v>2618</v>
      </c>
      <c r="C1314" s="9" t="str">
        <f>HYPERLINK("http://www.ncbi.nlm.nih.gov/protein/21735441","Cmc1")</f>
        <v>Cmc1</v>
      </c>
      <c r="D1314" s="10">
        <f t="shared" si="20"/>
        <v>4.0510327089678064</v>
      </c>
      <c r="F1314" s="8" t="str">
        <f>HYPERLINK("https://esbl.nhlbi.nih.gov/Databases/mpkFractions/proteomic_fractions_log_files/Yang_log_img/21735441.jpg","show blot")</f>
        <v>show blot</v>
      </c>
      <c r="H1314" s="8" t="str">
        <f>HYPERLINK("https://esbl.nhlbi.nih.gov/Databases/mpkFractions/proteomic_fractions_linear_files/Yang_linear_img/21735441.jpg","show blot")</f>
        <v>show blot</v>
      </c>
      <c r="J1314" s="5" t="s">
        <v>2619</v>
      </c>
      <c r="L1314" s="11">
        <v>4.0510327089678064</v>
      </c>
      <c r="N1314" s="12"/>
    </row>
    <row r="1315" spans="1:14" s="5" customFormat="1" ht="15" customHeight="1" x14ac:dyDescent="0.25">
      <c r="A1315" s="9" t="s">
        <v>2620</v>
      </c>
      <c r="C1315" s="9" t="str">
        <f>HYPERLINK("http://www.ncbi.nlm.nih.gov/protein/33457314","Cmc2")</f>
        <v>Cmc2</v>
      </c>
      <c r="D1315" s="10">
        <f t="shared" si="20"/>
        <v>2.2806740658826938</v>
      </c>
      <c r="F1315" s="8" t="str">
        <f>HYPERLINK("https://esbl.nhlbi.nih.gov/Databases/mpkFractions/proteomic_fractions_log_files/Yang_log_img/33457314.jpg","show blot")</f>
        <v>show blot</v>
      </c>
      <c r="H1315" s="8" t="str">
        <f>HYPERLINK("https://esbl.nhlbi.nih.gov/Databases/mpkFractions/proteomic_fractions_linear_files/Yang_linear_img/33457314.jpg","show blot")</f>
        <v>show blot</v>
      </c>
      <c r="J1315" s="5" t="s">
        <v>2621</v>
      </c>
      <c r="L1315" s="11">
        <v>2.2806740658826938</v>
      </c>
      <c r="N1315" s="12"/>
    </row>
    <row r="1316" spans="1:14" s="5" customFormat="1" ht="15" customHeight="1" x14ac:dyDescent="0.25">
      <c r="A1316" s="9" t="s">
        <v>2622</v>
      </c>
      <c r="C1316" s="9" t="str">
        <f>HYPERLINK("http://www.ncbi.nlm.nih.gov/protein/165377065","Cmpk1")</f>
        <v>Cmpk1</v>
      </c>
      <c r="D1316" s="10">
        <f t="shared" si="20"/>
        <v>5.9122508125267821</v>
      </c>
      <c r="F1316" s="8" t="str">
        <f>HYPERLINK("https://esbl.nhlbi.nih.gov/Databases/mpkFractions/proteomic_fractions_log_files/Yang_log_img/165377065.jpg","show blot")</f>
        <v>show blot</v>
      </c>
      <c r="H1316" s="8" t="str">
        <f>HYPERLINK("https://esbl.nhlbi.nih.gov/Databases/mpkFractions/proteomic_fractions_linear_files/Yang_linear_img/165377065.jpg","show blot")</f>
        <v>show blot</v>
      </c>
      <c r="J1316" s="5" t="s">
        <v>2623</v>
      </c>
      <c r="L1316" s="11">
        <v>5.9122508125267821</v>
      </c>
      <c r="N1316" s="12"/>
    </row>
    <row r="1317" spans="1:14" s="5" customFormat="1" ht="15" customHeight="1" x14ac:dyDescent="0.25">
      <c r="A1317" s="9" t="s">
        <v>2624</v>
      </c>
      <c r="C1317" s="9" t="str">
        <f>HYPERLINK("http://www.ncbi.nlm.nih.gov/protein/165932364","Cmss1")</f>
        <v>Cmss1</v>
      </c>
      <c r="D1317" s="10">
        <f t="shared" si="20"/>
        <v>4.6683818235738874</v>
      </c>
      <c r="F1317" s="8" t="str">
        <f>HYPERLINK("https://esbl.nhlbi.nih.gov/Databases/mpkFractions/proteomic_fractions_log_files/Yang_log_img/165932364.jpg","show blot")</f>
        <v>show blot</v>
      </c>
      <c r="H1317" s="8" t="str">
        <f>HYPERLINK("https://esbl.nhlbi.nih.gov/Databases/mpkFractions/proteomic_fractions_linear_files/Yang_linear_img/165932364.jpg","show blot")</f>
        <v>show blot</v>
      </c>
      <c r="J1317" s="5" t="s">
        <v>2625</v>
      </c>
      <c r="L1317" s="11">
        <v>4.6683818235738874</v>
      </c>
      <c r="N1317" s="12"/>
    </row>
    <row r="1318" spans="1:14" s="5" customFormat="1" ht="15" customHeight="1" x14ac:dyDescent="0.25">
      <c r="A1318" s="9" t="s">
        <v>2626</v>
      </c>
      <c r="C1318" s="9" t="str">
        <f>HYPERLINK("http://www.ncbi.nlm.nih.gov/protein/27312023","Cmtm4")</f>
        <v>Cmtm4</v>
      </c>
      <c r="D1318" s="10">
        <f t="shared" si="20"/>
        <v>3.3816564825857869</v>
      </c>
      <c r="F1318" s="8" t="str">
        <f>HYPERLINK("https://esbl.nhlbi.nih.gov/Databases/mpkFractions/proteomic_fractions_log_files/Yang_log_img/27312023.jpg","show blot")</f>
        <v>show blot</v>
      </c>
      <c r="H1318" s="8" t="str">
        <f>HYPERLINK("https://esbl.nhlbi.nih.gov/Databases/mpkFractions/proteomic_fractions_linear_files/Yang_linear_img/27312023.jpg","show blot")</f>
        <v>show blot</v>
      </c>
      <c r="J1318" s="5" t="s">
        <v>2627</v>
      </c>
      <c r="L1318" s="11">
        <v>3.3816564825857869</v>
      </c>
      <c r="N1318" s="12"/>
    </row>
    <row r="1319" spans="1:14" s="5" customFormat="1" ht="15" customHeight="1" x14ac:dyDescent="0.25">
      <c r="A1319" s="9" t="s">
        <v>2628</v>
      </c>
      <c r="C1319" s="9" t="str">
        <f>HYPERLINK("http://www.ncbi.nlm.nih.gov/protein/19527198","Cmtm7")</f>
        <v>Cmtm7</v>
      </c>
      <c r="D1319" s="10">
        <f t="shared" si="20"/>
        <v>3.1349841492443979</v>
      </c>
      <c r="F1319" s="8" t="str">
        <f>HYPERLINK("https://esbl.nhlbi.nih.gov/Databases/mpkFractions/proteomic_fractions_log_files/Yang_log_img/19527198.jpg","show blot")</f>
        <v>show blot</v>
      </c>
      <c r="H1319" s="8" t="str">
        <f>HYPERLINK("https://esbl.nhlbi.nih.gov/Databases/mpkFractions/proteomic_fractions_linear_files/Yang_linear_img/19527198.jpg","show blot")</f>
        <v>show blot</v>
      </c>
      <c r="J1319" s="5" t="s">
        <v>2629</v>
      </c>
      <c r="L1319" s="11">
        <v>3.1349841492443979</v>
      </c>
      <c r="N1319" s="12"/>
    </row>
    <row r="1320" spans="1:14" s="5" customFormat="1" ht="15" customHeight="1" x14ac:dyDescent="0.25">
      <c r="A1320" s="9" t="s">
        <v>2630</v>
      </c>
      <c r="C1320" s="9" t="str">
        <f>HYPERLINK("http://www.ncbi.nlm.nih.gov/protein/357197168","Cmtm7")</f>
        <v>Cmtm7</v>
      </c>
      <c r="D1320" s="10">
        <f t="shared" si="20"/>
        <v>3.1349841492443979</v>
      </c>
      <c r="F1320" s="8" t="str">
        <f>HYPERLINK("https://esbl.nhlbi.nih.gov/Databases/mpkFractions/proteomic_fractions_log_files/Yang_log_img/357197168.jpg","show blot")</f>
        <v>show blot</v>
      </c>
      <c r="H1320" s="8" t="str">
        <f>HYPERLINK("https://esbl.nhlbi.nih.gov/Databases/mpkFractions/proteomic_fractions_linear_files/Yang_linear_img/357197168.jpg","show blot")</f>
        <v>show blot</v>
      </c>
      <c r="J1320" s="5" t="s">
        <v>2631</v>
      </c>
      <c r="L1320" s="11">
        <v>3.1349841492443979</v>
      </c>
      <c r="N1320" s="12"/>
    </row>
    <row r="1321" spans="1:14" s="5" customFormat="1" ht="15" customHeight="1" x14ac:dyDescent="0.25">
      <c r="A1321" s="9" t="s">
        <v>2632</v>
      </c>
      <c r="C1321" s="9" t="str">
        <f>HYPERLINK("http://www.ncbi.nlm.nih.gov/protein/21311939","Cmtr1")</f>
        <v>Cmtr1</v>
      </c>
      <c r="D1321" s="10">
        <f t="shared" si="20"/>
        <v>4.2329658614473971</v>
      </c>
      <c r="F1321" s="8" t="str">
        <f>HYPERLINK("https://esbl.nhlbi.nih.gov/Databases/mpkFractions/proteomic_fractions_log_files/Yang_log_img/21311939.jpg","show blot")</f>
        <v>show blot</v>
      </c>
      <c r="H1321" s="8" t="str">
        <f>HYPERLINK("https://esbl.nhlbi.nih.gov/Databases/mpkFractions/proteomic_fractions_linear_files/Yang_linear_img/21311939.jpg","show blot")</f>
        <v>show blot</v>
      </c>
      <c r="J1321" s="5" t="s">
        <v>2633</v>
      </c>
      <c r="L1321" s="11">
        <v>4.2329658614473971</v>
      </c>
      <c r="N1321" s="12"/>
    </row>
    <row r="1322" spans="1:14" s="5" customFormat="1" ht="15" customHeight="1" x14ac:dyDescent="0.25">
      <c r="A1322" s="9" t="s">
        <v>2634</v>
      </c>
      <c r="C1322" s="9" t="str">
        <f>HYPERLINK("http://www.ncbi.nlm.nih.gov/protein/157909782","Cnbp")</f>
        <v>Cnbp</v>
      </c>
      <c r="D1322" s="10">
        <f t="shared" si="20"/>
        <v>6.2174457788894166</v>
      </c>
      <c r="F1322" s="8" t="str">
        <f>HYPERLINK("https://esbl.nhlbi.nih.gov/Databases/mpkFractions/proteomic_fractions_log_files/Yang_log_img/157909782.jpg","show blot")</f>
        <v>show blot</v>
      </c>
      <c r="H1322" s="8" t="str">
        <f>HYPERLINK("https://esbl.nhlbi.nih.gov/Databases/mpkFractions/proteomic_fractions_linear_files/Yang_linear_img/157909782.jpg","show blot")</f>
        <v>show blot</v>
      </c>
      <c r="J1322" s="5" t="s">
        <v>2635</v>
      </c>
      <c r="L1322" s="11">
        <v>6.2174457788894166</v>
      </c>
      <c r="N1322" s="12"/>
    </row>
    <row r="1323" spans="1:14" s="5" customFormat="1" ht="15" customHeight="1" x14ac:dyDescent="0.25">
      <c r="A1323" s="9" t="s">
        <v>2636</v>
      </c>
      <c r="C1323" s="9" t="str">
        <f>HYPERLINK("http://www.ncbi.nlm.nih.gov/protein/157909784","Cnbp")</f>
        <v>Cnbp</v>
      </c>
      <c r="D1323" s="10">
        <f t="shared" si="20"/>
        <v>6.2174457788894166</v>
      </c>
      <c r="F1323" s="8" t="str">
        <f>HYPERLINK("https://esbl.nhlbi.nih.gov/Databases/mpkFractions/proteomic_fractions_log_files/Yang_log_img/157909784.jpg","show blot")</f>
        <v>show blot</v>
      </c>
      <c r="H1323" s="8" t="str">
        <f>HYPERLINK("https://esbl.nhlbi.nih.gov/Databases/mpkFractions/proteomic_fractions_linear_files/Yang_linear_img/157909784.jpg","show blot")</f>
        <v>show blot</v>
      </c>
      <c r="J1323" s="5" t="s">
        <v>2637</v>
      </c>
      <c r="L1323" s="11">
        <v>6.2174457788894166</v>
      </c>
      <c r="N1323" s="12"/>
    </row>
    <row r="1324" spans="1:14" s="5" customFormat="1" ht="15" customHeight="1" x14ac:dyDescent="0.25">
      <c r="A1324" s="9" t="s">
        <v>2638</v>
      </c>
      <c r="C1324" s="9" t="str">
        <f>HYPERLINK("http://www.ncbi.nlm.nih.gov/protein/7304969","Cnbp")</f>
        <v>Cnbp</v>
      </c>
      <c r="D1324" s="10">
        <f t="shared" si="20"/>
        <v>6.2174457788894166</v>
      </c>
      <c r="F1324" s="8" t="str">
        <f>HYPERLINK("https://esbl.nhlbi.nih.gov/Databases/mpkFractions/proteomic_fractions_log_files/Yang_log_img/7304969.jpg","show blot")</f>
        <v>show blot</v>
      </c>
      <c r="H1324" s="8" t="str">
        <f>HYPERLINK("https://esbl.nhlbi.nih.gov/Databases/mpkFractions/proteomic_fractions_linear_files/Yang_linear_img/7304969.jpg","show blot")</f>
        <v>show blot</v>
      </c>
      <c r="J1324" s="5" t="s">
        <v>2639</v>
      </c>
      <c r="L1324" s="11">
        <v>6.2174457788894166</v>
      </c>
      <c r="N1324" s="12"/>
    </row>
    <row r="1325" spans="1:14" s="5" customFormat="1" ht="15" customHeight="1" x14ac:dyDescent="0.25">
      <c r="A1325" s="9" t="s">
        <v>2640</v>
      </c>
      <c r="C1325" s="9" t="str">
        <f>HYPERLINK("http://www.ncbi.nlm.nih.gov/protein/31981273","Cndp2")</f>
        <v>Cndp2</v>
      </c>
      <c r="D1325" s="10">
        <f t="shared" si="20"/>
        <v>6.6099536100377234</v>
      </c>
      <c r="F1325" s="8" t="str">
        <f>HYPERLINK("https://esbl.nhlbi.nih.gov/Databases/mpkFractions/proteomic_fractions_log_files/Yang_log_img/31981273.jpg","show blot")</f>
        <v>show blot</v>
      </c>
      <c r="H1325" s="8" t="str">
        <f>HYPERLINK("https://esbl.nhlbi.nih.gov/Databases/mpkFractions/proteomic_fractions_linear_files/Yang_linear_img/31981273.jpg","show blot")</f>
        <v>show blot</v>
      </c>
      <c r="J1325" s="5" t="s">
        <v>2641</v>
      </c>
      <c r="L1325" s="11">
        <v>6.6099536100377234</v>
      </c>
      <c r="N1325" s="12"/>
    </row>
    <row r="1326" spans="1:14" s="5" customFormat="1" ht="15" customHeight="1" x14ac:dyDescent="0.25">
      <c r="A1326" s="9" t="s">
        <v>2642</v>
      </c>
      <c r="C1326" s="9" t="str">
        <f>HYPERLINK("http://www.ncbi.nlm.nih.gov/protein/68131553","Cnih4")</f>
        <v>Cnih4</v>
      </c>
      <c r="D1326" s="10">
        <f t="shared" si="20"/>
        <v>4.229568834407778</v>
      </c>
      <c r="F1326" s="8" t="str">
        <f>HYPERLINK("https://esbl.nhlbi.nih.gov/Databases/mpkFractions/proteomic_fractions_log_files/Yang_log_img/68131553.jpg","show blot")</f>
        <v>show blot</v>
      </c>
      <c r="H1326" s="8" t="str">
        <f>HYPERLINK("https://esbl.nhlbi.nih.gov/Databases/mpkFractions/proteomic_fractions_linear_files/Yang_linear_img/68131553.jpg","show blot")</f>
        <v>show blot</v>
      </c>
      <c r="J1326" s="5" t="s">
        <v>2643</v>
      </c>
      <c r="L1326" s="11">
        <v>4.229568834407778</v>
      </c>
      <c r="N1326" s="12"/>
    </row>
    <row r="1327" spans="1:14" s="5" customFormat="1" ht="15" customHeight="1" x14ac:dyDescent="0.25">
      <c r="A1327" s="9" t="s">
        <v>2644</v>
      </c>
      <c r="C1327" s="9" t="str">
        <f>HYPERLINK("http://www.ncbi.nlm.nih.gov/protein/27369772","Cnksr3")</f>
        <v>Cnksr3</v>
      </c>
      <c r="D1327" s="10">
        <f t="shared" si="20"/>
        <v>3.3962683327068088</v>
      </c>
      <c r="F1327" s="8" t="str">
        <f>HYPERLINK("https://esbl.nhlbi.nih.gov/Databases/mpkFractions/proteomic_fractions_log_files/Yang_log_img/27369772.jpg","show blot")</f>
        <v>show blot</v>
      </c>
      <c r="H1327" s="8" t="str">
        <f>HYPERLINK("https://esbl.nhlbi.nih.gov/Databases/mpkFractions/proteomic_fractions_linear_files/Yang_linear_img/27369772.jpg","show blot")</f>
        <v>show blot</v>
      </c>
      <c r="J1327" s="5" t="s">
        <v>2645</v>
      </c>
      <c r="L1327" s="11">
        <v>3.3962683327068088</v>
      </c>
      <c r="N1327" s="12"/>
    </row>
    <row r="1328" spans="1:14" s="5" customFormat="1" ht="15" customHeight="1" x14ac:dyDescent="0.25">
      <c r="A1328" s="9" t="s">
        <v>2646</v>
      </c>
      <c r="C1328" s="9" t="str">
        <f>HYPERLINK("http://www.ncbi.nlm.nih.gov/protein/6680952","Cnn2")</f>
        <v>Cnn2</v>
      </c>
      <c r="D1328" s="10">
        <f t="shared" si="20"/>
        <v>5.4994788901079978</v>
      </c>
      <c r="F1328" s="8" t="str">
        <f>HYPERLINK("https://esbl.nhlbi.nih.gov/Databases/mpkFractions/proteomic_fractions_log_files/Yang_log_img/6680952.jpg","show blot")</f>
        <v>show blot</v>
      </c>
      <c r="H1328" s="8" t="str">
        <f>HYPERLINK("https://esbl.nhlbi.nih.gov/Databases/mpkFractions/proteomic_fractions_linear_files/Yang_linear_img/6680952.jpg","show blot")</f>
        <v>show blot</v>
      </c>
      <c r="J1328" s="5" t="s">
        <v>2647</v>
      </c>
      <c r="L1328" s="11">
        <v>5.4994788901079978</v>
      </c>
      <c r="N1328" s="12"/>
    </row>
    <row r="1329" spans="1:14" s="5" customFormat="1" ht="15" customHeight="1" x14ac:dyDescent="0.25">
      <c r="A1329" s="9" t="s">
        <v>2648</v>
      </c>
      <c r="C1329" s="9" t="str">
        <f>HYPERLINK("http://www.ncbi.nlm.nih.gov/protein/21312564","Cnn3")</f>
        <v>Cnn3</v>
      </c>
      <c r="D1329" s="10">
        <f t="shared" si="20"/>
        <v>6.0486355940579521</v>
      </c>
      <c r="F1329" s="8" t="str">
        <f>HYPERLINK("https://esbl.nhlbi.nih.gov/Databases/mpkFractions/proteomic_fractions_log_files/Yang_log_img/21312564.jpg","show blot")</f>
        <v>show blot</v>
      </c>
      <c r="H1329" s="8" t="str">
        <f>HYPERLINK("https://esbl.nhlbi.nih.gov/Databases/mpkFractions/proteomic_fractions_linear_files/Yang_linear_img/21312564.jpg","show blot")</f>
        <v>show blot</v>
      </c>
      <c r="J1329" s="5" t="s">
        <v>2649</v>
      </c>
      <c r="L1329" s="11">
        <v>6.0486355940579521</v>
      </c>
      <c r="N1329" s="12"/>
    </row>
    <row r="1330" spans="1:14" s="5" customFormat="1" ht="15" customHeight="1" x14ac:dyDescent="0.25">
      <c r="A1330" s="9" t="s">
        <v>2650</v>
      </c>
      <c r="C1330" s="9" t="str">
        <f>HYPERLINK("http://www.ncbi.nlm.nih.gov/protein/156447046","Cnnm2")</f>
        <v>Cnnm2</v>
      </c>
      <c r="D1330" s="10">
        <f t="shared" si="20"/>
        <v>1.283589892377788</v>
      </c>
      <c r="F1330" s="8" t="str">
        <f>HYPERLINK("https://esbl.nhlbi.nih.gov/Databases/mpkFractions/proteomic_fractions_log_files/Yang_log_img/156447046.jpg","show blot")</f>
        <v>show blot</v>
      </c>
      <c r="H1330" s="8" t="str">
        <f>HYPERLINK("https://esbl.nhlbi.nih.gov/Databases/mpkFractions/proteomic_fractions_linear_files/Yang_linear_img/156447046.jpg","show blot")</f>
        <v>show blot</v>
      </c>
      <c r="J1330" s="5" t="s">
        <v>2651</v>
      </c>
      <c r="L1330" s="11">
        <v>1.283589892377788</v>
      </c>
      <c r="N1330" s="12"/>
    </row>
    <row r="1331" spans="1:14" s="5" customFormat="1" ht="15" customHeight="1" x14ac:dyDescent="0.25">
      <c r="A1331" s="9" t="s">
        <v>2652</v>
      </c>
      <c r="C1331" s="9" t="str">
        <f>HYPERLINK("http://www.ncbi.nlm.nih.gov/protein/156447048","Cnnm2")</f>
        <v>Cnnm2</v>
      </c>
      <c r="D1331" s="10">
        <f t="shared" si="20"/>
        <v>1.283589892377788</v>
      </c>
      <c r="F1331" s="8" t="str">
        <f>HYPERLINK("https://esbl.nhlbi.nih.gov/Databases/mpkFractions/proteomic_fractions_log_files/Yang_log_img/156447048.jpg","show blot")</f>
        <v>show blot</v>
      </c>
      <c r="H1331" s="8" t="str">
        <f>HYPERLINK("https://esbl.nhlbi.nih.gov/Databases/mpkFractions/proteomic_fractions_linear_files/Yang_linear_img/156447048.jpg","show blot")</f>
        <v>show blot</v>
      </c>
      <c r="J1331" s="5" t="s">
        <v>2653</v>
      </c>
      <c r="L1331" s="11">
        <v>1.283589892377788</v>
      </c>
      <c r="N1331" s="12"/>
    </row>
    <row r="1332" spans="1:14" s="5" customFormat="1" ht="15" customHeight="1" x14ac:dyDescent="0.25">
      <c r="A1332" s="9" t="s">
        <v>2654</v>
      </c>
      <c r="C1332" s="9" t="str">
        <f>HYPERLINK("http://www.ncbi.nlm.nih.gov/protein/88196782","Cnnm3")</f>
        <v>Cnnm3</v>
      </c>
      <c r="D1332" s="10">
        <f t="shared" si="20"/>
        <v>1.6093347758628671</v>
      </c>
      <c r="F1332" s="8" t="str">
        <f>HYPERLINK("https://esbl.nhlbi.nih.gov/Databases/mpkFractions/proteomic_fractions_log_files/Yang_log_img/88196782.jpg","show blot")</f>
        <v>show blot</v>
      </c>
      <c r="H1332" s="8" t="str">
        <f>HYPERLINK("https://esbl.nhlbi.nih.gov/Databases/mpkFractions/proteomic_fractions_linear_files/Yang_linear_img/88196782.jpg","show blot")</f>
        <v>show blot</v>
      </c>
      <c r="J1332" s="5" t="s">
        <v>2655</v>
      </c>
      <c r="L1332" s="11">
        <v>1.6093347758628671</v>
      </c>
      <c r="N1332" s="12"/>
    </row>
    <row r="1333" spans="1:14" s="5" customFormat="1" ht="15" customHeight="1" x14ac:dyDescent="0.25">
      <c r="A1333" s="9" t="s">
        <v>2656</v>
      </c>
      <c r="C1333" s="9" t="str">
        <f>HYPERLINK("http://www.ncbi.nlm.nih.gov/protein/88196784","Cnnm3")</f>
        <v>Cnnm3</v>
      </c>
      <c r="D1333" s="10">
        <f t="shared" si="20"/>
        <v>1.6093347758628671</v>
      </c>
      <c r="F1333" s="8" t="str">
        <f>HYPERLINK("https://esbl.nhlbi.nih.gov/Databases/mpkFractions/proteomic_fractions_log_files/Yang_log_img/88196784.jpg","show blot")</f>
        <v>show blot</v>
      </c>
      <c r="H1333" s="8" t="str">
        <f>HYPERLINK("https://esbl.nhlbi.nih.gov/Databases/mpkFractions/proteomic_fractions_linear_files/Yang_linear_img/88196784.jpg","show blot")</f>
        <v>show blot</v>
      </c>
      <c r="J1333" s="5" t="s">
        <v>2657</v>
      </c>
      <c r="L1333" s="11">
        <v>1.6093347758628671</v>
      </c>
      <c r="N1333" s="12"/>
    </row>
    <row r="1334" spans="1:14" s="5" customFormat="1" ht="15" customHeight="1" x14ac:dyDescent="0.25">
      <c r="A1334" s="9" t="s">
        <v>2658</v>
      </c>
      <c r="C1334" s="9" t="str">
        <f>HYPERLINK("http://www.ncbi.nlm.nih.gov/protein/189458844","Cnot1")</f>
        <v>Cnot1</v>
      </c>
      <c r="D1334" s="10">
        <f t="shared" si="20"/>
        <v>4.7983969988286548</v>
      </c>
      <c r="F1334" s="8" t="str">
        <f>HYPERLINK("https://esbl.nhlbi.nih.gov/Databases/mpkFractions/proteomic_fractions_log_files/Yang_log_img/189458844.jpg","show blot")</f>
        <v>show blot</v>
      </c>
      <c r="H1334" s="8" t="str">
        <f>HYPERLINK("https://esbl.nhlbi.nih.gov/Databases/mpkFractions/proteomic_fractions_linear_files/Yang_linear_img/189458844.jpg","show blot")</f>
        <v>show blot</v>
      </c>
      <c r="J1334" s="5" t="s">
        <v>2659</v>
      </c>
      <c r="L1334" s="11">
        <v>4.7983969988286548</v>
      </c>
      <c r="N1334" s="12"/>
    </row>
    <row r="1335" spans="1:14" s="5" customFormat="1" ht="15" customHeight="1" x14ac:dyDescent="0.25">
      <c r="A1335" s="9" t="s">
        <v>2660</v>
      </c>
      <c r="C1335" s="9" t="str">
        <f>HYPERLINK("http://www.ncbi.nlm.nih.gov/protein/327315389","Cnot1")</f>
        <v>Cnot1</v>
      </c>
      <c r="D1335" s="10">
        <f t="shared" si="20"/>
        <v>4.7983969988286548</v>
      </c>
      <c r="F1335" s="8" t="str">
        <f>HYPERLINK("https://esbl.nhlbi.nih.gov/Databases/mpkFractions/proteomic_fractions_log_files/Yang_log_img/327315389.jpg","show blot")</f>
        <v>show blot</v>
      </c>
      <c r="H1335" s="8" t="str">
        <f>HYPERLINK("https://esbl.nhlbi.nih.gov/Databases/mpkFractions/proteomic_fractions_linear_files/Yang_linear_img/327315389.jpg","show blot")</f>
        <v>show blot</v>
      </c>
      <c r="J1335" s="5" t="s">
        <v>2661</v>
      </c>
      <c r="L1335" s="11">
        <v>4.7983969988286548</v>
      </c>
      <c r="N1335" s="12"/>
    </row>
    <row r="1336" spans="1:14" s="5" customFormat="1" ht="15" customHeight="1" x14ac:dyDescent="0.25">
      <c r="A1336" s="9" t="s">
        <v>2662</v>
      </c>
      <c r="C1336" s="9" t="str">
        <f>HYPERLINK("http://www.ncbi.nlm.nih.gov/protein/327315392","Cnot1")</f>
        <v>Cnot1</v>
      </c>
      <c r="D1336" s="10">
        <f t="shared" si="20"/>
        <v>4.7983969988286548</v>
      </c>
      <c r="F1336" s="8" t="str">
        <f>HYPERLINK("https://esbl.nhlbi.nih.gov/Databases/mpkFractions/proteomic_fractions_log_files/Yang_log_img/327315392.jpg","show blot")</f>
        <v>show blot</v>
      </c>
      <c r="H1336" s="8" t="str">
        <f>HYPERLINK("https://esbl.nhlbi.nih.gov/Databases/mpkFractions/proteomic_fractions_linear_files/Yang_linear_img/327315392.jpg","show blot")</f>
        <v>show blot</v>
      </c>
      <c r="J1336" s="5" t="s">
        <v>2663</v>
      </c>
      <c r="L1336" s="11">
        <v>4.7983969988286548</v>
      </c>
      <c r="N1336" s="12"/>
    </row>
    <row r="1337" spans="1:14" s="5" customFormat="1" ht="15" customHeight="1" x14ac:dyDescent="0.25">
      <c r="A1337" s="9" t="s">
        <v>2664</v>
      </c>
      <c r="C1337" s="9" t="str">
        <f>HYPERLINK("http://www.ncbi.nlm.nih.gov/protein/31324571","Cnot10")</f>
        <v>Cnot10</v>
      </c>
      <c r="D1337" s="10">
        <f t="shared" si="20"/>
        <v>4.6709787613279019</v>
      </c>
      <c r="F1337" s="8" t="str">
        <f>HYPERLINK("https://esbl.nhlbi.nih.gov/Databases/mpkFractions/proteomic_fractions_log_files/Yang_log_img/31324571.jpg","show blot")</f>
        <v>show blot</v>
      </c>
      <c r="H1337" s="8" t="str">
        <f>HYPERLINK("https://esbl.nhlbi.nih.gov/Databases/mpkFractions/proteomic_fractions_linear_files/Yang_linear_img/31324571.jpg","show blot")</f>
        <v>show blot</v>
      </c>
      <c r="J1337" s="5" t="s">
        <v>2665</v>
      </c>
      <c r="L1337" s="11">
        <v>4.6709787613279019</v>
      </c>
      <c r="N1337" s="12"/>
    </row>
    <row r="1338" spans="1:14" s="5" customFormat="1" ht="15" customHeight="1" x14ac:dyDescent="0.25">
      <c r="A1338" s="9" t="s">
        <v>2666</v>
      </c>
      <c r="C1338" s="9" t="str">
        <f>HYPERLINK("http://www.ncbi.nlm.nih.gov/protein/26553441","Cnot11")</f>
        <v>Cnot11</v>
      </c>
      <c r="D1338" s="10">
        <f t="shared" si="20"/>
        <v>3.8413026768221989</v>
      </c>
      <c r="F1338" s="8" t="str">
        <f>HYPERLINK("https://esbl.nhlbi.nih.gov/Databases/mpkFractions/proteomic_fractions_log_files/Yang_log_img/26553441.jpg","show blot")</f>
        <v>show blot</v>
      </c>
      <c r="H1338" s="8" t="str">
        <f>HYPERLINK("https://esbl.nhlbi.nih.gov/Databases/mpkFractions/proteomic_fractions_linear_files/Yang_linear_img/26553441.jpg","show blot")</f>
        <v>show blot</v>
      </c>
      <c r="J1338" s="5" t="s">
        <v>2667</v>
      </c>
      <c r="L1338" s="11">
        <v>3.8413026768221989</v>
      </c>
      <c r="N1338" s="12"/>
    </row>
    <row r="1339" spans="1:14" s="5" customFormat="1" ht="15" customHeight="1" x14ac:dyDescent="0.25">
      <c r="A1339" s="9" t="s">
        <v>2668</v>
      </c>
      <c r="C1339" s="9" t="str">
        <f>HYPERLINK("http://www.ncbi.nlm.nih.gov/protein/210147539","Cnot2")</f>
        <v>Cnot2</v>
      </c>
      <c r="D1339" s="10">
        <f t="shared" si="20"/>
        <v>4.2222729703136848</v>
      </c>
      <c r="F1339" s="8" t="str">
        <f>HYPERLINK("https://esbl.nhlbi.nih.gov/Databases/mpkFractions/proteomic_fractions_log_files/Yang_log_img/210147539.jpg","show blot")</f>
        <v>show blot</v>
      </c>
      <c r="H1339" s="8" t="str">
        <f>HYPERLINK("https://esbl.nhlbi.nih.gov/Databases/mpkFractions/proteomic_fractions_linear_files/Yang_linear_img/210147539.jpg","show blot")</f>
        <v>show blot</v>
      </c>
      <c r="J1339" s="5" t="s">
        <v>2669</v>
      </c>
      <c r="L1339" s="11">
        <v>4.2222729703136848</v>
      </c>
      <c r="N1339" s="12"/>
    </row>
    <row r="1340" spans="1:14" s="5" customFormat="1" ht="15" customHeight="1" x14ac:dyDescent="0.25">
      <c r="A1340" s="9" t="s">
        <v>2670</v>
      </c>
      <c r="C1340" s="9" t="str">
        <f>HYPERLINK("http://www.ncbi.nlm.nih.gov/protein/210147541","Cnot2")</f>
        <v>Cnot2</v>
      </c>
      <c r="D1340" s="10">
        <f t="shared" si="20"/>
        <v>4.2222729703136848</v>
      </c>
      <c r="F1340" s="8" t="str">
        <f>HYPERLINK("https://esbl.nhlbi.nih.gov/Databases/mpkFractions/proteomic_fractions_log_files/Yang_log_img/210147541.jpg","show blot")</f>
        <v>show blot</v>
      </c>
      <c r="H1340" s="8" t="str">
        <f>HYPERLINK("https://esbl.nhlbi.nih.gov/Databases/mpkFractions/proteomic_fractions_linear_files/Yang_linear_img/210147541.jpg","show blot")</f>
        <v>show blot</v>
      </c>
      <c r="J1340" s="5" t="s">
        <v>2671</v>
      </c>
      <c r="L1340" s="11">
        <v>4.2222729703136848</v>
      </c>
      <c r="N1340" s="12"/>
    </row>
    <row r="1341" spans="1:14" s="5" customFormat="1" ht="15" customHeight="1" x14ac:dyDescent="0.25">
      <c r="A1341" s="9" t="s">
        <v>2672</v>
      </c>
      <c r="C1341" s="9" t="str">
        <f>HYPERLINK("http://www.ncbi.nlm.nih.gov/protein/211065515","Cnot2")</f>
        <v>Cnot2</v>
      </c>
      <c r="D1341" s="10">
        <f t="shared" si="20"/>
        <v>4.2222729703136848</v>
      </c>
      <c r="F1341" s="8" t="str">
        <f>HYPERLINK("https://esbl.nhlbi.nih.gov/Databases/mpkFractions/proteomic_fractions_log_files/Yang_log_img/211065515.jpg","show blot")</f>
        <v>show blot</v>
      </c>
      <c r="H1341" s="8" t="str">
        <f>HYPERLINK("https://esbl.nhlbi.nih.gov/Databases/mpkFractions/proteomic_fractions_linear_files/Yang_linear_img/211065515.jpg","show blot")</f>
        <v>show blot</v>
      </c>
      <c r="J1341" s="5" t="s">
        <v>2673</v>
      </c>
      <c r="L1341" s="11">
        <v>4.2222729703136848</v>
      </c>
      <c r="N1341" s="12"/>
    </row>
    <row r="1342" spans="1:14" s="5" customFormat="1" ht="15" customHeight="1" x14ac:dyDescent="0.25">
      <c r="A1342" s="9" t="s">
        <v>2674</v>
      </c>
      <c r="C1342" s="9" t="str">
        <f>HYPERLINK("http://www.ncbi.nlm.nih.gov/protein/22122717","Cnot3")</f>
        <v>Cnot3</v>
      </c>
      <c r="D1342" s="10">
        <f t="shared" si="20"/>
        <v>3.105082118001</v>
      </c>
      <c r="F1342" s="8" t="str">
        <f>HYPERLINK("https://esbl.nhlbi.nih.gov/Databases/mpkFractions/proteomic_fractions_log_files/Yang_log_img/22122717.jpg","show blot")</f>
        <v>show blot</v>
      </c>
      <c r="H1342" s="8" t="str">
        <f>HYPERLINK("https://esbl.nhlbi.nih.gov/Databases/mpkFractions/proteomic_fractions_linear_files/Yang_linear_img/22122717.jpg","show blot")</f>
        <v>show blot</v>
      </c>
      <c r="J1342" s="5" t="s">
        <v>2675</v>
      </c>
      <c r="L1342" s="11">
        <v>3.105082118001</v>
      </c>
      <c r="N1342" s="12"/>
    </row>
    <row r="1343" spans="1:14" s="5" customFormat="1" ht="15" customHeight="1" x14ac:dyDescent="0.25">
      <c r="A1343" s="9" t="s">
        <v>2676</v>
      </c>
      <c r="C1343" s="9" t="str">
        <f>HYPERLINK("http://www.ncbi.nlm.nih.gov/protein/47059015","Cnot6")</f>
        <v>Cnot6</v>
      </c>
      <c r="D1343" s="10">
        <f t="shared" si="20"/>
        <v>3.6019514041335219</v>
      </c>
      <c r="F1343" s="8" t="str">
        <f>HYPERLINK("https://esbl.nhlbi.nih.gov/Databases/mpkFractions/proteomic_fractions_log_files/Yang_log_img/47059015.jpg","show blot")</f>
        <v>show blot</v>
      </c>
      <c r="H1343" s="8" t="str">
        <f>HYPERLINK("https://esbl.nhlbi.nih.gov/Databases/mpkFractions/proteomic_fractions_linear_files/Yang_linear_img/47059015.jpg","show blot")</f>
        <v>show blot</v>
      </c>
      <c r="J1343" s="5" t="s">
        <v>2677</v>
      </c>
      <c r="L1343" s="11">
        <v>3.6019514041335219</v>
      </c>
      <c r="N1343" s="12"/>
    </row>
    <row r="1344" spans="1:14" s="5" customFormat="1" ht="15" customHeight="1" x14ac:dyDescent="0.25">
      <c r="A1344" s="9" t="s">
        <v>2678</v>
      </c>
      <c r="C1344" s="9" t="str">
        <f>HYPERLINK("http://www.ncbi.nlm.nih.gov/protein/121674807","Cnot6l")</f>
        <v>Cnot6l</v>
      </c>
      <c r="D1344" s="10">
        <f t="shared" si="20"/>
        <v>3.5004224018275099</v>
      </c>
      <c r="F1344" s="8" t="str">
        <f>HYPERLINK("https://esbl.nhlbi.nih.gov/Databases/mpkFractions/proteomic_fractions_log_files/Yang_log_img/121674807.jpg","show blot")</f>
        <v>show blot</v>
      </c>
      <c r="H1344" s="8" t="str">
        <f>HYPERLINK("https://esbl.nhlbi.nih.gov/Databases/mpkFractions/proteomic_fractions_linear_files/Yang_linear_img/121674807.jpg","show blot")</f>
        <v>show blot</v>
      </c>
      <c r="J1344" s="5" t="s">
        <v>2679</v>
      </c>
      <c r="L1344" s="11">
        <v>3.5004224018275099</v>
      </c>
      <c r="N1344" s="12"/>
    </row>
    <row r="1345" spans="1:14" s="5" customFormat="1" ht="15" customHeight="1" x14ac:dyDescent="0.25">
      <c r="A1345" s="9" t="s">
        <v>2680</v>
      </c>
      <c r="C1345" s="9" t="str">
        <f>HYPERLINK("http://www.ncbi.nlm.nih.gov/protein/21450299","Cnot6l")</f>
        <v>Cnot6l</v>
      </c>
      <c r="D1345" s="10">
        <f t="shared" si="20"/>
        <v>3.5004224018275099</v>
      </c>
      <c r="F1345" s="8" t="str">
        <f>HYPERLINK("https://esbl.nhlbi.nih.gov/Databases/mpkFractions/proteomic_fractions_log_files/Yang_log_img/21450299.jpg","show blot")</f>
        <v>show blot</v>
      </c>
      <c r="H1345" s="8" t="str">
        <f>HYPERLINK("https://esbl.nhlbi.nih.gov/Databases/mpkFractions/proteomic_fractions_linear_files/Yang_linear_img/21450299.jpg","show blot")</f>
        <v>show blot</v>
      </c>
      <c r="J1345" s="5" t="s">
        <v>2681</v>
      </c>
      <c r="L1345" s="11">
        <v>3.5004224018275099</v>
      </c>
      <c r="N1345" s="12"/>
    </row>
    <row r="1346" spans="1:14" s="5" customFormat="1" ht="15" customHeight="1" x14ac:dyDescent="0.25">
      <c r="A1346" s="9" t="s">
        <v>2682</v>
      </c>
      <c r="C1346" s="9" t="str">
        <f>HYPERLINK("http://www.ncbi.nlm.nih.gov/protein/408968125","Cnot7")</f>
        <v>Cnot7</v>
      </c>
      <c r="D1346" s="10">
        <f t="shared" si="20"/>
        <v>4.947097801641176</v>
      </c>
      <c r="F1346" s="8" t="str">
        <f>HYPERLINK("https://esbl.nhlbi.nih.gov/Databases/mpkFractions/proteomic_fractions_log_files/Yang_log_img/408968125.jpg","show blot")</f>
        <v>show blot</v>
      </c>
      <c r="H1346" s="8" t="str">
        <f>HYPERLINK("https://esbl.nhlbi.nih.gov/Databases/mpkFractions/proteomic_fractions_linear_files/Yang_linear_img/408968125.jpg","show blot")</f>
        <v>show blot</v>
      </c>
      <c r="J1346" s="5" t="s">
        <v>2683</v>
      </c>
      <c r="L1346" s="11">
        <v>4.947097801641176</v>
      </c>
      <c r="N1346" s="12"/>
    </row>
    <row r="1347" spans="1:14" s="5" customFormat="1" ht="15" customHeight="1" x14ac:dyDescent="0.25">
      <c r="A1347" s="9" t="s">
        <v>2684</v>
      </c>
      <c r="C1347" s="9" t="str">
        <f>HYPERLINK("http://www.ncbi.nlm.nih.gov/protein/6755126","Cnot7")</f>
        <v>Cnot7</v>
      </c>
      <c r="D1347" s="10">
        <f t="shared" si="20"/>
        <v>4.947097801641176</v>
      </c>
      <c r="F1347" s="8" t="str">
        <f>HYPERLINK("https://esbl.nhlbi.nih.gov/Databases/mpkFractions/proteomic_fractions_log_files/Yang_log_img/6755126.jpg","show blot")</f>
        <v>show blot</v>
      </c>
      <c r="H1347" s="8" t="str">
        <f>HYPERLINK("https://esbl.nhlbi.nih.gov/Databases/mpkFractions/proteomic_fractions_linear_files/Yang_linear_img/6755126.jpg","show blot")</f>
        <v>show blot</v>
      </c>
      <c r="J1347" s="5" t="s">
        <v>2685</v>
      </c>
      <c r="L1347" s="11">
        <v>4.947097801641176</v>
      </c>
      <c r="N1347" s="12"/>
    </row>
    <row r="1348" spans="1:14" s="5" customFormat="1" ht="15" customHeight="1" x14ac:dyDescent="0.25">
      <c r="A1348" s="9" t="s">
        <v>2686</v>
      </c>
      <c r="C1348" s="9" t="str">
        <f>HYPERLINK("http://www.ncbi.nlm.nih.gov/protein/13386186","Cnot8")</f>
        <v>Cnot8</v>
      </c>
      <c r="D1348" s="10">
        <f t="shared" si="20"/>
        <v>3.838128118182623</v>
      </c>
      <c r="F1348" s="8" t="str">
        <f>HYPERLINK("https://esbl.nhlbi.nih.gov/Databases/mpkFractions/proteomic_fractions_log_files/Yang_log_img/13386186.jpg","show blot")</f>
        <v>show blot</v>
      </c>
      <c r="H1348" s="8" t="str">
        <f>HYPERLINK("https://esbl.nhlbi.nih.gov/Databases/mpkFractions/proteomic_fractions_linear_files/Yang_linear_img/13386186.jpg","show blot")</f>
        <v>show blot</v>
      </c>
      <c r="J1348" s="5" t="s">
        <v>2687</v>
      </c>
      <c r="L1348" s="11">
        <v>3.838128118182623</v>
      </c>
      <c r="N1348" s="12"/>
    </row>
    <row r="1349" spans="1:14" s="5" customFormat="1" ht="15" customHeight="1" x14ac:dyDescent="0.25">
      <c r="A1349" s="9" t="s">
        <v>2688</v>
      </c>
      <c r="C1349" s="9" t="str">
        <f>HYPERLINK("http://www.ncbi.nlm.nih.gov/protein/226423907","Cnp")</f>
        <v>Cnp</v>
      </c>
      <c r="D1349" s="10">
        <f t="shared" ref="D1349:D1412" si="21">L1349</f>
        <v>4.7786646599549822</v>
      </c>
      <c r="F1349" s="8" t="str">
        <f>HYPERLINK("https://esbl.nhlbi.nih.gov/Databases/mpkFractions/proteomic_fractions_log_files/Yang_log_img/226423907.jpg","show blot")</f>
        <v>show blot</v>
      </c>
      <c r="H1349" s="8" t="str">
        <f>HYPERLINK("https://esbl.nhlbi.nih.gov/Databases/mpkFractions/proteomic_fractions_linear_files/Yang_linear_img/226423907.jpg","show blot")</f>
        <v>show blot</v>
      </c>
      <c r="J1349" s="5" t="s">
        <v>2689</v>
      </c>
      <c r="L1349" s="11">
        <v>4.7786646599549822</v>
      </c>
      <c r="N1349" s="12"/>
    </row>
    <row r="1350" spans="1:14" s="5" customFormat="1" ht="15" customHeight="1" x14ac:dyDescent="0.25">
      <c r="A1350" s="9" t="s">
        <v>2690</v>
      </c>
      <c r="C1350" s="9" t="str">
        <f>HYPERLINK("http://www.ncbi.nlm.nih.gov/protein/226423909","Cnp")</f>
        <v>Cnp</v>
      </c>
      <c r="D1350" s="10">
        <f t="shared" si="21"/>
        <v>4.7786646599549822</v>
      </c>
      <c r="F1350" s="8" t="str">
        <f>HYPERLINK("https://esbl.nhlbi.nih.gov/Databases/mpkFractions/proteomic_fractions_log_files/Yang_log_img/226423909.jpg","show blot")</f>
        <v>show blot</v>
      </c>
      <c r="H1350" s="8" t="str">
        <f>HYPERLINK("https://esbl.nhlbi.nih.gov/Databases/mpkFractions/proteomic_fractions_linear_files/Yang_linear_img/226423909.jpg","show blot")</f>
        <v>show blot</v>
      </c>
      <c r="J1350" s="5" t="s">
        <v>2691</v>
      </c>
      <c r="L1350" s="11">
        <v>4.7786646599549822</v>
      </c>
      <c r="N1350" s="12"/>
    </row>
    <row r="1351" spans="1:14" s="5" customFormat="1" ht="15" customHeight="1" x14ac:dyDescent="0.25">
      <c r="A1351" s="9" t="s">
        <v>2692</v>
      </c>
      <c r="C1351" s="9" t="str">
        <f>HYPERLINK("http://www.ncbi.nlm.nih.gov/protein/9903607","Cnpy2")</f>
        <v>Cnpy2</v>
      </c>
      <c r="D1351" s="10">
        <f t="shared" si="21"/>
        <v>5.9056664115319757</v>
      </c>
      <c r="F1351" s="8" t="str">
        <f>HYPERLINK("https://esbl.nhlbi.nih.gov/Databases/mpkFractions/proteomic_fractions_log_files/Yang_log_img/9903607.jpg","show blot")</f>
        <v>show blot</v>
      </c>
      <c r="H1351" s="8" t="str">
        <f>HYPERLINK("https://esbl.nhlbi.nih.gov/Databases/mpkFractions/proteomic_fractions_linear_files/Yang_linear_img/9903607.jpg","show blot")</f>
        <v>show blot</v>
      </c>
      <c r="J1351" s="5" t="s">
        <v>2693</v>
      </c>
      <c r="L1351" s="11">
        <v>5.9056664115319757</v>
      </c>
      <c r="N1351" s="12"/>
    </row>
    <row r="1352" spans="1:14" s="5" customFormat="1" ht="15" customHeight="1" x14ac:dyDescent="0.25">
      <c r="A1352" s="9" t="s">
        <v>2694</v>
      </c>
      <c r="C1352" s="9" t="str">
        <f>HYPERLINK("http://www.ncbi.nlm.nih.gov/protein/21312510","Cnpy3")</f>
        <v>Cnpy3</v>
      </c>
      <c r="D1352" s="10">
        <f t="shared" si="21"/>
        <v>3.8144035351169272</v>
      </c>
      <c r="F1352" s="8" t="str">
        <f>HYPERLINK("https://esbl.nhlbi.nih.gov/Databases/mpkFractions/proteomic_fractions_log_files/Yang_log_img/21312510.jpg","show blot")</f>
        <v>show blot</v>
      </c>
      <c r="H1352" s="8" t="str">
        <f>HYPERLINK("https://esbl.nhlbi.nih.gov/Databases/mpkFractions/proteomic_fractions_linear_files/Yang_linear_img/21312510.jpg","show blot")</f>
        <v>show blot</v>
      </c>
      <c r="J1352" s="5" t="s">
        <v>2695</v>
      </c>
      <c r="L1352" s="11">
        <v>3.8144035351169272</v>
      </c>
      <c r="N1352" s="12"/>
    </row>
    <row r="1353" spans="1:14" s="5" customFormat="1" ht="15" customHeight="1" x14ac:dyDescent="0.25">
      <c r="A1353" s="9" t="s">
        <v>2696</v>
      </c>
      <c r="C1353" s="9" t="str">
        <f>HYPERLINK("http://www.ncbi.nlm.nih.gov/protein/30519939","Cnpy4")</f>
        <v>Cnpy4</v>
      </c>
      <c r="D1353" s="10">
        <f t="shared" si="21"/>
        <v>4.5058519080080348</v>
      </c>
      <c r="F1353" s="8" t="str">
        <f>HYPERLINK("https://esbl.nhlbi.nih.gov/Databases/mpkFractions/proteomic_fractions_log_files/Yang_log_img/30519939.jpg","show blot")</f>
        <v>show blot</v>
      </c>
      <c r="H1353" s="8" t="str">
        <f>HYPERLINK("https://esbl.nhlbi.nih.gov/Databases/mpkFractions/proteomic_fractions_linear_files/Yang_linear_img/30519939.jpg","show blot")</f>
        <v>show blot</v>
      </c>
      <c r="J1353" s="5" t="s">
        <v>2697</v>
      </c>
      <c r="L1353" s="11">
        <v>4.5058519080080348</v>
      </c>
      <c r="N1353" s="12"/>
    </row>
    <row r="1354" spans="1:14" s="5" customFormat="1" ht="15" customHeight="1" x14ac:dyDescent="0.25">
      <c r="A1354" s="9" t="s">
        <v>2698</v>
      </c>
      <c r="C1354" s="9" t="str">
        <f>HYPERLINK("http://www.ncbi.nlm.nih.gov/protein/21311867","Coa3")</f>
        <v>Coa3</v>
      </c>
      <c r="D1354" s="10">
        <f t="shared" si="21"/>
        <v>5.1092636349072826</v>
      </c>
      <c r="F1354" s="8" t="str">
        <f>HYPERLINK("https://esbl.nhlbi.nih.gov/Databases/mpkFractions/proteomic_fractions_log_files/Yang_log_img/21311867.jpg","show blot")</f>
        <v>show blot</v>
      </c>
      <c r="H1354" s="8" t="str">
        <f>HYPERLINK("https://esbl.nhlbi.nih.gov/Databases/mpkFractions/proteomic_fractions_linear_files/Yang_linear_img/21311867.jpg","show blot")</f>
        <v>show blot</v>
      </c>
      <c r="J1354" s="5" t="s">
        <v>2699</v>
      </c>
      <c r="L1354" s="11">
        <v>5.1092636349072826</v>
      </c>
      <c r="N1354" s="12"/>
    </row>
    <row r="1355" spans="1:14" s="5" customFormat="1" ht="15" customHeight="1" x14ac:dyDescent="0.25">
      <c r="A1355" s="9" t="s">
        <v>2700</v>
      </c>
      <c r="C1355" s="9" t="str">
        <f>HYPERLINK("http://www.ncbi.nlm.nih.gov/protein/30424683","Coa6")</f>
        <v>Coa6</v>
      </c>
      <c r="D1355" s="10">
        <f t="shared" si="21"/>
        <v>4.4942487970758158</v>
      </c>
      <c r="F1355" s="8" t="str">
        <f>HYPERLINK("https://esbl.nhlbi.nih.gov/Databases/mpkFractions/proteomic_fractions_log_files/Yang_log_img/30424683.jpg","show blot")</f>
        <v>show blot</v>
      </c>
      <c r="H1355" s="8" t="str">
        <f>HYPERLINK("https://esbl.nhlbi.nih.gov/Databases/mpkFractions/proteomic_fractions_linear_files/Yang_linear_img/30424683.jpg","show blot")</f>
        <v>show blot</v>
      </c>
      <c r="J1355" s="5" t="s">
        <v>2701</v>
      </c>
      <c r="L1355" s="11">
        <v>4.4942487970758158</v>
      </c>
      <c r="N1355" s="12"/>
    </row>
    <row r="1356" spans="1:14" s="5" customFormat="1" ht="15" customHeight="1" x14ac:dyDescent="0.25">
      <c r="A1356" s="9" t="s">
        <v>2702</v>
      </c>
      <c r="C1356" s="9" t="str">
        <f>HYPERLINK("http://www.ncbi.nlm.nih.gov/protein/27229125","Coasy")</f>
        <v>Coasy</v>
      </c>
      <c r="D1356" s="10">
        <f t="shared" si="21"/>
        <v>4.7111200781989648</v>
      </c>
      <c r="F1356" s="8" t="str">
        <f>HYPERLINK("https://esbl.nhlbi.nih.gov/Databases/mpkFractions/proteomic_fractions_log_files/Yang_log_img/27229125.jpg","show blot")</f>
        <v>show blot</v>
      </c>
      <c r="H1356" s="8" t="str">
        <f>HYPERLINK("https://esbl.nhlbi.nih.gov/Databases/mpkFractions/proteomic_fractions_linear_files/Yang_linear_img/27229125.jpg","show blot")</f>
        <v>show blot</v>
      </c>
      <c r="J1356" s="5" t="s">
        <v>2703</v>
      </c>
      <c r="L1356" s="11">
        <v>4.7111200781989648</v>
      </c>
      <c r="N1356" s="12"/>
    </row>
    <row r="1357" spans="1:14" s="5" customFormat="1" ht="15" customHeight="1" x14ac:dyDescent="0.25">
      <c r="A1357" s="9" t="s">
        <v>2704</v>
      </c>
      <c r="C1357" s="9" t="str">
        <f>HYPERLINK("http://www.ncbi.nlm.nih.gov/protein/162135966","Cobl")</f>
        <v>Cobl</v>
      </c>
      <c r="D1357" s="10">
        <f t="shared" si="21"/>
        <v>4.004690295687328</v>
      </c>
      <c r="F1357" s="8" t="str">
        <f>HYPERLINK("https://esbl.nhlbi.nih.gov/Databases/mpkFractions/proteomic_fractions_log_files/Yang_log_img/162135966.jpg","show blot")</f>
        <v>show blot</v>
      </c>
      <c r="H1357" s="8" t="str">
        <f>HYPERLINK("https://esbl.nhlbi.nih.gov/Databases/mpkFractions/proteomic_fractions_linear_files/Yang_linear_img/162135966.jpg","show blot")</f>
        <v>show blot</v>
      </c>
      <c r="J1357" s="5" t="s">
        <v>2705</v>
      </c>
      <c r="L1357" s="11">
        <v>4.004690295687328</v>
      </c>
      <c r="N1357" s="12"/>
    </row>
    <row r="1358" spans="1:14" s="5" customFormat="1" ht="15" customHeight="1" x14ac:dyDescent="0.25">
      <c r="A1358" s="9" t="s">
        <v>2706</v>
      </c>
      <c r="C1358" s="9" t="str">
        <f>HYPERLINK("http://www.ncbi.nlm.nih.gov/protein/189458847","Cobll1")</f>
        <v>Cobll1</v>
      </c>
      <c r="D1358" s="10">
        <f t="shared" si="21"/>
        <v>4.8683988858694649</v>
      </c>
      <c r="F1358" s="8" t="str">
        <f>HYPERLINK("https://esbl.nhlbi.nih.gov/Databases/mpkFractions/proteomic_fractions_log_files/Yang_log_img/189458847.jpg","show blot")</f>
        <v>show blot</v>
      </c>
      <c r="H1358" s="8" t="str">
        <f>HYPERLINK("https://esbl.nhlbi.nih.gov/Databases/mpkFractions/proteomic_fractions_linear_files/Yang_linear_img/189458847.jpg","show blot")</f>
        <v>show blot</v>
      </c>
      <c r="J1358" s="5" t="s">
        <v>2707</v>
      </c>
      <c r="L1358" s="11">
        <v>4.8683988858694649</v>
      </c>
      <c r="N1358" s="12"/>
    </row>
    <row r="1359" spans="1:14" s="5" customFormat="1" ht="15" customHeight="1" x14ac:dyDescent="0.25">
      <c r="A1359" s="9" t="s">
        <v>2708</v>
      </c>
      <c r="C1359" s="9" t="str">
        <f>HYPERLINK("http://www.ncbi.nlm.nih.gov/protein/32441279","Cobll1")</f>
        <v>Cobll1</v>
      </c>
      <c r="D1359" s="10">
        <f t="shared" si="21"/>
        <v>4.8683988858694649</v>
      </c>
      <c r="F1359" s="8" t="str">
        <f>HYPERLINK("https://esbl.nhlbi.nih.gov/Databases/mpkFractions/proteomic_fractions_log_files/Yang_log_img/32441279.jpg","show blot")</f>
        <v>show blot</v>
      </c>
      <c r="H1359" s="8" t="str">
        <f>HYPERLINK("https://esbl.nhlbi.nih.gov/Databases/mpkFractions/proteomic_fractions_linear_files/Yang_linear_img/32441279.jpg","show blot")</f>
        <v>show blot</v>
      </c>
      <c r="J1359" s="5" t="s">
        <v>2709</v>
      </c>
      <c r="L1359" s="11">
        <v>4.8683988858694649</v>
      </c>
      <c r="N1359" s="12"/>
    </row>
    <row r="1360" spans="1:14" s="5" customFormat="1" ht="15" customHeight="1" x14ac:dyDescent="0.25">
      <c r="A1360" s="9" t="s">
        <v>2710</v>
      </c>
      <c r="C1360" s="9" t="str">
        <f>HYPERLINK("http://www.ncbi.nlm.nih.gov/protein/159110754","Cog1")</f>
        <v>Cog1</v>
      </c>
      <c r="D1360" s="10">
        <f t="shared" si="21"/>
        <v>3.5567388353177281</v>
      </c>
      <c r="F1360" s="8" t="str">
        <f>HYPERLINK("https://esbl.nhlbi.nih.gov/Databases/mpkFractions/proteomic_fractions_log_files/Yang_log_img/159110754.jpg","show blot")</f>
        <v>show blot</v>
      </c>
      <c r="H1360" s="8" t="str">
        <f>HYPERLINK("https://esbl.nhlbi.nih.gov/Databases/mpkFractions/proteomic_fractions_linear_files/Yang_linear_img/159110754.jpg","show blot")</f>
        <v>show blot</v>
      </c>
      <c r="J1360" s="5" t="s">
        <v>2711</v>
      </c>
      <c r="L1360" s="11">
        <v>3.5567388353177281</v>
      </c>
      <c r="N1360" s="12"/>
    </row>
    <row r="1361" spans="1:14" s="5" customFormat="1" ht="15" customHeight="1" x14ac:dyDescent="0.25">
      <c r="A1361" s="9" t="s">
        <v>2712</v>
      </c>
      <c r="C1361" s="9" t="str">
        <f>HYPERLINK("http://www.ncbi.nlm.nih.gov/protein/256985208","Cog2")</f>
        <v>Cog2</v>
      </c>
      <c r="D1361" s="10">
        <f t="shared" si="21"/>
        <v>4.6041534421606451</v>
      </c>
      <c r="F1361" s="8" t="str">
        <f>HYPERLINK("https://esbl.nhlbi.nih.gov/Databases/mpkFractions/proteomic_fractions_log_files/Yang_log_img/256985208.jpg","show blot")</f>
        <v>show blot</v>
      </c>
      <c r="H1361" s="8" t="str">
        <f>HYPERLINK("https://esbl.nhlbi.nih.gov/Databases/mpkFractions/proteomic_fractions_linear_files/Yang_linear_img/256985208.jpg","show blot")</f>
        <v>show blot</v>
      </c>
      <c r="J1361" s="5" t="s">
        <v>2713</v>
      </c>
      <c r="L1361" s="11">
        <v>4.6041534421606451</v>
      </c>
      <c r="N1361" s="12"/>
    </row>
    <row r="1362" spans="1:14" s="5" customFormat="1" ht="15" customHeight="1" x14ac:dyDescent="0.25">
      <c r="A1362" s="9" t="s">
        <v>2714</v>
      </c>
      <c r="C1362" s="9" t="str">
        <f>HYPERLINK("http://www.ncbi.nlm.nih.gov/protein/119392070","Cog3")</f>
        <v>Cog3</v>
      </c>
      <c r="D1362" s="10">
        <f t="shared" si="21"/>
        <v>4.5815780183155104</v>
      </c>
      <c r="F1362" s="8" t="str">
        <f>HYPERLINK("https://esbl.nhlbi.nih.gov/Databases/mpkFractions/proteomic_fractions_log_files/Yang_log_img/119392070.jpg","show blot")</f>
        <v>show blot</v>
      </c>
      <c r="H1362" s="8" t="str">
        <f>HYPERLINK("https://esbl.nhlbi.nih.gov/Databases/mpkFractions/proteomic_fractions_linear_files/Yang_linear_img/119392070.jpg","show blot")</f>
        <v>show blot</v>
      </c>
      <c r="J1362" s="5" t="s">
        <v>2715</v>
      </c>
      <c r="L1362" s="11">
        <v>4.5815780183155104</v>
      </c>
      <c r="N1362" s="12"/>
    </row>
    <row r="1363" spans="1:14" s="5" customFormat="1" ht="15" customHeight="1" x14ac:dyDescent="0.25">
      <c r="A1363" s="9" t="s">
        <v>2716</v>
      </c>
      <c r="C1363" s="9" t="str">
        <f>HYPERLINK("http://www.ncbi.nlm.nih.gov/protein/19527194","Cog4")</f>
        <v>Cog4</v>
      </c>
      <c r="D1363" s="10">
        <f t="shared" si="21"/>
        <v>4.6613470219950468</v>
      </c>
      <c r="F1363" s="8" t="str">
        <f>HYPERLINK("https://esbl.nhlbi.nih.gov/Databases/mpkFractions/proteomic_fractions_log_files/Yang_log_img/19527194.jpg","show blot")</f>
        <v>show blot</v>
      </c>
      <c r="H1363" s="8" t="str">
        <f>HYPERLINK("https://esbl.nhlbi.nih.gov/Databases/mpkFractions/proteomic_fractions_linear_files/Yang_linear_img/19527194.jpg","show blot")</f>
        <v>show blot</v>
      </c>
      <c r="J1363" s="5" t="s">
        <v>2717</v>
      </c>
      <c r="L1363" s="11">
        <v>4.6613470219950468</v>
      </c>
      <c r="N1363" s="12"/>
    </row>
    <row r="1364" spans="1:14" s="5" customFormat="1" ht="15" customHeight="1" x14ac:dyDescent="0.25">
      <c r="A1364" s="9" t="s">
        <v>2718</v>
      </c>
      <c r="C1364" s="9" t="str">
        <f>HYPERLINK("http://www.ncbi.nlm.nih.gov/protein/253314464","Cog5")</f>
        <v>Cog5</v>
      </c>
      <c r="D1364" s="10">
        <f t="shared" si="21"/>
        <v>4.9318960331226966</v>
      </c>
      <c r="F1364" s="8" t="str">
        <f>HYPERLINK("https://esbl.nhlbi.nih.gov/Databases/mpkFractions/proteomic_fractions_log_files/Yang_log_img/253314464.jpg","show blot")</f>
        <v>show blot</v>
      </c>
      <c r="H1364" s="8" t="str">
        <f>HYPERLINK("https://esbl.nhlbi.nih.gov/Databases/mpkFractions/proteomic_fractions_linear_files/Yang_linear_img/253314464.jpg","show blot")</f>
        <v>show blot</v>
      </c>
      <c r="J1364" s="5" t="s">
        <v>2719</v>
      </c>
      <c r="L1364" s="11">
        <v>4.9318960331226966</v>
      </c>
      <c r="N1364" s="12"/>
    </row>
    <row r="1365" spans="1:14" s="5" customFormat="1" ht="15" customHeight="1" x14ac:dyDescent="0.25">
      <c r="A1365" s="9" t="s">
        <v>2720</v>
      </c>
      <c r="C1365" s="9" t="str">
        <f>HYPERLINK("http://www.ncbi.nlm.nih.gov/protein/160333744","Cog6")</f>
        <v>Cog6</v>
      </c>
      <c r="D1365" s="10">
        <f t="shared" si="21"/>
        <v>4.7783478405208681</v>
      </c>
      <c r="F1365" s="8" t="str">
        <f>HYPERLINK("https://esbl.nhlbi.nih.gov/Databases/mpkFractions/proteomic_fractions_log_files/Yang_log_img/160333744.jpg","show blot")</f>
        <v>show blot</v>
      </c>
      <c r="H1365" s="8" t="str">
        <f>HYPERLINK("https://esbl.nhlbi.nih.gov/Databases/mpkFractions/proteomic_fractions_linear_files/Yang_linear_img/160333744.jpg","show blot")</f>
        <v>show blot</v>
      </c>
      <c r="J1365" s="5" t="s">
        <v>2721</v>
      </c>
      <c r="L1365" s="11">
        <v>4.7783478405208681</v>
      </c>
      <c r="N1365" s="12"/>
    </row>
    <row r="1366" spans="1:14" s="5" customFormat="1" ht="15" customHeight="1" x14ac:dyDescent="0.25">
      <c r="A1366" s="9" t="s">
        <v>2722</v>
      </c>
      <c r="C1366" s="9" t="str">
        <f>HYPERLINK("http://www.ncbi.nlm.nih.gov/protein/110625631","Cog7")</f>
        <v>Cog7</v>
      </c>
      <c r="D1366" s="10">
        <f t="shared" si="21"/>
        <v>4.7839730367362057</v>
      </c>
      <c r="F1366" s="8" t="str">
        <f>HYPERLINK("https://esbl.nhlbi.nih.gov/Databases/mpkFractions/proteomic_fractions_log_files/Yang_log_img/110625631.jpg","show blot")</f>
        <v>show blot</v>
      </c>
      <c r="H1366" s="8" t="str">
        <f>HYPERLINK("https://esbl.nhlbi.nih.gov/Databases/mpkFractions/proteomic_fractions_linear_files/Yang_linear_img/110625631.jpg","show blot")</f>
        <v>show blot</v>
      </c>
      <c r="J1366" s="5" t="s">
        <v>2723</v>
      </c>
      <c r="L1366" s="11">
        <v>4.7839730367362057</v>
      </c>
      <c r="N1366" s="12"/>
    </row>
    <row r="1367" spans="1:14" s="5" customFormat="1" ht="15" customHeight="1" x14ac:dyDescent="0.25">
      <c r="A1367" s="9" t="s">
        <v>2724</v>
      </c>
      <c r="C1367" s="9" t="str">
        <f>HYPERLINK("http://www.ncbi.nlm.nih.gov/protein/66392581","Cog8")</f>
        <v>Cog8</v>
      </c>
      <c r="D1367" s="10">
        <f t="shared" si="21"/>
        <v>4.0282299076601218</v>
      </c>
      <c r="F1367" s="8" t="str">
        <f>HYPERLINK("https://esbl.nhlbi.nih.gov/Databases/mpkFractions/proteomic_fractions_log_files/Yang_log_img/66392581.jpg","show blot")</f>
        <v>show blot</v>
      </c>
      <c r="H1367" s="8" t="str">
        <f>HYPERLINK("https://esbl.nhlbi.nih.gov/Databases/mpkFractions/proteomic_fractions_linear_files/Yang_linear_img/66392581.jpg","show blot")</f>
        <v>show blot</v>
      </c>
      <c r="J1367" s="5" t="s">
        <v>2725</v>
      </c>
      <c r="L1367" s="11">
        <v>4.0282299076601218</v>
      </c>
      <c r="N1367" s="12"/>
    </row>
    <row r="1368" spans="1:14" s="5" customFormat="1" ht="15" customHeight="1" x14ac:dyDescent="0.25">
      <c r="A1368" s="9" t="s">
        <v>2726</v>
      </c>
      <c r="C1368" s="9" t="str">
        <f>HYPERLINK("http://www.ncbi.nlm.nih.gov/protein/134053929","Coil")</f>
        <v>Coil</v>
      </c>
      <c r="D1368" s="10">
        <f t="shared" si="21"/>
        <v>1.589264793087533</v>
      </c>
      <c r="F1368" s="8" t="str">
        <f>HYPERLINK("https://esbl.nhlbi.nih.gov/Databases/mpkFractions/proteomic_fractions_log_files/Yang_log_img/134053929.jpg","show blot")</f>
        <v>show blot</v>
      </c>
      <c r="H1368" s="8" t="str">
        <f>HYPERLINK("https://esbl.nhlbi.nih.gov/Databases/mpkFractions/proteomic_fractions_linear_files/Yang_linear_img/134053929.jpg","show blot")</f>
        <v>show blot</v>
      </c>
      <c r="J1368" s="5" t="s">
        <v>2727</v>
      </c>
      <c r="L1368" s="11">
        <v>1.589264793087533</v>
      </c>
      <c r="N1368" s="12"/>
    </row>
    <row r="1369" spans="1:14" s="5" customFormat="1" ht="15" customHeight="1" x14ac:dyDescent="0.25">
      <c r="A1369" s="9" t="s">
        <v>2728</v>
      </c>
      <c r="C1369" s="9" t="str">
        <f>HYPERLINK("http://www.ncbi.nlm.nih.gov/protein/158508560","Col18a1")</f>
        <v>Col18a1</v>
      </c>
      <c r="D1369" s="10">
        <f t="shared" si="21"/>
        <v>3.6925424907901578</v>
      </c>
      <c r="F1369" s="8" t="str">
        <f>HYPERLINK("https://esbl.nhlbi.nih.gov/Databases/mpkFractions/proteomic_fractions_log_files/Yang_log_img/158508560.jpg","show blot")</f>
        <v>show blot</v>
      </c>
      <c r="H1369" s="8" t="str">
        <f>HYPERLINK("https://esbl.nhlbi.nih.gov/Databases/mpkFractions/proteomic_fractions_linear_files/Yang_linear_img/158508560.jpg","show blot")</f>
        <v>show blot</v>
      </c>
      <c r="J1369" s="5" t="s">
        <v>2729</v>
      </c>
      <c r="L1369" s="11">
        <v>3.6925424907901578</v>
      </c>
      <c r="N1369" s="12"/>
    </row>
    <row r="1370" spans="1:14" s="5" customFormat="1" ht="15" customHeight="1" x14ac:dyDescent="0.25">
      <c r="A1370" s="9" t="s">
        <v>2730</v>
      </c>
      <c r="C1370" s="9" t="str">
        <f>HYPERLINK("http://www.ncbi.nlm.nih.gov/protein/40789282","Col18a1")</f>
        <v>Col18a1</v>
      </c>
      <c r="D1370" s="10">
        <f t="shared" si="21"/>
        <v>3.6925424907901578</v>
      </c>
      <c r="F1370" s="8" t="str">
        <f>HYPERLINK("https://esbl.nhlbi.nih.gov/Databases/mpkFractions/proteomic_fractions_log_files/Yang_log_img/40789282.jpg","show blot")</f>
        <v>show blot</v>
      </c>
      <c r="H1370" s="8" t="str">
        <f>HYPERLINK("https://esbl.nhlbi.nih.gov/Databases/mpkFractions/proteomic_fractions_linear_files/Yang_linear_img/40789282.jpg","show blot")</f>
        <v>show blot</v>
      </c>
      <c r="J1370" s="5" t="s">
        <v>2731</v>
      </c>
      <c r="L1370" s="11">
        <v>3.6925424907901578</v>
      </c>
      <c r="N1370" s="12"/>
    </row>
    <row r="1371" spans="1:14" s="5" customFormat="1" ht="15" customHeight="1" x14ac:dyDescent="0.25">
      <c r="A1371" s="9" t="s">
        <v>2732</v>
      </c>
      <c r="C1371" s="9" t="str">
        <f>HYPERLINK("http://www.ncbi.nlm.nih.gov/protein/12963671","Col4a3bp")</f>
        <v>Col4a3bp</v>
      </c>
      <c r="D1371" s="10">
        <f t="shared" si="21"/>
        <v>4.0760694202446848</v>
      </c>
      <c r="F1371" s="8" t="str">
        <f>HYPERLINK("https://esbl.nhlbi.nih.gov/Databases/mpkFractions/proteomic_fractions_log_files/Yang_log_img/12963671.jpg","show blot")</f>
        <v>show blot</v>
      </c>
      <c r="H1371" s="8" t="str">
        <f>HYPERLINK("https://esbl.nhlbi.nih.gov/Databases/mpkFractions/proteomic_fractions_linear_files/Yang_linear_img/12963671.jpg","show blot")</f>
        <v>show blot</v>
      </c>
      <c r="J1371" s="5" t="s">
        <v>2733</v>
      </c>
      <c r="L1371" s="11">
        <v>4.0760694202446848</v>
      </c>
      <c r="N1371" s="12"/>
    </row>
    <row r="1372" spans="1:14" s="5" customFormat="1" ht="15" customHeight="1" x14ac:dyDescent="0.25">
      <c r="A1372" s="9" t="s">
        <v>2734</v>
      </c>
      <c r="C1372" s="9" t="str">
        <f>HYPERLINK("http://www.ncbi.nlm.nih.gov/protein/255982524","Col4a3bp")</f>
        <v>Col4a3bp</v>
      </c>
      <c r="D1372" s="10">
        <f t="shared" si="21"/>
        <v>4.0760694202446848</v>
      </c>
      <c r="F1372" s="8" t="str">
        <f>HYPERLINK("https://esbl.nhlbi.nih.gov/Databases/mpkFractions/proteomic_fractions_log_files/Yang_log_img/255982524.jpg","show blot")</f>
        <v>show blot</v>
      </c>
      <c r="H1372" s="8" t="str">
        <f>HYPERLINK("https://esbl.nhlbi.nih.gov/Databases/mpkFractions/proteomic_fractions_linear_files/Yang_linear_img/255982524.jpg","show blot")</f>
        <v>show blot</v>
      </c>
      <c r="J1372" s="5" t="s">
        <v>2735</v>
      </c>
      <c r="L1372" s="11">
        <v>4.0760694202446848</v>
      </c>
      <c r="N1372" s="12"/>
    </row>
    <row r="1373" spans="1:14" s="5" customFormat="1" ht="15" customHeight="1" x14ac:dyDescent="0.25">
      <c r="A1373" s="9" t="s">
        <v>2736</v>
      </c>
      <c r="C1373" s="9" t="str">
        <f>HYPERLINK("http://www.ncbi.nlm.nih.gov/protein/84452161","Commd1")</f>
        <v>Commd1</v>
      </c>
      <c r="D1373" s="10">
        <f t="shared" si="21"/>
        <v>5.0416760200006054</v>
      </c>
      <c r="F1373" s="8" t="str">
        <f>HYPERLINK("https://esbl.nhlbi.nih.gov/Databases/mpkFractions/proteomic_fractions_log_files/Yang_log_img/84452161.jpg","show blot")</f>
        <v>show blot</v>
      </c>
      <c r="H1373" s="8" t="str">
        <f>HYPERLINK("https://esbl.nhlbi.nih.gov/Databases/mpkFractions/proteomic_fractions_linear_files/Yang_linear_img/84452161.jpg","show blot")</f>
        <v>show blot</v>
      </c>
      <c r="J1373" s="5" t="s">
        <v>2737</v>
      </c>
      <c r="L1373" s="11">
        <v>5.0416760200006054</v>
      </c>
      <c r="N1373" s="12"/>
    </row>
    <row r="1374" spans="1:14" s="5" customFormat="1" ht="15" customHeight="1" x14ac:dyDescent="0.25">
      <c r="A1374" s="9" t="s">
        <v>2738</v>
      </c>
      <c r="C1374" s="9" t="str">
        <f>HYPERLINK("http://www.ncbi.nlm.nih.gov/protein/30410016","Commd10")</f>
        <v>Commd10</v>
      </c>
      <c r="D1374" s="10">
        <f t="shared" si="21"/>
        <v>4.8282274013834154</v>
      </c>
      <c r="F1374" s="8" t="str">
        <f>HYPERLINK("https://esbl.nhlbi.nih.gov/Databases/mpkFractions/proteomic_fractions_log_files/Yang_log_img/30410016.jpg","show blot")</f>
        <v>show blot</v>
      </c>
      <c r="H1374" s="8" t="str">
        <f>HYPERLINK("https://esbl.nhlbi.nih.gov/Databases/mpkFractions/proteomic_fractions_linear_files/Yang_linear_img/30410016.jpg","show blot")</f>
        <v>show blot</v>
      </c>
      <c r="J1374" s="5" t="s">
        <v>2739</v>
      </c>
      <c r="L1374" s="11">
        <v>4.8282274013834154</v>
      </c>
      <c r="N1374" s="12"/>
    </row>
    <row r="1375" spans="1:14" s="5" customFormat="1" ht="15" customHeight="1" x14ac:dyDescent="0.25">
      <c r="A1375" s="9" t="s">
        <v>2740</v>
      </c>
      <c r="C1375" s="9" t="str">
        <f>HYPERLINK("http://www.ncbi.nlm.nih.gov/protein/110626003","Commd2")</f>
        <v>Commd2</v>
      </c>
      <c r="D1375" s="10">
        <f t="shared" si="21"/>
        <v>5.2782696201575607</v>
      </c>
      <c r="F1375" s="8" t="str">
        <f>HYPERLINK("https://esbl.nhlbi.nih.gov/Databases/mpkFractions/proteomic_fractions_log_files/Yang_log_img/110626003.jpg","show blot")</f>
        <v>show blot</v>
      </c>
      <c r="H1375" s="8" t="str">
        <f>HYPERLINK("https://esbl.nhlbi.nih.gov/Databases/mpkFractions/proteomic_fractions_linear_files/Yang_linear_img/110626003.jpg","show blot")</f>
        <v>show blot</v>
      </c>
      <c r="J1375" s="5" t="s">
        <v>2741</v>
      </c>
      <c r="L1375" s="11">
        <v>5.2782696201575607</v>
      </c>
      <c r="N1375" s="12"/>
    </row>
    <row r="1376" spans="1:14" s="5" customFormat="1" ht="15" customHeight="1" x14ac:dyDescent="0.25">
      <c r="A1376" s="9" t="s">
        <v>2742</v>
      </c>
      <c r="C1376" s="9" t="str">
        <f>HYPERLINK("http://www.ncbi.nlm.nih.gov/protein/22296603","Commd3")</f>
        <v>Commd3</v>
      </c>
      <c r="D1376" s="10">
        <f t="shared" si="21"/>
        <v>5.2302988423191881</v>
      </c>
      <c r="F1376" s="8" t="str">
        <f>HYPERLINK("https://esbl.nhlbi.nih.gov/Databases/mpkFractions/proteomic_fractions_log_files/Yang_log_img/22296603.jpg","show blot")</f>
        <v>show blot</v>
      </c>
      <c r="H1376" s="8" t="str">
        <f>HYPERLINK("https://esbl.nhlbi.nih.gov/Databases/mpkFractions/proteomic_fractions_linear_files/Yang_linear_img/22296603.jpg","show blot")</f>
        <v>show blot</v>
      </c>
      <c r="J1376" s="5" t="s">
        <v>2743</v>
      </c>
      <c r="L1376" s="11">
        <v>5.2302988423191881</v>
      </c>
      <c r="N1376" s="12"/>
    </row>
    <row r="1377" spans="1:14" s="5" customFormat="1" ht="15" customHeight="1" x14ac:dyDescent="0.25">
      <c r="A1377" s="9" t="s">
        <v>2744</v>
      </c>
      <c r="C1377" s="9" t="str">
        <f>HYPERLINK("http://www.ncbi.nlm.nih.gov/protein/13384806","Commd4")</f>
        <v>Commd4</v>
      </c>
      <c r="D1377" s="10">
        <f t="shared" si="21"/>
        <v>4.5214444040658188</v>
      </c>
      <c r="F1377" s="8" t="str">
        <f>HYPERLINK("https://esbl.nhlbi.nih.gov/Databases/mpkFractions/proteomic_fractions_log_files/Yang_log_img/13384806.jpg","show blot")</f>
        <v>show blot</v>
      </c>
      <c r="H1377" s="8" t="str">
        <f>HYPERLINK("https://esbl.nhlbi.nih.gov/Databases/mpkFractions/proteomic_fractions_linear_files/Yang_linear_img/13384806.jpg","show blot")</f>
        <v>show blot</v>
      </c>
      <c r="J1377" s="5" t="s">
        <v>2745</v>
      </c>
      <c r="L1377" s="11">
        <v>4.5214444040658188</v>
      </c>
      <c r="N1377" s="12"/>
    </row>
    <row r="1378" spans="1:14" s="5" customFormat="1" ht="15" customHeight="1" x14ac:dyDescent="0.25">
      <c r="A1378" s="9" t="s">
        <v>2746</v>
      </c>
      <c r="C1378" s="9" t="str">
        <f>HYPERLINK("http://www.ncbi.nlm.nih.gov/protein/21313478","Commd5")</f>
        <v>Commd5</v>
      </c>
      <c r="D1378" s="10">
        <f t="shared" si="21"/>
        <v>4.9864735639234397</v>
      </c>
      <c r="F1378" s="8" t="str">
        <f>HYPERLINK("https://esbl.nhlbi.nih.gov/Databases/mpkFractions/proteomic_fractions_log_files/Yang_log_img/21313478.jpg","show blot")</f>
        <v>show blot</v>
      </c>
      <c r="H1378" s="8" t="str">
        <f>HYPERLINK("https://esbl.nhlbi.nih.gov/Databases/mpkFractions/proteomic_fractions_linear_files/Yang_linear_img/21313478.jpg","show blot")</f>
        <v>show blot</v>
      </c>
      <c r="J1378" s="5" t="s">
        <v>2747</v>
      </c>
      <c r="L1378" s="11">
        <v>4.9864735639234397</v>
      </c>
      <c r="N1378" s="12"/>
    </row>
    <row r="1379" spans="1:14" s="5" customFormat="1" ht="15" customHeight="1" x14ac:dyDescent="0.25">
      <c r="A1379" s="9" t="s">
        <v>2748</v>
      </c>
      <c r="C1379" s="9" t="str">
        <f>HYPERLINK("http://www.ncbi.nlm.nih.gov/protein/274319665","Commd6")</f>
        <v>Commd6</v>
      </c>
      <c r="D1379" s="10">
        <f t="shared" si="21"/>
        <v>4.393313691615516</v>
      </c>
      <c r="F1379" s="8" t="str">
        <f>HYPERLINK("https://esbl.nhlbi.nih.gov/Databases/mpkFractions/proteomic_fractions_log_files/Yang_log_img/274319665.jpg","show blot")</f>
        <v>show blot</v>
      </c>
      <c r="H1379" s="8" t="str">
        <f>HYPERLINK("https://esbl.nhlbi.nih.gov/Databases/mpkFractions/proteomic_fractions_linear_files/Yang_linear_img/274319665.jpg","show blot")</f>
        <v>show blot</v>
      </c>
      <c r="J1379" s="5" t="s">
        <v>2749</v>
      </c>
      <c r="L1379" s="11">
        <v>4.393313691615516</v>
      </c>
      <c r="N1379" s="12"/>
    </row>
    <row r="1380" spans="1:14" s="5" customFormat="1" ht="15" customHeight="1" x14ac:dyDescent="0.25">
      <c r="A1380" s="9" t="s">
        <v>2750</v>
      </c>
      <c r="C1380" s="9" t="str">
        <f>HYPERLINK("http://www.ncbi.nlm.nih.gov/protein/84370278","Commd6")</f>
        <v>Commd6</v>
      </c>
      <c r="D1380" s="10">
        <f t="shared" si="21"/>
        <v>4.393313691615516</v>
      </c>
      <c r="F1380" s="8" t="str">
        <f>HYPERLINK("https://esbl.nhlbi.nih.gov/Databases/mpkFractions/proteomic_fractions_log_files/Yang_log_img/84370278.jpg","show blot")</f>
        <v>show blot</v>
      </c>
      <c r="H1380" s="8" t="str">
        <f>HYPERLINK("https://esbl.nhlbi.nih.gov/Databases/mpkFractions/proteomic_fractions_linear_files/Yang_linear_img/84370278.jpg","show blot")</f>
        <v>show blot</v>
      </c>
      <c r="J1380" s="5" t="s">
        <v>2751</v>
      </c>
      <c r="L1380" s="11">
        <v>4.393313691615516</v>
      </c>
      <c r="N1380" s="12"/>
    </row>
    <row r="1381" spans="1:14" s="5" customFormat="1" ht="15" customHeight="1" x14ac:dyDescent="0.25">
      <c r="A1381" s="9" t="s">
        <v>2752</v>
      </c>
      <c r="C1381" s="9" t="str">
        <f>HYPERLINK("http://www.ncbi.nlm.nih.gov/protein/306035198","Commd7")</f>
        <v>Commd7</v>
      </c>
      <c r="D1381" s="10">
        <f t="shared" si="21"/>
        <v>5.3161051835396886</v>
      </c>
      <c r="F1381" s="8" t="str">
        <f>HYPERLINK("https://esbl.nhlbi.nih.gov/Databases/mpkFractions/proteomic_fractions_log_files/Yang_log_img/306035198.jpg","show blot")</f>
        <v>show blot</v>
      </c>
      <c r="H1381" s="8" t="str">
        <f>HYPERLINK("https://esbl.nhlbi.nih.gov/Databases/mpkFractions/proteomic_fractions_linear_files/Yang_linear_img/306035198.jpg","show blot")</f>
        <v>show blot</v>
      </c>
      <c r="J1381" s="5" t="s">
        <v>2753</v>
      </c>
      <c r="L1381" s="11">
        <v>5.3161051835396886</v>
      </c>
      <c r="N1381" s="12"/>
    </row>
    <row r="1382" spans="1:14" s="5" customFormat="1" ht="15" customHeight="1" x14ac:dyDescent="0.25">
      <c r="A1382" s="9" t="s">
        <v>2754</v>
      </c>
      <c r="C1382" s="9" t="str">
        <f>HYPERLINK("http://www.ncbi.nlm.nih.gov/protein/306035200","Commd7")</f>
        <v>Commd7</v>
      </c>
      <c r="D1382" s="10">
        <f t="shared" si="21"/>
        <v>5.3161051835396886</v>
      </c>
      <c r="F1382" s="8" t="str">
        <f>HYPERLINK("https://esbl.nhlbi.nih.gov/Databases/mpkFractions/proteomic_fractions_log_files/Yang_log_img/306035200.jpg","show blot")</f>
        <v>show blot</v>
      </c>
      <c r="H1382" s="8" t="str">
        <f>HYPERLINK("https://esbl.nhlbi.nih.gov/Databases/mpkFractions/proteomic_fractions_linear_files/Yang_linear_img/306035200.jpg","show blot")</f>
        <v>show blot</v>
      </c>
      <c r="J1382" s="5" t="s">
        <v>2755</v>
      </c>
      <c r="L1382" s="11">
        <v>5.3161051835396886</v>
      </c>
      <c r="N1382" s="12"/>
    </row>
    <row r="1383" spans="1:14" s="5" customFormat="1" ht="15" customHeight="1" x14ac:dyDescent="0.25">
      <c r="A1383" s="9" t="s">
        <v>2756</v>
      </c>
      <c r="C1383" s="9" t="str">
        <f>HYPERLINK("http://www.ncbi.nlm.nih.gov/protein/21313224","Commd9")</f>
        <v>Commd9</v>
      </c>
      <c r="D1383" s="10">
        <f t="shared" si="21"/>
        <v>4.605456117440065</v>
      </c>
      <c r="F1383" s="8" t="str">
        <f>HYPERLINK("https://esbl.nhlbi.nih.gov/Databases/mpkFractions/proteomic_fractions_log_files/Yang_log_img/21313224.jpg","show blot")</f>
        <v>show blot</v>
      </c>
      <c r="H1383" s="8" t="str">
        <f>HYPERLINK("https://esbl.nhlbi.nih.gov/Databases/mpkFractions/proteomic_fractions_linear_files/Yang_linear_img/21313224.jpg","show blot")</f>
        <v>show blot</v>
      </c>
      <c r="J1383" s="5" t="s">
        <v>2757</v>
      </c>
      <c r="L1383" s="11">
        <v>4.605456117440065</v>
      </c>
      <c r="N1383" s="12"/>
    </row>
    <row r="1384" spans="1:14" s="5" customFormat="1" ht="15" customHeight="1" x14ac:dyDescent="0.25">
      <c r="A1384" s="9" t="s">
        <v>2758</v>
      </c>
      <c r="C1384" s="9" t="str">
        <f>HYPERLINK("http://www.ncbi.nlm.nih.gov/protein/161484634","Comt")</f>
        <v>Comt</v>
      </c>
      <c r="D1384" s="10">
        <f t="shared" si="21"/>
        <v>5.6680041232834748</v>
      </c>
      <c r="F1384" s="8" t="str">
        <f>HYPERLINK("https://esbl.nhlbi.nih.gov/Databases/mpkFractions/proteomic_fractions_log_files/Yang_log_img/161484634.jpg","show blot")</f>
        <v>show blot</v>
      </c>
      <c r="H1384" s="8" t="str">
        <f>HYPERLINK("https://esbl.nhlbi.nih.gov/Databases/mpkFractions/proteomic_fractions_linear_files/Yang_linear_img/161484634.jpg","show blot")</f>
        <v>show blot</v>
      </c>
      <c r="J1384" s="5" t="s">
        <v>2759</v>
      </c>
      <c r="L1384" s="11">
        <v>5.6680041232834748</v>
      </c>
      <c r="N1384" s="12"/>
    </row>
    <row r="1385" spans="1:14" s="5" customFormat="1" ht="15" customHeight="1" x14ac:dyDescent="0.25">
      <c r="A1385" s="9" t="s">
        <v>2760</v>
      </c>
      <c r="C1385" s="9" t="str">
        <f>HYPERLINK("http://www.ncbi.nlm.nih.gov/protein/33468999","Comtd1")</f>
        <v>Comtd1</v>
      </c>
      <c r="D1385" s="10">
        <f t="shared" si="21"/>
        <v>4.7206096197097747</v>
      </c>
      <c r="F1385" s="8" t="str">
        <f>HYPERLINK("https://esbl.nhlbi.nih.gov/Databases/mpkFractions/proteomic_fractions_log_files/Yang_log_img/33468999.jpg","show blot")</f>
        <v>show blot</v>
      </c>
      <c r="H1385" s="8" t="str">
        <f>HYPERLINK("https://esbl.nhlbi.nih.gov/Databases/mpkFractions/proteomic_fractions_linear_files/Yang_linear_img/33468999.jpg","show blot")</f>
        <v>show blot</v>
      </c>
      <c r="J1385" s="5" t="s">
        <v>2761</v>
      </c>
      <c r="L1385" s="11">
        <v>4.7206096197097747</v>
      </c>
      <c r="N1385" s="12"/>
    </row>
    <row r="1386" spans="1:14" s="5" customFormat="1" ht="15" customHeight="1" x14ac:dyDescent="0.25">
      <c r="A1386" s="9" t="s">
        <v>2762</v>
      </c>
      <c r="C1386" s="9" t="str">
        <f>HYPERLINK("http://www.ncbi.nlm.nih.gov/protein/226823359","Copa")</f>
        <v>Copa</v>
      </c>
      <c r="D1386" s="10">
        <f t="shared" si="21"/>
        <v>5.829907732897591</v>
      </c>
      <c r="F1386" s="8" t="str">
        <f>HYPERLINK("https://esbl.nhlbi.nih.gov/Databases/mpkFractions/proteomic_fractions_log_files/Yang_log_img/226823359.jpg","show blot")</f>
        <v>show blot</v>
      </c>
      <c r="H1386" s="8" t="str">
        <f>HYPERLINK("https://esbl.nhlbi.nih.gov/Databases/mpkFractions/proteomic_fractions_linear_files/Yang_linear_img/226823359.jpg","show blot")</f>
        <v>show blot</v>
      </c>
      <c r="J1386" s="5" t="s">
        <v>2763</v>
      </c>
      <c r="L1386" s="11">
        <v>5.829907732897591</v>
      </c>
      <c r="N1386" s="12"/>
    </row>
    <row r="1387" spans="1:14" s="5" customFormat="1" ht="15" customHeight="1" x14ac:dyDescent="0.25">
      <c r="A1387" s="9" t="s">
        <v>2764</v>
      </c>
      <c r="C1387" s="9" t="str">
        <f>HYPERLINK("http://www.ncbi.nlm.nih.gov/protein/15426055","Copb1")</f>
        <v>Copb1</v>
      </c>
      <c r="D1387" s="10">
        <f t="shared" si="21"/>
        <v>5.7522946085408844</v>
      </c>
      <c r="F1387" s="8" t="str">
        <f>HYPERLINK("https://esbl.nhlbi.nih.gov/Databases/mpkFractions/proteomic_fractions_log_files/Yang_log_img/15426055.jpg","show blot")</f>
        <v>show blot</v>
      </c>
      <c r="H1387" s="8" t="str">
        <f>HYPERLINK("https://esbl.nhlbi.nih.gov/Databases/mpkFractions/proteomic_fractions_linear_files/Yang_linear_img/15426055.jpg","show blot")</f>
        <v>show blot</v>
      </c>
      <c r="J1387" s="5" t="s">
        <v>2765</v>
      </c>
      <c r="L1387" s="11">
        <v>5.7522946085408844</v>
      </c>
      <c r="N1387" s="12"/>
    </row>
    <row r="1388" spans="1:14" s="5" customFormat="1" ht="15" customHeight="1" x14ac:dyDescent="0.25">
      <c r="A1388" s="9" t="s">
        <v>2766</v>
      </c>
      <c r="C1388" s="9" t="str">
        <f>HYPERLINK("http://www.ncbi.nlm.nih.gov/protein/29789080","Copb2")</f>
        <v>Copb2</v>
      </c>
      <c r="D1388" s="10">
        <f t="shared" si="21"/>
        <v>5.7278538981352556</v>
      </c>
      <c r="F1388" s="8" t="str">
        <f>HYPERLINK("https://esbl.nhlbi.nih.gov/Databases/mpkFractions/proteomic_fractions_log_files/Yang_log_img/29789080.jpg","show blot")</f>
        <v>show blot</v>
      </c>
      <c r="H1388" s="8" t="str">
        <f>HYPERLINK("https://esbl.nhlbi.nih.gov/Databases/mpkFractions/proteomic_fractions_linear_files/Yang_linear_img/29789080.jpg","show blot")</f>
        <v>show blot</v>
      </c>
      <c r="J1388" s="5" t="s">
        <v>2767</v>
      </c>
      <c r="L1388" s="11">
        <v>5.7278538981352556</v>
      </c>
      <c r="N1388" s="12"/>
    </row>
    <row r="1389" spans="1:14" s="5" customFormat="1" ht="15" customHeight="1" x14ac:dyDescent="0.25">
      <c r="A1389" s="9" t="s">
        <v>2768</v>
      </c>
      <c r="C1389" s="9" t="str">
        <f>HYPERLINK("http://www.ncbi.nlm.nih.gov/protein/10946972","Cope")</f>
        <v>Cope</v>
      </c>
      <c r="D1389" s="10">
        <f t="shared" si="21"/>
        <v>5.7883026664819797</v>
      </c>
      <c r="F1389" s="8" t="str">
        <f>HYPERLINK("https://esbl.nhlbi.nih.gov/Databases/mpkFractions/proteomic_fractions_log_files/Yang_log_img/10946972.jpg","show blot")</f>
        <v>show blot</v>
      </c>
      <c r="H1389" s="8" t="str">
        <f>HYPERLINK("https://esbl.nhlbi.nih.gov/Databases/mpkFractions/proteomic_fractions_linear_files/Yang_linear_img/10946972.jpg","show blot")</f>
        <v>show blot</v>
      </c>
      <c r="J1389" s="5" t="s">
        <v>2769</v>
      </c>
      <c r="L1389" s="11">
        <v>5.7883026664819797</v>
      </c>
      <c r="N1389" s="12"/>
    </row>
    <row r="1390" spans="1:14" s="5" customFormat="1" ht="15" customHeight="1" x14ac:dyDescent="0.25">
      <c r="A1390" s="9" t="s">
        <v>2770</v>
      </c>
      <c r="C1390" s="9" t="str">
        <f>HYPERLINK("http://www.ncbi.nlm.nih.gov/protein/47059163","Copg1")</f>
        <v>Copg1</v>
      </c>
      <c r="D1390" s="10">
        <f t="shared" si="21"/>
        <v>6.4405385652256308</v>
      </c>
      <c r="F1390" s="8" t="str">
        <f>HYPERLINK("https://esbl.nhlbi.nih.gov/Databases/mpkFractions/proteomic_fractions_log_files/Yang_log_img/47059163.jpg","show blot")</f>
        <v>show blot</v>
      </c>
      <c r="H1390" s="8" t="str">
        <f>HYPERLINK("https://esbl.nhlbi.nih.gov/Databases/mpkFractions/proteomic_fractions_linear_files/Yang_linear_img/47059163.jpg","show blot")</f>
        <v>show blot</v>
      </c>
      <c r="J1390" s="5" t="s">
        <v>2771</v>
      </c>
      <c r="L1390" s="11">
        <v>6.4405385652256308</v>
      </c>
      <c r="N1390" s="12"/>
    </row>
    <row r="1391" spans="1:14" s="5" customFormat="1" ht="15" customHeight="1" x14ac:dyDescent="0.25">
      <c r="A1391" s="9" t="s">
        <v>2772</v>
      </c>
      <c r="C1391" s="9" t="str">
        <f>HYPERLINK("http://www.ncbi.nlm.nih.gov/protein/8567338","Copg1")</f>
        <v>Copg1</v>
      </c>
      <c r="D1391" s="10">
        <f t="shared" si="21"/>
        <v>6.4405385652256308</v>
      </c>
      <c r="F1391" s="8" t="str">
        <f>HYPERLINK("https://esbl.nhlbi.nih.gov/Databases/mpkFractions/proteomic_fractions_log_files/Yang_log_img/8567338.jpg","show blot")</f>
        <v>show blot</v>
      </c>
      <c r="H1391" s="8" t="str">
        <f>HYPERLINK("https://esbl.nhlbi.nih.gov/Databases/mpkFractions/proteomic_fractions_linear_files/Yang_linear_img/8567338.jpg","show blot")</f>
        <v>show blot</v>
      </c>
      <c r="J1391" s="5" t="s">
        <v>2773</v>
      </c>
      <c r="L1391" s="11">
        <v>6.4405385652256308</v>
      </c>
      <c r="N1391" s="12"/>
    </row>
    <row r="1392" spans="1:14" s="5" customFormat="1" ht="15" customHeight="1" x14ac:dyDescent="0.25">
      <c r="A1392" s="9" t="s">
        <v>2774</v>
      </c>
      <c r="C1392" s="9" t="str">
        <f>HYPERLINK("http://www.ncbi.nlm.nih.gov/protein/8567340","Copg2")</f>
        <v>Copg2</v>
      </c>
      <c r="D1392" s="10">
        <f t="shared" si="21"/>
        <v>5.3072848707498874</v>
      </c>
      <c r="F1392" s="8" t="str">
        <f>HYPERLINK("https://esbl.nhlbi.nih.gov/Databases/mpkFractions/proteomic_fractions_log_files/Yang_log_img/8567340.jpg","show blot")</f>
        <v>show blot</v>
      </c>
      <c r="H1392" s="8" t="str">
        <f>HYPERLINK("https://esbl.nhlbi.nih.gov/Databases/mpkFractions/proteomic_fractions_linear_files/Yang_linear_img/8567340.jpg","show blot")</f>
        <v>show blot</v>
      </c>
      <c r="J1392" s="5" t="s">
        <v>2775</v>
      </c>
      <c r="L1392" s="11">
        <v>5.3072848707498874</v>
      </c>
      <c r="N1392" s="12"/>
    </row>
    <row r="1393" spans="1:14" s="5" customFormat="1" ht="15" customHeight="1" x14ac:dyDescent="0.25">
      <c r="A1393" s="9" t="s">
        <v>2776</v>
      </c>
      <c r="C1393" s="9" t="str">
        <f>HYPERLINK("http://www.ncbi.nlm.nih.gov/protein/70909327","Cops2")</f>
        <v>Cops2</v>
      </c>
      <c r="D1393" s="10">
        <f t="shared" si="21"/>
        <v>5.6878230227679261</v>
      </c>
      <c r="F1393" s="8" t="str">
        <f>HYPERLINK("https://esbl.nhlbi.nih.gov/Databases/mpkFractions/proteomic_fractions_log_files/Yang_log_img/70909327.jpg","show blot")</f>
        <v>show blot</v>
      </c>
      <c r="H1393" s="8" t="str">
        <f>HYPERLINK("https://esbl.nhlbi.nih.gov/Databases/mpkFractions/proteomic_fractions_linear_files/Yang_linear_img/70909327.jpg","show blot")</f>
        <v>show blot</v>
      </c>
      <c r="J1393" s="5" t="s">
        <v>2777</v>
      </c>
      <c r="L1393" s="11">
        <v>5.6878230227679261</v>
      </c>
      <c r="N1393" s="12"/>
    </row>
    <row r="1394" spans="1:14" s="5" customFormat="1" ht="15" customHeight="1" x14ac:dyDescent="0.25">
      <c r="A1394" s="9" t="s">
        <v>2778</v>
      </c>
      <c r="C1394" s="9" t="str">
        <f>HYPERLINK("http://www.ncbi.nlm.nih.gov/protein/6753488","Cops3")</f>
        <v>Cops3</v>
      </c>
      <c r="D1394" s="10">
        <f t="shared" si="21"/>
        <v>5.6022132974672578</v>
      </c>
      <c r="F1394" s="8" t="str">
        <f>HYPERLINK("https://esbl.nhlbi.nih.gov/Databases/mpkFractions/proteomic_fractions_log_files/Yang_log_img/6753488.jpg","show blot")</f>
        <v>show blot</v>
      </c>
      <c r="H1394" s="8" t="str">
        <f>HYPERLINK("https://esbl.nhlbi.nih.gov/Databases/mpkFractions/proteomic_fractions_linear_files/Yang_linear_img/6753488.jpg","show blot")</f>
        <v>show blot</v>
      </c>
      <c r="J1394" s="5" t="s">
        <v>2779</v>
      </c>
      <c r="L1394" s="11">
        <v>5.6022132974672578</v>
      </c>
      <c r="N1394" s="12"/>
    </row>
    <row r="1395" spans="1:14" s="5" customFormat="1" ht="15" customHeight="1" x14ac:dyDescent="0.25">
      <c r="A1395" s="9" t="s">
        <v>2780</v>
      </c>
      <c r="C1395" s="9" t="str">
        <f>HYPERLINK("http://www.ncbi.nlm.nih.gov/protein/6753490","Cops4")</f>
        <v>Cops4</v>
      </c>
      <c r="D1395" s="10">
        <f t="shared" si="21"/>
        <v>6.0224157126380007</v>
      </c>
      <c r="F1395" s="8" t="str">
        <f>HYPERLINK("https://esbl.nhlbi.nih.gov/Databases/mpkFractions/proteomic_fractions_log_files/Yang_log_img/6753490.jpg","show blot")</f>
        <v>show blot</v>
      </c>
      <c r="H1395" s="8" t="str">
        <f>HYPERLINK("https://esbl.nhlbi.nih.gov/Databases/mpkFractions/proteomic_fractions_linear_files/Yang_linear_img/6753490.jpg","show blot")</f>
        <v>show blot</v>
      </c>
      <c r="J1395" s="5" t="s">
        <v>2781</v>
      </c>
      <c r="L1395" s="11">
        <v>6.0224157126380007</v>
      </c>
      <c r="N1395" s="12"/>
    </row>
    <row r="1396" spans="1:14" s="5" customFormat="1" ht="15" customHeight="1" x14ac:dyDescent="0.25">
      <c r="A1396" s="9" t="s">
        <v>2782</v>
      </c>
      <c r="C1396" s="9" t="str">
        <f>HYPERLINK("http://www.ncbi.nlm.nih.gov/protein/459447369","Cops5")</f>
        <v>Cops5</v>
      </c>
      <c r="D1396" s="10">
        <f t="shared" si="21"/>
        <v>5.7331865121529821</v>
      </c>
      <c r="F1396" s="8" t="str">
        <f>HYPERLINK("https://esbl.nhlbi.nih.gov/Databases/mpkFractions/proteomic_fractions_log_files/Yang_log_img/459447369.jpg","show blot")</f>
        <v>show blot</v>
      </c>
      <c r="H1396" s="8" t="str">
        <f>HYPERLINK("https://esbl.nhlbi.nih.gov/Databases/mpkFractions/proteomic_fractions_linear_files/Yang_linear_img/459447369.jpg","show blot")</f>
        <v>show blot</v>
      </c>
      <c r="J1396" s="5" t="s">
        <v>2783</v>
      </c>
      <c r="L1396" s="11">
        <v>5.7331865121529821</v>
      </c>
      <c r="N1396" s="12"/>
    </row>
    <row r="1397" spans="1:14" s="5" customFormat="1" ht="15" customHeight="1" x14ac:dyDescent="0.25">
      <c r="A1397" s="9" t="s">
        <v>2784</v>
      </c>
      <c r="C1397" s="9" t="str">
        <f>HYPERLINK("http://www.ncbi.nlm.nih.gov/protein/7304971","Cops5")</f>
        <v>Cops5</v>
      </c>
      <c r="D1397" s="10">
        <f t="shared" si="21"/>
        <v>5.7331865121529821</v>
      </c>
      <c r="F1397" s="8" t="str">
        <f>HYPERLINK("https://esbl.nhlbi.nih.gov/Databases/mpkFractions/proteomic_fractions_log_files/Yang_log_img/7304971.jpg","show blot")</f>
        <v>show blot</v>
      </c>
      <c r="H1397" s="8" t="str">
        <f>HYPERLINK("https://esbl.nhlbi.nih.gov/Databases/mpkFractions/proteomic_fractions_linear_files/Yang_linear_img/7304971.jpg","show blot")</f>
        <v>show blot</v>
      </c>
      <c r="J1397" s="5" t="s">
        <v>2785</v>
      </c>
      <c r="L1397" s="11">
        <v>5.7331865121529821</v>
      </c>
      <c r="N1397" s="12"/>
    </row>
    <row r="1398" spans="1:14" s="5" customFormat="1" ht="15" customHeight="1" x14ac:dyDescent="0.25">
      <c r="A1398" s="9" t="s">
        <v>2786</v>
      </c>
      <c r="C1398" s="9" t="str">
        <f>HYPERLINK("http://www.ncbi.nlm.nih.gov/protein/33563284","Cops6")</f>
        <v>Cops6</v>
      </c>
      <c r="D1398" s="10">
        <f t="shared" si="21"/>
        <v>5.6550706103507338</v>
      </c>
      <c r="F1398" s="8" t="str">
        <f>HYPERLINK("https://esbl.nhlbi.nih.gov/Databases/mpkFractions/proteomic_fractions_log_files/Yang_log_img/33563284.jpg","show blot")</f>
        <v>show blot</v>
      </c>
      <c r="H1398" s="8" t="str">
        <f>HYPERLINK("https://esbl.nhlbi.nih.gov/Databases/mpkFractions/proteomic_fractions_linear_files/Yang_linear_img/33563284.jpg","show blot")</f>
        <v>show blot</v>
      </c>
      <c r="J1398" s="5" t="s">
        <v>2787</v>
      </c>
      <c r="L1398" s="11">
        <v>5.6550706103507338</v>
      </c>
      <c r="N1398" s="12"/>
    </row>
    <row r="1399" spans="1:14" s="5" customFormat="1" ht="15" customHeight="1" x14ac:dyDescent="0.25">
      <c r="A1399" s="9" t="s">
        <v>2788</v>
      </c>
      <c r="C1399" s="9" t="str">
        <f>HYPERLINK("http://www.ncbi.nlm.nih.gov/protein/255760052","Cops7a")</f>
        <v>Cops7a</v>
      </c>
      <c r="D1399" s="10">
        <f t="shared" si="21"/>
        <v>5.579542321746521</v>
      </c>
      <c r="F1399" s="8" t="str">
        <f>HYPERLINK("https://esbl.nhlbi.nih.gov/Databases/mpkFractions/proteomic_fractions_log_files/Yang_log_img/255760052.jpg","show blot")</f>
        <v>show blot</v>
      </c>
      <c r="H1399" s="8" t="str">
        <f>HYPERLINK("https://esbl.nhlbi.nih.gov/Databases/mpkFractions/proteomic_fractions_linear_files/Yang_linear_img/255760052.jpg","show blot")</f>
        <v>show blot</v>
      </c>
      <c r="J1399" s="5" t="s">
        <v>2789</v>
      </c>
      <c r="L1399" s="11">
        <v>5.579542321746521</v>
      </c>
      <c r="N1399" s="12"/>
    </row>
    <row r="1400" spans="1:14" s="5" customFormat="1" ht="15" customHeight="1" x14ac:dyDescent="0.25">
      <c r="A1400" s="9" t="s">
        <v>2790</v>
      </c>
      <c r="C1400" s="9" t="str">
        <f>HYPERLINK("http://www.ncbi.nlm.nih.gov/protein/7242142","Cops7a")</f>
        <v>Cops7a</v>
      </c>
      <c r="D1400" s="10">
        <f t="shared" si="21"/>
        <v>5.579542321746521</v>
      </c>
      <c r="F1400" s="8" t="str">
        <f>HYPERLINK("https://esbl.nhlbi.nih.gov/Databases/mpkFractions/proteomic_fractions_log_files/Yang_log_img/7242142.jpg","show blot")</f>
        <v>show blot</v>
      </c>
      <c r="H1400" s="8" t="str">
        <f>HYPERLINK("https://esbl.nhlbi.nih.gov/Databases/mpkFractions/proteomic_fractions_linear_files/Yang_linear_img/7242142.jpg","show blot")</f>
        <v>show blot</v>
      </c>
      <c r="J1400" s="5" t="s">
        <v>2791</v>
      </c>
      <c r="L1400" s="11">
        <v>5.579542321746521</v>
      </c>
      <c r="N1400" s="12"/>
    </row>
    <row r="1401" spans="1:14" s="5" customFormat="1" ht="15" customHeight="1" x14ac:dyDescent="0.25">
      <c r="A1401" s="9" t="s">
        <v>2792</v>
      </c>
      <c r="C1401" s="9" t="str">
        <f>HYPERLINK("http://www.ncbi.nlm.nih.gov/protein/27764886","Cops7b")</f>
        <v>Cops7b</v>
      </c>
      <c r="D1401" s="10">
        <f t="shared" si="21"/>
        <v>4.7820307805088733</v>
      </c>
      <c r="F1401" s="8" t="str">
        <f>HYPERLINK("https://esbl.nhlbi.nih.gov/Databases/mpkFractions/proteomic_fractions_log_files/Yang_log_img/27764886.jpg","show blot")</f>
        <v>show blot</v>
      </c>
      <c r="H1401" s="8" t="str">
        <f>HYPERLINK("https://esbl.nhlbi.nih.gov/Databases/mpkFractions/proteomic_fractions_linear_files/Yang_linear_img/27764886.jpg","show blot")</f>
        <v>show blot</v>
      </c>
      <c r="J1401" s="5" t="s">
        <v>2793</v>
      </c>
      <c r="L1401" s="11">
        <v>4.7820307805088733</v>
      </c>
      <c r="N1401" s="12"/>
    </row>
    <row r="1402" spans="1:14" s="5" customFormat="1" ht="15" customHeight="1" x14ac:dyDescent="0.25">
      <c r="A1402" s="9" t="s">
        <v>2794</v>
      </c>
      <c r="C1402" s="9" t="str">
        <f>HYPERLINK("http://www.ncbi.nlm.nih.gov/protein/114158691","Cops8")</f>
        <v>Cops8</v>
      </c>
      <c r="D1402" s="10">
        <f t="shared" si="21"/>
        <v>5.4814675941099766</v>
      </c>
      <c r="F1402" s="8" t="str">
        <f>HYPERLINK("https://esbl.nhlbi.nih.gov/Databases/mpkFractions/proteomic_fractions_log_files/Yang_log_img/114158691.jpg","show blot")</f>
        <v>show blot</v>
      </c>
      <c r="H1402" s="8" t="str">
        <f>HYPERLINK("https://esbl.nhlbi.nih.gov/Databases/mpkFractions/proteomic_fractions_linear_files/Yang_linear_img/114158691.jpg","show blot")</f>
        <v>show blot</v>
      </c>
      <c r="J1402" s="5" t="s">
        <v>2795</v>
      </c>
      <c r="L1402" s="11">
        <v>5.4814675941099766</v>
      </c>
      <c r="N1402" s="12"/>
    </row>
    <row r="1403" spans="1:14" s="5" customFormat="1" ht="15" customHeight="1" x14ac:dyDescent="0.25">
      <c r="A1403" s="9" t="s">
        <v>2796</v>
      </c>
      <c r="C1403" s="9" t="str">
        <f>HYPERLINK("http://www.ncbi.nlm.nih.gov/protein/9789913","Copz1")</f>
        <v>Copz1</v>
      </c>
      <c r="D1403" s="10">
        <f t="shared" si="21"/>
        <v>5.8056777534698503</v>
      </c>
      <c r="F1403" s="8" t="str">
        <f>HYPERLINK("https://esbl.nhlbi.nih.gov/Databases/mpkFractions/proteomic_fractions_log_files/Yang_log_img/9789913.jpg","show blot")</f>
        <v>show blot</v>
      </c>
      <c r="H1403" s="8" t="str">
        <f>HYPERLINK("https://esbl.nhlbi.nih.gov/Databases/mpkFractions/proteomic_fractions_linear_files/Yang_linear_img/9789913.jpg","show blot")</f>
        <v>show blot</v>
      </c>
      <c r="J1403" s="5" t="s">
        <v>2797</v>
      </c>
      <c r="L1403" s="11">
        <v>5.8056777534698503</v>
      </c>
      <c r="N1403" s="12"/>
    </row>
    <row r="1404" spans="1:14" s="5" customFormat="1" ht="15" customHeight="1" x14ac:dyDescent="0.25">
      <c r="A1404" s="9" t="s">
        <v>2798</v>
      </c>
      <c r="C1404" s="9" t="str">
        <f>HYPERLINK("http://www.ncbi.nlm.nih.gov/protein/9845242","Copz2")</f>
        <v>Copz2</v>
      </c>
      <c r="D1404" s="10">
        <f t="shared" si="21"/>
        <v>4.1257282876132031</v>
      </c>
      <c r="F1404" s="8" t="str">
        <f>HYPERLINK("https://esbl.nhlbi.nih.gov/Databases/mpkFractions/proteomic_fractions_log_files/Yang_log_img/9845242.jpg","show blot")</f>
        <v>show blot</v>
      </c>
      <c r="H1404" s="8" t="str">
        <f>HYPERLINK("https://esbl.nhlbi.nih.gov/Databases/mpkFractions/proteomic_fractions_linear_files/Yang_linear_img/9845242.jpg","show blot")</f>
        <v>show blot</v>
      </c>
      <c r="J1404" s="5" t="s">
        <v>2799</v>
      </c>
      <c r="L1404" s="11">
        <v>4.1257282876132031</v>
      </c>
      <c r="N1404" s="12"/>
    </row>
    <row r="1405" spans="1:14" s="5" customFormat="1" ht="15" customHeight="1" x14ac:dyDescent="0.25">
      <c r="A1405" s="9" t="s">
        <v>2800</v>
      </c>
      <c r="C1405" s="9" t="str">
        <f>HYPERLINK("http://www.ncbi.nlm.nih.gov/protein/27369992","Coq3")</f>
        <v>Coq3</v>
      </c>
      <c r="D1405" s="10">
        <f t="shared" si="21"/>
        <v>3.7111542193972888</v>
      </c>
      <c r="F1405" s="8" t="str">
        <f>HYPERLINK("https://esbl.nhlbi.nih.gov/Databases/mpkFractions/proteomic_fractions_log_files/Yang_log_img/27369992.jpg","show blot")</f>
        <v>show blot</v>
      </c>
      <c r="H1405" s="8" t="str">
        <f>HYPERLINK("https://esbl.nhlbi.nih.gov/Databases/mpkFractions/proteomic_fractions_linear_files/Yang_linear_img/27369992.jpg","show blot")</f>
        <v>show blot</v>
      </c>
      <c r="J1405" s="5" t="s">
        <v>2801</v>
      </c>
      <c r="L1405" s="11">
        <v>3.7111542193972888</v>
      </c>
      <c r="N1405" s="12"/>
    </row>
    <row r="1406" spans="1:14" s="5" customFormat="1" ht="15" customHeight="1" x14ac:dyDescent="0.25">
      <c r="A1406" s="9" t="s">
        <v>2802</v>
      </c>
      <c r="C1406" s="9" t="str">
        <f>HYPERLINK("http://www.ncbi.nlm.nih.gov/protein/30520093","Coq4")</f>
        <v>Coq4</v>
      </c>
      <c r="D1406" s="10">
        <f t="shared" si="21"/>
        <v>3.2545712633184891</v>
      </c>
      <c r="F1406" s="8" t="str">
        <f>HYPERLINK("https://esbl.nhlbi.nih.gov/Databases/mpkFractions/proteomic_fractions_log_files/Yang_log_img/30520093.jpg","show blot")</f>
        <v>show blot</v>
      </c>
      <c r="H1406" s="8" t="str">
        <f>HYPERLINK("https://esbl.nhlbi.nih.gov/Databases/mpkFractions/proteomic_fractions_linear_files/Yang_linear_img/30520093.jpg","show blot")</f>
        <v>show blot</v>
      </c>
      <c r="J1406" s="5" t="s">
        <v>2803</v>
      </c>
      <c r="L1406" s="11">
        <v>3.2545712633184891</v>
      </c>
      <c r="N1406" s="12"/>
    </row>
    <row r="1407" spans="1:14" s="5" customFormat="1" ht="15" customHeight="1" x14ac:dyDescent="0.25">
      <c r="A1407" s="9" t="s">
        <v>2804</v>
      </c>
      <c r="C1407" s="9" t="str">
        <f>HYPERLINK("http://www.ncbi.nlm.nih.gov/protein/13385992","Coq5")</f>
        <v>Coq5</v>
      </c>
      <c r="D1407" s="10">
        <f t="shared" si="21"/>
        <v>3.1363067774360678</v>
      </c>
      <c r="F1407" s="8" t="str">
        <f>HYPERLINK("https://esbl.nhlbi.nih.gov/Databases/mpkFractions/proteomic_fractions_log_files/Yang_log_img/13385992.jpg","show blot")</f>
        <v>show blot</v>
      </c>
      <c r="H1407" s="8" t="str">
        <f>HYPERLINK("https://esbl.nhlbi.nih.gov/Databases/mpkFractions/proteomic_fractions_linear_files/Yang_linear_img/13385992.jpg","show blot")</f>
        <v>show blot</v>
      </c>
      <c r="J1407" s="5" t="s">
        <v>2805</v>
      </c>
      <c r="L1407" s="11">
        <v>3.1363067774360678</v>
      </c>
      <c r="N1407" s="12"/>
    </row>
    <row r="1408" spans="1:14" s="5" customFormat="1" ht="15" customHeight="1" x14ac:dyDescent="0.25">
      <c r="A1408" s="9" t="s">
        <v>2806</v>
      </c>
      <c r="C1408" s="9" t="str">
        <f>HYPERLINK("http://www.ncbi.nlm.nih.gov/protein/283135186","Coq6")</f>
        <v>Coq6</v>
      </c>
      <c r="D1408" s="10">
        <f t="shared" si="21"/>
        <v>1.8675516616129539</v>
      </c>
      <c r="F1408" s="8" t="str">
        <f>HYPERLINK("https://esbl.nhlbi.nih.gov/Databases/mpkFractions/proteomic_fractions_log_files/Yang_log_img/283135186.jpg","show blot")</f>
        <v>show blot</v>
      </c>
      <c r="H1408" s="8" t="str">
        <f>HYPERLINK("https://esbl.nhlbi.nih.gov/Databases/mpkFractions/proteomic_fractions_linear_files/Yang_linear_img/283135186.jpg","show blot")</f>
        <v>show blot</v>
      </c>
      <c r="J1408" s="5" t="s">
        <v>2807</v>
      </c>
      <c r="L1408" s="11">
        <v>1.8675516616129539</v>
      </c>
      <c r="N1408" s="12"/>
    </row>
    <row r="1409" spans="1:14" s="5" customFormat="1" ht="15" customHeight="1" x14ac:dyDescent="0.25">
      <c r="A1409" s="9" t="s">
        <v>2808</v>
      </c>
      <c r="C1409" s="9" t="str">
        <f>HYPERLINK("http://www.ncbi.nlm.nih.gov/protein/20587962","Coq7")</f>
        <v>Coq7</v>
      </c>
      <c r="D1409" s="10">
        <f t="shared" si="21"/>
        <v>3.080014615336276</v>
      </c>
      <c r="F1409" s="8" t="str">
        <f>HYPERLINK("https://esbl.nhlbi.nih.gov/Databases/mpkFractions/proteomic_fractions_log_files/Yang_log_img/20587962.jpg","show blot")</f>
        <v>show blot</v>
      </c>
      <c r="H1409" s="8" t="str">
        <f>HYPERLINK("https://esbl.nhlbi.nih.gov/Databases/mpkFractions/proteomic_fractions_linear_files/Yang_linear_img/20587962.jpg","show blot")</f>
        <v>show blot</v>
      </c>
      <c r="J1409" s="5" t="s">
        <v>2809</v>
      </c>
      <c r="L1409" s="11">
        <v>3.080014615336276</v>
      </c>
      <c r="N1409" s="12"/>
    </row>
    <row r="1410" spans="1:14" s="5" customFormat="1" ht="15" customHeight="1" x14ac:dyDescent="0.25">
      <c r="A1410" s="9" t="s">
        <v>2810</v>
      </c>
      <c r="C1410" s="9" t="str">
        <f>HYPERLINK("http://www.ncbi.nlm.nih.gov/protein/33859690","Coq9")</f>
        <v>Coq9</v>
      </c>
      <c r="D1410" s="10">
        <f t="shared" si="21"/>
        <v>4.692355602254132</v>
      </c>
      <c r="F1410" s="8" t="str">
        <f>HYPERLINK("https://esbl.nhlbi.nih.gov/Databases/mpkFractions/proteomic_fractions_log_files/Yang_log_img/33859690.jpg","show blot")</f>
        <v>show blot</v>
      </c>
      <c r="H1410" s="8" t="str">
        <f>HYPERLINK("https://esbl.nhlbi.nih.gov/Databases/mpkFractions/proteomic_fractions_linear_files/Yang_linear_img/33859690.jpg","show blot")</f>
        <v>show blot</v>
      </c>
      <c r="J1410" s="5" t="s">
        <v>2811</v>
      </c>
      <c r="L1410" s="11">
        <v>4.692355602254132</v>
      </c>
      <c r="N1410" s="12"/>
    </row>
    <row r="1411" spans="1:14" s="5" customFormat="1" ht="15" customHeight="1" x14ac:dyDescent="0.25">
      <c r="A1411" s="9" t="s">
        <v>2812</v>
      </c>
      <c r="C1411" s="9" t="str">
        <f>HYPERLINK("http://www.ncbi.nlm.nih.gov/protein/6753494","Coro1b")</f>
        <v>Coro1b</v>
      </c>
      <c r="D1411" s="10">
        <f t="shared" si="21"/>
        <v>6.0004472754344507</v>
      </c>
      <c r="F1411" s="8" t="str">
        <f>HYPERLINK("https://esbl.nhlbi.nih.gov/Databases/mpkFractions/proteomic_fractions_log_files/Yang_log_img/6753494.jpg","show blot")</f>
        <v>show blot</v>
      </c>
      <c r="H1411" s="8" t="str">
        <f>HYPERLINK("https://esbl.nhlbi.nih.gov/Databases/mpkFractions/proteomic_fractions_linear_files/Yang_linear_img/6753494.jpg","show blot")</f>
        <v>show blot</v>
      </c>
      <c r="J1411" s="5" t="s">
        <v>2813</v>
      </c>
      <c r="L1411" s="11">
        <v>6.0004472754344507</v>
      </c>
      <c r="N1411" s="12"/>
    </row>
    <row r="1412" spans="1:14" s="5" customFormat="1" ht="15" customHeight="1" x14ac:dyDescent="0.25">
      <c r="A1412" s="9" t="s">
        <v>2814</v>
      </c>
      <c r="C1412" s="9" t="str">
        <f>HYPERLINK("http://www.ncbi.nlm.nih.gov/protein/31542413","Coro1c")</f>
        <v>Coro1c</v>
      </c>
      <c r="D1412" s="10">
        <f t="shared" si="21"/>
        <v>4.8424513886046938</v>
      </c>
      <c r="F1412" s="8" t="str">
        <f>HYPERLINK("https://esbl.nhlbi.nih.gov/Databases/mpkFractions/proteomic_fractions_log_files/Yang_log_img/31542413.jpg","show blot")</f>
        <v>show blot</v>
      </c>
      <c r="H1412" s="8" t="str">
        <f>HYPERLINK("https://esbl.nhlbi.nih.gov/Databases/mpkFractions/proteomic_fractions_linear_files/Yang_linear_img/31542413.jpg","show blot")</f>
        <v>show blot</v>
      </c>
      <c r="J1412" s="5" t="s">
        <v>2815</v>
      </c>
      <c r="L1412" s="11">
        <v>4.8424513886046938</v>
      </c>
      <c r="N1412" s="12"/>
    </row>
    <row r="1413" spans="1:14" s="5" customFormat="1" ht="15" customHeight="1" x14ac:dyDescent="0.25">
      <c r="A1413" s="9" t="s">
        <v>2816</v>
      </c>
      <c r="C1413" s="9" t="str">
        <f>HYPERLINK("http://www.ncbi.nlm.nih.gov/protein/258645152","Coro2a")</f>
        <v>Coro2a</v>
      </c>
      <c r="D1413" s="10">
        <f t="shared" ref="D1413:D1476" si="22">L1413</f>
        <v>4.4675962773344073</v>
      </c>
      <c r="F1413" s="8" t="str">
        <f>HYPERLINK("https://esbl.nhlbi.nih.gov/Databases/mpkFractions/proteomic_fractions_log_files/Yang_log_img/258645152.jpg","show blot")</f>
        <v>show blot</v>
      </c>
      <c r="H1413" s="8" t="str">
        <f>HYPERLINK("https://esbl.nhlbi.nih.gov/Databases/mpkFractions/proteomic_fractions_linear_files/Yang_linear_img/258645152.jpg","show blot")</f>
        <v>show blot</v>
      </c>
      <c r="J1413" s="5" t="s">
        <v>2817</v>
      </c>
      <c r="L1413" s="11">
        <v>4.4675962773344073</v>
      </c>
      <c r="N1413" s="12"/>
    </row>
    <row r="1414" spans="1:14" s="5" customFormat="1" ht="15" customHeight="1" x14ac:dyDescent="0.25">
      <c r="A1414" s="9" t="s">
        <v>2818</v>
      </c>
      <c r="C1414" s="9" t="str">
        <f>HYPERLINK("http://www.ncbi.nlm.nih.gov/protein/404501474","Coro2a")</f>
        <v>Coro2a</v>
      </c>
      <c r="D1414" s="10">
        <f t="shared" si="22"/>
        <v>4.4675962773344073</v>
      </c>
      <c r="F1414" s="8" t="str">
        <f>HYPERLINK("https://esbl.nhlbi.nih.gov/Databases/mpkFractions/proteomic_fractions_log_files/Yang_log_img/404501474.jpg","show blot")</f>
        <v>show blot</v>
      </c>
      <c r="H1414" s="8" t="str">
        <f>HYPERLINK("https://esbl.nhlbi.nih.gov/Databases/mpkFractions/proteomic_fractions_linear_files/Yang_linear_img/404501474.jpg","show blot")</f>
        <v>show blot</v>
      </c>
      <c r="J1414" s="5" t="s">
        <v>2819</v>
      </c>
      <c r="L1414" s="11">
        <v>4.4675962773344073</v>
      </c>
      <c r="N1414" s="12"/>
    </row>
    <row r="1415" spans="1:14" s="5" customFormat="1" ht="15" customHeight="1" x14ac:dyDescent="0.25">
      <c r="A1415" s="9" t="s">
        <v>2820</v>
      </c>
      <c r="C1415" s="9" t="str">
        <f>HYPERLINK("http://www.ncbi.nlm.nih.gov/protein/148747331","Coro7")</f>
        <v>Coro7</v>
      </c>
      <c r="D1415" s="10">
        <f t="shared" si="22"/>
        <v>4.9195699966543502</v>
      </c>
      <c r="F1415" s="8" t="str">
        <f>HYPERLINK("https://esbl.nhlbi.nih.gov/Databases/mpkFractions/proteomic_fractions_log_files/Yang_log_img/148747331.jpg","show blot")</f>
        <v>show blot</v>
      </c>
      <c r="H1415" s="8" t="str">
        <f>HYPERLINK("https://esbl.nhlbi.nih.gov/Databases/mpkFractions/proteomic_fractions_linear_files/Yang_linear_img/148747331.jpg","show blot")</f>
        <v>show blot</v>
      </c>
      <c r="J1415" s="5" t="s">
        <v>2821</v>
      </c>
      <c r="L1415" s="11">
        <v>4.9195699966543502</v>
      </c>
      <c r="N1415" s="12"/>
    </row>
    <row r="1416" spans="1:14" s="5" customFormat="1" ht="15" customHeight="1" x14ac:dyDescent="0.25">
      <c r="A1416" s="9" t="s">
        <v>2822</v>
      </c>
      <c r="C1416" s="9" t="str">
        <f>HYPERLINK("http://www.ncbi.nlm.nih.gov/protein/19482160","Cotl1")</f>
        <v>Cotl1</v>
      </c>
      <c r="D1416" s="10">
        <f t="shared" si="22"/>
        <v>5.7442649383408639</v>
      </c>
      <c r="F1416" s="8" t="str">
        <f>HYPERLINK("https://esbl.nhlbi.nih.gov/Databases/mpkFractions/proteomic_fractions_log_files/Yang_log_img/19482160.jpg","show blot")</f>
        <v>show blot</v>
      </c>
      <c r="H1416" s="8" t="str">
        <f>HYPERLINK("https://esbl.nhlbi.nih.gov/Databases/mpkFractions/proteomic_fractions_linear_files/Yang_linear_img/19482160.jpg","show blot")</f>
        <v>show blot</v>
      </c>
      <c r="J1416" s="5" t="s">
        <v>2823</v>
      </c>
      <c r="L1416" s="11">
        <v>5.7442649383408639</v>
      </c>
      <c r="N1416" s="12"/>
    </row>
    <row r="1417" spans="1:14" s="5" customFormat="1" ht="15" customHeight="1" x14ac:dyDescent="0.25">
      <c r="A1417" s="9" t="s">
        <v>2824</v>
      </c>
      <c r="C1417" s="9" t="str">
        <f>HYPERLINK("http://www.ncbi.nlm.nih.gov/protein/167716839","COX1")</f>
        <v>COX1</v>
      </c>
      <c r="D1417" s="10">
        <f t="shared" si="22"/>
        <v>4.2283193937345382</v>
      </c>
      <c r="F1417" s="8" t="str">
        <f>HYPERLINK("https://esbl.nhlbi.nih.gov/Databases/mpkFractions/proteomic_fractions_log_files/Yang_log_img/167716839.jpg","show blot")</f>
        <v>show blot</v>
      </c>
      <c r="H1417" s="8" t="str">
        <f>HYPERLINK("https://esbl.nhlbi.nih.gov/Databases/mpkFractions/proteomic_fractions_linear_files/Yang_linear_img/167716839.jpg","show blot")</f>
        <v>show blot</v>
      </c>
      <c r="J1417" s="5" t="s">
        <v>2825</v>
      </c>
      <c r="L1417" s="11">
        <v>4.2283193937345382</v>
      </c>
      <c r="N1417" s="12"/>
    </row>
    <row r="1418" spans="1:14" s="5" customFormat="1" ht="15" customHeight="1" x14ac:dyDescent="0.25">
      <c r="A1418" s="9" t="s">
        <v>2826</v>
      </c>
      <c r="C1418" s="9" t="str">
        <f>HYPERLINK("http://www.ncbi.nlm.nih.gov/protein/34538600","COX1")</f>
        <v>COX1</v>
      </c>
      <c r="D1418" s="10">
        <f t="shared" si="22"/>
        <v>4.2283193937345382</v>
      </c>
      <c r="F1418" s="8" t="str">
        <f>HYPERLINK("https://esbl.nhlbi.nih.gov/Databases/mpkFractions/proteomic_fractions_log_files/Yang_log_img/34538600.jpg","show blot")</f>
        <v>show blot</v>
      </c>
      <c r="H1418" s="8" t="str">
        <f>HYPERLINK("https://esbl.nhlbi.nih.gov/Databases/mpkFractions/proteomic_fractions_linear_files/Yang_linear_img/34538600.jpg","show blot")</f>
        <v>show blot</v>
      </c>
      <c r="J1418" s="5" t="s">
        <v>2827</v>
      </c>
      <c r="L1418" s="11">
        <v>4.2283193937345382</v>
      </c>
      <c r="N1418" s="12"/>
    </row>
    <row r="1419" spans="1:14" s="5" customFormat="1" ht="15" customHeight="1" x14ac:dyDescent="0.25">
      <c r="A1419" s="9" t="s">
        <v>2828</v>
      </c>
      <c r="C1419" s="9" t="str">
        <f>HYPERLINK("http://www.ncbi.nlm.nih.gov/protein/39841021","Cox11")</f>
        <v>Cox11</v>
      </c>
      <c r="D1419" s="10">
        <f t="shared" si="22"/>
        <v>2.8404648944958022</v>
      </c>
      <c r="F1419" s="8" t="str">
        <f>HYPERLINK("https://esbl.nhlbi.nih.gov/Databases/mpkFractions/proteomic_fractions_log_files/Yang_log_img/39841021.jpg","show blot")</f>
        <v>show blot</v>
      </c>
      <c r="H1419" s="8" t="str">
        <f>HYPERLINK("https://esbl.nhlbi.nih.gov/Databases/mpkFractions/proteomic_fractions_linear_files/Yang_linear_img/39841021.jpg","show blot")</f>
        <v>show blot</v>
      </c>
      <c r="J1419" s="5" t="s">
        <v>2829</v>
      </c>
      <c r="L1419" s="11">
        <v>2.8404648944958022</v>
      </c>
      <c r="N1419" s="12"/>
    </row>
    <row r="1420" spans="1:14" s="5" customFormat="1" ht="15" customHeight="1" x14ac:dyDescent="0.25">
      <c r="A1420" s="9" t="s">
        <v>2830</v>
      </c>
      <c r="C1420" s="9" t="str">
        <f>HYPERLINK("http://www.ncbi.nlm.nih.gov/protein/31541932","Cox15")</f>
        <v>Cox15</v>
      </c>
      <c r="D1420" s="10">
        <f t="shared" si="22"/>
        <v>3.7922668316805002</v>
      </c>
      <c r="F1420" s="8" t="str">
        <f>HYPERLINK("https://esbl.nhlbi.nih.gov/Databases/mpkFractions/proteomic_fractions_log_files/Yang_log_img/31541932.jpg","show blot")</f>
        <v>show blot</v>
      </c>
      <c r="H1420" s="8" t="str">
        <f>HYPERLINK("https://esbl.nhlbi.nih.gov/Databases/mpkFractions/proteomic_fractions_linear_files/Yang_linear_img/31541932.jpg","show blot")</f>
        <v>show blot</v>
      </c>
      <c r="J1420" s="5" t="s">
        <v>2831</v>
      </c>
      <c r="L1420" s="11">
        <v>3.7922668316805002</v>
      </c>
      <c r="N1420" s="12"/>
    </row>
    <row r="1421" spans="1:14" s="5" customFormat="1" ht="15" customHeight="1" x14ac:dyDescent="0.25">
      <c r="A1421" s="9" t="s">
        <v>2832</v>
      </c>
      <c r="C1421" s="9" t="str">
        <f>HYPERLINK("http://www.ncbi.nlm.nih.gov/protein/13384872","Cox16")</f>
        <v>Cox16</v>
      </c>
      <c r="D1421" s="10">
        <f t="shared" si="22"/>
        <v>3.6105831073620571</v>
      </c>
      <c r="F1421" s="8" t="str">
        <f>HYPERLINK("https://esbl.nhlbi.nih.gov/Databases/mpkFractions/proteomic_fractions_log_files/Yang_log_img/13384872.jpg","show blot")</f>
        <v>show blot</v>
      </c>
      <c r="H1421" s="8" t="str">
        <f>HYPERLINK("https://esbl.nhlbi.nih.gov/Databases/mpkFractions/proteomic_fractions_linear_files/Yang_linear_img/13384872.jpg","show blot")</f>
        <v>show blot</v>
      </c>
      <c r="J1421" s="5" t="s">
        <v>2833</v>
      </c>
      <c r="L1421" s="11">
        <v>3.6105831073620571</v>
      </c>
      <c r="N1421" s="12"/>
    </row>
    <row r="1422" spans="1:14" s="5" customFormat="1" ht="15" customHeight="1" x14ac:dyDescent="0.25">
      <c r="A1422" s="9" t="s">
        <v>2834</v>
      </c>
      <c r="C1422" s="9" t="str">
        <f>HYPERLINK("http://www.ncbi.nlm.nih.gov/protein/62945234","Cox17")</f>
        <v>Cox17</v>
      </c>
      <c r="D1422" s="10">
        <f t="shared" si="22"/>
        <v>4.132123967879795</v>
      </c>
      <c r="F1422" s="8" t="str">
        <f>HYPERLINK("https://esbl.nhlbi.nih.gov/Databases/mpkFractions/proteomic_fractions_log_files/Yang_log_img/62945234.jpg","show blot")</f>
        <v>show blot</v>
      </c>
      <c r="H1422" s="8" t="str">
        <f>HYPERLINK("https://esbl.nhlbi.nih.gov/Databases/mpkFractions/proteomic_fractions_linear_files/Yang_linear_img/62945234.jpg","show blot")</f>
        <v>show blot</v>
      </c>
      <c r="J1422" s="5" t="s">
        <v>2835</v>
      </c>
      <c r="L1422" s="11">
        <v>4.132123967879795</v>
      </c>
      <c r="N1422" s="12"/>
    </row>
    <row r="1423" spans="1:14" s="5" customFormat="1" ht="15" customHeight="1" x14ac:dyDescent="0.25">
      <c r="A1423" s="9" t="s">
        <v>2836</v>
      </c>
      <c r="C1423" s="9" t="str">
        <f>HYPERLINK("http://www.ncbi.nlm.nih.gov/protein/167716840","COX2")</f>
        <v>COX2</v>
      </c>
      <c r="D1423" s="10">
        <f t="shared" si="22"/>
        <v>6.4689711264164522</v>
      </c>
      <c r="F1423" s="8" t="str">
        <f>HYPERLINK("https://esbl.nhlbi.nih.gov/Databases/mpkFractions/proteomic_fractions_log_files/Yang_log_img/167716840.jpg","show blot")</f>
        <v>show blot</v>
      </c>
      <c r="H1423" s="8" t="str">
        <f>HYPERLINK("https://esbl.nhlbi.nih.gov/Databases/mpkFractions/proteomic_fractions_linear_files/Yang_linear_img/167716840.jpg","show blot")</f>
        <v>show blot</v>
      </c>
      <c r="J1423" s="5" t="s">
        <v>2837</v>
      </c>
      <c r="L1423" s="11">
        <v>6.4689711264164522</v>
      </c>
      <c r="N1423" s="12"/>
    </row>
    <row r="1424" spans="1:14" s="5" customFormat="1" ht="15" customHeight="1" x14ac:dyDescent="0.25">
      <c r="A1424" s="9" t="s">
        <v>2838</v>
      </c>
      <c r="C1424" s="9" t="str">
        <f>HYPERLINK("http://www.ncbi.nlm.nih.gov/protein/34538601","COX2")</f>
        <v>COX2</v>
      </c>
      <c r="D1424" s="10">
        <f t="shared" si="22"/>
        <v>6.4689711264164522</v>
      </c>
      <c r="F1424" s="8" t="str">
        <f>HYPERLINK("https://esbl.nhlbi.nih.gov/Databases/mpkFractions/proteomic_fractions_log_files/Yang_log_img/34538601.jpg","show blot")</f>
        <v>show blot</v>
      </c>
      <c r="H1424" s="8" t="str">
        <f>HYPERLINK("https://esbl.nhlbi.nih.gov/Databases/mpkFractions/proteomic_fractions_linear_files/Yang_linear_img/34538601.jpg","show blot")</f>
        <v>show blot</v>
      </c>
      <c r="J1424" s="5" t="s">
        <v>2839</v>
      </c>
      <c r="L1424" s="11">
        <v>6.4689711264164522</v>
      </c>
      <c r="N1424" s="12"/>
    </row>
    <row r="1425" spans="1:14" s="5" customFormat="1" ht="15" customHeight="1" x14ac:dyDescent="0.25">
      <c r="A1425" s="9" t="s">
        <v>2840</v>
      </c>
      <c r="C1425" s="9" t="str">
        <f>HYPERLINK("http://www.ncbi.nlm.nih.gov/protein/21313516","Cox20")</f>
        <v>Cox20</v>
      </c>
      <c r="D1425" s="10">
        <f t="shared" si="22"/>
        <v>4.4691814139732724</v>
      </c>
      <c r="F1425" s="8" t="str">
        <f>HYPERLINK("https://esbl.nhlbi.nih.gov/Databases/mpkFractions/proteomic_fractions_log_files/Yang_log_img/21313516.jpg","show blot")</f>
        <v>show blot</v>
      </c>
      <c r="H1425" s="8" t="str">
        <f>HYPERLINK("https://esbl.nhlbi.nih.gov/Databases/mpkFractions/proteomic_fractions_linear_files/Yang_linear_img/21313516.jpg","show blot")</f>
        <v>show blot</v>
      </c>
      <c r="J1425" s="5" t="s">
        <v>2841</v>
      </c>
      <c r="L1425" s="11">
        <v>4.4691814139732724</v>
      </c>
      <c r="N1425" s="12"/>
    </row>
    <row r="1426" spans="1:14" s="5" customFormat="1" ht="15" customHeight="1" x14ac:dyDescent="0.25">
      <c r="A1426" s="9" t="s">
        <v>2842</v>
      </c>
      <c r="C1426" s="9" t="str">
        <f>HYPERLINK("http://www.ncbi.nlm.nih.gov/protein/226453481","COX3")</f>
        <v>COX3</v>
      </c>
      <c r="D1426" s="10">
        <f t="shared" si="22"/>
        <v>4.4442245540004119</v>
      </c>
      <c r="F1426" s="8" t="str">
        <f>HYPERLINK("https://esbl.nhlbi.nih.gov/Databases/mpkFractions/proteomic_fractions_log_files/Yang_log_img/226453481.jpg","show blot")</f>
        <v>show blot</v>
      </c>
      <c r="H1426" s="8" t="str">
        <f>HYPERLINK("https://esbl.nhlbi.nih.gov/Databases/mpkFractions/proteomic_fractions_linear_files/Yang_linear_img/226453481.jpg","show blot")</f>
        <v>show blot</v>
      </c>
      <c r="J1426" s="5" t="s">
        <v>2843</v>
      </c>
      <c r="L1426" s="11">
        <v>4.4442245540004119</v>
      </c>
      <c r="N1426" s="12"/>
    </row>
    <row r="1427" spans="1:14" s="5" customFormat="1" ht="15" customHeight="1" x14ac:dyDescent="0.25">
      <c r="A1427" s="9" t="s">
        <v>2844</v>
      </c>
      <c r="C1427" s="9" t="str">
        <f>HYPERLINK("http://www.ncbi.nlm.nih.gov/protein/34538604","COX3")</f>
        <v>COX3</v>
      </c>
      <c r="D1427" s="10">
        <f t="shared" si="22"/>
        <v>4.4442245540004119</v>
      </c>
      <c r="F1427" s="8" t="str">
        <f>HYPERLINK("https://esbl.nhlbi.nih.gov/Databases/mpkFractions/proteomic_fractions_log_files/Yang_log_img/34538604.jpg","show blot")</f>
        <v>show blot</v>
      </c>
      <c r="H1427" s="8" t="str">
        <f>HYPERLINK("https://esbl.nhlbi.nih.gov/Databases/mpkFractions/proteomic_fractions_linear_files/Yang_linear_img/34538604.jpg","show blot")</f>
        <v>show blot</v>
      </c>
      <c r="J1427" s="5" t="s">
        <v>2845</v>
      </c>
      <c r="L1427" s="11">
        <v>4.4442245540004119</v>
      </c>
      <c r="N1427" s="12"/>
    </row>
    <row r="1428" spans="1:14" s="5" customFormat="1" ht="15" customHeight="1" x14ac:dyDescent="0.25">
      <c r="A1428" s="9" t="s">
        <v>2846</v>
      </c>
      <c r="C1428" s="9" t="str">
        <f>HYPERLINK("http://www.ncbi.nlm.nih.gov/protein/6753498","Cox4i1")</f>
        <v>Cox4i1</v>
      </c>
      <c r="D1428" s="10">
        <f t="shared" si="22"/>
        <v>6.3216695488887433</v>
      </c>
      <c r="F1428" s="8" t="str">
        <f>HYPERLINK("https://esbl.nhlbi.nih.gov/Databases/mpkFractions/proteomic_fractions_log_files/Yang_log_img/6753498.jpg","show blot")</f>
        <v>show blot</v>
      </c>
      <c r="H1428" s="8" t="str">
        <f>HYPERLINK("https://esbl.nhlbi.nih.gov/Databases/mpkFractions/proteomic_fractions_linear_files/Yang_linear_img/6753498.jpg","show blot")</f>
        <v>show blot</v>
      </c>
      <c r="J1428" s="5" t="s">
        <v>2847</v>
      </c>
      <c r="L1428" s="11">
        <v>6.3216695488887433</v>
      </c>
      <c r="N1428" s="12"/>
    </row>
    <row r="1429" spans="1:14" s="5" customFormat="1" ht="15" customHeight="1" x14ac:dyDescent="0.25">
      <c r="A1429" s="9" t="s">
        <v>2848</v>
      </c>
      <c r="C1429" s="9" t="str">
        <f>HYPERLINK("http://www.ncbi.nlm.nih.gov/protein/112181182","Cox5a")</f>
        <v>Cox5a</v>
      </c>
      <c r="D1429" s="10">
        <f t="shared" si="22"/>
        <v>5.9830872280424368</v>
      </c>
      <c r="F1429" s="8" t="str">
        <f>HYPERLINK("https://esbl.nhlbi.nih.gov/Databases/mpkFractions/proteomic_fractions_log_files/Yang_log_img/112181182.jpg","show blot")</f>
        <v>show blot</v>
      </c>
      <c r="H1429" s="8" t="str">
        <f>HYPERLINK("https://esbl.nhlbi.nih.gov/Databases/mpkFractions/proteomic_fractions_linear_files/Yang_linear_img/112181182.jpg","show blot")</f>
        <v>show blot</v>
      </c>
      <c r="J1429" s="5" t="s">
        <v>2849</v>
      </c>
      <c r="L1429" s="11">
        <v>5.9830872280424368</v>
      </c>
      <c r="N1429" s="12"/>
    </row>
    <row r="1430" spans="1:14" s="5" customFormat="1" ht="15" customHeight="1" x14ac:dyDescent="0.25">
      <c r="A1430" s="9" t="s">
        <v>2850</v>
      </c>
      <c r="C1430" s="9" t="str">
        <f>HYPERLINK("http://www.ncbi.nlm.nih.gov/protein/13385090","Cox6b1")</f>
        <v>Cox6b1</v>
      </c>
      <c r="D1430" s="10">
        <f t="shared" si="22"/>
        <v>5.9516110488869467</v>
      </c>
      <c r="F1430" s="8" t="str">
        <f>HYPERLINK("https://esbl.nhlbi.nih.gov/Databases/mpkFractions/proteomic_fractions_log_files/Yang_log_img/13385090.jpg","show blot")</f>
        <v>show blot</v>
      </c>
      <c r="H1430" s="8" t="str">
        <f>HYPERLINK("https://esbl.nhlbi.nih.gov/Databases/mpkFractions/proteomic_fractions_linear_files/Yang_linear_img/13385090.jpg","show blot")</f>
        <v>show blot</v>
      </c>
      <c r="J1430" s="5" t="s">
        <v>2851</v>
      </c>
      <c r="L1430" s="11">
        <v>5.9516110488869467</v>
      </c>
      <c r="N1430" s="12"/>
    </row>
    <row r="1431" spans="1:14" s="5" customFormat="1" ht="15" customHeight="1" x14ac:dyDescent="0.25">
      <c r="A1431" s="9" t="s">
        <v>2852</v>
      </c>
      <c r="C1431" s="9" t="str">
        <f>HYPERLINK("http://www.ncbi.nlm.nih.gov/protein/16716343","Cox6c")</f>
        <v>Cox6c</v>
      </c>
      <c r="D1431" s="10">
        <f t="shared" si="22"/>
        <v>6.5430218179631128</v>
      </c>
      <c r="F1431" s="8" t="str">
        <f>HYPERLINK("https://esbl.nhlbi.nih.gov/Databases/mpkFractions/proteomic_fractions_log_files/Yang_log_img/16716343.jpg","show blot")</f>
        <v>show blot</v>
      </c>
      <c r="H1431" s="8" t="str">
        <f>HYPERLINK("https://esbl.nhlbi.nih.gov/Databases/mpkFractions/proteomic_fractions_linear_files/Yang_linear_img/16716343.jpg","show blot")</f>
        <v>show blot</v>
      </c>
      <c r="J1431" s="5" t="s">
        <v>2853</v>
      </c>
      <c r="L1431" s="11">
        <v>6.5430218179631128</v>
      </c>
      <c r="N1431" s="12"/>
    </row>
    <row r="1432" spans="1:14" s="5" customFormat="1" ht="15" customHeight="1" x14ac:dyDescent="0.25">
      <c r="A1432" s="9" t="s">
        <v>2854</v>
      </c>
      <c r="C1432" s="9" t="str">
        <f>HYPERLINK("http://www.ncbi.nlm.nih.gov/protein/31981830","Cox7a2")</f>
        <v>Cox7a2</v>
      </c>
      <c r="D1432" s="10">
        <f t="shared" si="22"/>
        <v>6.2239229690375213</v>
      </c>
      <c r="F1432" s="8" t="str">
        <f>HYPERLINK("https://esbl.nhlbi.nih.gov/Databases/mpkFractions/proteomic_fractions_log_files/Yang_log_img/31981830.jpg","show blot")</f>
        <v>show blot</v>
      </c>
      <c r="H1432" s="8" t="str">
        <f>HYPERLINK("https://esbl.nhlbi.nih.gov/Databases/mpkFractions/proteomic_fractions_linear_files/Yang_linear_img/31981830.jpg","show blot")</f>
        <v>show blot</v>
      </c>
      <c r="J1432" s="5" t="s">
        <v>2855</v>
      </c>
      <c r="L1432" s="11">
        <v>6.2239229690375213</v>
      </c>
      <c r="N1432" s="12"/>
    </row>
    <row r="1433" spans="1:14" s="5" customFormat="1" ht="15" customHeight="1" x14ac:dyDescent="0.25">
      <c r="A1433" s="9" t="s">
        <v>2856</v>
      </c>
      <c r="C1433" s="9" t="str">
        <f>HYPERLINK("http://www.ncbi.nlm.nih.gov/protein/226958512","Cox7a2l")</f>
        <v>Cox7a2l</v>
      </c>
      <c r="D1433" s="10">
        <f t="shared" si="22"/>
        <v>4.3271619371652434</v>
      </c>
      <c r="F1433" s="8" t="str">
        <f>HYPERLINK("https://esbl.nhlbi.nih.gov/Databases/mpkFractions/proteomic_fractions_log_files/Yang_log_img/226958512.jpg","show blot")</f>
        <v>show blot</v>
      </c>
      <c r="H1433" s="8" t="str">
        <f>HYPERLINK("https://esbl.nhlbi.nih.gov/Databases/mpkFractions/proteomic_fractions_linear_files/Yang_linear_img/226958512.jpg","show blot")</f>
        <v>show blot</v>
      </c>
      <c r="J1433" s="5" t="s">
        <v>2857</v>
      </c>
      <c r="L1433" s="11">
        <v>4.3271619371652434</v>
      </c>
      <c r="N1433" s="12"/>
    </row>
    <row r="1434" spans="1:14" s="5" customFormat="1" ht="15" customHeight="1" x14ac:dyDescent="0.25">
      <c r="A1434" s="9" t="s">
        <v>2858</v>
      </c>
      <c r="C1434" s="9" t="str">
        <f>HYPERLINK("http://www.ncbi.nlm.nih.gov/protein/6677977","Cox7a2l")</f>
        <v>Cox7a2l</v>
      </c>
      <c r="D1434" s="10">
        <f t="shared" si="22"/>
        <v>4.3271619371652434</v>
      </c>
      <c r="F1434" s="8" t="str">
        <f>HYPERLINK("https://esbl.nhlbi.nih.gov/Databases/mpkFractions/proteomic_fractions_log_files/Yang_log_img/6677977.jpg","show blot")</f>
        <v>show blot</v>
      </c>
      <c r="H1434" s="8" t="str">
        <f>HYPERLINK("https://esbl.nhlbi.nih.gov/Databases/mpkFractions/proteomic_fractions_linear_files/Yang_linear_img/6677977.jpg","show blot")</f>
        <v>show blot</v>
      </c>
      <c r="J1434" s="5" t="s">
        <v>2859</v>
      </c>
      <c r="L1434" s="11">
        <v>4.3271619371652434</v>
      </c>
      <c r="N1434" s="12"/>
    </row>
    <row r="1435" spans="1:14" s="5" customFormat="1" ht="15" customHeight="1" x14ac:dyDescent="0.25">
      <c r="A1435" s="9" t="s">
        <v>2860</v>
      </c>
      <c r="C1435" s="9" t="str">
        <f>HYPERLINK("http://www.ncbi.nlm.nih.gov/protein/13384754","Cox7b")</f>
        <v>Cox7b</v>
      </c>
      <c r="D1435" s="10">
        <f t="shared" si="22"/>
        <v>2.603505232202143</v>
      </c>
      <c r="F1435" s="8" t="str">
        <f>HYPERLINK("https://esbl.nhlbi.nih.gov/Databases/mpkFractions/proteomic_fractions_log_files/Yang_log_img/13384754.jpg","show blot")</f>
        <v>show blot</v>
      </c>
      <c r="H1435" s="8" t="str">
        <f>HYPERLINK("https://esbl.nhlbi.nih.gov/Databases/mpkFractions/proteomic_fractions_linear_files/Yang_linear_img/13384754.jpg","show blot")</f>
        <v>show blot</v>
      </c>
      <c r="J1435" s="5" t="s">
        <v>2861</v>
      </c>
      <c r="L1435" s="11">
        <v>2.603505232202143</v>
      </c>
      <c r="N1435" s="12"/>
    </row>
    <row r="1436" spans="1:14" s="5" customFormat="1" ht="15" customHeight="1" x14ac:dyDescent="0.25">
      <c r="A1436" s="9" t="s">
        <v>2862</v>
      </c>
      <c r="C1436" s="9" t="str">
        <f>HYPERLINK("http://www.ncbi.nlm.nih.gov/protein/150378501","Cpd")</f>
        <v>Cpd</v>
      </c>
      <c r="D1436" s="10">
        <f t="shared" si="22"/>
        <v>4.5820641863652769</v>
      </c>
      <c r="F1436" s="8" t="str">
        <f>HYPERLINK("https://esbl.nhlbi.nih.gov/Databases/mpkFractions/proteomic_fractions_log_files/Yang_log_img/150378501.jpg","show blot")</f>
        <v>show blot</v>
      </c>
      <c r="H1436" s="8" t="str">
        <f>HYPERLINK("https://esbl.nhlbi.nih.gov/Databases/mpkFractions/proteomic_fractions_linear_files/Yang_linear_img/150378501.jpg","show blot")</f>
        <v>show blot</v>
      </c>
      <c r="J1436" s="5" t="s">
        <v>2863</v>
      </c>
      <c r="L1436" s="11">
        <v>4.5820641863652769</v>
      </c>
      <c r="N1436" s="12"/>
    </row>
    <row r="1437" spans="1:14" s="5" customFormat="1" ht="15" customHeight="1" x14ac:dyDescent="0.25">
      <c r="A1437" s="9" t="s">
        <v>2864</v>
      </c>
      <c r="C1437" s="9" t="str">
        <f>HYPERLINK("http://www.ncbi.nlm.nih.gov/protein/22203763","Cpe")</f>
        <v>Cpe</v>
      </c>
      <c r="D1437" s="10">
        <f t="shared" si="22"/>
        <v>3.2245330626060862</v>
      </c>
      <c r="F1437" s="8" t="str">
        <f>HYPERLINK("https://esbl.nhlbi.nih.gov/Databases/mpkFractions/proteomic_fractions_log_files/Yang_log_img/22203763.jpg","show blot")</f>
        <v>show blot</v>
      </c>
      <c r="H1437" s="8" t="str">
        <f>HYPERLINK("https://esbl.nhlbi.nih.gov/Databases/mpkFractions/proteomic_fractions_linear_files/Yang_linear_img/22203763.jpg","show blot")</f>
        <v>show blot</v>
      </c>
      <c r="J1437" s="5" t="s">
        <v>2865</v>
      </c>
      <c r="L1437" s="11">
        <v>3.2245330626060862</v>
      </c>
      <c r="N1437" s="12"/>
    </row>
    <row r="1438" spans="1:14" s="5" customFormat="1" ht="15" customHeight="1" x14ac:dyDescent="0.25">
      <c r="A1438" s="9" t="s">
        <v>2866</v>
      </c>
      <c r="C1438" s="9" t="str">
        <f>HYPERLINK("http://www.ncbi.nlm.nih.gov/protein/293651586","Cpeb2")</f>
        <v>Cpeb2</v>
      </c>
      <c r="D1438" s="10">
        <f t="shared" si="22"/>
        <v>1.7997998773461119</v>
      </c>
      <c r="F1438" s="8" t="str">
        <f>HYPERLINK("https://esbl.nhlbi.nih.gov/Databases/mpkFractions/proteomic_fractions_log_files/Yang_log_img/293651586.jpg","show blot")</f>
        <v>show blot</v>
      </c>
      <c r="H1438" s="8" t="str">
        <f>HYPERLINK("https://esbl.nhlbi.nih.gov/Databases/mpkFractions/proteomic_fractions_linear_files/Yang_linear_img/293651586.jpg","show blot")</f>
        <v>show blot</v>
      </c>
      <c r="J1438" s="5" t="s">
        <v>2867</v>
      </c>
      <c r="L1438" s="11">
        <v>1.7997998773461119</v>
      </c>
      <c r="N1438" s="12"/>
    </row>
    <row r="1439" spans="1:14" s="5" customFormat="1" ht="15" customHeight="1" x14ac:dyDescent="0.25">
      <c r="A1439" s="9" t="s">
        <v>2868</v>
      </c>
      <c r="C1439" s="9" t="str">
        <f>HYPERLINK("http://www.ncbi.nlm.nih.gov/protein/293651589","Cpeb2")</f>
        <v>Cpeb2</v>
      </c>
      <c r="D1439" s="10">
        <f t="shared" si="22"/>
        <v>1.7997998773461119</v>
      </c>
      <c r="F1439" s="8" t="str">
        <f>HYPERLINK("https://esbl.nhlbi.nih.gov/Databases/mpkFractions/proteomic_fractions_log_files/Yang_log_img/293651589.jpg","show blot")</f>
        <v>show blot</v>
      </c>
      <c r="H1439" s="8" t="str">
        <f>HYPERLINK("https://esbl.nhlbi.nih.gov/Databases/mpkFractions/proteomic_fractions_linear_files/Yang_linear_img/293651589.jpg","show blot")</f>
        <v>show blot</v>
      </c>
      <c r="J1439" s="5" t="s">
        <v>2869</v>
      </c>
      <c r="L1439" s="11">
        <v>1.7997998773461119</v>
      </c>
      <c r="N1439" s="12"/>
    </row>
    <row r="1440" spans="1:14" s="5" customFormat="1" ht="15" customHeight="1" x14ac:dyDescent="0.25">
      <c r="A1440" s="9" t="s">
        <v>2870</v>
      </c>
      <c r="C1440" s="9" t="str">
        <f>HYPERLINK("http://www.ncbi.nlm.nih.gov/protein/84370380","Cpeb3")</f>
        <v>Cpeb3</v>
      </c>
      <c r="D1440" s="10">
        <f t="shared" si="22"/>
        <v>1.9288945737255689</v>
      </c>
      <c r="F1440" s="8" t="str">
        <f>HYPERLINK("https://esbl.nhlbi.nih.gov/Databases/mpkFractions/proteomic_fractions_log_files/Yang_log_img/84370380.jpg","show blot")</f>
        <v>show blot</v>
      </c>
      <c r="H1440" s="8" t="str">
        <f>HYPERLINK("https://esbl.nhlbi.nih.gov/Databases/mpkFractions/proteomic_fractions_linear_files/Yang_linear_img/84370380.jpg","show blot")</f>
        <v>show blot</v>
      </c>
      <c r="J1440" s="5" t="s">
        <v>2871</v>
      </c>
      <c r="L1440" s="11">
        <v>1.9288945737255689</v>
      </c>
      <c r="N1440" s="12"/>
    </row>
    <row r="1441" spans="1:14" s="5" customFormat="1" ht="15" customHeight="1" x14ac:dyDescent="0.25">
      <c r="A1441" s="9" t="s">
        <v>2872</v>
      </c>
      <c r="C1441" s="9" t="str">
        <f>HYPERLINK("http://www.ncbi.nlm.nih.gov/protein/52138749","Cpeb4")</f>
        <v>Cpeb4</v>
      </c>
      <c r="D1441" s="10">
        <f t="shared" si="22"/>
        <v>1.917899189424106</v>
      </c>
      <c r="F1441" s="8" t="str">
        <f>HYPERLINK("https://esbl.nhlbi.nih.gov/Databases/mpkFractions/proteomic_fractions_log_files/Yang_log_img/52138749.jpg","show blot")</f>
        <v>show blot</v>
      </c>
      <c r="H1441" s="8" t="str">
        <f>HYPERLINK("https://esbl.nhlbi.nih.gov/Databases/mpkFractions/proteomic_fractions_linear_files/Yang_linear_img/52138749.jpg","show blot")</f>
        <v>show blot</v>
      </c>
      <c r="J1441" s="5" t="s">
        <v>2873</v>
      </c>
      <c r="L1441" s="11">
        <v>1.917899189424106</v>
      </c>
      <c r="N1441" s="12"/>
    </row>
    <row r="1442" spans="1:14" s="5" customFormat="1" ht="15" customHeight="1" x14ac:dyDescent="0.25">
      <c r="A1442" s="9" t="s">
        <v>2874</v>
      </c>
      <c r="C1442" s="9" t="str">
        <f>HYPERLINK("http://www.ncbi.nlm.nih.gov/protein/189458849","Cpm")</f>
        <v>Cpm</v>
      </c>
      <c r="D1442" s="10">
        <f t="shared" si="22"/>
        <v>3.8662686150529439</v>
      </c>
      <c r="F1442" s="8" t="str">
        <f>HYPERLINK("https://esbl.nhlbi.nih.gov/Databases/mpkFractions/proteomic_fractions_log_files/Yang_log_img/189458849.jpg","show blot")</f>
        <v>show blot</v>
      </c>
      <c r="H1442" s="8" t="str">
        <f>HYPERLINK("https://esbl.nhlbi.nih.gov/Databases/mpkFractions/proteomic_fractions_linear_files/Yang_linear_img/189458849.jpg","show blot")</f>
        <v>show blot</v>
      </c>
      <c r="J1442" s="5" t="s">
        <v>2875</v>
      </c>
      <c r="L1442" s="11">
        <v>3.8662686150529439</v>
      </c>
      <c r="N1442" s="12"/>
    </row>
    <row r="1443" spans="1:14" s="5" customFormat="1" ht="15" customHeight="1" x14ac:dyDescent="0.25">
      <c r="A1443" s="9" t="s">
        <v>2876</v>
      </c>
      <c r="C1443" s="9" t="str">
        <f>HYPERLINK("http://www.ncbi.nlm.nih.gov/protein/25141330","Cpne1")</f>
        <v>Cpne1</v>
      </c>
      <c r="D1443" s="10">
        <f t="shared" si="22"/>
        <v>5.0891610075914384</v>
      </c>
      <c r="F1443" s="8" t="str">
        <f>HYPERLINK("https://esbl.nhlbi.nih.gov/Databases/mpkFractions/proteomic_fractions_log_files/Yang_log_img/25141330.jpg","show blot")</f>
        <v>show blot</v>
      </c>
      <c r="H1443" s="8" t="str">
        <f>HYPERLINK("https://esbl.nhlbi.nih.gov/Databases/mpkFractions/proteomic_fractions_linear_files/Yang_linear_img/25141330.jpg","show blot")</f>
        <v>show blot</v>
      </c>
      <c r="J1443" s="5" t="s">
        <v>2877</v>
      </c>
      <c r="L1443" s="11">
        <v>5.0891610075914384</v>
      </c>
      <c r="N1443" s="12"/>
    </row>
    <row r="1444" spans="1:14" s="5" customFormat="1" ht="15" customHeight="1" x14ac:dyDescent="0.25">
      <c r="A1444" s="9" t="s">
        <v>2878</v>
      </c>
      <c r="C1444" s="9" t="str">
        <f>HYPERLINK("http://www.ncbi.nlm.nih.gov/protein/23943807","Cpne2")</f>
        <v>Cpne2</v>
      </c>
      <c r="D1444" s="10">
        <f t="shared" si="22"/>
        <v>4.9379697827515603</v>
      </c>
      <c r="F1444" s="8" t="str">
        <f>HYPERLINK("https://esbl.nhlbi.nih.gov/Databases/mpkFractions/proteomic_fractions_log_files/Yang_log_img/23943807.jpg","show blot")</f>
        <v>show blot</v>
      </c>
      <c r="H1444" s="8" t="str">
        <f>HYPERLINK("https://esbl.nhlbi.nih.gov/Databases/mpkFractions/proteomic_fractions_linear_files/Yang_linear_img/23943807.jpg","show blot")</f>
        <v>show blot</v>
      </c>
      <c r="J1444" s="5" t="s">
        <v>2879</v>
      </c>
      <c r="L1444" s="11">
        <v>4.9379697827515603</v>
      </c>
      <c r="N1444" s="12"/>
    </row>
    <row r="1445" spans="1:14" s="5" customFormat="1" ht="15" customHeight="1" x14ac:dyDescent="0.25">
      <c r="A1445" s="9" t="s">
        <v>2880</v>
      </c>
      <c r="C1445" s="9" t="str">
        <f>HYPERLINK("http://www.ncbi.nlm.nih.gov/protein/25141335","Cpne3")</f>
        <v>Cpne3</v>
      </c>
      <c r="D1445" s="10">
        <f t="shared" si="22"/>
        <v>5.2891365355129247</v>
      </c>
      <c r="F1445" s="8" t="str">
        <f>HYPERLINK("https://esbl.nhlbi.nih.gov/Databases/mpkFractions/proteomic_fractions_log_files/Yang_log_img/25141335.jpg","show blot")</f>
        <v>show blot</v>
      </c>
      <c r="H1445" s="8" t="str">
        <f>HYPERLINK("https://esbl.nhlbi.nih.gov/Databases/mpkFractions/proteomic_fractions_linear_files/Yang_linear_img/25141335.jpg","show blot")</f>
        <v>show blot</v>
      </c>
      <c r="J1445" s="5" t="s">
        <v>2881</v>
      </c>
      <c r="L1445" s="11">
        <v>5.2891365355129247</v>
      </c>
      <c r="N1445" s="12"/>
    </row>
    <row r="1446" spans="1:14" s="5" customFormat="1" ht="15" customHeight="1" x14ac:dyDescent="0.25">
      <c r="A1446" s="9" t="s">
        <v>2882</v>
      </c>
      <c r="C1446" s="9" t="str">
        <f>HYPERLINK("http://www.ncbi.nlm.nih.gov/protein/58037333","Cpne4")</f>
        <v>Cpne4</v>
      </c>
      <c r="D1446" s="10">
        <f t="shared" si="22"/>
        <v>4.6062537005156718</v>
      </c>
      <c r="F1446" s="8" t="str">
        <f>HYPERLINK("https://esbl.nhlbi.nih.gov/Databases/mpkFractions/proteomic_fractions_log_files/Yang_log_img/58037333.jpg","show blot")</f>
        <v>show blot</v>
      </c>
      <c r="H1446" s="8" t="str">
        <f>HYPERLINK("https://esbl.nhlbi.nih.gov/Databases/mpkFractions/proteomic_fractions_linear_files/Yang_linear_img/58037333.jpg","show blot")</f>
        <v>show blot</v>
      </c>
      <c r="J1446" s="5" t="s">
        <v>2883</v>
      </c>
      <c r="L1446" s="11">
        <v>4.6062537005156718</v>
      </c>
      <c r="N1446" s="12"/>
    </row>
    <row r="1447" spans="1:14" s="5" customFormat="1" ht="15" customHeight="1" x14ac:dyDescent="0.25">
      <c r="A1447" s="9" t="s">
        <v>2884</v>
      </c>
      <c r="C1447" s="9" t="str">
        <f>HYPERLINK("http://www.ncbi.nlm.nih.gov/protein/23346611","Cpne5")</f>
        <v>Cpne5</v>
      </c>
      <c r="D1447" s="10">
        <f t="shared" si="22"/>
        <v>4.6412755742056957</v>
      </c>
      <c r="F1447" s="8" t="str">
        <f>HYPERLINK("https://esbl.nhlbi.nih.gov/Databases/mpkFractions/proteomic_fractions_log_files/Yang_log_img/23346611.jpg","show blot")</f>
        <v>show blot</v>
      </c>
      <c r="H1447" s="8" t="str">
        <f>HYPERLINK("https://esbl.nhlbi.nih.gov/Databases/mpkFractions/proteomic_fractions_linear_files/Yang_linear_img/23346611.jpg","show blot")</f>
        <v>show blot</v>
      </c>
      <c r="J1447" s="5" t="s">
        <v>2885</v>
      </c>
      <c r="L1447" s="11">
        <v>4.6412755742056957</v>
      </c>
      <c r="N1447" s="12"/>
    </row>
    <row r="1448" spans="1:14" s="5" customFormat="1" ht="15" customHeight="1" x14ac:dyDescent="0.25">
      <c r="A1448" s="9" t="s">
        <v>2886</v>
      </c>
      <c r="C1448" s="9" t="str">
        <f>HYPERLINK("http://www.ncbi.nlm.nih.gov/protein/226052679","Cpne6")</f>
        <v>Cpne6</v>
      </c>
      <c r="D1448" s="10">
        <f t="shared" si="22"/>
        <v>4.6062537005156718</v>
      </c>
      <c r="F1448" s="8" t="str">
        <f>HYPERLINK("https://esbl.nhlbi.nih.gov/Databases/mpkFractions/proteomic_fractions_log_files/Yang_log_img/226052679.jpg","show blot")</f>
        <v>show blot</v>
      </c>
      <c r="H1448" s="8" t="str">
        <f>HYPERLINK("https://esbl.nhlbi.nih.gov/Databases/mpkFractions/proteomic_fractions_linear_files/Yang_linear_img/226052679.jpg","show blot")</f>
        <v>show blot</v>
      </c>
      <c r="J1448" s="5" t="s">
        <v>2887</v>
      </c>
      <c r="L1448" s="11">
        <v>4.6062537005156718</v>
      </c>
      <c r="N1448" s="12"/>
    </row>
    <row r="1449" spans="1:14" s="5" customFormat="1" ht="15" customHeight="1" x14ac:dyDescent="0.25">
      <c r="A1449" s="9" t="s">
        <v>2888</v>
      </c>
      <c r="C1449" s="9" t="str">
        <f>HYPERLINK("http://www.ncbi.nlm.nih.gov/protein/6753510","Cpne6")</f>
        <v>Cpne6</v>
      </c>
      <c r="D1449" s="10">
        <f t="shared" si="22"/>
        <v>4.6062537005156718</v>
      </c>
      <c r="F1449" s="8" t="str">
        <f>HYPERLINK("https://esbl.nhlbi.nih.gov/Databases/mpkFractions/proteomic_fractions_log_files/Yang_log_img/6753510.jpg","show blot")</f>
        <v>show blot</v>
      </c>
      <c r="H1449" s="8" t="str">
        <f>HYPERLINK("https://esbl.nhlbi.nih.gov/Databases/mpkFractions/proteomic_fractions_linear_files/Yang_linear_img/6753510.jpg","show blot")</f>
        <v>show blot</v>
      </c>
      <c r="J1449" s="5" t="s">
        <v>2889</v>
      </c>
      <c r="L1449" s="11">
        <v>4.6062537005156718</v>
      </c>
      <c r="N1449" s="12"/>
    </row>
    <row r="1450" spans="1:14" s="5" customFormat="1" ht="15" customHeight="1" x14ac:dyDescent="0.25">
      <c r="A1450" s="9" t="s">
        <v>2890</v>
      </c>
      <c r="C1450" s="9" t="str">
        <f>HYPERLINK("http://www.ncbi.nlm.nih.gov/protein/25470894","Cpne7")</f>
        <v>Cpne7</v>
      </c>
      <c r="D1450" s="10">
        <f t="shared" si="22"/>
        <v>4.6062537005156718</v>
      </c>
      <c r="F1450" s="8" t="str">
        <f>HYPERLINK("https://esbl.nhlbi.nih.gov/Databases/mpkFractions/proteomic_fractions_log_files/Yang_log_img/25470894.jpg","show blot")</f>
        <v>show blot</v>
      </c>
      <c r="H1450" s="8" t="str">
        <f>HYPERLINK("https://esbl.nhlbi.nih.gov/Databases/mpkFractions/proteomic_fractions_linear_files/Yang_linear_img/25470894.jpg","show blot")</f>
        <v>show blot</v>
      </c>
      <c r="J1450" s="5" t="s">
        <v>2891</v>
      </c>
      <c r="L1450" s="11">
        <v>4.6062537005156718</v>
      </c>
      <c r="N1450" s="12"/>
    </row>
    <row r="1451" spans="1:14" s="5" customFormat="1" ht="15" customHeight="1" x14ac:dyDescent="0.25">
      <c r="A1451" s="9" t="s">
        <v>2892</v>
      </c>
      <c r="C1451" s="9" t="str">
        <f>HYPERLINK("http://www.ncbi.nlm.nih.gov/protein/76563928","Cpne8")</f>
        <v>Cpne8</v>
      </c>
      <c r="D1451" s="10">
        <f t="shared" si="22"/>
        <v>5.5573594367891896</v>
      </c>
      <c r="F1451" s="8" t="str">
        <f>HYPERLINK("https://esbl.nhlbi.nih.gov/Databases/mpkFractions/proteomic_fractions_log_files/Yang_log_img/76563928.jpg","show blot")</f>
        <v>show blot</v>
      </c>
      <c r="H1451" s="8" t="str">
        <f>HYPERLINK("https://esbl.nhlbi.nih.gov/Databases/mpkFractions/proteomic_fractions_linear_files/Yang_linear_img/76563928.jpg","show blot")</f>
        <v>show blot</v>
      </c>
      <c r="J1451" s="5" t="s">
        <v>2893</v>
      </c>
      <c r="L1451" s="11">
        <v>5.5573594367891896</v>
      </c>
      <c r="N1451" s="12"/>
    </row>
    <row r="1452" spans="1:14" s="5" customFormat="1" ht="15" customHeight="1" x14ac:dyDescent="0.25">
      <c r="A1452" s="9" t="s">
        <v>2894</v>
      </c>
      <c r="C1452" s="9" t="str">
        <f>HYPERLINK("http://www.ncbi.nlm.nih.gov/protein/21630253","Cpne8")</f>
        <v>Cpne8</v>
      </c>
      <c r="D1452" s="10">
        <f t="shared" si="22"/>
        <v>5.5573594367891896</v>
      </c>
      <c r="F1452" s="8" t="str">
        <f>HYPERLINK("https://esbl.nhlbi.nih.gov/Databases/mpkFractions/proteomic_fractions_log_files/Yang_log_img/21630253.jpg","show blot")</f>
        <v>show blot</v>
      </c>
      <c r="H1452" s="8" t="str">
        <f>HYPERLINK("https://esbl.nhlbi.nih.gov/Databases/mpkFractions/proteomic_fractions_linear_files/Yang_linear_img/21630253.jpg","show blot")</f>
        <v>show blot</v>
      </c>
      <c r="J1452" s="5" t="s">
        <v>2895</v>
      </c>
      <c r="L1452" s="11">
        <v>5.5573594367891896</v>
      </c>
      <c r="N1452" s="12"/>
    </row>
    <row r="1453" spans="1:14" s="5" customFormat="1" ht="15" customHeight="1" x14ac:dyDescent="0.25">
      <c r="A1453" s="9" t="s">
        <v>2896</v>
      </c>
      <c r="C1453" s="9" t="str">
        <f>HYPERLINK("http://www.ncbi.nlm.nih.gov/protein/28416905","Cpne9")</f>
        <v>Cpne9</v>
      </c>
      <c r="D1453" s="10">
        <f t="shared" si="22"/>
        <v>4.661797241350297</v>
      </c>
      <c r="F1453" s="8" t="str">
        <f>HYPERLINK("https://esbl.nhlbi.nih.gov/Databases/mpkFractions/proteomic_fractions_log_files/Yang_log_img/28416905.jpg","show blot")</f>
        <v>show blot</v>
      </c>
      <c r="H1453" s="8" t="str">
        <f>HYPERLINK("https://esbl.nhlbi.nih.gov/Databases/mpkFractions/proteomic_fractions_linear_files/Yang_linear_img/28416905.jpg","show blot")</f>
        <v>show blot</v>
      </c>
      <c r="J1453" s="5" t="s">
        <v>2897</v>
      </c>
      <c r="L1453" s="11">
        <v>4.661797241350297</v>
      </c>
      <c r="N1453" s="12"/>
    </row>
    <row r="1454" spans="1:14" s="5" customFormat="1" ht="15" customHeight="1" x14ac:dyDescent="0.25">
      <c r="A1454" s="9" t="s">
        <v>2898</v>
      </c>
      <c r="C1454" s="9" t="str">
        <f>HYPERLINK("http://www.ncbi.nlm.nih.gov/protein/161484660","Cpox")</f>
        <v>Cpox</v>
      </c>
      <c r="D1454" s="10">
        <f t="shared" si="22"/>
        <v>5.1191646860681157</v>
      </c>
      <c r="F1454" s="8" t="str">
        <f>HYPERLINK("https://esbl.nhlbi.nih.gov/Databases/mpkFractions/proteomic_fractions_log_files/Yang_log_img/161484660.jpg","show blot")</f>
        <v>show blot</v>
      </c>
      <c r="H1454" s="8" t="str">
        <f>HYPERLINK("https://esbl.nhlbi.nih.gov/Databases/mpkFractions/proteomic_fractions_linear_files/Yang_linear_img/161484660.jpg","show blot")</f>
        <v>show blot</v>
      </c>
      <c r="J1454" s="5" t="s">
        <v>2899</v>
      </c>
      <c r="L1454" s="11">
        <v>5.1191646860681157</v>
      </c>
      <c r="N1454" s="12"/>
    </row>
    <row r="1455" spans="1:14" s="5" customFormat="1" ht="15" customHeight="1" x14ac:dyDescent="0.25">
      <c r="A1455" s="9" t="s">
        <v>2900</v>
      </c>
      <c r="C1455" s="9" t="str">
        <f>HYPERLINK("http://www.ncbi.nlm.nih.gov/protein/31981882","Cpped1")</f>
        <v>Cpped1</v>
      </c>
      <c r="D1455" s="10">
        <f t="shared" si="22"/>
        <v>5.1574344117361894</v>
      </c>
      <c r="F1455" s="8" t="str">
        <f>HYPERLINK("https://esbl.nhlbi.nih.gov/Databases/mpkFractions/proteomic_fractions_log_files/Yang_log_img/31981882.jpg","show blot")</f>
        <v>show blot</v>
      </c>
      <c r="H1455" s="8" t="str">
        <f>HYPERLINK("https://esbl.nhlbi.nih.gov/Databases/mpkFractions/proteomic_fractions_linear_files/Yang_linear_img/31981882.jpg","show blot")</f>
        <v>show blot</v>
      </c>
      <c r="J1455" s="5" t="s">
        <v>2901</v>
      </c>
      <c r="L1455" s="11">
        <v>5.1574344117361894</v>
      </c>
      <c r="N1455" s="12"/>
    </row>
    <row r="1456" spans="1:14" s="5" customFormat="1" ht="15" customHeight="1" x14ac:dyDescent="0.25">
      <c r="A1456" s="9" t="s">
        <v>2902</v>
      </c>
      <c r="C1456" s="9" t="str">
        <f>HYPERLINK("http://www.ncbi.nlm.nih.gov/protein/124248512","Cps1")</f>
        <v>Cps1</v>
      </c>
      <c r="D1456" s="10">
        <f t="shared" si="22"/>
        <v>3.207062423686466</v>
      </c>
      <c r="F1456" s="8" t="str">
        <f>HYPERLINK("https://esbl.nhlbi.nih.gov/Databases/mpkFractions/proteomic_fractions_log_files/Yang_log_img/124248512.jpg","show blot")</f>
        <v>show blot</v>
      </c>
      <c r="H1456" s="8" t="str">
        <f>HYPERLINK("https://esbl.nhlbi.nih.gov/Databases/mpkFractions/proteomic_fractions_linear_files/Yang_linear_img/124248512.jpg","show blot")</f>
        <v>show blot</v>
      </c>
      <c r="J1456" s="5" t="s">
        <v>2903</v>
      </c>
      <c r="L1456" s="11">
        <v>3.207062423686466</v>
      </c>
      <c r="N1456" s="12"/>
    </row>
    <row r="1457" spans="1:14" s="5" customFormat="1" ht="15" customHeight="1" x14ac:dyDescent="0.25">
      <c r="A1457" s="9" t="s">
        <v>2904</v>
      </c>
      <c r="C1457" s="9" t="str">
        <f>HYPERLINK("http://www.ncbi.nlm.nih.gov/protein/16751835","Cpsf1")</f>
        <v>Cpsf1</v>
      </c>
      <c r="D1457" s="10">
        <f t="shared" si="22"/>
        <v>3.593574394172844</v>
      </c>
      <c r="F1457" s="8" t="str">
        <f>HYPERLINK("https://esbl.nhlbi.nih.gov/Databases/mpkFractions/proteomic_fractions_log_files/Yang_log_img/16751835.jpg","show blot")</f>
        <v>show blot</v>
      </c>
      <c r="H1457" s="8" t="str">
        <f>HYPERLINK("https://esbl.nhlbi.nih.gov/Databases/mpkFractions/proteomic_fractions_linear_files/Yang_linear_img/16751835.jpg","show blot")</f>
        <v>show blot</v>
      </c>
      <c r="J1457" s="5" t="s">
        <v>2905</v>
      </c>
      <c r="L1457" s="11">
        <v>3.593574394172844</v>
      </c>
      <c r="N1457" s="12"/>
    </row>
    <row r="1458" spans="1:14" s="5" customFormat="1" ht="15" customHeight="1" x14ac:dyDescent="0.25">
      <c r="A1458" s="9" t="s">
        <v>2906</v>
      </c>
      <c r="C1458" s="9" t="str">
        <f>HYPERLINK("http://www.ncbi.nlm.nih.gov/protein/255918233","Cpsf1")</f>
        <v>Cpsf1</v>
      </c>
      <c r="D1458" s="10">
        <f t="shared" si="22"/>
        <v>3.593574394172844</v>
      </c>
      <c r="F1458" s="8" t="str">
        <f>HYPERLINK("https://esbl.nhlbi.nih.gov/Databases/mpkFractions/proteomic_fractions_log_files/Yang_log_img/255918233.jpg","show blot")</f>
        <v>show blot</v>
      </c>
      <c r="H1458" s="8" t="str">
        <f>HYPERLINK("https://esbl.nhlbi.nih.gov/Databases/mpkFractions/proteomic_fractions_linear_files/Yang_linear_img/255918233.jpg","show blot")</f>
        <v>show blot</v>
      </c>
      <c r="J1458" s="5" t="s">
        <v>2907</v>
      </c>
      <c r="L1458" s="11">
        <v>3.593574394172844</v>
      </c>
      <c r="N1458" s="12"/>
    </row>
    <row r="1459" spans="1:14" s="5" customFormat="1" ht="15" customHeight="1" x14ac:dyDescent="0.25">
      <c r="A1459" s="9" t="s">
        <v>2908</v>
      </c>
      <c r="C1459" s="9" t="str">
        <f>HYPERLINK("http://www.ncbi.nlm.nih.gov/protein/8393762","Cpsf2")</f>
        <v>Cpsf2</v>
      </c>
      <c r="D1459" s="10">
        <f t="shared" si="22"/>
        <v>4.370653332026647</v>
      </c>
      <c r="F1459" s="8" t="str">
        <f>HYPERLINK("https://esbl.nhlbi.nih.gov/Databases/mpkFractions/proteomic_fractions_log_files/Yang_log_img/8393762.jpg","show blot")</f>
        <v>show blot</v>
      </c>
      <c r="H1459" s="8" t="str">
        <f>HYPERLINK("https://esbl.nhlbi.nih.gov/Databases/mpkFractions/proteomic_fractions_linear_files/Yang_linear_img/8393762.jpg","show blot")</f>
        <v>show blot</v>
      </c>
      <c r="J1459" s="5" t="s">
        <v>2909</v>
      </c>
      <c r="L1459" s="11">
        <v>4.370653332026647</v>
      </c>
      <c r="N1459" s="12"/>
    </row>
    <row r="1460" spans="1:14" s="5" customFormat="1" ht="15" customHeight="1" x14ac:dyDescent="0.25">
      <c r="A1460" s="9" t="s">
        <v>2910</v>
      </c>
      <c r="C1460" s="9" t="str">
        <f>HYPERLINK("http://www.ncbi.nlm.nih.gov/protein/31980904","Cpsf3")</f>
        <v>Cpsf3</v>
      </c>
      <c r="D1460" s="10">
        <f t="shared" si="22"/>
        <v>4.3622548074744687</v>
      </c>
      <c r="F1460" s="8" t="str">
        <f>HYPERLINK("https://esbl.nhlbi.nih.gov/Databases/mpkFractions/proteomic_fractions_log_files/Yang_log_img/31980904.jpg","show blot")</f>
        <v>show blot</v>
      </c>
      <c r="H1460" s="8" t="str">
        <f>HYPERLINK("https://esbl.nhlbi.nih.gov/Databases/mpkFractions/proteomic_fractions_linear_files/Yang_linear_img/31980904.jpg","show blot")</f>
        <v>show blot</v>
      </c>
      <c r="J1460" s="5" t="s">
        <v>2911</v>
      </c>
      <c r="L1460" s="11">
        <v>4.3622548074744687</v>
      </c>
      <c r="N1460" s="12"/>
    </row>
    <row r="1461" spans="1:14" s="5" customFormat="1" ht="15" customHeight="1" x14ac:dyDescent="0.25">
      <c r="A1461" s="9" t="s">
        <v>2912</v>
      </c>
      <c r="C1461" s="9" t="str">
        <f>HYPERLINK("http://www.ncbi.nlm.nih.gov/protein/21312614","Cpsf3l")</f>
        <v>Cpsf3l</v>
      </c>
      <c r="D1461" s="10">
        <f t="shared" si="22"/>
        <v>3.9213967307689561</v>
      </c>
      <c r="F1461" s="8" t="str">
        <f>HYPERLINK("https://esbl.nhlbi.nih.gov/Databases/mpkFractions/proteomic_fractions_log_files/Yang_log_img/21312614.jpg","show blot")</f>
        <v>show blot</v>
      </c>
      <c r="H1461" s="8" t="str">
        <f>HYPERLINK("https://esbl.nhlbi.nih.gov/Databases/mpkFractions/proteomic_fractions_linear_files/Yang_linear_img/21312614.jpg","show blot")</f>
        <v>show blot</v>
      </c>
      <c r="J1461" s="5" t="s">
        <v>2913</v>
      </c>
      <c r="L1461" s="11">
        <v>3.9213967307689561</v>
      </c>
      <c r="N1461" s="12"/>
    </row>
    <row r="1462" spans="1:14" s="5" customFormat="1" ht="15" customHeight="1" x14ac:dyDescent="0.25">
      <c r="A1462" s="9" t="s">
        <v>2914</v>
      </c>
      <c r="C1462" s="9" t="str">
        <f>HYPERLINK("http://www.ncbi.nlm.nih.gov/protein/62909983","Cpsf6")</f>
        <v>Cpsf6</v>
      </c>
      <c r="D1462" s="10">
        <f t="shared" si="22"/>
        <v>4.8109130947653274</v>
      </c>
      <c r="F1462" s="8" t="str">
        <f>HYPERLINK("https://esbl.nhlbi.nih.gov/Databases/mpkFractions/proteomic_fractions_log_files/Yang_log_img/62909983.jpg","show blot")</f>
        <v>show blot</v>
      </c>
      <c r="H1462" s="8" t="str">
        <f>HYPERLINK("https://esbl.nhlbi.nih.gov/Databases/mpkFractions/proteomic_fractions_linear_files/Yang_linear_img/62909983.jpg","show blot")</f>
        <v>show blot</v>
      </c>
      <c r="J1462" s="5" t="s">
        <v>2915</v>
      </c>
      <c r="L1462" s="11">
        <v>4.8109130947653274</v>
      </c>
      <c r="N1462" s="12"/>
    </row>
    <row r="1463" spans="1:14" s="5" customFormat="1" ht="15" customHeight="1" x14ac:dyDescent="0.25">
      <c r="A1463" s="9" t="s">
        <v>2916</v>
      </c>
      <c r="C1463" s="9" t="str">
        <f>HYPERLINK("http://www.ncbi.nlm.nih.gov/protein/256665243","Cpsf7")</f>
        <v>Cpsf7</v>
      </c>
      <c r="D1463" s="10">
        <f t="shared" si="22"/>
        <v>4.8028556377198521</v>
      </c>
      <c r="F1463" s="8" t="str">
        <f>HYPERLINK("https://esbl.nhlbi.nih.gov/Databases/mpkFractions/proteomic_fractions_log_files/Yang_log_img/256665243.jpg","show blot")</f>
        <v>show blot</v>
      </c>
      <c r="H1463" s="8" t="str">
        <f>HYPERLINK("https://esbl.nhlbi.nih.gov/Databases/mpkFractions/proteomic_fractions_linear_files/Yang_linear_img/256665243.jpg","show blot")</f>
        <v>show blot</v>
      </c>
      <c r="J1463" s="5" t="s">
        <v>2917</v>
      </c>
      <c r="L1463" s="11">
        <v>4.8028556377198521</v>
      </c>
      <c r="N1463" s="12"/>
    </row>
    <row r="1464" spans="1:14" s="5" customFormat="1" ht="15" customHeight="1" x14ac:dyDescent="0.25">
      <c r="A1464" s="9" t="s">
        <v>2918</v>
      </c>
      <c r="C1464" s="9" t="str">
        <f>HYPERLINK("http://www.ncbi.nlm.nih.gov/protein/256665245","Cpsf7")</f>
        <v>Cpsf7</v>
      </c>
      <c r="D1464" s="10">
        <f t="shared" si="22"/>
        <v>4.8028556377198521</v>
      </c>
      <c r="F1464" s="8" t="str">
        <f>HYPERLINK("https://esbl.nhlbi.nih.gov/Databases/mpkFractions/proteomic_fractions_log_files/Yang_log_img/256665245.jpg","show blot")</f>
        <v>show blot</v>
      </c>
      <c r="H1464" s="8" t="str">
        <f>HYPERLINK("https://esbl.nhlbi.nih.gov/Databases/mpkFractions/proteomic_fractions_linear_files/Yang_linear_img/256665245.jpg","show blot")</f>
        <v>show blot</v>
      </c>
      <c r="J1464" s="5" t="s">
        <v>2919</v>
      </c>
      <c r="L1464" s="11">
        <v>4.8028556377198521</v>
      </c>
      <c r="N1464" s="12"/>
    </row>
    <row r="1465" spans="1:14" s="5" customFormat="1" ht="15" customHeight="1" x14ac:dyDescent="0.25">
      <c r="A1465" s="9" t="s">
        <v>2920</v>
      </c>
      <c r="C1465" s="9" t="str">
        <f>HYPERLINK("http://www.ncbi.nlm.nih.gov/protein/162287142","Cpt1a")</f>
        <v>Cpt1a</v>
      </c>
      <c r="D1465" s="10">
        <f t="shared" si="22"/>
        <v>5.5170821093055178</v>
      </c>
      <c r="F1465" s="8" t="str">
        <f>HYPERLINK("https://esbl.nhlbi.nih.gov/Databases/mpkFractions/proteomic_fractions_log_files/Yang_log_img/162287142.jpg","show blot")</f>
        <v>show blot</v>
      </c>
      <c r="H1465" s="8" t="str">
        <f>HYPERLINK("https://esbl.nhlbi.nih.gov/Databases/mpkFractions/proteomic_fractions_linear_files/Yang_linear_img/162287142.jpg","show blot")</f>
        <v>show blot</v>
      </c>
      <c r="J1465" s="5" t="s">
        <v>2921</v>
      </c>
      <c r="L1465" s="11">
        <v>5.5170821093055178</v>
      </c>
      <c r="N1465" s="12"/>
    </row>
    <row r="1466" spans="1:14" s="5" customFormat="1" ht="15" customHeight="1" x14ac:dyDescent="0.25">
      <c r="A1466" s="9" t="s">
        <v>2922</v>
      </c>
      <c r="C1466" s="9" t="str">
        <f>HYPERLINK("http://www.ncbi.nlm.nih.gov/protein/162287165","Cpt1b")</f>
        <v>Cpt1b</v>
      </c>
      <c r="D1466" s="10">
        <f t="shared" si="22"/>
        <v>4.1151868862658789</v>
      </c>
      <c r="F1466" s="8" t="str">
        <f>HYPERLINK("https://esbl.nhlbi.nih.gov/Databases/mpkFractions/proteomic_fractions_log_files/Yang_log_img/162287165.jpg","show blot")</f>
        <v>show blot</v>
      </c>
      <c r="H1466" s="8" t="str">
        <f>HYPERLINK("https://esbl.nhlbi.nih.gov/Databases/mpkFractions/proteomic_fractions_linear_files/Yang_linear_img/162287165.jpg","show blot")</f>
        <v>show blot</v>
      </c>
      <c r="J1466" s="5" t="s">
        <v>2923</v>
      </c>
      <c r="L1466" s="11">
        <v>4.1151868862658789</v>
      </c>
      <c r="N1466" s="12"/>
    </row>
    <row r="1467" spans="1:14" s="5" customFormat="1" ht="15" customHeight="1" x14ac:dyDescent="0.25">
      <c r="A1467" s="9" t="s">
        <v>2924</v>
      </c>
      <c r="C1467" s="9" t="str">
        <f>HYPERLINK("http://www.ncbi.nlm.nih.gov/protein/162138915","Cpt2")</f>
        <v>Cpt2</v>
      </c>
      <c r="D1467" s="10">
        <f t="shared" si="22"/>
        <v>4.4918534657179006</v>
      </c>
      <c r="F1467" s="8" t="str">
        <f>HYPERLINK("https://esbl.nhlbi.nih.gov/Databases/mpkFractions/proteomic_fractions_log_files/Yang_log_img/162138915.jpg","show blot")</f>
        <v>show blot</v>
      </c>
      <c r="H1467" s="8" t="str">
        <f>HYPERLINK("https://esbl.nhlbi.nih.gov/Databases/mpkFractions/proteomic_fractions_linear_files/Yang_linear_img/162138915.jpg","show blot")</f>
        <v>show blot</v>
      </c>
      <c r="J1467" s="5" t="s">
        <v>2925</v>
      </c>
      <c r="L1467" s="11">
        <v>4.4918534657179006</v>
      </c>
      <c r="N1467" s="12"/>
    </row>
    <row r="1468" spans="1:14" s="5" customFormat="1" ht="15" customHeight="1" x14ac:dyDescent="0.25">
      <c r="A1468" s="9" t="s">
        <v>2926</v>
      </c>
      <c r="C1468" s="9" t="str">
        <f>HYPERLINK("http://www.ncbi.nlm.nih.gov/protein/52426750","Cr1l")</f>
        <v>Cr1l</v>
      </c>
      <c r="D1468" s="10">
        <f t="shared" si="22"/>
        <v>4.2055051452769368</v>
      </c>
      <c r="F1468" s="8" t="str">
        <f>HYPERLINK("https://esbl.nhlbi.nih.gov/Databases/mpkFractions/proteomic_fractions_log_files/Yang_log_img/52426750.jpg","show blot")</f>
        <v>show blot</v>
      </c>
      <c r="H1468" s="8" t="str">
        <f>HYPERLINK("https://esbl.nhlbi.nih.gov/Databases/mpkFractions/proteomic_fractions_linear_files/Yang_linear_img/52426750.jpg","show blot")</f>
        <v>show blot</v>
      </c>
      <c r="J1468" s="5" t="s">
        <v>2927</v>
      </c>
      <c r="L1468" s="11">
        <v>4.2055051452769368</v>
      </c>
      <c r="N1468" s="12"/>
    </row>
    <row r="1469" spans="1:14" s="5" customFormat="1" ht="15" customHeight="1" x14ac:dyDescent="0.25">
      <c r="A1469" s="9" t="s">
        <v>2928</v>
      </c>
      <c r="C1469" s="9" t="str">
        <f>HYPERLINK("http://www.ncbi.nlm.nih.gov/protein/7304975","Crabp1")</f>
        <v>Crabp1</v>
      </c>
      <c r="D1469" s="10">
        <f t="shared" si="22"/>
        <v>5.7538299936853683</v>
      </c>
      <c r="F1469" s="8" t="str">
        <f>HYPERLINK("https://esbl.nhlbi.nih.gov/Databases/mpkFractions/proteomic_fractions_log_files/Yang_log_img/7304975.jpg","show blot")</f>
        <v>show blot</v>
      </c>
      <c r="H1469" s="8" t="str">
        <f>HYPERLINK("https://esbl.nhlbi.nih.gov/Databases/mpkFractions/proteomic_fractions_linear_files/Yang_linear_img/7304975.jpg","show blot")</f>
        <v>show blot</v>
      </c>
      <c r="J1469" s="5" t="s">
        <v>2929</v>
      </c>
      <c r="L1469" s="11">
        <v>5.7538299936853683</v>
      </c>
      <c r="N1469" s="12"/>
    </row>
    <row r="1470" spans="1:14" s="5" customFormat="1" ht="15" customHeight="1" x14ac:dyDescent="0.25">
      <c r="A1470" s="9" t="s">
        <v>2930</v>
      </c>
      <c r="C1470" s="9" t="str">
        <f>HYPERLINK("http://www.ncbi.nlm.nih.gov/protein/33469075","Crabp2")</f>
        <v>Crabp2</v>
      </c>
      <c r="D1470" s="10">
        <f t="shared" si="22"/>
        <v>6.3132348163036847</v>
      </c>
      <c r="F1470" s="8" t="str">
        <f>HYPERLINK("https://esbl.nhlbi.nih.gov/Databases/mpkFractions/proteomic_fractions_log_files/Yang_log_img/33469075.jpg","show blot")</f>
        <v>show blot</v>
      </c>
      <c r="H1470" s="8" t="str">
        <f>HYPERLINK("https://esbl.nhlbi.nih.gov/Databases/mpkFractions/proteomic_fractions_linear_files/Yang_linear_img/33469075.jpg","show blot")</f>
        <v>show blot</v>
      </c>
      <c r="J1470" s="5" t="s">
        <v>2931</v>
      </c>
      <c r="L1470" s="11">
        <v>6.3132348163036847</v>
      </c>
      <c r="N1470" s="12"/>
    </row>
    <row r="1471" spans="1:14" s="5" customFormat="1" ht="15" customHeight="1" x14ac:dyDescent="0.25">
      <c r="A1471" s="9" t="s">
        <v>2932</v>
      </c>
      <c r="C1471" s="9" t="str">
        <f>HYPERLINK("http://www.ncbi.nlm.nih.gov/protein/85662408","Crat")</f>
        <v>Crat</v>
      </c>
      <c r="D1471" s="10">
        <f t="shared" si="22"/>
        <v>3.4481162158298622</v>
      </c>
      <c r="F1471" s="8" t="str">
        <f>HYPERLINK("https://esbl.nhlbi.nih.gov/Databases/mpkFractions/proteomic_fractions_log_files/Yang_log_img/85662408.jpg","show blot")</f>
        <v>show blot</v>
      </c>
      <c r="H1471" s="8" t="str">
        <f>HYPERLINK("https://esbl.nhlbi.nih.gov/Databases/mpkFractions/proteomic_fractions_linear_files/Yang_linear_img/85662408.jpg","show blot")</f>
        <v>show blot</v>
      </c>
      <c r="J1471" s="5" t="s">
        <v>2933</v>
      </c>
      <c r="L1471" s="11">
        <v>3.4481162158298622</v>
      </c>
      <c r="N1471" s="12"/>
    </row>
    <row r="1472" spans="1:14" s="5" customFormat="1" ht="15" customHeight="1" x14ac:dyDescent="0.25">
      <c r="A1472" s="9" t="s">
        <v>2934</v>
      </c>
      <c r="C1472" s="9" t="str">
        <f>HYPERLINK("http://www.ncbi.nlm.nih.gov/protein/29244038","Crb3")</f>
        <v>Crb3</v>
      </c>
      <c r="D1472" s="10">
        <f t="shared" si="22"/>
        <v>3.7000621149906072</v>
      </c>
      <c r="F1472" s="8" t="str">
        <f>HYPERLINK("https://esbl.nhlbi.nih.gov/Databases/mpkFractions/proteomic_fractions_log_files/Yang_log_img/29244038.jpg","show blot")</f>
        <v>show blot</v>
      </c>
      <c r="H1472" s="8" t="str">
        <f>HYPERLINK("https://esbl.nhlbi.nih.gov/Databases/mpkFractions/proteomic_fractions_linear_files/Yang_linear_img/29244038.jpg","show blot")</f>
        <v>show blot</v>
      </c>
      <c r="J1472" s="5" t="s">
        <v>2935</v>
      </c>
      <c r="L1472" s="11">
        <v>3.7000621149906072</v>
      </c>
      <c r="N1472" s="12"/>
    </row>
    <row r="1473" spans="1:14" s="5" customFormat="1" ht="15" customHeight="1" x14ac:dyDescent="0.25">
      <c r="A1473" s="9" t="s">
        <v>2936</v>
      </c>
      <c r="C1473" s="9" t="str">
        <f>HYPERLINK("http://www.ncbi.nlm.nih.gov/protein/28202023","Crbn")</f>
        <v>Crbn</v>
      </c>
      <c r="D1473" s="10">
        <f t="shared" si="22"/>
        <v>5.1346604778346494</v>
      </c>
      <c r="F1473" s="8" t="str">
        <f>HYPERLINK("https://esbl.nhlbi.nih.gov/Databases/mpkFractions/proteomic_fractions_log_files/Yang_log_img/28202023.jpg","show blot")</f>
        <v>show blot</v>
      </c>
      <c r="H1473" s="8" t="str">
        <f>HYPERLINK("https://esbl.nhlbi.nih.gov/Databases/mpkFractions/proteomic_fractions_linear_files/Yang_linear_img/28202023.jpg","show blot")</f>
        <v>show blot</v>
      </c>
      <c r="J1473" s="5" t="s">
        <v>2937</v>
      </c>
      <c r="L1473" s="11">
        <v>5.1346604778346494</v>
      </c>
      <c r="N1473" s="12"/>
    </row>
    <row r="1474" spans="1:14" s="5" customFormat="1" ht="15" customHeight="1" x14ac:dyDescent="0.25">
      <c r="A1474" s="9" t="s">
        <v>2938</v>
      </c>
      <c r="C1474" s="9" t="str">
        <f>HYPERLINK("http://www.ncbi.nlm.nih.gov/protein/90403612","Crbn")</f>
        <v>Crbn</v>
      </c>
      <c r="D1474" s="10">
        <f t="shared" si="22"/>
        <v>5.1346604778346494</v>
      </c>
      <c r="F1474" s="8" t="str">
        <f>HYPERLINK("https://esbl.nhlbi.nih.gov/Databases/mpkFractions/proteomic_fractions_log_files/Yang_log_img/90403612.jpg","show blot")</f>
        <v>show blot</v>
      </c>
      <c r="H1474" s="8" t="str">
        <f>HYPERLINK("https://esbl.nhlbi.nih.gov/Databases/mpkFractions/proteomic_fractions_linear_files/Yang_linear_img/90403612.jpg","show blot")</f>
        <v>show blot</v>
      </c>
      <c r="J1474" s="5" t="s">
        <v>2939</v>
      </c>
      <c r="L1474" s="11">
        <v>5.1346604778346494</v>
      </c>
      <c r="N1474" s="12"/>
    </row>
    <row r="1475" spans="1:14" s="5" customFormat="1" ht="15" customHeight="1" x14ac:dyDescent="0.25">
      <c r="A1475" s="9" t="s">
        <v>2940</v>
      </c>
      <c r="C1475" s="9" t="str">
        <f>HYPERLINK("http://www.ncbi.nlm.nih.gov/protein/70995311","Crebbp")</f>
        <v>Crebbp</v>
      </c>
      <c r="D1475" s="10">
        <f t="shared" si="22"/>
        <v>3.2301720740875099</v>
      </c>
      <c r="F1475" s="8" t="str">
        <f>HYPERLINK("https://esbl.nhlbi.nih.gov/Databases/mpkFractions/proteomic_fractions_log_files/Yang_log_img/70995311.jpg","show blot")</f>
        <v>show blot</v>
      </c>
      <c r="H1475" s="8" t="str">
        <f>HYPERLINK("https://esbl.nhlbi.nih.gov/Databases/mpkFractions/proteomic_fractions_linear_files/Yang_linear_img/70995311.jpg","show blot")</f>
        <v>show blot</v>
      </c>
      <c r="J1475" s="5" t="s">
        <v>2941</v>
      </c>
      <c r="L1475" s="11">
        <v>3.2301720740875099</v>
      </c>
      <c r="N1475" s="12"/>
    </row>
    <row r="1476" spans="1:14" s="5" customFormat="1" ht="15" customHeight="1" x14ac:dyDescent="0.25">
      <c r="A1476" s="9" t="s">
        <v>2942</v>
      </c>
      <c r="C1476" s="9" t="str">
        <f>HYPERLINK("http://www.ncbi.nlm.nih.gov/protein/19527148","Creld1")</f>
        <v>Creld1</v>
      </c>
      <c r="D1476" s="10">
        <f t="shared" si="22"/>
        <v>3.0064660422492322</v>
      </c>
      <c r="F1476" s="8" t="str">
        <f>HYPERLINK("https://esbl.nhlbi.nih.gov/Databases/mpkFractions/proteomic_fractions_log_files/Yang_log_img/19527148.jpg","show blot")</f>
        <v>show blot</v>
      </c>
      <c r="H1476" s="8" t="str">
        <f>HYPERLINK("https://esbl.nhlbi.nih.gov/Databases/mpkFractions/proteomic_fractions_linear_files/Yang_linear_img/19527148.jpg","show blot")</f>
        <v>show blot</v>
      </c>
      <c r="J1476" s="5" t="s">
        <v>2943</v>
      </c>
      <c r="L1476" s="11">
        <v>3.0064660422492322</v>
      </c>
      <c r="N1476" s="12"/>
    </row>
    <row r="1477" spans="1:14" s="5" customFormat="1" ht="15" customHeight="1" x14ac:dyDescent="0.25">
      <c r="A1477" s="9" t="s">
        <v>2944</v>
      </c>
      <c r="C1477" s="9" t="str">
        <f>HYPERLINK("http://www.ncbi.nlm.nih.gov/protein/21313278","Creld2")</f>
        <v>Creld2</v>
      </c>
      <c r="D1477" s="10">
        <f t="shared" ref="D1477:D1540" si="23">L1477</f>
        <v>4.6593044149049643</v>
      </c>
      <c r="F1477" s="8" t="str">
        <f>HYPERLINK("https://esbl.nhlbi.nih.gov/Databases/mpkFractions/proteomic_fractions_log_files/Yang_log_img/21313278.jpg","show blot")</f>
        <v>show blot</v>
      </c>
      <c r="H1477" s="8" t="str">
        <f>HYPERLINK("https://esbl.nhlbi.nih.gov/Databases/mpkFractions/proteomic_fractions_linear_files/Yang_linear_img/21313278.jpg","show blot")</f>
        <v>show blot</v>
      </c>
      <c r="J1477" s="5" t="s">
        <v>2945</v>
      </c>
      <c r="L1477" s="11">
        <v>4.6593044149049643</v>
      </c>
      <c r="N1477" s="12"/>
    </row>
    <row r="1478" spans="1:14" s="5" customFormat="1" ht="15" customHeight="1" x14ac:dyDescent="0.25">
      <c r="A1478" s="9" t="s">
        <v>2946</v>
      </c>
      <c r="C1478" s="9" t="str">
        <f>HYPERLINK("http://www.ncbi.nlm.nih.gov/protein/6681015","Crip1")</f>
        <v>Crip1</v>
      </c>
      <c r="D1478" s="10">
        <f t="shared" si="23"/>
        <v>5.3271910069854824</v>
      </c>
      <c r="F1478" s="8" t="str">
        <f>HYPERLINK("https://esbl.nhlbi.nih.gov/Databases/mpkFractions/proteomic_fractions_log_files/Yang_log_img/6681015.jpg","show blot")</f>
        <v>show blot</v>
      </c>
      <c r="H1478" s="8" t="str">
        <f>HYPERLINK("https://esbl.nhlbi.nih.gov/Databases/mpkFractions/proteomic_fractions_linear_files/Yang_linear_img/6681015.jpg","show blot")</f>
        <v>show blot</v>
      </c>
      <c r="J1478" s="5" t="s">
        <v>2947</v>
      </c>
      <c r="L1478" s="11">
        <v>5.3271910069854824</v>
      </c>
      <c r="N1478" s="12"/>
    </row>
    <row r="1479" spans="1:14" s="5" customFormat="1" ht="15" customHeight="1" x14ac:dyDescent="0.25">
      <c r="A1479" s="9" t="s">
        <v>2948</v>
      </c>
      <c r="C1479" s="9" t="str">
        <f>HYPERLINK("http://www.ncbi.nlm.nih.gov/protein/13195646","Crip2")</f>
        <v>Crip2</v>
      </c>
      <c r="D1479" s="10">
        <f t="shared" si="23"/>
        <v>5.9046974525909368</v>
      </c>
      <c r="F1479" s="8" t="str">
        <f>HYPERLINK("https://esbl.nhlbi.nih.gov/Databases/mpkFractions/proteomic_fractions_log_files/Yang_log_img/13195646.jpg","show blot")</f>
        <v>show blot</v>
      </c>
      <c r="H1479" s="8" t="str">
        <f>HYPERLINK("https://esbl.nhlbi.nih.gov/Databases/mpkFractions/proteomic_fractions_linear_files/Yang_linear_img/13195646.jpg","show blot")</f>
        <v>show blot</v>
      </c>
      <c r="J1479" s="5" t="s">
        <v>2949</v>
      </c>
      <c r="L1479" s="11">
        <v>5.9046974525909368</v>
      </c>
      <c r="N1479" s="12"/>
    </row>
    <row r="1480" spans="1:14" s="5" customFormat="1" ht="15" customHeight="1" x14ac:dyDescent="0.25">
      <c r="A1480" s="9" t="s">
        <v>2950</v>
      </c>
      <c r="C1480" s="9" t="str">
        <f>HYPERLINK("http://www.ncbi.nlm.nih.gov/protein/31559995","Crk")</f>
        <v>Crk</v>
      </c>
      <c r="D1480" s="10">
        <f t="shared" si="23"/>
        <v>5.0816549002367912</v>
      </c>
      <c r="F1480" s="8" t="str">
        <f>HYPERLINK("https://esbl.nhlbi.nih.gov/Databases/mpkFractions/proteomic_fractions_log_files/Yang_log_img/31559995.jpg","show blot")</f>
        <v>show blot</v>
      </c>
      <c r="H1480" s="8" t="str">
        <f>HYPERLINK("https://esbl.nhlbi.nih.gov/Databases/mpkFractions/proteomic_fractions_linear_files/Yang_linear_img/31559995.jpg","show blot")</f>
        <v>show blot</v>
      </c>
      <c r="J1480" s="5" t="s">
        <v>2951</v>
      </c>
      <c r="L1480" s="11">
        <v>5.0816549002367912</v>
      </c>
      <c r="N1480" s="12"/>
    </row>
    <row r="1481" spans="1:14" s="5" customFormat="1" ht="15" customHeight="1" x14ac:dyDescent="0.25">
      <c r="A1481" s="9" t="s">
        <v>2952</v>
      </c>
      <c r="C1481" s="9" t="str">
        <f>HYPERLINK("http://www.ncbi.nlm.nih.gov/protein/31542421","Crkl")</f>
        <v>Crkl</v>
      </c>
      <c r="D1481" s="10">
        <f t="shared" si="23"/>
        <v>5.3768283935505474</v>
      </c>
      <c r="F1481" s="8" t="str">
        <f>HYPERLINK("https://esbl.nhlbi.nih.gov/Databases/mpkFractions/proteomic_fractions_log_files/Yang_log_img/31542421.jpg","show blot")</f>
        <v>show blot</v>
      </c>
      <c r="H1481" s="8" t="str">
        <f>HYPERLINK("https://esbl.nhlbi.nih.gov/Databases/mpkFractions/proteomic_fractions_linear_files/Yang_linear_img/31542421.jpg","show blot")</f>
        <v>show blot</v>
      </c>
      <c r="J1481" s="5" t="s">
        <v>2953</v>
      </c>
      <c r="L1481" s="11">
        <v>5.3768283935505474</v>
      </c>
      <c r="N1481" s="12"/>
    </row>
    <row r="1482" spans="1:14" s="5" customFormat="1" ht="15" customHeight="1" x14ac:dyDescent="0.25">
      <c r="A1482" s="9" t="s">
        <v>2954</v>
      </c>
      <c r="C1482" s="9" t="str">
        <f>HYPERLINK("http://www.ncbi.nlm.nih.gov/protein/9055200","Crlf3")</f>
        <v>Crlf3</v>
      </c>
      <c r="D1482" s="10">
        <f t="shared" si="23"/>
        <v>4.7161338235194652</v>
      </c>
      <c r="F1482" s="8" t="str">
        <f>HYPERLINK("https://esbl.nhlbi.nih.gov/Databases/mpkFractions/proteomic_fractions_log_files/Yang_log_img/9055200.jpg","show blot")</f>
        <v>show blot</v>
      </c>
      <c r="H1482" s="8" t="str">
        <f>HYPERLINK("https://esbl.nhlbi.nih.gov/Databases/mpkFractions/proteomic_fractions_linear_files/Yang_linear_img/9055200.jpg","show blot")</f>
        <v>show blot</v>
      </c>
      <c r="J1482" s="5" t="s">
        <v>2955</v>
      </c>
      <c r="L1482" s="11">
        <v>4.7161338235194652</v>
      </c>
      <c r="N1482" s="12"/>
    </row>
    <row r="1483" spans="1:14" s="5" customFormat="1" ht="15" customHeight="1" x14ac:dyDescent="0.25">
      <c r="A1483" s="9" t="s">
        <v>2956</v>
      </c>
      <c r="C1483" s="9" t="str">
        <f>HYPERLINK("http://www.ncbi.nlm.nih.gov/protein/66932980","Crls1")</f>
        <v>Crls1</v>
      </c>
      <c r="D1483" s="10">
        <f t="shared" si="23"/>
        <v>2.808947843049737</v>
      </c>
      <c r="F1483" s="8" t="str">
        <f>HYPERLINK("https://esbl.nhlbi.nih.gov/Databases/mpkFractions/proteomic_fractions_log_files/Yang_log_img/66932980.jpg","show blot")</f>
        <v>show blot</v>
      </c>
      <c r="H1483" s="8" t="str">
        <f>HYPERLINK("https://esbl.nhlbi.nih.gov/Databases/mpkFractions/proteomic_fractions_linear_files/Yang_linear_img/66932980.jpg","show blot")</f>
        <v>show blot</v>
      </c>
      <c r="J1483" s="5" t="s">
        <v>2957</v>
      </c>
      <c r="L1483" s="11">
        <v>2.808947843049737</v>
      </c>
      <c r="N1483" s="12"/>
    </row>
    <row r="1484" spans="1:14" s="5" customFormat="1" ht="15" customHeight="1" x14ac:dyDescent="0.25">
      <c r="A1484" s="9" t="s">
        <v>2958</v>
      </c>
      <c r="C1484" s="9" t="str">
        <f>HYPERLINK("http://www.ncbi.nlm.nih.gov/protein/209862923","Crmp1")</f>
        <v>Crmp1</v>
      </c>
      <c r="D1484" s="10">
        <f t="shared" si="23"/>
        <v>5.2363247799634474</v>
      </c>
      <c r="F1484" s="8" t="str">
        <f>HYPERLINK("https://esbl.nhlbi.nih.gov/Databases/mpkFractions/proteomic_fractions_log_files/Yang_log_img/209862923.jpg","show blot")</f>
        <v>show blot</v>
      </c>
      <c r="H1484" s="8" t="str">
        <f>HYPERLINK("https://esbl.nhlbi.nih.gov/Databases/mpkFractions/proteomic_fractions_linear_files/Yang_linear_img/209862923.jpg","show blot")</f>
        <v>show blot</v>
      </c>
      <c r="J1484" s="5" t="s">
        <v>2959</v>
      </c>
      <c r="L1484" s="11">
        <v>5.2363247799634474</v>
      </c>
      <c r="N1484" s="12"/>
    </row>
    <row r="1485" spans="1:14" s="5" customFormat="1" ht="15" customHeight="1" x14ac:dyDescent="0.25">
      <c r="A1485" s="9" t="s">
        <v>2960</v>
      </c>
      <c r="C1485" s="9" t="str">
        <f>HYPERLINK("http://www.ncbi.nlm.nih.gov/protein/40068507","Crmp1")</f>
        <v>Crmp1</v>
      </c>
      <c r="D1485" s="10">
        <f t="shared" si="23"/>
        <v>5.2363247799634474</v>
      </c>
      <c r="F1485" s="8" t="str">
        <f>HYPERLINK("https://esbl.nhlbi.nih.gov/Databases/mpkFractions/proteomic_fractions_log_files/Yang_log_img/40068507.jpg","show blot")</f>
        <v>show blot</v>
      </c>
      <c r="H1485" s="8" t="str">
        <f>HYPERLINK("https://esbl.nhlbi.nih.gov/Databases/mpkFractions/proteomic_fractions_linear_files/Yang_linear_img/40068507.jpg","show blot")</f>
        <v>show blot</v>
      </c>
      <c r="J1485" s="5" t="s">
        <v>2961</v>
      </c>
      <c r="L1485" s="11">
        <v>5.2363247799634474</v>
      </c>
      <c r="N1485" s="12"/>
    </row>
    <row r="1486" spans="1:14" s="5" customFormat="1" ht="15" customHeight="1" x14ac:dyDescent="0.25">
      <c r="A1486" s="9" t="s">
        <v>2962</v>
      </c>
      <c r="C1486" s="9" t="str">
        <f>HYPERLINK("http://www.ncbi.nlm.nih.gov/protein/13385288","Crnkl1")</f>
        <v>Crnkl1</v>
      </c>
      <c r="D1486" s="10">
        <f t="shared" si="23"/>
        <v>4.6263879969480639</v>
      </c>
      <c r="F1486" s="8" t="str">
        <f>HYPERLINK("https://esbl.nhlbi.nih.gov/Databases/mpkFractions/proteomic_fractions_log_files/Yang_log_img/13385288.jpg","show blot")</f>
        <v>show blot</v>
      </c>
      <c r="H1486" s="8" t="str">
        <f>HYPERLINK("https://esbl.nhlbi.nih.gov/Databases/mpkFractions/proteomic_fractions_linear_files/Yang_linear_img/13385288.jpg","show blot")</f>
        <v>show blot</v>
      </c>
      <c r="J1486" s="5" t="s">
        <v>2963</v>
      </c>
      <c r="L1486" s="11">
        <v>4.6263879969480639</v>
      </c>
      <c r="N1486" s="12"/>
    </row>
    <row r="1487" spans="1:14" s="5" customFormat="1" ht="15" customHeight="1" x14ac:dyDescent="0.25">
      <c r="A1487" s="9" t="s">
        <v>2964</v>
      </c>
      <c r="C1487" s="9" t="str">
        <f>HYPERLINK("http://www.ncbi.nlm.nih.gov/protein/225543191","Crocc")</f>
        <v>Crocc</v>
      </c>
      <c r="D1487" s="10">
        <f t="shared" si="23"/>
        <v>5.2766941007178731</v>
      </c>
      <c r="F1487" s="8" t="str">
        <f>HYPERLINK("https://esbl.nhlbi.nih.gov/Databases/mpkFractions/proteomic_fractions_log_files/Yang_log_img/225543191.jpg","show blot")</f>
        <v>show blot</v>
      </c>
      <c r="H1487" s="8" t="str">
        <f>HYPERLINK("https://esbl.nhlbi.nih.gov/Databases/mpkFractions/proteomic_fractions_linear_files/Yang_linear_img/225543191.jpg","show blot")</f>
        <v>show blot</v>
      </c>
      <c r="J1487" s="5" t="s">
        <v>2965</v>
      </c>
      <c r="L1487" s="11">
        <v>5.2766941007178731</v>
      </c>
      <c r="N1487" s="12"/>
    </row>
    <row r="1488" spans="1:14" s="5" customFormat="1" ht="15" customHeight="1" x14ac:dyDescent="0.25">
      <c r="A1488" s="9" t="s">
        <v>2966</v>
      </c>
      <c r="C1488" s="9" t="str">
        <f>HYPERLINK("http://www.ncbi.nlm.nih.gov/protein/225543193","Crocc")</f>
        <v>Crocc</v>
      </c>
      <c r="D1488" s="10">
        <f t="shared" si="23"/>
        <v>5.2766941007178731</v>
      </c>
      <c r="F1488" s="8" t="str">
        <f>HYPERLINK("https://esbl.nhlbi.nih.gov/Databases/mpkFractions/proteomic_fractions_log_files/Yang_log_img/225543193.jpg","show blot")</f>
        <v>show blot</v>
      </c>
      <c r="H1488" s="8" t="str">
        <f>HYPERLINK("https://esbl.nhlbi.nih.gov/Databases/mpkFractions/proteomic_fractions_linear_files/Yang_linear_img/225543193.jpg","show blot")</f>
        <v>show blot</v>
      </c>
      <c r="J1488" s="5" t="s">
        <v>2967</v>
      </c>
      <c r="L1488" s="11">
        <v>5.2766941007178731</v>
      </c>
      <c r="N1488" s="12"/>
    </row>
    <row r="1489" spans="1:14" s="5" customFormat="1" ht="15" customHeight="1" x14ac:dyDescent="0.25">
      <c r="A1489" s="9" t="s">
        <v>2968</v>
      </c>
      <c r="C1489" s="9" t="str">
        <f>HYPERLINK("http://www.ncbi.nlm.nih.gov/protein/17157983","Crot")</f>
        <v>Crot</v>
      </c>
      <c r="D1489" s="10">
        <f t="shared" si="23"/>
        <v>4.981640983157698</v>
      </c>
      <c r="F1489" s="8" t="str">
        <f>HYPERLINK("https://esbl.nhlbi.nih.gov/Databases/mpkFractions/proteomic_fractions_log_files/Yang_log_img/17157983.jpg","show blot")</f>
        <v>show blot</v>
      </c>
      <c r="H1489" s="8" t="str">
        <f>HYPERLINK("https://esbl.nhlbi.nih.gov/Databases/mpkFractions/proteomic_fractions_linear_files/Yang_linear_img/17157983.jpg","show blot")</f>
        <v>show blot</v>
      </c>
      <c r="J1489" s="5" t="s">
        <v>2969</v>
      </c>
      <c r="L1489" s="11">
        <v>4.981640983157698</v>
      </c>
      <c r="N1489" s="12"/>
    </row>
    <row r="1490" spans="1:14" s="5" customFormat="1" ht="15" customHeight="1" x14ac:dyDescent="0.25">
      <c r="A1490" s="9" t="s">
        <v>2970</v>
      </c>
      <c r="C1490" s="9" t="str">
        <f>HYPERLINK("http://www.ncbi.nlm.nih.gov/protein/225543173","Crtap")</f>
        <v>Crtap</v>
      </c>
      <c r="D1490" s="10">
        <f t="shared" si="23"/>
        <v>3.2658657116811129</v>
      </c>
      <c r="F1490" s="8" t="str">
        <f>HYPERLINK("https://esbl.nhlbi.nih.gov/Databases/mpkFractions/proteomic_fractions_log_files/Yang_log_img/225543173.jpg","show blot")</f>
        <v>show blot</v>
      </c>
      <c r="H1490" s="8" t="str">
        <f>HYPERLINK("https://esbl.nhlbi.nih.gov/Databases/mpkFractions/proteomic_fractions_linear_files/Yang_linear_img/225543173.jpg","show blot")</f>
        <v>show blot</v>
      </c>
      <c r="J1490" s="5" t="s">
        <v>2971</v>
      </c>
      <c r="L1490" s="11">
        <v>3.2658657116811129</v>
      </c>
      <c r="N1490" s="12"/>
    </row>
    <row r="1491" spans="1:14" s="5" customFormat="1" ht="15" customHeight="1" x14ac:dyDescent="0.25">
      <c r="A1491" s="9" t="s">
        <v>2972</v>
      </c>
      <c r="C1491" s="9" t="str">
        <f>HYPERLINK("http://www.ncbi.nlm.nih.gov/protein/6681031","Cry1")</f>
        <v>Cry1</v>
      </c>
      <c r="D1491" s="10">
        <f t="shared" si="23"/>
        <v>4.035161016430262</v>
      </c>
      <c r="F1491" s="8" t="str">
        <f>HYPERLINK("https://esbl.nhlbi.nih.gov/Databases/mpkFractions/proteomic_fractions_log_files/Yang_log_img/6681031.jpg","show blot")</f>
        <v>show blot</v>
      </c>
      <c r="H1491" s="8" t="str">
        <f>HYPERLINK("https://esbl.nhlbi.nih.gov/Databases/mpkFractions/proteomic_fractions_linear_files/Yang_linear_img/6681031.jpg","show blot")</f>
        <v>show blot</v>
      </c>
      <c r="J1491" s="5" t="s">
        <v>2973</v>
      </c>
      <c r="L1491" s="11">
        <v>4.035161016430262</v>
      </c>
      <c r="N1491" s="12"/>
    </row>
    <row r="1492" spans="1:14" s="5" customFormat="1" ht="15" customHeight="1" x14ac:dyDescent="0.25">
      <c r="A1492" s="9" t="s">
        <v>2974</v>
      </c>
      <c r="C1492" s="9" t="str">
        <f>HYPERLINK("http://www.ncbi.nlm.nih.gov/protein/27312016","Cry2")</f>
        <v>Cry2</v>
      </c>
      <c r="D1492" s="10">
        <f t="shared" si="23"/>
        <v>3.3593227614020869</v>
      </c>
      <c r="F1492" s="8" t="str">
        <f>HYPERLINK("https://esbl.nhlbi.nih.gov/Databases/mpkFractions/proteomic_fractions_log_files/Yang_log_img/27312016.jpg","show blot")</f>
        <v>show blot</v>
      </c>
      <c r="H1492" s="8" t="str">
        <f>HYPERLINK("https://esbl.nhlbi.nih.gov/Databases/mpkFractions/proteomic_fractions_linear_files/Yang_linear_img/27312016.jpg","show blot")</f>
        <v>show blot</v>
      </c>
      <c r="J1492" s="5" t="s">
        <v>2975</v>
      </c>
      <c r="L1492" s="11">
        <v>3.3593227614020869</v>
      </c>
      <c r="N1492" s="12"/>
    </row>
    <row r="1493" spans="1:14" s="5" customFormat="1" ht="15" customHeight="1" x14ac:dyDescent="0.25">
      <c r="A1493" s="9" t="s">
        <v>2976</v>
      </c>
      <c r="C1493" s="9" t="str">
        <f>HYPERLINK("http://www.ncbi.nlm.nih.gov/protein/6753530","Cryab")</f>
        <v>Cryab</v>
      </c>
      <c r="D1493" s="10">
        <f t="shared" si="23"/>
        <v>5.5333596971442631</v>
      </c>
      <c r="F1493" s="8" t="str">
        <f>HYPERLINK("https://esbl.nhlbi.nih.gov/Databases/mpkFractions/proteomic_fractions_log_files/Yang_log_img/6753530.jpg","show blot")</f>
        <v>show blot</v>
      </c>
      <c r="H1493" s="8" t="str">
        <f>HYPERLINK("https://esbl.nhlbi.nih.gov/Databases/mpkFractions/proteomic_fractions_linear_files/Yang_linear_img/6753530.jpg","show blot")</f>
        <v>show blot</v>
      </c>
      <c r="J1493" s="5" t="s">
        <v>2977</v>
      </c>
      <c r="L1493" s="11">
        <v>5.5333596971442631</v>
      </c>
      <c r="N1493" s="12"/>
    </row>
    <row r="1494" spans="1:14" s="5" customFormat="1" ht="15" customHeight="1" x14ac:dyDescent="0.25">
      <c r="A1494" s="9" t="s">
        <v>2978</v>
      </c>
      <c r="C1494" s="9" t="str">
        <f>HYPERLINK("http://www.ncbi.nlm.nih.gov/protein/19525729","Cryl1")</f>
        <v>Cryl1</v>
      </c>
      <c r="D1494" s="10">
        <f t="shared" si="23"/>
        <v>5.0034173822217252</v>
      </c>
      <c r="F1494" s="8" t="str">
        <f>HYPERLINK("https://esbl.nhlbi.nih.gov/Databases/mpkFractions/proteomic_fractions_log_files/Yang_log_img/19525729.jpg","show blot")</f>
        <v>show blot</v>
      </c>
      <c r="H1494" s="8" t="str">
        <f>HYPERLINK("https://esbl.nhlbi.nih.gov/Databases/mpkFractions/proteomic_fractions_linear_files/Yang_linear_img/19525729.jpg","show blot")</f>
        <v>show blot</v>
      </c>
      <c r="J1494" s="5" t="s">
        <v>2979</v>
      </c>
      <c r="L1494" s="11">
        <v>5.0034173822217252</v>
      </c>
      <c r="N1494" s="12"/>
    </row>
    <row r="1495" spans="1:14" s="5" customFormat="1" ht="15" customHeight="1" x14ac:dyDescent="0.25">
      <c r="A1495" s="9" t="s">
        <v>2980</v>
      </c>
      <c r="C1495" s="9" t="str">
        <f>HYPERLINK("http://www.ncbi.nlm.nih.gov/protein/33859530","Cryz")</f>
        <v>Cryz</v>
      </c>
      <c r="D1495" s="10">
        <f t="shared" si="23"/>
        <v>6.0046428019070106</v>
      </c>
      <c r="F1495" s="8" t="str">
        <f>HYPERLINK("https://esbl.nhlbi.nih.gov/Databases/mpkFractions/proteomic_fractions_log_files/Yang_log_img/33859530.jpg","show blot")</f>
        <v>show blot</v>
      </c>
      <c r="H1495" s="8" t="str">
        <f>HYPERLINK("https://esbl.nhlbi.nih.gov/Databases/mpkFractions/proteomic_fractions_linear_files/Yang_linear_img/33859530.jpg","show blot")</f>
        <v>show blot</v>
      </c>
      <c r="J1495" s="5" t="s">
        <v>2981</v>
      </c>
      <c r="L1495" s="11">
        <v>6.0046428019070106</v>
      </c>
      <c r="N1495" s="12"/>
    </row>
    <row r="1496" spans="1:14" s="5" customFormat="1" ht="15" customHeight="1" x14ac:dyDescent="0.25">
      <c r="A1496" s="9" t="s">
        <v>2982</v>
      </c>
      <c r="C1496" s="9" t="str">
        <f>HYPERLINK("http://www.ncbi.nlm.nih.gov/protein/21617847","Cryzl1")</f>
        <v>Cryzl1</v>
      </c>
      <c r="D1496" s="10">
        <f t="shared" si="23"/>
        <v>4.827795392190156</v>
      </c>
      <c r="F1496" s="8" t="str">
        <f>HYPERLINK("https://esbl.nhlbi.nih.gov/Databases/mpkFractions/proteomic_fractions_log_files/Yang_log_img/21617847.jpg","show blot")</f>
        <v>show blot</v>
      </c>
      <c r="H1496" s="8" t="str">
        <f>HYPERLINK("https://esbl.nhlbi.nih.gov/Databases/mpkFractions/proteomic_fractions_linear_files/Yang_linear_img/21617847.jpg","show blot")</f>
        <v>show blot</v>
      </c>
      <c r="J1496" s="5" t="s">
        <v>2983</v>
      </c>
      <c r="L1496" s="11">
        <v>4.827795392190156</v>
      </c>
      <c r="N1496" s="12"/>
    </row>
    <row r="1497" spans="1:14" s="5" customFormat="1" ht="15" customHeight="1" x14ac:dyDescent="0.25">
      <c r="A1497" s="9" t="s">
        <v>2984</v>
      </c>
      <c r="C1497" s="9" t="str">
        <f>HYPERLINK("http://www.ncbi.nlm.nih.gov/protein/323462200","Cryzl1")</f>
        <v>Cryzl1</v>
      </c>
      <c r="D1497" s="10">
        <f t="shared" si="23"/>
        <v>4.827795392190156</v>
      </c>
      <c r="F1497" s="8" t="str">
        <f>HYPERLINK("https://esbl.nhlbi.nih.gov/Databases/mpkFractions/proteomic_fractions_log_files/Yang_log_img/323462200.jpg","show blot")</f>
        <v>show blot</v>
      </c>
      <c r="H1497" s="8" t="str">
        <f>HYPERLINK("https://esbl.nhlbi.nih.gov/Databases/mpkFractions/proteomic_fractions_linear_files/Yang_linear_img/323462200.jpg","show blot")</f>
        <v>show blot</v>
      </c>
      <c r="J1497" s="5" t="s">
        <v>2985</v>
      </c>
      <c r="L1497" s="11">
        <v>4.827795392190156</v>
      </c>
      <c r="N1497" s="12"/>
    </row>
    <row r="1498" spans="1:14" s="5" customFormat="1" ht="15" customHeight="1" x14ac:dyDescent="0.25">
      <c r="A1498" s="9" t="s">
        <v>2986</v>
      </c>
      <c r="C1498" s="9" t="str">
        <f>HYPERLINK("http://www.ncbi.nlm.nih.gov/protein/13385942","Cs")</f>
        <v>Cs</v>
      </c>
      <c r="D1498" s="10">
        <f t="shared" si="23"/>
        <v>6.3308332126489084</v>
      </c>
      <c r="F1498" s="8" t="str">
        <f>HYPERLINK("https://esbl.nhlbi.nih.gov/Databases/mpkFractions/proteomic_fractions_log_files/Yang_log_img/13385942.jpg","show blot")</f>
        <v>show blot</v>
      </c>
      <c r="H1498" s="8" t="str">
        <f>HYPERLINK("https://esbl.nhlbi.nih.gov/Databases/mpkFractions/proteomic_fractions_linear_files/Yang_linear_img/13385942.jpg","show blot")</f>
        <v>show blot</v>
      </c>
      <c r="J1498" s="5" t="s">
        <v>2987</v>
      </c>
      <c r="L1498" s="11">
        <v>6.3308332126489084</v>
      </c>
      <c r="N1498" s="12"/>
    </row>
    <row r="1499" spans="1:14" s="5" customFormat="1" ht="15" customHeight="1" x14ac:dyDescent="0.25">
      <c r="A1499" s="9" t="s">
        <v>2988</v>
      </c>
      <c r="C1499" s="9" t="str">
        <f>HYPERLINK("http://www.ncbi.nlm.nih.gov/protein/21450351","Csad")</f>
        <v>Csad</v>
      </c>
      <c r="D1499" s="10">
        <f t="shared" si="23"/>
        <v>4.5105823767142583</v>
      </c>
      <c r="F1499" s="8" t="str">
        <f>HYPERLINK("https://esbl.nhlbi.nih.gov/Databases/mpkFractions/proteomic_fractions_log_files/Yang_log_img/21450351.jpg","show blot")</f>
        <v>show blot</v>
      </c>
      <c r="H1499" s="8" t="str">
        <f>HYPERLINK("https://esbl.nhlbi.nih.gov/Databases/mpkFractions/proteomic_fractions_linear_files/Yang_linear_img/21450351.jpg","show blot")</f>
        <v>show blot</v>
      </c>
      <c r="J1499" s="5" t="s">
        <v>2989</v>
      </c>
      <c r="L1499" s="11">
        <v>4.5105823767142583</v>
      </c>
      <c r="N1499" s="12"/>
    </row>
    <row r="1500" spans="1:14" s="5" customFormat="1" ht="15" customHeight="1" x14ac:dyDescent="0.25">
      <c r="A1500" s="9" t="s">
        <v>2990</v>
      </c>
      <c r="C1500" s="9" t="str">
        <f>HYPERLINK("http://www.ncbi.nlm.nih.gov/protein/21450287","Csde1")</f>
        <v>Csde1</v>
      </c>
      <c r="D1500" s="10">
        <f t="shared" si="23"/>
        <v>5.439961752944007</v>
      </c>
      <c r="F1500" s="8" t="str">
        <f>HYPERLINK("https://esbl.nhlbi.nih.gov/Databases/mpkFractions/proteomic_fractions_log_files/Yang_log_img/21450287.jpg","show blot")</f>
        <v>show blot</v>
      </c>
      <c r="H1500" s="8" t="str">
        <f>HYPERLINK("https://esbl.nhlbi.nih.gov/Databases/mpkFractions/proteomic_fractions_linear_files/Yang_linear_img/21450287.jpg","show blot")</f>
        <v>show blot</v>
      </c>
      <c r="J1500" s="5" t="s">
        <v>2991</v>
      </c>
      <c r="L1500" s="11">
        <v>5.439961752944007</v>
      </c>
      <c r="N1500" s="12"/>
    </row>
    <row r="1501" spans="1:14" s="5" customFormat="1" ht="15" customHeight="1" x14ac:dyDescent="0.25">
      <c r="A1501" s="9" t="s">
        <v>2992</v>
      </c>
      <c r="C1501" s="9" t="str">
        <f>HYPERLINK("http://www.ncbi.nlm.nih.gov/protein/240255574","Csde1")</f>
        <v>Csde1</v>
      </c>
      <c r="D1501" s="10">
        <f t="shared" si="23"/>
        <v>5.439961752944007</v>
      </c>
      <c r="F1501" s="8" t="str">
        <f>HYPERLINK("https://esbl.nhlbi.nih.gov/Databases/mpkFractions/proteomic_fractions_log_files/Yang_log_img/240255574.jpg","show blot")</f>
        <v>show blot</v>
      </c>
      <c r="H1501" s="8" t="str">
        <f>HYPERLINK("https://esbl.nhlbi.nih.gov/Databases/mpkFractions/proteomic_fractions_linear_files/Yang_linear_img/240255574.jpg","show blot")</f>
        <v>show blot</v>
      </c>
      <c r="J1501" s="5" t="s">
        <v>2993</v>
      </c>
      <c r="L1501" s="11">
        <v>5.439961752944007</v>
      </c>
      <c r="N1501" s="12"/>
    </row>
    <row r="1502" spans="1:14" s="5" customFormat="1" ht="15" customHeight="1" x14ac:dyDescent="0.25">
      <c r="A1502" s="9" t="s">
        <v>2994</v>
      </c>
      <c r="C1502" s="9" t="str">
        <f>HYPERLINK("http://www.ncbi.nlm.nih.gov/protein/12963737","Cse1l")</f>
        <v>Cse1l</v>
      </c>
      <c r="D1502" s="10">
        <f t="shared" si="23"/>
        <v>6.5011760243789274</v>
      </c>
      <c r="F1502" s="8" t="str">
        <f>HYPERLINK("https://esbl.nhlbi.nih.gov/Databases/mpkFractions/proteomic_fractions_log_files/Yang_log_img/12963737.jpg","show blot")</f>
        <v>show blot</v>
      </c>
      <c r="H1502" s="8" t="str">
        <f>HYPERLINK("https://esbl.nhlbi.nih.gov/Databases/mpkFractions/proteomic_fractions_linear_files/Yang_linear_img/12963737.jpg","show blot")</f>
        <v>show blot</v>
      </c>
      <c r="J1502" s="5" t="s">
        <v>2995</v>
      </c>
      <c r="L1502" s="11">
        <v>6.5011760243789274</v>
      </c>
      <c r="N1502" s="12"/>
    </row>
    <row r="1503" spans="1:14" s="5" customFormat="1" ht="15" customHeight="1" x14ac:dyDescent="0.25">
      <c r="A1503" s="9" t="s">
        <v>2996</v>
      </c>
      <c r="C1503" s="9" t="str">
        <f>HYPERLINK("http://www.ncbi.nlm.nih.gov/protein/6753536","Csf3")</f>
        <v>Csf3</v>
      </c>
      <c r="D1503" s="10">
        <f t="shared" si="23"/>
        <v>4.2108812525337322</v>
      </c>
      <c r="F1503" s="8" t="str">
        <f>HYPERLINK("https://esbl.nhlbi.nih.gov/Databases/mpkFractions/proteomic_fractions_log_files/Yang_log_img/6753536.jpg","show blot")</f>
        <v>show blot</v>
      </c>
      <c r="H1503" s="8" t="str">
        <f>HYPERLINK("https://esbl.nhlbi.nih.gov/Databases/mpkFractions/proteomic_fractions_linear_files/Yang_linear_img/6753536.jpg","show blot")</f>
        <v>show blot</v>
      </c>
      <c r="J1503" s="5" t="s">
        <v>2997</v>
      </c>
      <c r="L1503" s="11">
        <v>4.2108812525337322</v>
      </c>
      <c r="N1503" s="12"/>
    </row>
    <row r="1504" spans="1:14" s="5" customFormat="1" ht="15" customHeight="1" x14ac:dyDescent="0.25">
      <c r="A1504" s="9" t="s">
        <v>2998</v>
      </c>
      <c r="C1504" s="9" t="str">
        <f>HYPERLINK("http://www.ncbi.nlm.nih.gov/protein/31560712","Csk")</f>
        <v>Csk</v>
      </c>
      <c r="D1504" s="10">
        <f t="shared" si="23"/>
        <v>4.9370772824572766</v>
      </c>
      <c r="F1504" s="8" t="str">
        <f>HYPERLINK("https://esbl.nhlbi.nih.gov/Databases/mpkFractions/proteomic_fractions_log_files/Yang_log_img/31560712.jpg","show blot")</f>
        <v>show blot</v>
      </c>
      <c r="H1504" s="8" t="str">
        <f>HYPERLINK("https://esbl.nhlbi.nih.gov/Databases/mpkFractions/proteomic_fractions_linear_files/Yang_linear_img/31560712.jpg","show blot")</f>
        <v>show blot</v>
      </c>
      <c r="J1504" s="5" t="s">
        <v>2999</v>
      </c>
      <c r="L1504" s="11">
        <v>4.9370772824572766</v>
      </c>
      <c r="N1504" s="12"/>
    </row>
    <row r="1505" spans="1:14" s="5" customFormat="1" ht="15" customHeight="1" x14ac:dyDescent="0.25">
      <c r="A1505" s="9" t="s">
        <v>3000</v>
      </c>
      <c r="C1505" s="9" t="str">
        <f>HYPERLINK("http://www.ncbi.nlm.nih.gov/protein/269973935","Csl")</f>
        <v>Csl</v>
      </c>
      <c r="D1505" s="10">
        <f t="shared" si="23"/>
        <v>5.8799349541165036</v>
      </c>
      <c r="F1505" s="8" t="str">
        <f>HYPERLINK("https://esbl.nhlbi.nih.gov/Databases/mpkFractions/proteomic_fractions_log_files/Yang_log_img/269973935.jpg","show blot")</f>
        <v>show blot</v>
      </c>
      <c r="H1505" s="8" t="str">
        <f>HYPERLINK("https://esbl.nhlbi.nih.gov/Databases/mpkFractions/proteomic_fractions_linear_files/Yang_linear_img/269973935.jpg","show blot")</f>
        <v>show blot</v>
      </c>
      <c r="J1505" s="5" t="s">
        <v>3001</v>
      </c>
      <c r="L1505" s="11">
        <v>5.8799349541165036</v>
      </c>
      <c r="N1505" s="12"/>
    </row>
    <row r="1506" spans="1:14" s="5" customFormat="1" ht="15" customHeight="1" x14ac:dyDescent="0.25">
      <c r="A1506" s="9" t="s">
        <v>3002</v>
      </c>
      <c r="C1506" s="9" t="str">
        <f>HYPERLINK("http://www.ncbi.nlm.nih.gov/protein/75677412","Csn3")</f>
        <v>Csn3</v>
      </c>
      <c r="D1506" s="10">
        <f t="shared" si="23"/>
        <v>5.1570885881898541</v>
      </c>
      <c r="F1506" s="8" t="str">
        <f>HYPERLINK("https://esbl.nhlbi.nih.gov/Databases/mpkFractions/proteomic_fractions_log_files/Yang_log_img/75677412.jpg","show blot")</f>
        <v>show blot</v>
      </c>
      <c r="H1506" s="8" t="str">
        <f>HYPERLINK("https://esbl.nhlbi.nih.gov/Databases/mpkFractions/proteomic_fractions_linear_files/Yang_linear_img/75677412.jpg","show blot")</f>
        <v>show blot</v>
      </c>
      <c r="J1506" s="5" t="s">
        <v>3003</v>
      </c>
      <c r="L1506" s="11">
        <v>5.1570885881898541</v>
      </c>
      <c r="N1506" s="12"/>
    </row>
    <row r="1507" spans="1:14" s="5" customFormat="1" ht="15" customHeight="1" x14ac:dyDescent="0.25">
      <c r="A1507" s="9" t="s">
        <v>3004</v>
      </c>
      <c r="C1507" s="9" t="str">
        <f>HYPERLINK("http://www.ncbi.nlm.nih.gov/protein/22165382","Csnk1a1")</f>
        <v>Csnk1a1</v>
      </c>
      <c r="D1507" s="10">
        <f t="shared" si="23"/>
        <v>5.1887259789288667</v>
      </c>
      <c r="F1507" s="8" t="str">
        <f>HYPERLINK("https://esbl.nhlbi.nih.gov/Databases/mpkFractions/proteomic_fractions_log_files/Yang_log_img/22165382.jpg","show blot")</f>
        <v>show blot</v>
      </c>
      <c r="H1507" s="8" t="str">
        <f>HYPERLINK("https://esbl.nhlbi.nih.gov/Databases/mpkFractions/proteomic_fractions_linear_files/Yang_linear_img/22165382.jpg","show blot")</f>
        <v>show blot</v>
      </c>
      <c r="J1507" s="5" t="s">
        <v>3005</v>
      </c>
      <c r="L1507" s="11">
        <v>5.1887259789288667</v>
      </c>
      <c r="N1507" s="12"/>
    </row>
    <row r="1508" spans="1:14" s="5" customFormat="1" ht="15" customHeight="1" x14ac:dyDescent="0.25">
      <c r="A1508" s="9" t="s">
        <v>3006</v>
      </c>
      <c r="C1508" s="9" t="str">
        <f>HYPERLINK("http://www.ncbi.nlm.nih.gov/protein/20544147","Csnk1d")</f>
        <v>Csnk1d</v>
      </c>
      <c r="D1508" s="10">
        <f t="shared" si="23"/>
        <v>4.4572513430938541</v>
      </c>
      <c r="F1508" s="8" t="str">
        <f>HYPERLINK("https://esbl.nhlbi.nih.gov/Databases/mpkFractions/proteomic_fractions_log_files/Yang_log_img/20544147.jpg","show blot")</f>
        <v>show blot</v>
      </c>
      <c r="H1508" s="8" t="str">
        <f>HYPERLINK("https://esbl.nhlbi.nih.gov/Databases/mpkFractions/proteomic_fractions_linear_files/Yang_linear_img/20544147.jpg","show blot")</f>
        <v>show blot</v>
      </c>
      <c r="J1508" s="5" t="s">
        <v>3007</v>
      </c>
      <c r="L1508" s="11">
        <v>4.4572513430938541</v>
      </c>
      <c r="N1508" s="12"/>
    </row>
    <row r="1509" spans="1:14" s="5" customFormat="1" ht="15" customHeight="1" x14ac:dyDescent="0.25">
      <c r="A1509" s="9" t="s">
        <v>3008</v>
      </c>
      <c r="C1509" s="9" t="str">
        <f>HYPERLINK("http://www.ncbi.nlm.nih.gov/protein/20544149","Csnk1d")</f>
        <v>Csnk1d</v>
      </c>
      <c r="D1509" s="10">
        <f t="shared" si="23"/>
        <v>4.4572513430938541</v>
      </c>
      <c r="F1509" s="8" t="str">
        <f>HYPERLINK("https://esbl.nhlbi.nih.gov/Databases/mpkFractions/proteomic_fractions_log_files/Yang_log_img/20544149.jpg","show blot")</f>
        <v>show blot</v>
      </c>
      <c r="H1509" s="8" t="str">
        <f>HYPERLINK("https://esbl.nhlbi.nih.gov/Databases/mpkFractions/proteomic_fractions_linear_files/Yang_linear_img/20544149.jpg","show blot")</f>
        <v>show blot</v>
      </c>
      <c r="J1509" s="5" t="s">
        <v>3009</v>
      </c>
      <c r="L1509" s="11">
        <v>4.4572513430938541</v>
      </c>
      <c r="N1509" s="12"/>
    </row>
    <row r="1510" spans="1:14" s="5" customFormat="1" ht="15" customHeight="1" x14ac:dyDescent="0.25">
      <c r="A1510" s="9" t="s">
        <v>3010</v>
      </c>
      <c r="C1510" s="9" t="str">
        <f>HYPERLINK("http://www.ncbi.nlm.nih.gov/protein/31542425","Csnk1e")</f>
        <v>Csnk1e</v>
      </c>
      <c r="D1510" s="10">
        <f t="shared" si="23"/>
        <v>4.273786003006653</v>
      </c>
      <c r="F1510" s="8" t="str">
        <f>HYPERLINK("https://esbl.nhlbi.nih.gov/Databases/mpkFractions/proteomic_fractions_log_files/Yang_log_img/31542425.jpg","show blot")</f>
        <v>show blot</v>
      </c>
      <c r="H1510" s="8" t="str">
        <f>HYPERLINK("https://esbl.nhlbi.nih.gov/Databases/mpkFractions/proteomic_fractions_linear_files/Yang_linear_img/31542425.jpg","show blot")</f>
        <v>show blot</v>
      </c>
      <c r="J1510" s="5" t="s">
        <v>3011</v>
      </c>
      <c r="L1510" s="11">
        <v>4.273786003006653</v>
      </c>
      <c r="N1510" s="12"/>
    </row>
    <row r="1511" spans="1:14" s="5" customFormat="1" ht="15" customHeight="1" x14ac:dyDescent="0.25">
      <c r="A1511" s="9" t="s">
        <v>3012</v>
      </c>
      <c r="C1511" s="9" t="str">
        <f>HYPERLINK("http://www.ncbi.nlm.nih.gov/protein/31542427","Csnk2a1")</f>
        <v>Csnk2a1</v>
      </c>
      <c r="D1511" s="10">
        <f t="shared" si="23"/>
        <v>6.3311225174489234</v>
      </c>
      <c r="F1511" s="8" t="str">
        <f>HYPERLINK("https://esbl.nhlbi.nih.gov/Databases/mpkFractions/proteomic_fractions_log_files/Yang_log_img/31542427.jpg","show blot")</f>
        <v>show blot</v>
      </c>
      <c r="H1511" s="8" t="str">
        <f>HYPERLINK("https://esbl.nhlbi.nih.gov/Databases/mpkFractions/proteomic_fractions_linear_files/Yang_linear_img/31542427.jpg","show blot")</f>
        <v>show blot</v>
      </c>
      <c r="J1511" s="5" t="s">
        <v>3013</v>
      </c>
      <c r="L1511" s="11">
        <v>6.3311225174489234</v>
      </c>
      <c r="N1511" s="12"/>
    </row>
    <row r="1512" spans="1:14" s="5" customFormat="1" ht="15" customHeight="1" x14ac:dyDescent="0.25">
      <c r="A1512" s="9" t="s">
        <v>3014</v>
      </c>
      <c r="C1512" s="9" t="str">
        <f>HYPERLINK("http://www.ncbi.nlm.nih.gov/protein/6753540","Csnk2a2")</f>
        <v>Csnk2a2</v>
      </c>
      <c r="D1512" s="10">
        <f t="shared" si="23"/>
        <v>6.2846889267266448</v>
      </c>
      <c r="F1512" s="8" t="str">
        <f>HYPERLINK("https://esbl.nhlbi.nih.gov/Databases/mpkFractions/proteomic_fractions_log_files/Yang_log_img/6753540.jpg","show blot")</f>
        <v>show blot</v>
      </c>
      <c r="H1512" s="8" t="str">
        <f>HYPERLINK("https://esbl.nhlbi.nih.gov/Databases/mpkFractions/proteomic_fractions_linear_files/Yang_linear_img/6753540.jpg","show blot")</f>
        <v>show blot</v>
      </c>
      <c r="J1512" s="5" t="s">
        <v>3015</v>
      </c>
      <c r="L1512" s="11">
        <v>6.2846889267266448</v>
      </c>
      <c r="N1512" s="12"/>
    </row>
    <row r="1513" spans="1:14" s="5" customFormat="1" ht="15" customHeight="1" x14ac:dyDescent="0.25">
      <c r="A1513" s="9" t="s">
        <v>3016</v>
      </c>
      <c r="C1513" s="9" t="str">
        <f>HYPERLINK("http://www.ncbi.nlm.nih.gov/protein/7106277","Csnk2b")</f>
        <v>Csnk2b</v>
      </c>
      <c r="D1513" s="10">
        <f t="shared" si="23"/>
        <v>5.7210948573622611</v>
      </c>
      <c r="F1513" s="8" t="str">
        <f>HYPERLINK("https://esbl.nhlbi.nih.gov/Databases/mpkFractions/proteomic_fractions_log_files/Yang_log_img/7106277.jpg","show blot")</f>
        <v>show blot</v>
      </c>
      <c r="H1513" s="8" t="str">
        <f>HYPERLINK("https://esbl.nhlbi.nih.gov/Databases/mpkFractions/proteomic_fractions_linear_files/Yang_linear_img/7106277.jpg","show blot")</f>
        <v>show blot</v>
      </c>
      <c r="J1513" s="5" t="s">
        <v>3017</v>
      </c>
      <c r="L1513" s="11">
        <v>5.7210948573622611</v>
      </c>
      <c r="N1513" s="12"/>
    </row>
    <row r="1514" spans="1:14" s="5" customFormat="1" ht="15" customHeight="1" x14ac:dyDescent="0.25">
      <c r="A1514" s="9" t="s">
        <v>3018</v>
      </c>
      <c r="C1514" s="9" t="str">
        <f>HYPERLINK("http://www.ncbi.nlm.nih.gov/protein/6681069","Csrp1")</f>
        <v>Csrp1</v>
      </c>
      <c r="D1514" s="10">
        <f t="shared" si="23"/>
        <v>6.1855748471132017</v>
      </c>
      <c r="F1514" s="8" t="str">
        <f>HYPERLINK("https://esbl.nhlbi.nih.gov/Databases/mpkFractions/proteomic_fractions_log_files/Yang_log_img/6681069.jpg","show blot")</f>
        <v>show blot</v>
      </c>
      <c r="H1514" s="8" t="str">
        <f>HYPERLINK("https://esbl.nhlbi.nih.gov/Databases/mpkFractions/proteomic_fractions_linear_files/Yang_linear_img/6681069.jpg","show blot")</f>
        <v>show blot</v>
      </c>
      <c r="J1514" s="5" t="s">
        <v>3019</v>
      </c>
      <c r="L1514" s="11">
        <v>6.1855748471132017</v>
      </c>
      <c r="N1514" s="12"/>
    </row>
    <row r="1515" spans="1:14" s="5" customFormat="1" ht="15" customHeight="1" x14ac:dyDescent="0.25">
      <c r="A1515" s="9" t="s">
        <v>3020</v>
      </c>
      <c r="C1515" s="9" t="str">
        <f>HYPERLINK("http://www.ncbi.nlm.nih.gov/protein/160707987","Csrp2")</f>
        <v>Csrp2</v>
      </c>
      <c r="D1515" s="10">
        <f t="shared" si="23"/>
        <v>4.6548907538546169</v>
      </c>
      <c r="F1515" s="8" t="str">
        <f>HYPERLINK("https://esbl.nhlbi.nih.gov/Databases/mpkFractions/proteomic_fractions_log_files/Yang_log_img/160707987.jpg","show blot")</f>
        <v>show blot</v>
      </c>
      <c r="H1515" s="8" t="str">
        <f>HYPERLINK("https://esbl.nhlbi.nih.gov/Databases/mpkFractions/proteomic_fractions_linear_files/Yang_linear_img/160707987.jpg","show blot")</f>
        <v>show blot</v>
      </c>
      <c r="J1515" s="5" t="s">
        <v>3021</v>
      </c>
      <c r="L1515" s="11">
        <v>4.6548907538546169</v>
      </c>
      <c r="N1515" s="12"/>
    </row>
    <row r="1516" spans="1:14" s="5" customFormat="1" ht="15" customHeight="1" x14ac:dyDescent="0.25">
      <c r="A1516" s="9" t="s">
        <v>3022</v>
      </c>
      <c r="C1516" s="9" t="str">
        <f>HYPERLINK("http://www.ncbi.nlm.nih.gov/protein/31981822","Cst3")</f>
        <v>Cst3</v>
      </c>
      <c r="D1516" s="10">
        <f t="shared" si="23"/>
        <v>4.3803110613073981</v>
      </c>
      <c r="F1516" s="8" t="str">
        <f>HYPERLINK("https://esbl.nhlbi.nih.gov/Databases/mpkFractions/proteomic_fractions_log_files/Yang_log_img/31981822.jpg","show blot")</f>
        <v>show blot</v>
      </c>
      <c r="H1516" s="8" t="str">
        <f>HYPERLINK("https://esbl.nhlbi.nih.gov/Databases/mpkFractions/proteomic_fractions_linear_files/Yang_linear_img/31981822.jpg","show blot")</f>
        <v>show blot</v>
      </c>
      <c r="J1516" s="5" t="s">
        <v>3023</v>
      </c>
      <c r="L1516" s="11">
        <v>4.3803110613073981</v>
      </c>
      <c r="N1516" s="12"/>
    </row>
    <row r="1517" spans="1:14" s="5" customFormat="1" ht="15" customHeight="1" x14ac:dyDescent="0.25">
      <c r="A1517" s="9" t="s">
        <v>3024</v>
      </c>
      <c r="C1517" s="9" t="str">
        <f>HYPERLINK("http://www.ncbi.nlm.nih.gov/protein/33469017","Cstad")</f>
        <v>Cstad</v>
      </c>
      <c r="D1517" s="10">
        <f t="shared" si="23"/>
        <v>6.7657508085740741</v>
      </c>
      <c r="F1517" s="8" t="str">
        <f>HYPERLINK("https://esbl.nhlbi.nih.gov/Databases/mpkFractions/proteomic_fractions_log_files/Yang_log_img/33469017.jpg","show blot")</f>
        <v>show blot</v>
      </c>
      <c r="H1517" s="8" t="str">
        <f>HYPERLINK("https://esbl.nhlbi.nih.gov/Databases/mpkFractions/proteomic_fractions_linear_files/Yang_linear_img/33469017.jpg","show blot")</f>
        <v>show blot</v>
      </c>
      <c r="J1517" s="5" t="s">
        <v>3025</v>
      </c>
      <c r="L1517" s="11">
        <v>6.7657508085740741</v>
      </c>
      <c r="N1517" s="12"/>
    </row>
    <row r="1518" spans="1:14" s="5" customFormat="1" ht="15" customHeight="1" x14ac:dyDescent="0.25">
      <c r="A1518" s="9" t="s">
        <v>3026</v>
      </c>
      <c r="C1518" s="9" t="str">
        <f>HYPERLINK("http://www.ncbi.nlm.nih.gov/protein/6681071","Cstb")</f>
        <v>Cstb</v>
      </c>
      <c r="D1518" s="10">
        <f t="shared" si="23"/>
        <v>5.7312231075071107</v>
      </c>
      <c r="F1518" s="8" t="str">
        <f>HYPERLINK("https://esbl.nhlbi.nih.gov/Databases/mpkFractions/proteomic_fractions_log_files/Yang_log_img/6681071.jpg","show blot")</f>
        <v>show blot</v>
      </c>
      <c r="H1518" s="8" t="str">
        <f>HYPERLINK("https://esbl.nhlbi.nih.gov/Databases/mpkFractions/proteomic_fractions_linear_files/Yang_linear_img/6681071.jpg","show blot")</f>
        <v>show blot</v>
      </c>
      <c r="J1518" s="5" t="s">
        <v>3027</v>
      </c>
      <c r="L1518" s="11">
        <v>5.7312231075071107</v>
      </c>
      <c r="N1518" s="12"/>
    </row>
    <row r="1519" spans="1:14" s="5" customFormat="1" ht="15" customHeight="1" x14ac:dyDescent="0.25">
      <c r="A1519" s="9" t="s">
        <v>3028</v>
      </c>
      <c r="C1519" s="9" t="str">
        <f>HYPERLINK("http://www.ncbi.nlm.nih.gov/protein/13195628","Cstf1")</f>
        <v>Cstf1</v>
      </c>
      <c r="D1519" s="10">
        <f t="shared" si="23"/>
        <v>3.5593115741352328</v>
      </c>
      <c r="F1519" s="8" t="str">
        <f>HYPERLINK("https://esbl.nhlbi.nih.gov/Databases/mpkFractions/proteomic_fractions_log_files/Yang_log_img/13195628.jpg","show blot")</f>
        <v>show blot</v>
      </c>
      <c r="H1519" s="8" t="str">
        <f>HYPERLINK("https://esbl.nhlbi.nih.gov/Databases/mpkFractions/proteomic_fractions_linear_files/Yang_linear_img/13195628.jpg","show blot")</f>
        <v>show blot</v>
      </c>
      <c r="J1519" s="5" t="s">
        <v>3029</v>
      </c>
      <c r="L1519" s="11">
        <v>3.5593115741352328</v>
      </c>
      <c r="N1519" s="12"/>
    </row>
    <row r="1520" spans="1:14" s="5" customFormat="1" ht="15" customHeight="1" x14ac:dyDescent="0.25">
      <c r="A1520" s="9" t="s">
        <v>3030</v>
      </c>
      <c r="C1520" s="9" t="str">
        <f>HYPERLINK("http://www.ncbi.nlm.nih.gov/protein/18875338","Cstf2")</f>
        <v>Cstf2</v>
      </c>
      <c r="D1520" s="10">
        <f t="shared" si="23"/>
        <v>3.8599955394129521</v>
      </c>
      <c r="F1520" s="8" t="str">
        <f>HYPERLINK("https://esbl.nhlbi.nih.gov/Databases/mpkFractions/proteomic_fractions_log_files/Yang_log_img/18875338.jpg","show blot")</f>
        <v>show blot</v>
      </c>
      <c r="H1520" s="8" t="str">
        <f>HYPERLINK("https://esbl.nhlbi.nih.gov/Databases/mpkFractions/proteomic_fractions_linear_files/Yang_linear_img/18875338.jpg","show blot")</f>
        <v>show blot</v>
      </c>
      <c r="J1520" s="5" t="s">
        <v>3031</v>
      </c>
      <c r="L1520" s="11">
        <v>3.8599955394129521</v>
      </c>
      <c r="N1520" s="12"/>
    </row>
    <row r="1521" spans="1:14" s="5" customFormat="1" ht="15" customHeight="1" x14ac:dyDescent="0.25">
      <c r="A1521" s="9" t="s">
        <v>3032</v>
      </c>
      <c r="C1521" s="9" t="str">
        <f>HYPERLINK("http://www.ncbi.nlm.nih.gov/protein/21704042","Cstf3")</f>
        <v>Cstf3</v>
      </c>
      <c r="D1521" s="10">
        <f t="shared" si="23"/>
        <v>4.5132716829745938</v>
      </c>
      <c r="F1521" s="8" t="str">
        <f>HYPERLINK("https://esbl.nhlbi.nih.gov/Databases/mpkFractions/proteomic_fractions_log_files/Yang_log_img/21704042.jpg","show blot")</f>
        <v>show blot</v>
      </c>
      <c r="H1521" s="8" t="str">
        <f>HYPERLINK("https://esbl.nhlbi.nih.gov/Databases/mpkFractions/proteomic_fractions_linear_files/Yang_linear_img/21704042.jpg","show blot")</f>
        <v>show blot</v>
      </c>
      <c r="J1521" s="5" t="s">
        <v>3033</v>
      </c>
      <c r="L1521" s="11">
        <v>4.5132716829745938</v>
      </c>
      <c r="N1521" s="12"/>
    </row>
    <row r="1522" spans="1:14" s="5" customFormat="1" ht="15" customHeight="1" x14ac:dyDescent="0.25">
      <c r="A1522" s="9" t="s">
        <v>3034</v>
      </c>
      <c r="C1522" s="9" t="str">
        <f>HYPERLINK("http://www.ncbi.nlm.nih.gov/protein/259155334","Ctage5")</f>
        <v>Ctage5</v>
      </c>
      <c r="D1522" s="10">
        <f t="shared" si="23"/>
        <v>2.6840210673032572</v>
      </c>
      <c r="F1522" s="8" t="str">
        <f>HYPERLINK("https://esbl.nhlbi.nih.gov/Databases/mpkFractions/proteomic_fractions_log_files/Yang_log_img/259155334.jpg","show blot")</f>
        <v>show blot</v>
      </c>
      <c r="H1522" s="8" t="str">
        <f>HYPERLINK("https://esbl.nhlbi.nih.gov/Databases/mpkFractions/proteomic_fractions_linear_files/Yang_linear_img/259155334.jpg","show blot")</f>
        <v>show blot</v>
      </c>
      <c r="J1522" s="5" t="s">
        <v>3035</v>
      </c>
      <c r="L1522" s="11">
        <v>2.6840210673032572</v>
      </c>
      <c r="N1522" s="12"/>
    </row>
    <row r="1523" spans="1:14" s="5" customFormat="1" ht="15" customHeight="1" x14ac:dyDescent="0.25">
      <c r="A1523" s="9" t="s">
        <v>3036</v>
      </c>
      <c r="C1523" s="9" t="str">
        <f>HYPERLINK("http://www.ncbi.nlm.nih.gov/protein/259155336","Ctage5")</f>
        <v>Ctage5</v>
      </c>
      <c r="D1523" s="10">
        <f t="shared" si="23"/>
        <v>2.6840210673032572</v>
      </c>
      <c r="F1523" s="8" t="str">
        <f>HYPERLINK("https://esbl.nhlbi.nih.gov/Databases/mpkFractions/proteomic_fractions_log_files/Yang_log_img/259155336.jpg","show blot")</f>
        <v>show blot</v>
      </c>
      <c r="H1523" s="8" t="str">
        <f>HYPERLINK("https://esbl.nhlbi.nih.gov/Databases/mpkFractions/proteomic_fractions_linear_files/Yang_linear_img/259155336.jpg","show blot")</f>
        <v>show blot</v>
      </c>
      <c r="J1523" s="5" t="s">
        <v>3037</v>
      </c>
      <c r="L1523" s="11">
        <v>2.6840210673032572</v>
      </c>
      <c r="N1523" s="12"/>
    </row>
    <row r="1524" spans="1:14" s="5" customFormat="1" ht="15" customHeight="1" x14ac:dyDescent="0.25">
      <c r="A1524" s="9" t="s">
        <v>3038</v>
      </c>
      <c r="C1524" s="9" t="str">
        <f>HYPERLINK("http://www.ncbi.nlm.nih.gov/protein/259155338","Ctage5")</f>
        <v>Ctage5</v>
      </c>
      <c r="D1524" s="10">
        <f t="shared" si="23"/>
        <v>2.6840210673032572</v>
      </c>
      <c r="F1524" s="8" t="str">
        <f>HYPERLINK("https://esbl.nhlbi.nih.gov/Databases/mpkFractions/proteomic_fractions_log_files/Yang_log_img/259155338.jpg","show blot")</f>
        <v>show blot</v>
      </c>
      <c r="H1524" s="8" t="str">
        <f>HYPERLINK("https://esbl.nhlbi.nih.gov/Databases/mpkFractions/proteomic_fractions_linear_files/Yang_linear_img/259155338.jpg","show blot")</f>
        <v>show blot</v>
      </c>
      <c r="J1524" s="5" t="s">
        <v>3039</v>
      </c>
      <c r="L1524" s="11">
        <v>2.6840210673032572</v>
      </c>
      <c r="N1524" s="12"/>
    </row>
    <row r="1525" spans="1:14" s="5" customFormat="1" ht="15" customHeight="1" x14ac:dyDescent="0.25">
      <c r="A1525" s="9" t="s">
        <v>3040</v>
      </c>
      <c r="C1525" s="9" t="str">
        <f>HYPERLINK("http://www.ncbi.nlm.nih.gov/protein/311893324","Ctbp1")</f>
        <v>Ctbp1</v>
      </c>
      <c r="D1525" s="10">
        <f t="shared" si="23"/>
        <v>5.2252837301939428</v>
      </c>
      <c r="F1525" s="8" t="str">
        <f>HYPERLINK("https://esbl.nhlbi.nih.gov/Databases/mpkFractions/proteomic_fractions_log_files/Yang_log_img/311893324.jpg","show blot")</f>
        <v>show blot</v>
      </c>
      <c r="H1525" s="8" t="str">
        <f>HYPERLINK("https://esbl.nhlbi.nih.gov/Databases/mpkFractions/proteomic_fractions_linear_files/Yang_linear_img/311893324.jpg","show blot")</f>
        <v>show blot</v>
      </c>
      <c r="J1525" s="5" t="s">
        <v>3041</v>
      </c>
      <c r="L1525" s="11">
        <v>5.2252837301939428</v>
      </c>
      <c r="N1525" s="12"/>
    </row>
    <row r="1526" spans="1:14" s="5" customFormat="1" ht="15" customHeight="1" x14ac:dyDescent="0.25">
      <c r="A1526" s="9" t="s">
        <v>3042</v>
      </c>
      <c r="C1526" s="9" t="str">
        <f>HYPERLINK("http://www.ncbi.nlm.nih.gov/protein/311893326","Ctbp1")</f>
        <v>Ctbp1</v>
      </c>
      <c r="D1526" s="10">
        <f t="shared" si="23"/>
        <v>5.2252837301939428</v>
      </c>
      <c r="F1526" s="8" t="str">
        <f>HYPERLINK("https://esbl.nhlbi.nih.gov/Databases/mpkFractions/proteomic_fractions_log_files/Yang_log_img/311893326.jpg","show blot")</f>
        <v>show blot</v>
      </c>
      <c r="H1526" s="8" t="str">
        <f>HYPERLINK("https://esbl.nhlbi.nih.gov/Databases/mpkFractions/proteomic_fractions_linear_files/Yang_linear_img/311893326.jpg","show blot")</f>
        <v>show blot</v>
      </c>
      <c r="J1526" s="5" t="s">
        <v>3043</v>
      </c>
      <c r="L1526" s="11">
        <v>5.2252837301939428</v>
      </c>
      <c r="N1526" s="12"/>
    </row>
    <row r="1527" spans="1:14" s="5" customFormat="1" ht="15" customHeight="1" x14ac:dyDescent="0.25">
      <c r="A1527" s="9" t="s">
        <v>3044</v>
      </c>
      <c r="C1527" s="9" t="str">
        <f>HYPERLINK("http://www.ncbi.nlm.nih.gov/protein/311893328","Ctbp1")</f>
        <v>Ctbp1</v>
      </c>
      <c r="D1527" s="10">
        <f t="shared" si="23"/>
        <v>5.2252837301939428</v>
      </c>
      <c r="F1527" s="8" t="str">
        <f>HYPERLINK("https://esbl.nhlbi.nih.gov/Databases/mpkFractions/proteomic_fractions_log_files/Yang_log_img/311893328.jpg","show blot")</f>
        <v>show blot</v>
      </c>
      <c r="H1527" s="8" t="str">
        <f>HYPERLINK("https://esbl.nhlbi.nih.gov/Databases/mpkFractions/proteomic_fractions_linear_files/Yang_linear_img/311893328.jpg","show blot")</f>
        <v>show blot</v>
      </c>
      <c r="J1527" s="5" t="s">
        <v>3045</v>
      </c>
      <c r="L1527" s="11">
        <v>5.2252837301939428</v>
      </c>
      <c r="N1527" s="12"/>
    </row>
    <row r="1528" spans="1:14" s="5" customFormat="1" ht="15" customHeight="1" x14ac:dyDescent="0.25">
      <c r="A1528" s="9" t="s">
        <v>3046</v>
      </c>
      <c r="C1528" s="9" t="str">
        <f>HYPERLINK("http://www.ncbi.nlm.nih.gov/protein/7304989","Ctbp1")</f>
        <v>Ctbp1</v>
      </c>
      <c r="D1528" s="10">
        <f t="shared" si="23"/>
        <v>5.2252837301939428</v>
      </c>
      <c r="F1528" s="8" t="str">
        <f>HYPERLINK("https://esbl.nhlbi.nih.gov/Databases/mpkFractions/proteomic_fractions_log_files/Yang_log_img/7304989.jpg","show blot")</f>
        <v>show blot</v>
      </c>
      <c r="H1528" s="8" t="str">
        <f>HYPERLINK("https://esbl.nhlbi.nih.gov/Databases/mpkFractions/proteomic_fractions_linear_files/Yang_linear_img/7304989.jpg","show blot")</f>
        <v>show blot</v>
      </c>
      <c r="J1528" s="5" t="s">
        <v>3047</v>
      </c>
      <c r="L1528" s="11">
        <v>5.2252837301939428</v>
      </c>
      <c r="N1528" s="12"/>
    </row>
    <row r="1529" spans="1:14" s="5" customFormat="1" ht="15" customHeight="1" x14ac:dyDescent="0.25">
      <c r="A1529" s="9" t="s">
        <v>3048</v>
      </c>
      <c r="C1529" s="9" t="str">
        <f>HYPERLINK("http://www.ncbi.nlm.nih.gov/protein/282721029","Ctbp2")</f>
        <v>Ctbp2</v>
      </c>
      <c r="D1529" s="10">
        <f t="shared" si="23"/>
        <v>5.4113211537846464</v>
      </c>
      <c r="F1529" s="8" t="str">
        <f>HYPERLINK("https://esbl.nhlbi.nih.gov/Databases/mpkFractions/proteomic_fractions_log_files/Yang_log_img/282721029.jpg","show blot")</f>
        <v>show blot</v>
      </c>
      <c r="H1529" s="8" t="str">
        <f>HYPERLINK("https://esbl.nhlbi.nih.gov/Databases/mpkFractions/proteomic_fractions_linear_files/Yang_linear_img/282721029.jpg","show blot")</f>
        <v>show blot</v>
      </c>
      <c r="J1529" s="5" t="s">
        <v>3049</v>
      </c>
      <c r="L1529" s="11">
        <v>5.4113211537846464</v>
      </c>
      <c r="N1529" s="12"/>
    </row>
    <row r="1530" spans="1:14" s="5" customFormat="1" ht="15" customHeight="1" x14ac:dyDescent="0.25">
      <c r="A1530" s="9" t="s">
        <v>3050</v>
      </c>
      <c r="C1530" s="9" t="str">
        <f>HYPERLINK("http://www.ncbi.nlm.nih.gov/protein/6753548","Ctbp2")</f>
        <v>Ctbp2</v>
      </c>
      <c r="D1530" s="10">
        <f t="shared" si="23"/>
        <v>5.4113211537846464</v>
      </c>
      <c r="F1530" s="8" t="str">
        <f>HYPERLINK("https://esbl.nhlbi.nih.gov/Databases/mpkFractions/proteomic_fractions_log_files/Yang_log_img/6753548.jpg","show blot")</f>
        <v>show blot</v>
      </c>
      <c r="H1530" s="8" t="str">
        <f>HYPERLINK("https://esbl.nhlbi.nih.gov/Databases/mpkFractions/proteomic_fractions_linear_files/Yang_linear_img/6753548.jpg","show blot")</f>
        <v>show blot</v>
      </c>
      <c r="J1530" s="5" t="s">
        <v>3051</v>
      </c>
      <c r="L1530" s="11">
        <v>5.4113211537846464</v>
      </c>
      <c r="N1530" s="12"/>
    </row>
    <row r="1531" spans="1:14" s="5" customFormat="1" ht="15" customHeight="1" x14ac:dyDescent="0.25">
      <c r="A1531" s="9" t="s">
        <v>3052</v>
      </c>
      <c r="C1531" s="9" t="str">
        <f>HYPERLINK("http://www.ncbi.nlm.nih.gov/protein/27229204","Ctbs")</f>
        <v>Ctbs</v>
      </c>
      <c r="D1531" s="10">
        <f t="shared" si="23"/>
        <v>3.048841095359736</v>
      </c>
      <c r="F1531" s="8" t="str">
        <f>HYPERLINK("https://esbl.nhlbi.nih.gov/Databases/mpkFractions/proteomic_fractions_log_files/Yang_log_img/27229204.jpg","show blot")</f>
        <v>show blot</v>
      </c>
      <c r="H1531" s="8" t="str">
        <f>HYPERLINK("https://esbl.nhlbi.nih.gov/Databases/mpkFractions/proteomic_fractions_linear_files/Yang_linear_img/27229204.jpg","show blot")</f>
        <v>show blot</v>
      </c>
      <c r="J1531" s="5" t="s">
        <v>3053</v>
      </c>
      <c r="L1531" s="11">
        <v>3.048841095359736</v>
      </c>
      <c r="N1531" s="12"/>
    </row>
    <row r="1532" spans="1:14" s="5" customFormat="1" ht="15" customHeight="1" x14ac:dyDescent="0.25">
      <c r="A1532" s="9" t="s">
        <v>3054</v>
      </c>
      <c r="C1532" s="9" t="str">
        <f>HYPERLINK("http://www.ncbi.nlm.nih.gov/protein/219689064","Ctc1")</f>
        <v>Ctc1</v>
      </c>
      <c r="D1532" s="10">
        <f t="shared" si="23"/>
        <v>4.1402876873784988</v>
      </c>
      <c r="F1532" s="8" t="str">
        <f>HYPERLINK("https://esbl.nhlbi.nih.gov/Databases/mpkFractions/proteomic_fractions_log_files/Yang_log_img/219689064.jpg","show blot")</f>
        <v>show blot</v>
      </c>
      <c r="H1532" s="8" t="str">
        <f>HYPERLINK("https://esbl.nhlbi.nih.gov/Databases/mpkFractions/proteomic_fractions_linear_files/Yang_linear_img/219689064.jpg","show blot")</f>
        <v>show blot</v>
      </c>
      <c r="J1532" s="5" t="s">
        <v>3055</v>
      </c>
      <c r="L1532" s="11">
        <v>4.1402876873784988</v>
      </c>
      <c r="N1532" s="12"/>
    </row>
    <row r="1533" spans="1:14" s="5" customFormat="1" ht="15" customHeight="1" x14ac:dyDescent="0.25">
      <c r="A1533" s="9" t="s">
        <v>3056</v>
      </c>
      <c r="C1533" s="9" t="str">
        <f>HYPERLINK("http://www.ncbi.nlm.nih.gov/protein/219689066","Ctc1")</f>
        <v>Ctc1</v>
      </c>
      <c r="D1533" s="10">
        <f t="shared" si="23"/>
        <v>4.1402876873784988</v>
      </c>
      <c r="F1533" s="8" t="str">
        <f>HYPERLINK("https://esbl.nhlbi.nih.gov/Databases/mpkFractions/proteomic_fractions_log_files/Yang_log_img/219689066.jpg","show blot")</f>
        <v>show blot</v>
      </c>
      <c r="H1533" s="8" t="str">
        <f>HYPERLINK("https://esbl.nhlbi.nih.gov/Databases/mpkFractions/proteomic_fractions_linear_files/Yang_linear_img/219689066.jpg","show blot")</f>
        <v>show blot</v>
      </c>
      <c r="J1533" s="5" t="s">
        <v>3057</v>
      </c>
      <c r="L1533" s="11">
        <v>4.1402876873784988</v>
      </c>
      <c r="N1533" s="12"/>
    </row>
    <row r="1534" spans="1:14" s="5" customFormat="1" ht="15" customHeight="1" x14ac:dyDescent="0.25">
      <c r="A1534" s="9" t="s">
        <v>3058</v>
      </c>
      <c r="C1534" s="9" t="str">
        <f>HYPERLINK("http://www.ncbi.nlm.nih.gov/protein/31044459","Ctcf")</f>
        <v>Ctcf</v>
      </c>
      <c r="D1534" s="10">
        <f t="shared" si="23"/>
        <v>3.5491688063314042</v>
      </c>
      <c r="F1534" s="8" t="str">
        <f>HYPERLINK("https://esbl.nhlbi.nih.gov/Databases/mpkFractions/proteomic_fractions_log_files/Yang_log_img/31044459.jpg","show blot")</f>
        <v>show blot</v>
      </c>
      <c r="H1534" s="8" t="str">
        <f>HYPERLINK("https://esbl.nhlbi.nih.gov/Databases/mpkFractions/proteomic_fractions_linear_files/Yang_linear_img/31044459.jpg","show blot")</f>
        <v>show blot</v>
      </c>
      <c r="J1534" s="5" t="s">
        <v>3059</v>
      </c>
      <c r="L1534" s="11">
        <v>3.5491688063314042</v>
      </c>
      <c r="N1534" s="12"/>
    </row>
    <row r="1535" spans="1:14" s="5" customFormat="1" ht="15" customHeight="1" x14ac:dyDescent="0.25">
      <c r="A1535" s="9" t="s">
        <v>3060</v>
      </c>
      <c r="C1535" s="9" t="str">
        <f>HYPERLINK("http://www.ncbi.nlm.nih.gov/protein/34328280","Ctdp1")</f>
        <v>Ctdp1</v>
      </c>
      <c r="D1535" s="10">
        <f t="shared" si="23"/>
        <v>3.8975903049994418</v>
      </c>
      <c r="F1535" s="8" t="str">
        <f>HYPERLINK("https://esbl.nhlbi.nih.gov/Databases/mpkFractions/proteomic_fractions_log_files/Yang_log_img/34328280.jpg","show blot")</f>
        <v>show blot</v>
      </c>
      <c r="H1535" s="8" t="str">
        <f>HYPERLINK("https://esbl.nhlbi.nih.gov/Databases/mpkFractions/proteomic_fractions_linear_files/Yang_linear_img/34328280.jpg","show blot")</f>
        <v>show blot</v>
      </c>
      <c r="J1535" s="5" t="s">
        <v>3061</v>
      </c>
      <c r="L1535" s="11">
        <v>3.8975903049994418</v>
      </c>
      <c r="N1535" s="12"/>
    </row>
    <row r="1536" spans="1:14" s="5" customFormat="1" ht="15" customHeight="1" x14ac:dyDescent="0.25">
      <c r="A1536" s="9" t="s">
        <v>3062</v>
      </c>
      <c r="C1536" s="9" t="str">
        <f>HYPERLINK("http://www.ncbi.nlm.nih.gov/protein/23346509","Ctdsp1")</f>
        <v>Ctdsp1</v>
      </c>
      <c r="D1536" s="10">
        <f t="shared" si="23"/>
        <v>3.3585911785170941</v>
      </c>
      <c r="F1536" s="8" t="str">
        <f>HYPERLINK("https://esbl.nhlbi.nih.gov/Databases/mpkFractions/proteomic_fractions_log_files/Yang_log_img/23346509.jpg","show blot")</f>
        <v>show blot</v>
      </c>
      <c r="H1536" s="8" t="str">
        <f>HYPERLINK("https://esbl.nhlbi.nih.gov/Databases/mpkFractions/proteomic_fractions_linear_files/Yang_linear_img/23346509.jpg","show blot")</f>
        <v>show blot</v>
      </c>
      <c r="J1536" s="5" t="s">
        <v>3063</v>
      </c>
      <c r="L1536" s="11">
        <v>3.3585911785170941</v>
      </c>
      <c r="N1536" s="12"/>
    </row>
    <row r="1537" spans="1:14" s="5" customFormat="1" ht="15" customHeight="1" x14ac:dyDescent="0.25">
      <c r="A1537" s="9" t="s">
        <v>3064</v>
      </c>
      <c r="C1537" s="9" t="str">
        <f>HYPERLINK("http://www.ncbi.nlm.nih.gov/protein/164698411","Ctdsp2")</f>
        <v>Ctdsp2</v>
      </c>
      <c r="D1537" s="10">
        <f t="shared" si="23"/>
        <v>2.6656531389509879</v>
      </c>
      <c r="F1537" s="8" t="str">
        <f>HYPERLINK("https://esbl.nhlbi.nih.gov/Databases/mpkFractions/proteomic_fractions_log_files/Yang_log_img/164698411.jpg","show blot")</f>
        <v>show blot</v>
      </c>
      <c r="H1537" s="8" t="str">
        <f>HYPERLINK("https://esbl.nhlbi.nih.gov/Databases/mpkFractions/proteomic_fractions_linear_files/Yang_linear_img/164698411.jpg","show blot")</f>
        <v>show blot</v>
      </c>
      <c r="J1537" s="5" t="s">
        <v>3065</v>
      </c>
      <c r="L1537" s="11">
        <v>2.6656531389509879</v>
      </c>
      <c r="N1537" s="12"/>
    </row>
    <row r="1538" spans="1:14" s="5" customFormat="1" ht="15" customHeight="1" x14ac:dyDescent="0.25">
      <c r="A1538" s="9" t="s">
        <v>3066</v>
      </c>
      <c r="C1538" s="9" t="str">
        <f>HYPERLINK("http://www.ncbi.nlm.nih.gov/protein/22122479","Ctdsp2")</f>
        <v>Ctdsp2</v>
      </c>
      <c r="D1538" s="10">
        <f t="shared" si="23"/>
        <v>2.6656531389509879</v>
      </c>
      <c r="F1538" s="8" t="str">
        <f>HYPERLINK("https://esbl.nhlbi.nih.gov/Databases/mpkFractions/proteomic_fractions_log_files/Yang_log_img/22122479.jpg","show blot")</f>
        <v>show blot</v>
      </c>
      <c r="H1538" s="8" t="str">
        <f>HYPERLINK("https://esbl.nhlbi.nih.gov/Databases/mpkFractions/proteomic_fractions_linear_files/Yang_linear_img/22122479.jpg","show blot")</f>
        <v>show blot</v>
      </c>
      <c r="J1538" s="5" t="s">
        <v>3067</v>
      </c>
      <c r="L1538" s="11">
        <v>2.6656531389509879</v>
      </c>
      <c r="N1538" s="12"/>
    </row>
    <row r="1539" spans="1:14" s="5" customFormat="1" ht="15" customHeight="1" x14ac:dyDescent="0.25">
      <c r="A1539" s="9" t="s">
        <v>3068</v>
      </c>
      <c r="C1539" s="9" t="str">
        <f>HYPERLINK("http://www.ncbi.nlm.nih.gov/protein/171460950","Ctdspl")</f>
        <v>Ctdspl</v>
      </c>
      <c r="D1539" s="10">
        <f t="shared" si="23"/>
        <v>3.2409211120555659</v>
      </c>
      <c r="F1539" s="8" t="str">
        <f>HYPERLINK("https://esbl.nhlbi.nih.gov/Databases/mpkFractions/proteomic_fractions_log_files/Yang_log_img/171460950.jpg","show blot")</f>
        <v>show blot</v>
      </c>
      <c r="H1539" s="8" t="str">
        <f>HYPERLINK("https://esbl.nhlbi.nih.gov/Databases/mpkFractions/proteomic_fractions_linear_files/Yang_linear_img/171460950.jpg","show blot")</f>
        <v>show blot</v>
      </c>
      <c r="J1539" s="5" t="s">
        <v>3069</v>
      </c>
      <c r="L1539" s="11">
        <v>3.2409211120555659</v>
      </c>
      <c r="N1539" s="12"/>
    </row>
    <row r="1540" spans="1:14" s="5" customFormat="1" ht="15" customHeight="1" x14ac:dyDescent="0.25">
      <c r="A1540" s="9" t="s">
        <v>3070</v>
      </c>
      <c r="C1540" s="9" t="str">
        <f>HYPERLINK("http://www.ncbi.nlm.nih.gov/protein/6681075","Ctf1")</f>
        <v>Ctf1</v>
      </c>
      <c r="D1540" s="10">
        <f t="shared" si="23"/>
        <v>3.4265193639099669</v>
      </c>
      <c r="F1540" s="8" t="str">
        <f>HYPERLINK("https://esbl.nhlbi.nih.gov/Databases/mpkFractions/proteomic_fractions_log_files/Yang_log_img/6681075.jpg","show blot")</f>
        <v>show blot</v>
      </c>
      <c r="H1540" s="8" t="str">
        <f>HYPERLINK("https://esbl.nhlbi.nih.gov/Databases/mpkFractions/proteomic_fractions_linear_files/Yang_linear_img/6681075.jpg","show blot")</f>
        <v>show blot</v>
      </c>
      <c r="J1540" s="5" t="s">
        <v>3071</v>
      </c>
      <c r="L1540" s="11">
        <v>3.4265193639099669</v>
      </c>
      <c r="N1540" s="12"/>
    </row>
    <row r="1541" spans="1:14" s="5" customFormat="1" ht="15" customHeight="1" x14ac:dyDescent="0.25">
      <c r="A1541" s="9" t="s">
        <v>3072</v>
      </c>
      <c r="C1541" s="9" t="str">
        <f>HYPERLINK("http://www.ncbi.nlm.nih.gov/protein/38524598","Ctf2")</f>
        <v>Ctf2</v>
      </c>
      <c r="D1541" s="10">
        <f t="shared" ref="D1541:D1604" si="24">L1541</f>
        <v>4.0007927083324031</v>
      </c>
      <c r="F1541" s="8" t="str">
        <f>HYPERLINK("https://esbl.nhlbi.nih.gov/Databases/mpkFractions/proteomic_fractions_log_files/Yang_log_img/38524598.jpg","show blot")</f>
        <v>show blot</v>
      </c>
      <c r="H1541" s="8" t="str">
        <f>HYPERLINK("https://esbl.nhlbi.nih.gov/Databases/mpkFractions/proteomic_fractions_linear_files/Yang_linear_img/38524598.jpg","show blot")</f>
        <v>show blot</v>
      </c>
      <c r="J1541" s="5" t="s">
        <v>3073</v>
      </c>
      <c r="L1541" s="11">
        <v>4.0007927083324031</v>
      </c>
      <c r="N1541" s="12"/>
    </row>
    <row r="1542" spans="1:14" s="5" customFormat="1" ht="15" customHeight="1" x14ac:dyDescent="0.25">
      <c r="A1542" s="9" t="s">
        <v>3074</v>
      </c>
      <c r="C1542" s="9" t="str">
        <f>HYPERLINK("http://www.ncbi.nlm.nih.gov/protein/22122387","Cth")</f>
        <v>Cth</v>
      </c>
      <c r="D1542" s="10">
        <f t="shared" si="24"/>
        <v>5.3220734456814709</v>
      </c>
      <c r="F1542" s="8" t="str">
        <f>HYPERLINK("https://esbl.nhlbi.nih.gov/Databases/mpkFractions/proteomic_fractions_log_files/Yang_log_img/22122387.jpg","show blot")</f>
        <v>show blot</v>
      </c>
      <c r="H1542" s="8" t="str">
        <f>HYPERLINK("https://esbl.nhlbi.nih.gov/Databases/mpkFractions/proteomic_fractions_linear_files/Yang_linear_img/22122387.jpg","show blot")</f>
        <v>show blot</v>
      </c>
      <c r="J1542" s="5" t="s">
        <v>3075</v>
      </c>
      <c r="L1542" s="11">
        <v>5.3220734456814709</v>
      </c>
      <c r="N1542" s="12"/>
    </row>
    <row r="1543" spans="1:14" s="5" customFormat="1" ht="15" customHeight="1" x14ac:dyDescent="0.25">
      <c r="A1543" s="9" t="s">
        <v>3076</v>
      </c>
      <c r="C1543" s="9" t="str">
        <f>HYPERLINK("http://www.ncbi.nlm.nih.gov/protein/6753294","Ctnna1")</f>
        <v>Ctnna1</v>
      </c>
      <c r="D1543" s="10">
        <f t="shared" si="24"/>
        <v>6.2480111406715473</v>
      </c>
      <c r="F1543" s="8" t="str">
        <f>HYPERLINK("https://esbl.nhlbi.nih.gov/Databases/mpkFractions/proteomic_fractions_log_files/Yang_log_img/6753294.jpg","show blot")</f>
        <v>show blot</v>
      </c>
      <c r="H1543" s="8" t="str">
        <f>HYPERLINK("https://esbl.nhlbi.nih.gov/Databases/mpkFractions/proteomic_fractions_linear_files/Yang_linear_img/6753294.jpg","show blot")</f>
        <v>show blot</v>
      </c>
      <c r="J1543" s="5" t="s">
        <v>3077</v>
      </c>
      <c r="L1543" s="11">
        <v>6.2480111406715473</v>
      </c>
      <c r="N1543" s="12"/>
    </row>
    <row r="1544" spans="1:14" s="5" customFormat="1" ht="15" customHeight="1" x14ac:dyDescent="0.25">
      <c r="A1544" s="9" t="s">
        <v>3078</v>
      </c>
      <c r="C1544" s="9" t="str">
        <f>HYPERLINK("http://www.ncbi.nlm.nih.gov/protein/157951725","Ctnna2")</f>
        <v>Ctnna2</v>
      </c>
      <c r="D1544" s="10">
        <f t="shared" si="24"/>
        <v>5.617407845035963</v>
      </c>
      <c r="F1544" s="8" t="str">
        <f>HYPERLINK("https://esbl.nhlbi.nih.gov/Databases/mpkFractions/proteomic_fractions_log_files/Yang_log_img/157951725.jpg","show blot")</f>
        <v>show blot</v>
      </c>
      <c r="H1544" s="8" t="str">
        <f>HYPERLINK("https://esbl.nhlbi.nih.gov/Databases/mpkFractions/proteomic_fractions_linear_files/Yang_linear_img/157951725.jpg","show blot")</f>
        <v>show blot</v>
      </c>
      <c r="J1544" s="5" t="s">
        <v>3079</v>
      </c>
      <c r="L1544" s="11">
        <v>5.617407845035963</v>
      </c>
      <c r="N1544" s="12"/>
    </row>
    <row r="1545" spans="1:14" s="5" customFormat="1" ht="15" customHeight="1" x14ac:dyDescent="0.25">
      <c r="A1545" s="9" t="s">
        <v>3080</v>
      </c>
      <c r="C1545" s="9" t="str">
        <f>HYPERLINK("http://www.ncbi.nlm.nih.gov/protein/157951727","Ctnna2")</f>
        <v>Ctnna2</v>
      </c>
      <c r="D1545" s="10">
        <f t="shared" si="24"/>
        <v>5.617407845035963</v>
      </c>
      <c r="F1545" s="8" t="str">
        <f>HYPERLINK("https://esbl.nhlbi.nih.gov/Databases/mpkFractions/proteomic_fractions_log_files/Yang_log_img/157951727.jpg","show blot")</f>
        <v>show blot</v>
      </c>
      <c r="H1545" s="8" t="str">
        <f>HYPERLINK("https://esbl.nhlbi.nih.gov/Databases/mpkFractions/proteomic_fractions_linear_files/Yang_linear_img/157951727.jpg","show blot")</f>
        <v>show blot</v>
      </c>
      <c r="J1545" s="5" t="s">
        <v>3081</v>
      </c>
      <c r="L1545" s="11">
        <v>5.617407845035963</v>
      </c>
      <c r="N1545" s="12"/>
    </row>
    <row r="1546" spans="1:14" s="5" customFormat="1" ht="15" customHeight="1" x14ac:dyDescent="0.25">
      <c r="A1546" s="9" t="s">
        <v>3082</v>
      </c>
      <c r="C1546" s="9" t="str">
        <f>HYPERLINK("http://www.ncbi.nlm.nih.gov/protein/256985121","Ctnna3")</f>
        <v>Ctnna3</v>
      </c>
      <c r="D1546" s="10">
        <f t="shared" si="24"/>
        <v>5.1784181521629309</v>
      </c>
      <c r="F1546" s="8" t="str">
        <f>HYPERLINK("https://esbl.nhlbi.nih.gov/Databases/mpkFractions/proteomic_fractions_log_files/Yang_log_img/256985121.jpg","show blot")</f>
        <v>show blot</v>
      </c>
      <c r="H1546" s="8" t="str">
        <f>HYPERLINK("https://esbl.nhlbi.nih.gov/Databases/mpkFractions/proteomic_fractions_linear_files/Yang_linear_img/256985121.jpg","show blot")</f>
        <v>show blot</v>
      </c>
      <c r="J1546" s="5" t="s">
        <v>3083</v>
      </c>
      <c r="L1546" s="11">
        <v>5.1784181521629309</v>
      </c>
      <c r="N1546" s="12"/>
    </row>
    <row r="1547" spans="1:14" s="5" customFormat="1" ht="15" customHeight="1" x14ac:dyDescent="0.25">
      <c r="A1547" s="9" t="s">
        <v>3084</v>
      </c>
      <c r="C1547" s="9" t="str">
        <f>HYPERLINK("http://www.ncbi.nlm.nih.gov/protein/256985121;256985119","Ctnna3")</f>
        <v>Ctnna3</v>
      </c>
      <c r="D1547" s="10">
        <f t="shared" si="24"/>
        <v>5.1784181521629309</v>
      </c>
      <c r="F1547" s="8" t="str">
        <f>HYPERLINK("https://esbl.nhlbi.nih.gov/Databases/mpkFractions/proteomic_fractions_log_files/Yang_log_img/256985121;256985119.jpg","show blot")</f>
        <v>show blot</v>
      </c>
      <c r="H1547" s="8" t="str">
        <f>HYPERLINK("https://esbl.nhlbi.nih.gov/Databases/mpkFractions/proteomic_fractions_linear_files/Yang_linear_img/256985121;256985119.jpg","show blot")</f>
        <v>show blot</v>
      </c>
      <c r="J1547" s="5" t="s">
        <v>3083</v>
      </c>
      <c r="L1547" s="11">
        <v>5.1784181521629309</v>
      </c>
      <c r="N1547" s="12"/>
    </row>
    <row r="1548" spans="1:14" s="5" customFormat="1" ht="15" customHeight="1" x14ac:dyDescent="0.25">
      <c r="A1548" s="9" t="s">
        <v>3085</v>
      </c>
      <c r="C1548" s="9" t="str">
        <f>HYPERLINK("http://www.ncbi.nlm.nih.gov/protein/256985119;256985121","Ctnna3")</f>
        <v>Ctnna3</v>
      </c>
      <c r="D1548" s="10">
        <f t="shared" si="24"/>
        <v>5.1784181521629309</v>
      </c>
      <c r="F1548" s="8" t="str">
        <f>HYPERLINK("https://esbl.nhlbi.nih.gov/Databases/mpkFractions/proteomic_fractions_log_files/Yang_log_img/256985119;256985121.jpg","show blot")</f>
        <v>show blot</v>
      </c>
      <c r="H1548" s="8" t="str">
        <f>HYPERLINK("https://esbl.nhlbi.nih.gov/Databases/mpkFractions/proteomic_fractions_linear_files/Yang_linear_img/256985119;256985121.jpg","show blot")</f>
        <v>show blot</v>
      </c>
      <c r="J1548" s="5" t="s">
        <v>3083</v>
      </c>
      <c r="L1548" s="11">
        <v>5.1784181521629309</v>
      </c>
      <c r="N1548" s="12"/>
    </row>
    <row r="1549" spans="1:14" s="5" customFormat="1" ht="15" customHeight="1" x14ac:dyDescent="0.25">
      <c r="A1549" s="9" t="s">
        <v>3086</v>
      </c>
      <c r="C1549" s="9" t="str">
        <f>HYPERLINK("http://www.ncbi.nlm.nih.gov/protein/256985152","Ctnna3")</f>
        <v>Ctnna3</v>
      </c>
      <c r="D1549" s="10">
        <f t="shared" si="24"/>
        <v>5.1784181521629309</v>
      </c>
      <c r="F1549" s="8" t="str">
        <f>HYPERLINK("https://esbl.nhlbi.nih.gov/Databases/mpkFractions/proteomic_fractions_log_files/Yang_log_img/256985152.jpg","show blot")</f>
        <v>show blot</v>
      </c>
      <c r="H1549" s="8" t="str">
        <f>HYPERLINK("https://esbl.nhlbi.nih.gov/Databases/mpkFractions/proteomic_fractions_linear_files/Yang_linear_img/256985152.jpg","show blot")</f>
        <v>show blot</v>
      </c>
      <c r="J1549" s="5" t="s">
        <v>3087</v>
      </c>
      <c r="L1549" s="11">
        <v>5.1784181521629309</v>
      </c>
      <c r="N1549" s="12"/>
    </row>
    <row r="1550" spans="1:14" s="5" customFormat="1" ht="15" customHeight="1" x14ac:dyDescent="0.25">
      <c r="A1550" s="9" t="s">
        <v>3088</v>
      </c>
      <c r="C1550" s="9" t="str">
        <f>HYPERLINK("http://www.ncbi.nlm.nih.gov/protein/227330565","Ctnnal1")</f>
        <v>Ctnnal1</v>
      </c>
      <c r="D1550" s="10">
        <f t="shared" si="24"/>
        <v>4.1394553863302397</v>
      </c>
      <c r="F1550" s="8" t="str">
        <f>HYPERLINK("https://esbl.nhlbi.nih.gov/Databases/mpkFractions/proteomic_fractions_log_files/Yang_log_img/227330565.jpg","show blot")</f>
        <v>show blot</v>
      </c>
      <c r="H1550" s="8" t="str">
        <f>HYPERLINK("https://esbl.nhlbi.nih.gov/Databases/mpkFractions/proteomic_fractions_linear_files/Yang_linear_img/227330565.jpg","show blot")</f>
        <v>show blot</v>
      </c>
      <c r="J1550" s="5" t="s">
        <v>3089</v>
      </c>
      <c r="L1550" s="11">
        <v>4.1394553863302397</v>
      </c>
      <c r="N1550" s="12"/>
    </row>
    <row r="1551" spans="1:14" s="5" customFormat="1" ht="15" customHeight="1" x14ac:dyDescent="0.25">
      <c r="A1551" s="9" t="s">
        <v>3090</v>
      </c>
      <c r="C1551" s="9" t="str">
        <f>HYPERLINK("http://www.ncbi.nlm.nih.gov/protein/260166642","Ctnnb1")</f>
        <v>Ctnnb1</v>
      </c>
      <c r="D1551" s="10">
        <f t="shared" si="24"/>
        <v>6.0184888472790439</v>
      </c>
      <c r="F1551" s="8" t="str">
        <f>HYPERLINK("https://esbl.nhlbi.nih.gov/Databases/mpkFractions/proteomic_fractions_log_files/Yang_log_img/260166642.jpg","show blot")</f>
        <v>show blot</v>
      </c>
      <c r="H1551" s="8" t="str">
        <f>HYPERLINK("https://esbl.nhlbi.nih.gov/Databases/mpkFractions/proteomic_fractions_linear_files/Yang_linear_img/260166642.jpg","show blot")</f>
        <v>show blot</v>
      </c>
      <c r="J1551" s="5" t="s">
        <v>3091</v>
      </c>
      <c r="L1551" s="11">
        <v>6.0184888472790439</v>
      </c>
      <c r="N1551" s="12"/>
    </row>
    <row r="1552" spans="1:14" s="5" customFormat="1" ht="15" customHeight="1" x14ac:dyDescent="0.25">
      <c r="A1552" s="9" t="s">
        <v>3092</v>
      </c>
      <c r="C1552" s="9" t="str">
        <f>HYPERLINK("http://www.ncbi.nlm.nih.gov/protein/254540032","Ctnnbl1")</f>
        <v>Ctnnbl1</v>
      </c>
      <c r="D1552" s="10">
        <f t="shared" si="24"/>
        <v>4.7426797607924982</v>
      </c>
      <c r="F1552" s="8" t="str">
        <f>HYPERLINK("https://esbl.nhlbi.nih.gov/Databases/mpkFractions/proteomic_fractions_log_files/Yang_log_img/254540032.jpg","show blot")</f>
        <v>show blot</v>
      </c>
      <c r="H1552" s="8" t="str">
        <f>HYPERLINK("https://esbl.nhlbi.nih.gov/Databases/mpkFractions/proteomic_fractions_linear_files/Yang_linear_img/254540032.jpg","show blot")</f>
        <v>show blot</v>
      </c>
      <c r="J1552" s="5" t="s">
        <v>3093</v>
      </c>
      <c r="L1552" s="11">
        <v>4.7426797607924982</v>
      </c>
      <c r="N1552" s="12"/>
    </row>
    <row r="1553" spans="1:14" s="5" customFormat="1" ht="15" customHeight="1" x14ac:dyDescent="0.25">
      <c r="A1553" s="9" t="s">
        <v>3094</v>
      </c>
      <c r="C1553" s="9" t="str">
        <f>HYPERLINK("http://www.ncbi.nlm.nih.gov/protein/146219835","Ctnnd1")</f>
        <v>Ctnnd1</v>
      </c>
      <c r="D1553" s="10">
        <f t="shared" si="24"/>
        <v>5.8639921790614791</v>
      </c>
      <c r="F1553" s="8" t="str">
        <f>HYPERLINK("https://esbl.nhlbi.nih.gov/Databases/mpkFractions/proteomic_fractions_log_files/Yang_log_img/146219835.jpg","show blot")</f>
        <v>show blot</v>
      </c>
      <c r="H1553" s="8" t="str">
        <f>HYPERLINK("https://esbl.nhlbi.nih.gov/Databases/mpkFractions/proteomic_fractions_linear_files/Yang_linear_img/146219835.jpg","show blot")</f>
        <v>show blot</v>
      </c>
      <c r="J1553" s="5" t="s">
        <v>3095</v>
      </c>
      <c r="L1553" s="11">
        <v>5.8639921790614791</v>
      </c>
      <c r="N1553" s="12"/>
    </row>
    <row r="1554" spans="1:14" s="5" customFormat="1" ht="15" customHeight="1" x14ac:dyDescent="0.25">
      <c r="A1554" s="9" t="s">
        <v>3096</v>
      </c>
      <c r="C1554" s="9" t="str">
        <f>HYPERLINK("http://www.ncbi.nlm.nih.gov/protein/146219849","Ctnnd1")</f>
        <v>Ctnnd1</v>
      </c>
      <c r="D1554" s="10">
        <f t="shared" si="24"/>
        <v>5.8639921790614791</v>
      </c>
      <c r="F1554" s="8" t="str">
        <f>HYPERLINK("https://esbl.nhlbi.nih.gov/Databases/mpkFractions/proteomic_fractions_log_files/Yang_log_img/146219849.jpg","show blot")</f>
        <v>show blot</v>
      </c>
      <c r="H1554" s="8" t="str">
        <f>HYPERLINK("https://esbl.nhlbi.nih.gov/Databases/mpkFractions/proteomic_fractions_linear_files/Yang_linear_img/146219849.jpg","show blot")</f>
        <v>show blot</v>
      </c>
      <c r="J1554" s="5" t="s">
        <v>3097</v>
      </c>
      <c r="L1554" s="11">
        <v>5.8639921790614791</v>
      </c>
      <c r="N1554" s="12"/>
    </row>
    <row r="1555" spans="1:14" s="5" customFormat="1" ht="15" customHeight="1" x14ac:dyDescent="0.25">
      <c r="A1555" s="9" t="s">
        <v>3098</v>
      </c>
      <c r="C1555" s="9" t="str">
        <f>HYPERLINK("http://www.ncbi.nlm.nih.gov/protein/146231979","Ctnnd1")</f>
        <v>Ctnnd1</v>
      </c>
      <c r="D1555" s="10">
        <f t="shared" si="24"/>
        <v>5.8639921790614791</v>
      </c>
      <c r="F1555" s="8" t="str">
        <f>HYPERLINK("https://esbl.nhlbi.nih.gov/Databases/mpkFractions/proteomic_fractions_log_files/Yang_log_img/146231979.jpg","show blot")</f>
        <v>show blot</v>
      </c>
      <c r="H1555" s="8" t="str">
        <f>HYPERLINK("https://esbl.nhlbi.nih.gov/Databases/mpkFractions/proteomic_fractions_linear_files/Yang_linear_img/146231979.jpg","show blot")</f>
        <v>show blot</v>
      </c>
      <c r="J1555" s="5" t="s">
        <v>3099</v>
      </c>
      <c r="L1555" s="11">
        <v>5.8639921790614791</v>
      </c>
      <c r="N1555" s="12"/>
    </row>
    <row r="1556" spans="1:14" s="5" customFormat="1" ht="15" customHeight="1" x14ac:dyDescent="0.25">
      <c r="A1556" s="9" t="s">
        <v>3100</v>
      </c>
      <c r="C1556" s="9" t="str">
        <f>HYPERLINK("http://www.ncbi.nlm.nih.gov/protein/83745122","Ctnnd1")</f>
        <v>Ctnnd1</v>
      </c>
      <c r="D1556" s="10">
        <f t="shared" si="24"/>
        <v>5.8639921790614791</v>
      </c>
      <c r="F1556" s="8" t="str">
        <f>HYPERLINK("https://esbl.nhlbi.nih.gov/Databases/mpkFractions/proteomic_fractions_log_files/Yang_log_img/83745122.jpg","show blot")</f>
        <v>show blot</v>
      </c>
      <c r="H1556" s="8" t="str">
        <f>HYPERLINK("https://esbl.nhlbi.nih.gov/Databases/mpkFractions/proteomic_fractions_linear_files/Yang_linear_img/83745122.jpg","show blot")</f>
        <v>show blot</v>
      </c>
      <c r="J1556" s="5" t="s">
        <v>3101</v>
      </c>
      <c r="L1556" s="11">
        <v>5.8639921790614791</v>
      </c>
      <c r="N1556" s="12"/>
    </row>
    <row r="1557" spans="1:14" s="5" customFormat="1" ht="15" customHeight="1" x14ac:dyDescent="0.25">
      <c r="A1557" s="9" t="s">
        <v>3102</v>
      </c>
      <c r="C1557" s="9" t="str">
        <f>HYPERLINK("http://www.ncbi.nlm.nih.gov/protein/172072613","Ctps")</f>
        <v>Ctps</v>
      </c>
      <c r="D1557" s="10">
        <f t="shared" si="24"/>
        <v>5.2595770821132453</v>
      </c>
      <c r="F1557" s="8" t="str">
        <f>HYPERLINK("https://esbl.nhlbi.nih.gov/Databases/mpkFractions/proteomic_fractions_log_files/Yang_log_img/172072613.jpg","show blot")</f>
        <v>show blot</v>
      </c>
      <c r="H1557" s="8" t="str">
        <f>HYPERLINK("https://esbl.nhlbi.nih.gov/Databases/mpkFractions/proteomic_fractions_linear_files/Yang_linear_img/172072613.jpg","show blot")</f>
        <v>show blot</v>
      </c>
      <c r="J1557" s="5" t="s">
        <v>3103</v>
      </c>
      <c r="L1557" s="11">
        <v>5.2595770821132453</v>
      </c>
      <c r="N1557" s="12"/>
    </row>
    <row r="1558" spans="1:14" s="5" customFormat="1" ht="15" customHeight="1" x14ac:dyDescent="0.25">
      <c r="A1558" s="9" t="s">
        <v>3104</v>
      </c>
      <c r="C1558" s="9" t="str">
        <f>HYPERLINK("http://www.ncbi.nlm.nih.gov/protein/270483773;270483771","Ctps2")</f>
        <v>Ctps2</v>
      </c>
      <c r="D1558" s="10">
        <f t="shared" si="24"/>
        <v>4.7790334501618954</v>
      </c>
      <c r="F1558" s="8" t="str">
        <f>HYPERLINK("https://esbl.nhlbi.nih.gov/Databases/mpkFractions/proteomic_fractions_log_files/Yang_log_img/270483773;270483771.jpg","show blot")</f>
        <v>show blot</v>
      </c>
      <c r="H1558" s="8" t="str">
        <f>HYPERLINK("https://esbl.nhlbi.nih.gov/Databases/mpkFractions/proteomic_fractions_linear_files/Yang_linear_img/270483773;270483771.jpg","show blot")</f>
        <v>show blot</v>
      </c>
      <c r="J1558" s="5" t="s">
        <v>3105</v>
      </c>
      <c r="L1558" s="11">
        <v>4.7790334501618954</v>
      </c>
      <c r="N1558" s="12"/>
    </row>
    <row r="1559" spans="1:14" s="5" customFormat="1" ht="15" customHeight="1" x14ac:dyDescent="0.25">
      <c r="A1559" s="9" t="s">
        <v>3106</v>
      </c>
      <c r="C1559" s="9" t="str">
        <f>HYPERLINK("http://www.ncbi.nlm.nih.gov/protein/270483776","Ctps2")</f>
        <v>Ctps2</v>
      </c>
      <c r="D1559" s="10">
        <f t="shared" si="24"/>
        <v>4.7790334501618954</v>
      </c>
      <c r="F1559" s="8" t="str">
        <f>HYPERLINK("https://esbl.nhlbi.nih.gov/Databases/mpkFractions/proteomic_fractions_log_files/Yang_log_img/270483776.jpg","show blot")</f>
        <v>show blot</v>
      </c>
      <c r="H1559" s="8" t="str">
        <f>HYPERLINK("https://esbl.nhlbi.nih.gov/Databases/mpkFractions/proteomic_fractions_linear_files/Yang_linear_img/270483776.jpg","show blot")</f>
        <v>show blot</v>
      </c>
      <c r="J1559" s="5" t="s">
        <v>3107</v>
      </c>
      <c r="L1559" s="11">
        <v>4.7790334501618954</v>
      </c>
      <c r="N1559" s="12"/>
    </row>
    <row r="1560" spans="1:14" s="5" customFormat="1" ht="15" customHeight="1" x14ac:dyDescent="0.25">
      <c r="A1560" s="9" t="s">
        <v>3108</v>
      </c>
      <c r="C1560" s="9" t="str">
        <f>HYPERLINK("http://www.ncbi.nlm.nih.gov/protein/84042523","Ctsa")</f>
        <v>Ctsa</v>
      </c>
      <c r="D1560" s="10">
        <f t="shared" si="24"/>
        <v>5.7703083993322908</v>
      </c>
      <c r="F1560" s="8" t="str">
        <f>HYPERLINK("https://esbl.nhlbi.nih.gov/Databases/mpkFractions/proteomic_fractions_log_files/Yang_log_img/84042523.jpg","show blot")</f>
        <v>show blot</v>
      </c>
      <c r="H1560" s="8" t="str">
        <f>HYPERLINK("https://esbl.nhlbi.nih.gov/Databases/mpkFractions/proteomic_fractions_linear_files/Yang_linear_img/84042523.jpg","show blot")</f>
        <v>show blot</v>
      </c>
      <c r="J1560" s="5" t="s">
        <v>3109</v>
      </c>
      <c r="L1560" s="11">
        <v>5.7703083993322908</v>
      </c>
      <c r="N1560" s="12"/>
    </row>
    <row r="1561" spans="1:14" s="5" customFormat="1" ht="15" customHeight="1" x14ac:dyDescent="0.25">
      <c r="A1561" s="9" t="s">
        <v>3110</v>
      </c>
      <c r="C1561" s="9" t="str">
        <f>HYPERLINK("http://www.ncbi.nlm.nih.gov/protein/84042525","Ctsa")</f>
        <v>Ctsa</v>
      </c>
      <c r="D1561" s="10">
        <f t="shared" si="24"/>
        <v>5.7703083993322908</v>
      </c>
      <c r="F1561" s="8" t="str">
        <f>HYPERLINK("https://esbl.nhlbi.nih.gov/Databases/mpkFractions/proteomic_fractions_log_files/Yang_log_img/84042525.jpg","show blot")</f>
        <v>show blot</v>
      </c>
      <c r="H1561" s="8" t="str">
        <f>HYPERLINK("https://esbl.nhlbi.nih.gov/Databases/mpkFractions/proteomic_fractions_linear_files/Yang_linear_img/84042525.jpg","show blot")</f>
        <v>show blot</v>
      </c>
      <c r="J1561" s="5" t="s">
        <v>3111</v>
      </c>
      <c r="L1561" s="11">
        <v>5.7703083993322908</v>
      </c>
      <c r="N1561" s="12"/>
    </row>
    <row r="1562" spans="1:14" s="5" customFormat="1" ht="15" customHeight="1" x14ac:dyDescent="0.25">
      <c r="A1562" s="9" t="s">
        <v>3112</v>
      </c>
      <c r="C1562" s="9" t="str">
        <f>HYPERLINK("http://www.ncbi.nlm.nih.gov/protein/6681079","Ctsb")</f>
        <v>Ctsb</v>
      </c>
      <c r="D1562" s="10">
        <f t="shared" si="24"/>
        <v>6.0929514466482209</v>
      </c>
      <c r="F1562" s="8" t="str">
        <f>HYPERLINK("https://esbl.nhlbi.nih.gov/Databases/mpkFractions/proteomic_fractions_log_files/Yang_log_img/6681079.jpg","show blot")</f>
        <v>show blot</v>
      </c>
      <c r="H1562" s="8" t="str">
        <f>HYPERLINK("https://esbl.nhlbi.nih.gov/Databases/mpkFractions/proteomic_fractions_linear_files/Yang_linear_img/6681079.jpg","show blot")</f>
        <v>show blot</v>
      </c>
      <c r="J1562" s="5" t="s">
        <v>3113</v>
      </c>
      <c r="L1562" s="11">
        <v>6.0929514466482209</v>
      </c>
      <c r="N1562" s="12"/>
    </row>
    <row r="1563" spans="1:14" s="5" customFormat="1" ht="15" customHeight="1" x14ac:dyDescent="0.25">
      <c r="A1563" s="9" t="s">
        <v>3114</v>
      </c>
      <c r="C1563" s="9" t="str">
        <f>HYPERLINK("http://www.ncbi.nlm.nih.gov/protein/160707990","Ctsc")</f>
        <v>Ctsc</v>
      </c>
      <c r="D1563" s="10">
        <f t="shared" si="24"/>
        <v>5.2092943711490642</v>
      </c>
      <c r="F1563" s="8" t="str">
        <f>HYPERLINK("https://esbl.nhlbi.nih.gov/Databases/mpkFractions/proteomic_fractions_log_files/Yang_log_img/160707990.jpg","show blot")</f>
        <v>show blot</v>
      </c>
      <c r="H1563" s="8" t="str">
        <f>HYPERLINK("https://esbl.nhlbi.nih.gov/Databases/mpkFractions/proteomic_fractions_linear_files/Yang_linear_img/160707990.jpg","show blot")</f>
        <v>show blot</v>
      </c>
      <c r="J1563" s="5" t="s">
        <v>3115</v>
      </c>
      <c r="L1563" s="11">
        <v>5.2092943711490642</v>
      </c>
      <c r="N1563" s="12"/>
    </row>
    <row r="1564" spans="1:14" s="5" customFormat="1" ht="15" customHeight="1" x14ac:dyDescent="0.25">
      <c r="A1564" s="9" t="s">
        <v>3116</v>
      </c>
      <c r="C1564" s="9" t="str">
        <f>HYPERLINK("http://www.ncbi.nlm.nih.gov/protein/6753556","Ctsd")</f>
        <v>Ctsd</v>
      </c>
      <c r="D1564" s="10">
        <f t="shared" si="24"/>
        <v>6.3513174419146594</v>
      </c>
      <c r="F1564" s="8" t="str">
        <f>HYPERLINK("https://esbl.nhlbi.nih.gov/Databases/mpkFractions/proteomic_fractions_log_files/Yang_log_img/6753556.jpg","show blot")</f>
        <v>show blot</v>
      </c>
      <c r="H1564" s="8" t="str">
        <f>HYPERLINK("https://esbl.nhlbi.nih.gov/Databases/mpkFractions/proteomic_fractions_linear_files/Yang_linear_img/6753556.jpg","show blot")</f>
        <v>show blot</v>
      </c>
      <c r="J1564" s="5" t="s">
        <v>3117</v>
      </c>
      <c r="L1564" s="11">
        <v>6.3513174419146594</v>
      </c>
      <c r="N1564" s="12"/>
    </row>
    <row r="1565" spans="1:14" s="5" customFormat="1" ht="15" customHeight="1" x14ac:dyDescent="0.25">
      <c r="A1565" s="9" t="s">
        <v>3118</v>
      </c>
      <c r="C1565" s="9" t="str">
        <f>HYPERLINK("http://www.ncbi.nlm.nih.gov/protein/166235890","Ctsh")</f>
        <v>Ctsh</v>
      </c>
      <c r="D1565" s="10">
        <f t="shared" si="24"/>
        <v>5.7032252099810394</v>
      </c>
      <c r="F1565" s="8" t="str">
        <f>HYPERLINK("https://esbl.nhlbi.nih.gov/Databases/mpkFractions/proteomic_fractions_log_files/Yang_log_img/166235890.jpg","show blot")</f>
        <v>show blot</v>
      </c>
      <c r="H1565" s="8" t="str">
        <f>HYPERLINK("https://esbl.nhlbi.nih.gov/Databases/mpkFractions/proteomic_fractions_linear_files/Yang_linear_img/166235890.jpg","show blot")</f>
        <v>show blot</v>
      </c>
      <c r="J1565" s="5" t="s">
        <v>3119</v>
      </c>
      <c r="L1565" s="11">
        <v>5.7032252099810394</v>
      </c>
      <c r="N1565" s="12"/>
    </row>
    <row r="1566" spans="1:14" s="5" customFormat="1" ht="15" customHeight="1" x14ac:dyDescent="0.25">
      <c r="A1566" s="9" t="s">
        <v>3120</v>
      </c>
      <c r="C1566" s="9" t="str">
        <f>HYPERLINK("http://www.ncbi.nlm.nih.gov/protein/6753558","Ctsl")</f>
        <v>Ctsl</v>
      </c>
      <c r="D1566" s="10">
        <f t="shared" si="24"/>
        <v>3.5449522455456779</v>
      </c>
      <c r="F1566" s="8" t="str">
        <f>HYPERLINK("https://esbl.nhlbi.nih.gov/Databases/mpkFractions/proteomic_fractions_log_files/Yang_log_img/6753558.jpg","show blot")</f>
        <v>show blot</v>
      </c>
      <c r="H1566" s="8" t="str">
        <f>HYPERLINK("https://esbl.nhlbi.nih.gov/Databases/mpkFractions/proteomic_fractions_linear_files/Yang_linear_img/6753558.jpg","show blot")</f>
        <v>show blot</v>
      </c>
      <c r="J1566" s="5" t="s">
        <v>3121</v>
      </c>
      <c r="L1566" s="11">
        <v>3.5449522455456779</v>
      </c>
      <c r="N1566" s="12"/>
    </row>
    <row r="1567" spans="1:14" s="5" customFormat="1" ht="15" customHeight="1" x14ac:dyDescent="0.25">
      <c r="A1567" s="9" t="s">
        <v>3122</v>
      </c>
      <c r="C1567" s="9" t="str">
        <f>HYPERLINK("http://www.ncbi.nlm.nih.gov/protein/11968166","Ctsz")</f>
        <v>Ctsz</v>
      </c>
      <c r="D1567" s="10">
        <f t="shared" si="24"/>
        <v>5.4719945508944798</v>
      </c>
      <c r="F1567" s="8" t="str">
        <f>HYPERLINK("https://esbl.nhlbi.nih.gov/Databases/mpkFractions/proteomic_fractions_log_files/Yang_log_img/11968166.jpg","show blot")</f>
        <v>show blot</v>
      </c>
      <c r="H1567" s="8" t="str">
        <f>HYPERLINK("https://esbl.nhlbi.nih.gov/Databases/mpkFractions/proteomic_fractions_linear_files/Yang_linear_img/11968166.jpg","show blot")</f>
        <v>show blot</v>
      </c>
      <c r="J1567" s="5" t="s">
        <v>3123</v>
      </c>
      <c r="L1567" s="11">
        <v>5.4719945508944798</v>
      </c>
      <c r="N1567" s="12"/>
    </row>
    <row r="1568" spans="1:14" s="5" customFormat="1" ht="15" customHeight="1" x14ac:dyDescent="0.25">
      <c r="A1568" s="9" t="s">
        <v>3124</v>
      </c>
      <c r="C1568" s="9" t="str">
        <f>HYPERLINK("http://www.ncbi.nlm.nih.gov/protein/357588432","Cttn")</f>
        <v>Cttn</v>
      </c>
      <c r="D1568" s="10">
        <f t="shared" si="24"/>
        <v>5.4243855406996762</v>
      </c>
      <c r="F1568" s="8" t="str">
        <f>HYPERLINK("https://esbl.nhlbi.nih.gov/Databases/mpkFractions/proteomic_fractions_log_files/Yang_log_img/357588432.jpg","show blot")</f>
        <v>show blot</v>
      </c>
      <c r="H1568" s="8" t="str">
        <f>HYPERLINK("https://esbl.nhlbi.nih.gov/Databases/mpkFractions/proteomic_fractions_linear_files/Yang_linear_img/357588432.jpg","show blot")</f>
        <v>show blot</v>
      </c>
      <c r="J1568" s="5" t="s">
        <v>3125</v>
      </c>
      <c r="L1568" s="11">
        <v>5.4243855406996762</v>
      </c>
      <c r="N1568" s="12"/>
    </row>
    <row r="1569" spans="1:14" s="5" customFormat="1" ht="15" customHeight="1" x14ac:dyDescent="0.25">
      <c r="A1569" s="9" t="s">
        <v>3126</v>
      </c>
      <c r="C1569" s="9" t="str">
        <f>HYPERLINK("http://www.ncbi.nlm.nih.gov/protein/75677414","Cttn")</f>
        <v>Cttn</v>
      </c>
      <c r="D1569" s="10">
        <f t="shared" si="24"/>
        <v>5.4243855406996762</v>
      </c>
      <c r="F1569" s="8" t="str">
        <f>HYPERLINK("https://esbl.nhlbi.nih.gov/Databases/mpkFractions/proteomic_fractions_log_files/Yang_log_img/75677414.jpg","show blot")</f>
        <v>show blot</v>
      </c>
      <c r="H1569" s="8" t="str">
        <f>HYPERLINK("https://esbl.nhlbi.nih.gov/Databases/mpkFractions/proteomic_fractions_linear_files/Yang_linear_img/75677414.jpg","show blot")</f>
        <v>show blot</v>
      </c>
      <c r="J1569" s="5" t="s">
        <v>3127</v>
      </c>
      <c r="L1569" s="11">
        <v>5.4243855406996762</v>
      </c>
      <c r="N1569" s="12"/>
    </row>
    <row r="1570" spans="1:14" s="5" customFormat="1" ht="15" customHeight="1" x14ac:dyDescent="0.25">
      <c r="A1570" s="9" t="s">
        <v>3128</v>
      </c>
      <c r="C1570" s="9" t="str">
        <f>HYPERLINK("http://www.ncbi.nlm.nih.gov/protein/254039644","Cttnbp2nl")</f>
        <v>Cttnbp2nl</v>
      </c>
      <c r="D1570" s="10">
        <f t="shared" si="24"/>
        <v>4.3017490688074176</v>
      </c>
      <c r="F1570" s="8" t="str">
        <f>HYPERLINK("https://esbl.nhlbi.nih.gov/Databases/mpkFractions/proteomic_fractions_log_files/Yang_log_img/254039644.jpg","show blot")</f>
        <v>show blot</v>
      </c>
      <c r="H1570" s="8" t="str">
        <f>HYPERLINK("https://esbl.nhlbi.nih.gov/Databases/mpkFractions/proteomic_fractions_linear_files/Yang_linear_img/254039644.jpg","show blot")</f>
        <v>show blot</v>
      </c>
      <c r="J1570" s="5" t="s">
        <v>3129</v>
      </c>
      <c r="L1570" s="11">
        <v>4.3017490688074176</v>
      </c>
      <c r="N1570" s="12"/>
    </row>
    <row r="1571" spans="1:14" s="5" customFormat="1" ht="15" customHeight="1" x14ac:dyDescent="0.25">
      <c r="A1571" s="9" t="s">
        <v>3130</v>
      </c>
      <c r="C1571" s="9" t="str">
        <f>HYPERLINK("http://www.ncbi.nlm.nih.gov/protein/21704170","Ctu1")</f>
        <v>Ctu1</v>
      </c>
      <c r="D1571" s="10">
        <f t="shared" si="24"/>
        <v>4.4130344112039843</v>
      </c>
      <c r="F1571" s="8" t="str">
        <f>HYPERLINK("https://esbl.nhlbi.nih.gov/Databases/mpkFractions/proteomic_fractions_log_files/Yang_log_img/21704170.jpg","show blot")</f>
        <v>show blot</v>
      </c>
      <c r="H1571" s="8" t="str">
        <f>HYPERLINK("https://esbl.nhlbi.nih.gov/Databases/mpkFractions/proteomic_fractions_linear_files/Yang_linear_img/21704170.jpg","show blot")</f>
        <v>show blot</v>
      </c>
      <c r="J1571" s="5" t="s">
        <v>3131</v>
      </c>
      <c r="L1571" s="11">
        <v>4.4130344112039843</v>
      </c>
      <c r="N1571" s="12"/>
    </row>
    <row r="1572" spans="1:14" s="5" customFormat="1" ht="15" customHeight="1" x14ac:dyDescent="0.25">
      <c r="A1572" s="9" t="s">
        <v>3132</v>
      </c>
      <c r="C1572" s="9" t="str">
        <f>HYPERLINK("http://www.ncbi.nlm.nih.gov/protein/225735586","Ctu2")</f>
        <v>Ctu2</v>
      </c>
      <c r="D1572" s="10">
        <f t="shared" si="24"/>
        <v>4.1419000348386144</v>
      </c>
      <c r="F1572" s="8" t="str">
        <f>HYPERLINK("https://esbl.nhlbi.nih.gov/Databases/mpkFractions/proteomic_fractions_log_files/Yang_log_img/225735586.jpg","show blot")</f>
        <v>show blot</v>
      </c>
      <c r="H1572" s="8" t="str">
        <f>HYPERLINK("https://esbl.nhlbi.nih.gov/Databases/mpkFractions/proteomic_fractions_linear_files/Yang_linear_img/225735586.jpg","show blot")</f>
        <v>show blot</v>
      </c>
      <c r="J1572" s="5" t="s">
        <v>3133</v>
      </c>
      <c r="L1572" s="11">
        <v>4.1419000348386144</v>
      </c>
      <c r="N1572" s="12"/>
    </row>
    <row r="1573" spans="1:14" s="5" customFormat="1" ht="15" customHeight="1" x14ac:dyDescent="0.25">
      <c r="A1573" s="9" t="s">
        <v>3134</v>
      </c>
      <c r="C1573" s="9" t="str">
        <f>HYPERLINK("http://www.ncbi.nlm.nih.gov/protein/124487348","Cubn")</f>
        <v>Cubn</v>
      </c>
      <c r="D1573" s="10">
        <f t="shared" si="24"/>
        <v>3.814665907367647</v>
      </c>
      <c r="F1573" s="8" t="str">
        <f>HYPERLINK("https://esbl.nhlbi.nih.gov/Databases/mpkFractions/proteomic_fractions_log_files/Yang_log_img/124487348.jpg","show blot")</f>
        <v>show blot</v>
      </c>
      <c r="H1573" s="8" t="str">
        <f>HYPERLINK("https://esbl.nhlbi.nih.gov/Databases/mpkFractions/proteomic_fractions_linear_files/Yang_linear_img/124487348.jpg","show blot")</f>
        <v>show blot</v>
      </c>
      <c r="J1573" s="5" t="s">
        <v>3135</v>
      </c>
      <c r="L1573" s="11">
        <v>3.814665907367647</v>
      </c>
      <c r="N1573" s="12"/>
    </row>
    <row r="1574" spans="1:14" s="5" customFormat="1" ht="15" customHeight="1" x14ac:dyDescent="0.25">
      <c r="A1574" s="9" t="s">
        <v>3136</v>
      </c>
      <c r="C1574" s="9" t="str">
        <f>HYPERLINK("http://www.ncbi.nlm.nih.gov/protein/256773254","Cuedc2")</f>
        <v>Cuedc2</v>
      </c>
      <c r="D1574" s="10">
        <f t="shared" si="24"/>
        <v>3.9626921044639709</v>
      </c>
      <c r="F1574" s="8" t="str">
        <f>HYPERLINK("https://esbl.nhlbi.nih.gov/Databases/mpkFractions/proteomic_fractions_log_files/Yang_log_img/256773254.jpg","show blot")</f>
        <v>show blot</v>
      </c>
      <c r="H1574" s="8" t="str">
        <f>HYPERLINK("https://esbl.nhlbi.nih.gov/Databases/mpkFractions/proteomic_fractions_linear_files/Yang_linear_img/256773254.jpg","show blot")</f>
        <v>show blot</v>
      </c>
      <c r="J1574" s="5" t="s">
        <v>3137</v>
      </c>
      <c r="L1574" s="11">
        <v>3.9626921044639709</v>
      </c>
      <c r="N1574" s="12"/>
    </row>
    <row r="1575" spans="1:14" s="5" customFormat="1" ht="15" customHeight="1" x14ac:dyDescent="0.25">
      <c r="A1575" s="9" t="s">
        <v>3138</v>
      </c>
      <c r="C1575" s="9" t="str">
        <f>HYPERLINK("http://www.ncbi.nlm.nih.gov/protein/256773258","Cuedc2")</f>
        <v>Cuedc2</v>
      </c>
      <c r="D1575" s="10">
        <f t="shared" si="24"/>
        <v>3.9626921044639709</v>
      </c>
      <c r="F1575" s="8" t="str">
        <f>HYPERLINK("https://esbl.nhlbi.nih.gov/Databases/mpkFractions/proteomic_fractions_log_files/Yang_log_img/256773258.jpg","show blot")</f>
        <v>show blot</v>
      </c>
      <c r="H1575" s="8" t="str">
        <f>HYPERLINK("https://esbl.nhlbi.nih.gov/Databases/mpkFractions/proteomic_fractions_linear_files/Yang_linear_img/256773258.jpg","show blot")</f>
        <v>show blot</v>
      </c>
      <c r="J1575" s="5" t="s">
        <v>3139</v>
      </c>
      <c r="L1575" s="11">
        <v>3.9626921044639709</v>
      </c>
      <c r="N1575" s="12"/>
    </row>
    <row r="1576" spans="1:14" s="5" customFormat="1" ht="15" customHeight="1" x14ac:dyDescent="0.25">
      <c r="A1576" s="9" t="s">
        <v>3140</v>
      </c>
      <c r="C1576" s="9" t="str">
        <f>HYPERLINK("http://www.ncbi.nlm.nih.gov/protein/256773262","Cuedc2")</f>
        <v>Cuedc2</v>
      </c>
      <c r="D1576" s="10">
        <f t="shared" si="24"/>
        <v>3.9626921044639709</v>
      </c>
      <c r="F1576" s="8" t="str">
        <f>HYPERLINK("https://esbl.nhlbi.nih.gov/Databases/mpkFractions/proteomic_fractions_log_files/Yang_log_img/256773262.jpg","show blot")</f>
        <v>show blot</v>
      </c>
      <c r="H1576" s="8" t="str">
        <f>HYPERLINK("https://esbl.nhlbi.nih.gov/Databases/mpkFractions/proteomic_fractions_linear_files/Yang_linear_img/256773262.jpg","show blot")</f>
        <v>show blot</v>
      </c>
      <c r="J1576" s="5" t="s">
        <v>3141</v>
      </c>
      <c r="L1576" s="11">
        <v>3.9626921044639709</v>
      </c>
      <c r="N1576" s="12"/>
    </row>
    <row r="1577" spans="1:14" s="5" customFormat="1" ht="15" customHeight="1" x14ac:dyDescent="0.25">
      <c r="A1577" s="9" t="s">
        <v>3142</v>
      </c>
      <c r="C1577" s="9" t="str">
        <f>HYPERLINK("http://www.ncbi.nlm.nih.gov/protein/7549752","Cul1")</f>
        <v>Cul1</v>
      </c>
      <c r="D1577" s="10">
        <f t="shared" si="24"/>
        <v>5.2592656088550234</v>
      </c>
      <c r="F1577" s="8" t="str">
        <f>HYPERLINK("https://esbl.nhlbi.nih.gov/Databases/mpkFractions/proteomic_fractions_log_files/Yang_log_img/7549752.jpg","show blot")</f>
        <v>show blot</v>
      </c>
      <c r="H1577" s="8" t="str">
        <f>HYPERLINK("https://esbl.nhlbi.nih.gov/Databases/mpkFractions/proteomic_fractions_linear_files/Yang_linear_img/7549752.jpg","show blot")</f>
        <v>show blot</v>
      </c>
      <c r="J1577" s="5" t="s">
        <v>3143</v>
      </c>
      <c r="L1577" s="11">
        <v>5.2592656088550234</v>
      </c>
      <c r="N1577" s="12"/>
    </row>
    <row r="1578" spans="1:14" s="5" customFormat="1" ht="15" customHeight="1" x14ac:dyDescent="0.25">
      <c r="A1578" s="9" t="s">
        <v>3144</v>
      </c>
      <c r="C1578" s="9" t="str">
        <f>HYPERLINK("http://www.ncbi.nlm.nih.gov/protein/170014698","Cul2")</f>
        <v>Cul2</v>
      </c>
      <c r="D1578" s="10">
        <f t="shared" si="24"/>
        <v>4.8254410393813991</v>
      </c>
      <c r="F1578" s="8" t="str">
        <f>HYPERLINK("https://esbl.nhlbi.nih.gov/Databases/mpkFractions/proteomic_fractions_log_files/Yang_log_img/170014698.jpg","show blot")</f>
        <v>show blot</v>
      </c>
      <c r="H1578" s="8" t="str">
        <f>HYPERLINK("https://esbl.nhlbi.nih.gov/Databases/mpkFractions/proteomic_fractions_linear_files/Yang_linear_img/170014698.jpg","show blot")</f>
        <v>show blot</v>
      </c>
      <c r="J1578" s="5" t="s">
        <v>3145</v>
      </c>
      <c r="L1578" s="11">
        <v>4.8254410393813991</v>
      </c>
      <c r="N1578" s="12"/>
    </row>
    <row r="1579" spans="1:14" s="5" customFormat="1" ht="15" customHeight="1" x14ac:dyDescent="0.25">
      <c r="A1579" s="9" t="s">
        <v>3146</v>
      </c>
      <c r="C1579" s="9" t="str">
        <f>HYPERLINK("http://www.ncbi.nlm.nih.gov/protein/7710014","Cul3")</f>
        <v>Cul3</v>
      </c>
      <c r="D1579" s="10">
        <f t="shared" si="24"/>
        <v>5.0552243114242259</v>
      </c>
      <c r="F1579" s="8" t="str">
        <f>HYPERLINK("https://esbl.nhlbi.nih.gov/Databases/mpkFractions/proteomic_fractions_log_files/Yang_log_img/7710014.jpg","show blot")</f>
        <v>show blot</v>
      </c>
      <c r="H1579" s="8" t="str">
        <f>HYPERLINK("https://esbl.nhlbi.nih.gov/Databases/mpkFractions/proteomic_fractions_linear_files/Yang_linear_img/7710014.jpg","show blot")</f>
        <v>show blot</v>
      </c>
      <c r="J1579" s="5" t="s">
        <v>3147</v>
      </c>
      <c r="L1579" s="11">
        <v>5.0552243114242259</v>
      </c>
      <c r="N1579" s="12"/>
    </row>
    <row r="1580" spans="1:14" s="5" customFormat="1" ht="15" customHeight="1" x14ac:dyDescent="0.25">
      <c r="A1580" s="9" t="s">
        <v>3148</v>
      </c>
      <c r="C1580" s="9" t="str">
        <f>HYPERLINK("http://www.ncbi.nlm.nih.gov/protein/167466258","Cul4a")</f>
        <v>Cul4a</v>
      </c>
      <c r="D1580" s="10">
        <f t="shared" si="24"/>
        <v>4.8113253604740454</v>
      </c>
      <c r="F1580" s="8" t="str">
        <f>HYPERLINK("https://esbl.nhlbi.nih.gov/Databases/mpkFractions/proteomic_fractions_log_files/Yang_log_img/167466258.jpg","show blot")</f>
        <v>show blot</v>
      </c>
      <c r="H1580" s="8" t="str">
        <f>HYPERLINK("https://esbl.nhlbi.nih.gov/Databases/mpkFractions/proteomic_fractions_linear_files/Yang_linear_img/167466258.jpg","show blot")</f>
        <v>show blot</v>
      </c>
      <c r="J1580" s="5" t="s">
        <v>3149</v>
      </c>
      <c r="L1580" s="11">
        <v>4.8113253604740454</v>
      </c>
      <c r="N1580" s="12"/>
    </row>
    <row r="1581" spans="1:14" s="5" customFormat="1" ht="15" customHeight="1" x14ac:dyDescent="0.25">
      <c r="A1581" s="9" t="s">
        <v>3150</v>
      </c>
      <c r="C1581" s="9" t="str">
        <f>HYPERLINK("http://www.ncbi.nlm.nih.gov/protein/158711665","Cul4b")</f>
        <v>Cul4b</v>
      </c>
      <c r="D1581" s="10">
        <f t="shared" si="24"/>
        <v>4.8069707385534466</v>
      </c>
      <c r="F1581" s="8" t="str">
        <f>HYPERLINK("https://esbl.nhlbi.nih.gov/Databases/mpkFractions/proteomic_fractions_log_files/Yang_log_img/158711665.jpg","show blot")</f>
        <v>show blot</v>
      </c>
      <c r="H1581" s="8" t="str">
        <f>HYPERLINK("https://esbl.nhlbi.nih.gov/Databases/mpkFractions/proteomic_fractions_linear_files/Yang_linear_img/158711665.jpg","show blot")</f>
        <v>show blot</v>
      </c>
      <c r="J1581" s="5" t="s">
        <v>3151</v>
      </c>
      <c r="L1581" s="11">
        <v>4.8069707385534466</v>
      </c>
      <c r="N1581" s="12"/>
    </row>
    <row r="1582" spans="1:14" s="5" customFormat="1" ht="15" customHeight="1" x14ac:dyDescent="0.25">
      <c r="A1582" s="9" t="s">
        <v>3152</v>
      </c>
      <c r="C1582" s="9" t="str">
        <f>HYPERLINK("http://www.ncbi.nlm.nih.gov/protein/239051067","Cul5")</f>
        <v>Cul5</v>
      </c>
      <c r="D1582" s="10">
        <f t="shared" si="24"/>
        <v>4.7462917669279303</v>
      </c>
      <c r="F1582" s="8" t="str">
        <f>HYPERLINK("https://esbl.nhlbi.nih.gov/Databases/mpkFractions/proteomic_fractions_log_files/Yang_log_img/239051067.jpg","show blot")</f>
        <v>show blot</v>
      </c>
      <c r="H1582" s="8" t="str">
        <f>HYPERLINK("https://esbl.nhlbi.nih.gov/Databases/mpkFractions/proteomic_fractions_linear_files/Yang_linear_img/239051067.jpg","show blot")</f>
        <v>show blot</v>
      </c>
      <c r="J1582" s="5" t="s">
        <v>3153</v>
      </c>
      <c r="L1582" s="11">
        <v>4.7462917669279303</v>
      </c>
      <c r="N1582" s="12"/>
    </row>
    <row r="1583" spans="1:14" s="5" customFormat="1" ht="15" customHeight="1" x14ac:dyDescent="0.25">
      <c r="A1583" s="9" t="s">
        <v>3154</v>
      </c>
      <c r="C1583" s="9" t="str">
        <f>HYPERLINK("http://www.ncbi.nlm.nih.gov/protein/239051082","Cul5")</f>
        <v>Cul5</v>
      </c>
      <c r="D1583" s="10">
        <f t="shared" si="24"/>
        <v>4.7462917669279303</v>
      </c>
      <c r="F1583" s="8" t="str">
        <f>HYPERLINK("https://esbl.nhlbi.nih.gov/Databases/mpkFractions/proteomic_fractions_log_files/Yang_log_img/239051082.jpg","show blot")</f>
        <v>show blot</v>
      </c>
      <c r="H1583" s="8" t="str">
        <f>HYPERLINK("https://esbl.nhlbi.nih.gov/Databases/mpkFractions/proteomic_fractions_linear_files/Yang_linear_img/239051082.jpg","show blot")</f>
        <v>show blot</v>
      </c>
      <c r="J1583" s="5" t="s">
        <v>3155</v>
      </c>
      <c r="L1583" s="11">
        <v>4.7462917669279303</v>
      </c>
      <c r="N1583" s="12"/>
    </row>
    <row r="1584" spans="1:14" s="5" customFormat="1" ht="15" customHeight="1" x14ac:dyDescent="0.25">
      <c r="A1584" s="9" t="s">
        <v>3156</v>
      </c>
      <c r="C1584" s="9" t="str">
        <f>HYPERLINK("http://www.ncbi.nlm.nih.gov/protein/57013279","Cul7")</f>
        <v>Cul7</v>
      </c>
      <c r="D1584" s="10" t="str">
        <f t="shared" si="24"/>
        <v>-</v>
      </c>
      <c r="F1584" s="8" t="str">
        <f>HYPERLINK("https://esbl.nhlbi.nih.gov/Databases/mpkFractions/proteomic_fractions_log_files/Yang_log_img/57013279.jpg","show blot")</f>
        <v>show blot</v>
      </c>
      <c r="H1584" s="8" t="str">
        <f>HYPERLINK("https://esbl.nhlbi.nih.gov/Databases/mpkFractions/proteomic_fractions_linear_files/Yang_linear_img/57013279.jpg","show blot")</f>
        <v>show blot</v>
      </c>
      <c r="J1584" s="5" t="s">
        <v>3157</v>
      </c>
      <c r="L1584" s="13" t="s">
        <v>389</v>
      </c>
      <c r="N1584" s="12"/>
    </row>
    <row r="1585" spans="1:14" s="5" customFormat="1" ht="15" customHeight="1" x14ac:dyDescent="0.25">
      <c r="A1585" s="9" t="s">
        <v>3158</v>
      </c>
      <c r="C1585" s="9" t="str">
        <f>HYPERLINK("http://www.ncbi.nlm.nih.gov/protein/62198210","Cuta")</f>
        <v>Cuta</v>
      </c>
      <c r="D1585" s="10">
        <f t="shared" si="24"/>
        <v>4.6861910854059854</v>
      </c>
      <c r="F1585" s="8" t="str">
        <f>HYPERLINK("https://esbl.nhlbi.nih.gov/Databases/mpkFractions/proteomic_fractions_log_files/Yang_log_img/62198210.jpg","show blot")</f>
        <v>show blot</v>
      </c>
      <c r="H1585" s="8" t="str">
        <f>HYPERLINK("https://esbl.nhlbi.nih.gov/Databases/mpkFractions/proteomic_fractions_linear_files/Yang_linear_img/62198210.jpg","show blot")</f>
        <v>show blot</v>
      </c>
      <c r="J1585" s="5" t="s">
        <v>3159</v>
      </c>
      <c r="L1585" s="11">
        <v>4.6861910854059854</v>
      </c>
      <c r="N1585" s="12"/>
    </row>
    <row r="1586" spans="1:14" s="5" customFormat="1" ht="15" customHeight="1" x14ac:dyDescent="0.25">
      <c r="A1586" s="9" t="s">
        <v>3160</v>
      </c>
      <c r="C1586" s="9" t="str">
        <f>HYPERLINK("http://www.ncbi.nlm.nih.gov/protein/62198239","Cuta")</f>
        <v>Cuta</v>
      </c>
      <c r="D1586" s="10">
        <f t="shared" si="24"/>
        <v>4.6861910854059854</v>
      </c>
      <c r="F1586" s="8" t="str">
        <f>HYPERLINK("https://esbl.nhlbi.nih.gov/Databases/mpkFractions/proteomic_fractions_log_files/Yang_log_img/62198239.jpg","show blot")</f>
        <v>show blot</v>
      </c>
      <c r="H1586" s="8" t="str">
        <f>HYPERLINK("https://esbl.nhlbi.nih.gov/Databases/mpkFractions/proteomic_fractions_linear_files/Yang_linear_img/62198239.jpg","show blot")</f>
        <v>show blot</v>
      </c>
      <c r="J1586" s="5" t="s">
        <v>3161</v>
      </c>
      <c r="L1586" s="11">
        <v>4.6861910854059854</v>
      </c>
      <c r="N1586" s="12"/>
    </row>
    <row r="1587" spans="1:14" s="5" customFormat="1" ht="15" customHeight="1" x14ac:dyDescent="0.25">
      <c r="A1587" s="9" t="s">
        <v>3162</v>
      </c>
      <c r="C1587" s="9" t="str">
        <f>HYPERLINK("http://www.ncbi.nlm.nih.gov/protein/165932339","Cutc")</f>
        <v>Cutc</v>
      </c>
      <c r="D1587" s="10">
        <f t="shared" si="24"/>
        <v>2.6242157512758908</v>
      </c>
      <c r="F1587" s="8" t="str">
        <f>HYPERLINK("https://esbl.nhlbi.nih.gov/Databases/mpkFractions/proteomic_fractions_log_files/Yang_log_img/165932339.jpg","show blot")</f>
        <v>show blot</v>
      </c>
      <c r="H1587" s="8" t="str">
        <f>HYPERLINK("https://esbl.nhlbi.nih.gov/Databases/mpkFractions/proteomic_fractions_linear_files/Yang_linear_img/165932339.jpg","show blot")</f>
        <v>show blot</v>
      </c>
      <c r="J1587" s="5" t="s">
        <v>3163</v>
      </c>
      <c r="L1587" s="11">
        <v>2.6242157512758908</v>
      </c>
      <c r="N1587" s="12"/>
    </row>
    <row r="1588" spans="1:14" s="5" customFormat="1" ht="15" customHeight="1" x14ac:dyDescent="0.25">
      <c r="A1588" s="9" t="s">
        <v>3164</v>
      </c>
      <c r="C1588" s="9" t="str">
        <f>HYPERLINK("http://www.ncbi.nlm.nih.gov/protein/165932350","Cutc")</f>
        <v>Cutc</v>
      </c>
      <c r="D1588" s="10">
        <f t="shared" si="24"/>
        <v>2.6242157512758908</v>
      </c>
      <c r="F1588" s="8" t="str">
        <f>HYPERLINK("https://esbl.nhlbi.nih.gov/Databases/mpkFractions/proteomic_fractions_log_files/Yang_log_img/165932350.jpg","show blot")</f>
        <v>show blot</v>
      </c>
      <c r="H1588" s="8" t="str">
        <f>HYPERLINK("https://esbl.nhlbi.nih.gov/Databases/mpkFractions/proteomic_fractions_linear_files/Yang_linear_img/165932350.jpg","show blot")</f>
        <v>show blot</v>
      </c>
      <c r="J1588" s="5" t="s">
        <v>3165</v>
      </c>
      <c r="L1588" s="11">
        <v>2.6242157512758908</v>
      </c>
      <c r="N1588" s="12"/>
    </row>
    <row r="1589" spans="1:14" s="5" customFormat="1" ht="15" customHeight="1" x14ac:dyDescent="0.25">
      <c r="A1589" s="9" t="s">
        <v>3166</v>
      </c>
      <c r="C1589" s="9" t="str">
        <f>HYPERLINK("http://www.ncbi.nlm.nih.gov/protein/110835729","Cux1")</f>
        <v>Cux1</v>
      </c>
      <c r="D1589" s="10">
        <f t="shared" si="24"/>
        <v>2.586509114576121</v>
      </c>
      <c r="F1589" s="8" t="str">
        <f>HYPERLINK("https://esbl.nhlbi.nih.gov/Databases/mpkFractions/proteomic_fractions_log_files/Yang_log_img/110835729.jpg","show blot")</f>
        <v>show blot</v>
      </c>
      <c r="H1589" s="8" t="str">
        <f>HYPERLINK("https://esbl.nhlbi.nih.gov/Databases/mpkFractions/proteomic_fractions_linear_files/Yang_linear_img/110835729.jpg","show blot")</f>
        <v>show blot</v>
      </c>
      <c r="J1589" s="5" t="s">
        <v>3167</v>
      </c>
      <c r="L1589" s="11">
        <v>2.586509114576121</v>
      </c>
      <c r="N1589" s="12"/>
    </row>
    <row r="1590" spans="1:14" s="5" customFormat="1" ht="15" customHeight="1" x14ac:dyDescent="0.25">
      <c r="A1590" s="9" t="s">
        <v>3168</v>
      </c>
      <c r="C1590" s="9" t="str">
        <f>HYPERLINK("http://www.ncbi.nlm.nih.gov/protein/110815859","Cux1")</f>
        <v>Cux1</v>
      </c>
      <c r="D1590" s="10">
        <f t="shared" si="24"/>
        <v>2.586509114576121</v>
      </c>
      <c r="F1590" s="8" t="str">
        <f>HYPERLINK("https://esbl.nhlbi.nih.gov/Databases/mpkFractions/proteomic_fractions_log_files/Yang_log_img/110815859.jpg","show blot")</f>
        <v>show blot</v>
      </c>
      <c r="H1590" s="8" t="str">
        <f>HYPERLINK("https://esbl.nhlbi.nih.gov/Databases/mpkFractions/proteomic_fractions_linear_files/Yang_linear_img/110815859.jpg","show blot")</f>
        <v>show blot</v>
      </c>
      <c r="J1590" s="5" t="s">
        <v>3169</v>
      </c>
      <c r="L1590" s="11">
        <v>2.586509114576121</v>
      </c>
      <c r="N1590" s="12"/>
    </row>
    <row r="1591" spans="1:14" s="5" customFormat="1" ht="15" customHeight="1" x14ac:dyDescent="0.25">
      <c r="A1591" s="9" t="s">
        <v>3170</v>
      </c>
      <c r="C1591" s="9" t="str">
        <f>HYPERLINK("http://www.ncbi.nlm.nih.gov/protein/12963537","Cwc15")</f>
        <v>Cwc15</v>
      </c>
      <c r="D1591" s="10">
        <f t="shared" si="24"/>
        <v>3.9811016401088311</v>
      </c>
      <c r="F1591" s="8" t="str">
        <f>HYPERLINK("https://esbl.nhlbi.nih.gov/Databases/mpkFractions/proteomic_fractions_log_files/Yang_log_img/12963537.jpg","show blot")</f>
        <v>show blot</v>
      </c>
      <c r="H1591" s="8" t="str">
        <f>HYPERLINK("https://esbl.nhlbi.nih.gov/Databases/mpkFractions/proteomic_fractions_linear_files/Yang_linear_img/12963537.jpg","show blot")</f>
        <v>show blot</v>
      </c>
      <c r="J1591" s="5" t="s">
        <v>3171</v>
      </c>
      <c r="L1591" s="11">
        <v>3.9811016401088311</v>
      </c>
      <c r="N1591" s="12"/>
    </row>
    <row r="1592" spans="1:14" s="5" customFormat="1" ht="15" customHeight="1" x14ac:dyDescent="0.25">
      <c r="A1592" s="9" t="s">
        <v>3172</v>
      </c>
      <c r="C1592" s="9" t="str">
        <f>HYPERLINK("http://www.ncbi.nlm.nih.gov/protein/27881425","Cwc22")</f>
        <v>Cwc22</v>
      </c>
      <c r="D1592" s="10">
        <f t="shared" si="24"/>
        <v>3.8265621280354569</v>
      </c>
      <c r="F1592" s="8" t="str">
        <f>HYPERLINK("https://esbl.nhlbi.nih.gov/Databases/mpkFractions/proteomic_fractions_log_files/Yang_log_img/27881425.jpg","show blot")</f>
        <v>show blot</v>
      </c>
      <c r="H1592" s="8" t="str">
        <f>HYPERLINK("https://esbl.nhlbi.nih.gov/Databases/mpkFractions/proteomic_fractions_linear_files/Yang_linear_img/27881425.jpg","show blot")</f>
        <v>show blot</v>
      </c>
      <c r="J1592" s="5" t="s">
        <v>3173</v>
      </c>
      <c r="L1592" s="11">
        <v>3.8265621280354569</v>
      </c>
      <c r="N1592" s="12"/>
    </row>
    <row r="1593" spans="1:14" s="5" customFormat="1" ht="15" customHeight="1" x14ac:dyDescent="0.25">
      <c r="A1593" s="9" t="s">
        <v>3174</v>
      </c>
      <c r="C1593" s="9" t="str">
        <f>HYPERLINK("http://www.ncbi.nlm.nih.gov/protein/323462203","Cwc22")</f>
        <v>Cwc22</v>
      </c>
      <c r="D1593" s="10">
        <f t="shared" si="24"/>
        <v>3.8265621280354569</v>
      </c>
      <c r="F1593" s="8" t="str">
        <f>HYPERLINK("https://esbl.nhlbi.nih.gov/Databases/mpkFractions/proteomic_fractions_log_files/Yang_log_img/323462203.jpg","show blot")</f>
        <v>show blot</v>
      </c>
      <c r="H1593" s="8" t="str">
        <f>HYPERLINK("https://esbl.nhlbi.nih.gov/Databases/mpkFractions/proteomic_fractions_linear_files/Yang_linear_img/323462203.jpg","show blot")</f>
        <v>show blot</v>
      </c>
      <c r="J1593" s="5" t="s">
        <v>3175</v>
      </c>
      <c r="L1593" s="11">
        <v>3.8265621280354569</v>
      </c>
      <c r="N1593" s="12"/>
    </row>
    <row r="1594" spans="1:14" s="5" customFormat="1" ht="15" customHeight="1" x14ac:dyDescent="0.25">
      <c r="A1594" s="9" t="s">
        <v>3176</v>
      </c>
      <c r="C1594" s="9" t="str">
        <f>HYPERLINK("http://www.ncbi.nlm.nih.gov/protein/262072988","Cwc25")</f>
        <v>Cwc25</v>
      </c>
      <c r="D1594" s="10">
        <f t="shared" si="24"/>
        <v>3.44511457984119</v>
      </c>
      <c r="F1594" s="8" t="str">
        <f>HYPERLINK("https://esbl.nhlbi.nih.gov/Databases/mpkFractions/proteomic_fractions_log_files/Yang_log_img/262072988.jpg","show blot")</f>
        <v>show blot</v>
      </c>
      <c r="H1594" s="8" t="str">
        <f>HYPERLINK("https://esbl.nhlbi.nih.gov/Databases/mpkFractions/proteomic_fractions_linear_files/Yang_linear_img/262072988.jpg","show blot")</f>
        <v>show blot</v>
      </c>
      <c r="J1594" s="5" t="s">
        <v>3177</v>
      </c>
      <c r="L1594" s="11">
        <v>3.44511457984119</v>
      </c>
      <c r="N1594" s="12"/>
    </row>
    <row r="1595" spans="1:14" s="5" customFormat="1" ht="15" customHeight="1" x14ac:dyDescent="0.25">
      <c r="A1595" s="9" t="s">
        <v>3178</v>
      </c>
      <c r="C1595" s="9" t="str">
        <f>HYPERLINK("http://www.ncbi.nlm.nih.gov/protein/110625681","Cwc27")</f>
        <v>Cwc27</v>
      </c>
      <c r="D1595" s="10">
        <f t="shared" si="24"/>
        <v>3.865866276318624</v>
      </c>
      <c r="F1595" s="8" t="str">
        <f>HYPERLINK("https://esbl.nhlbi.nih.gov/Databases/mpkFractions/proteomic_fractions_log_files/Yang_log_img/110625681.jpg","show blot")</f>
        <v>show blot</v>
      </c>
      <c r="H1595" s="8" t="str">
        <f>HYPERLINK("https://esbl.nhlbi.nih.gov/Databases/mpkFractions/proteomic_fractions_linear_files/Yang_linear_img/110625681.jpg","show blot")</f>
        <v>show blot</v>
      </c>
      <c r="J1595" s="5" t="s">
        <v>3179</v>
      </c>
      <c r="L1595" s="11">
        <v>3.865866276318624</v>
      </c>
      <c r="N1595" s="12"/>
    </row>
    <row r="1596" spans="1:14" s="5" customFormat="1" ht="15" customHeight="1" x14ac:dyDescent="0.25">
      <c r="A1596" s="9" t="s">
        <v>3180</v>
      </c>
      <c r="C1596" s="9" t="str">
        <f>HYPERLINK("http://www.ncbi.nlm.nih.gov/protein/124487291","Cwf19l1")</f>
        <v>Cwf19l1</v>
      </c>
      <c r="D1596" s="10">
        <f t="shared" si="24"/>
        <v>4.4372671049078436</v>
      </c>
      <c r="F1596" s="8" t="str">
        <f>HYPERLINK("https://esbl.nhlbi.nih.gov/Databases/mpkFractions/proteomic_fractions_log_files/Yang_log_img/124487291.jpg","show blot")</f>
        <v>show blot</v>
      </c>
      <c r="H1596" s="8" t="str">
        <f>HYPERLINK("https://esbl.nhlbi.nih.gov/Databases/mpkFractions/proteomic_fractions_linear_files/Yang_linear_img/124487291.jpg","show blot")</f>
        <v>show blot</v>
      </c>
      <c r="J1596" s="5" t="s">
        <v>3181</v>
      </c>
      <c r="L1596" s="11">
        <v>4.4372671049078436</v>
      </c>
      <c r="N1596" s="12"/>
    </row>
    <row r="1597" spans="1:14" s="5" customFormat="1" ht="15" customHeight="1" x14ac:dyDescent="0.25">
      <c r="A1597" s="9" t="s">
        <v>3182</v>
      </c>
      <c r="C1597" s="9" t="str">
        <f>HYPERLINK("http://www.ncbi.nlm.nih.gov/protein/30842792","Cwf19l2")</f>
        <v>Cwf19l2</v>
      </c>
      <c r="D1597" s="10">
        <f t="shared" si="24"/>
        <v>2.7042451071234672</v>
      </c>
      <c r="F1597" s="8" t="str">
        <f>HYPERLINK("https://esbl.nhlbi.nih.gov/Databases/mpkFractions/proteomic_fractions_log_files/Yang_log_img/30842792.jpg","show blot")</f>
        <v>show blot</v>
      </c>
      <c r="H1597" s="8" t="str">
        <f>HYPERLINK("https://esbl.nhlbi.nih.gov/Databases/mpkFractions/proteomic_fractions_linear_files/Yang_linear_img/30842792.jpg","show blot")</f>
        <v>show blot</v>
      </c>
      <c r="J1597" s="5" t="s">
        <v>3183</v>
      </c>
      <c r="L1597" s="11">
        <v>2.7042451071234672</v>
      </c>
      <c r="N1597" s="12"/>
    </row>
    <row r="1598" spans="1:14" s="5" customFormat="1" ht="15" customHeight="1" x14ac:dyDescent="0.25">
      <c r="A1598" s="9" t="s">
        <v>3184</v>
      </c>
      <c r="C1598" s="9" t="str">
        <f>HYPERLINK("http://www.ncbi.nlm.nih.gov/protein/442796434","Cxadr")</f>
        <v>Cxadr</v>
      </c>
      <c r="D1598" s="10">
        <f t="shared" si="24"/>
        <v>5.6948464516213297</v>
      </c>
      <c r="F1598" s="8" t="str">
        <f>HYPERLINK("https://esbl.nhlbi.nih.gov/Databases/mpkFractions/proteomic_fractions_log_files/Yang_log_img/442796434.jpg","show blot")</f>
        <v>show blot</v>
      </c>
      <c r="H1598" s="8" t="str">
        <f>HYPERLINK("https://esbl.nhlbi.nih.gov/Databases/mpkFractions/proteomic_fractions_linear_files/Yang_linear_img/442796434.jpg","show blot")</f>
        <v>show blot</v>
      </c>
      <c r="J1598" s="5" t="s">
        <v>3185</v>
      </c>
      <c r="L1598" s="11">
        <v>5.6948464516213297</v>
      </c>
      <c r="N1598" s="12"/>
    </row>
    <row r="1599" spans="1:14" s="5" customFormat="1" ht="15" customHeight="1" x14ac:dyDescent="0.25">
      <c r="A1599" s="9" t="s">
        <v>3186</v>
      </c>
      <c r="C1599" s="9" t="str">
        <f>HYPERLINK("http://www.ncbi.nlm.nih.gov/protein/68510034","Cxadr")</f>
        <v>Cxadr</v>
      </c>
      <c r="D1599" s="10">
        <f t="shared" si="24"/>
        <v>5.6948464516213297</v>
      </c>
      <c r="F1599" s="8" t="str">
        <f>HYPERLINK("https://esbl.nhlbi.nih.gov/Databases/mpkFractions/proteomic_fractions_log_files/Yang_log_img/68510034.jpg","show blot")</f>
        <v>show blot</v>
      </c>
      <c r="H1599" s="8" t="str">
        <f>HYPERLINK("https://esbl.nhlbi.nih.gov/Databases/mpkFractions/proteomic_fractions_linear_files/Yang_linear_img/68510034.jpg","show blot")</f>
        <v>show blot</v>
      </c>
      <c r="J1599" s="5" t="s">
        <v>3187</v>
      </c>
      <c r="L1599" s="11">
        <v>5.6948464516213297</v>
      </c>
      <c r="N1599" s="12"/>
    </row>
    <row r="1600" spans="1:14" s="5" customFormat="1" ht="15" customHeight="1" x14ac:dyDescent="0.25">
      <c r="A1600" s="9" t="s">
        <v>3188</v>
      </c>
      <c r="C1600" s="9" t="str">
        <f>HYPERLINK("http://www.ncbi.nlm.nih.gov/protein/6857775","Cxadr")</f>
        <v>Cxadr</v>
      </c>
      <c r="D1600" s="10">
        <f t="shared" si="24"/>
        <v>5.6948464516213297</v>
      </c>
      <c r="F1600" s="8" t="str">
        <f>HYPERLINK("https://esbl.nhlbi.nih.gov/Databases/mpkFractions/proteomic_fractions_log_files/Yang_log_img/6857775.jpg","show blot")</f>
        <v>show blot</v>
      </c>
      <c r="H1600" s="8" t="str">
        <f>HYPERLINK("https://esbl.nhlbi.nih.gov/Databases/mpkFractions/proteomic_fractions_linear_files/Yang_linear_img/6857775.jpg","show blot")</f>
        <v>show blot</v>
      </c>
      <c r="J1600" s="5" t="s">
        <v>3189</v>
      </c>
      <c r="L1600" s="11">
        <v>5.6948464516213297</v>
      </c>
      <c r="N1600" s="12"/>
    </row>
    <row r="1601" spans="1:14" s="5" customFormat="1" ht="15" customHeight="1" x14ac:dyDescent="0.25">
      <c r="A1601" s="9" t="s">
        <v>3190</v>
      </c>
      <c r="C1601" s="9" t="str">
        <f>HYPERLINK("http://www.ncbi.nlm.nih.gov/protein/18390325","Cxxc1")</f>
        <v>Cxxc1</v>
      </c>
      <c r="D1601" s="10">
        <f t="shared" si="24"/>
        <v>1.9960374044860341</v>
      </c>
      <c r="F1601" s="8" t="str">
        <f>HYPERLINK("https://esbl.nhlbi.nih.gov/Databases/mpkFractions/proteomic_fractions_log_files/Yang_log_img/18390325.jpg","show blot")</f>
        <v>show blot</v>
      </c>
      <c r="H1601" s="8" t="str">
        <f>HYPERLINK("https://esbl.nhlbi.nih.gov/Databases/mpkFractions/proteomic_fractions_linear_files/Yang_linear_img/18390325.jpg","show blot")</f>
        <v>show blot</v>
      </c>
      <c r="J1601" s="5" t="s">
        <v>3191</v>
      </c>
      <c r="L1601" s="11">
        <v>1.9960374044860341</v>
      </c>
      <c r="N1601" s="12"/>
    </row>
    <row r="1602" spans="1:14" s="5" customFormat="1" ht="15" customHeight="1" x14ac:dyDescent="0.25">
      <c r="A1602" s="9" t="s">
        <v>3192</v>
      </c>
      <c r="C1602" s="9" t="str">
        <f>HYPERLINK("http://www.ncbi.nlm.nih.gov/protein/13385268","Cyb5")</f>
        <v>Cyb5</v>
      </c>
      <c r="D1602" s="10">
        <f t="shared" si="24"/>
        <v>5.3700702571382006</v>
      </c>
      <c r="F1602" s="8" t="str">
        <f>HYPERLINK("https://esbl.nhlbi.nih.gov/Databases/mpkFractions/proteomic_fractions_log_files/Yang_log_img/13385268.jpg","show blot")</f>
        <v>show blot</v>
      </c>
      <c r="H1602" s="8" t="str">
        <f>HYPERLINK("https://esbl.nhlbi.nih.gov/Databases/mpkFractions/proteomic_fractions_linear_files/Yang_linear_img/13385268.jpg","show blot")</f>
        <v>show blot</v>
      </c>
      <c r="J1602" s="5" t="s">
        <v>3193</v>
      </c>
      <c r="L1602" s="11">
        <v>5.3700702571382006</v>
      </c>
      <c r="N1602" s="12"/>
    </row>
    <row r="1603" spans="1:14" s="5" customFormat="1" ht="15" customHeight="1" x14ac:dyDescent="0.25">
      <c r="A1603" s="9" t="s">
        <v>3194</v>
      </c>
      <c r="C1603" s="9" t="str">
        <f>HYPERLINK("http://www.ncbi.nlm.nih.gov/protein/31542436","Cyb561")</f>
        <v>Cyb561</v>
      </c>
      <c r="D1603" s="10">
        <f t="shared" si="24"/>
        <v>2.5499224041295121</v>
      </c>
      <c r="F1603" s="8" t="str">
        <f>HYPERLINK("https://esbl.nhlbi.nih.gov/Databases/mpkFractions/proteomic_fractions_log_files/Yang_log_img/31542436.jpg","show blot")</f>
        <v>show blot</v>
      </c>
      <c r="H1603" s="8" t="str">
        <f>HYPERLINK("https://esbl.nhlbi.nih.gov/Databases/mpkFractions/proteomic_fractions_linear_files/Yang_linear_img/31542436.jpg","show blot")</f>
        <v>show blot</v>
      </c>
      <c r="J1603" s="5" t="s">
        <v>3195</v>
      </c>
      <c r="L1603" s="11">
        <v>2.5499224041295121</v>
      </c>
      <c r="N1603" s="12"/>
    </row>
    <row r="1604" spans="1:14" s="5" customFormat="1" ht="15" customHeight="1" x14ac:dyDescent="0.25">
      <c r="A1604" s="9" t="s">
        <v>3196</v>
      </c>
      <c r="C1604" s="9" t="str">
        <f>HYPERLINK("http://www.ncbi.nlm.nih.gov/protein/9790029","Cyb561d2")</f>
        <v>Cyb561d2</v>
      </c>
      <c r="D1604" s="10">
        <f t="shared" si="24"/>
        <v>2.7297665970021132</v>
      </c>
      <c r="F1604" s="8" t="str">
        <f>HYPERLINK("https://esbl.nhlbi.nih.gov/Databases/mpkFractions/proteomic_fractions_log_files/Yang_log_img/9790029.jpg","show blot")</f>
        <v>show blot</v>
      </c>
      <c r="H1604" s="8" t="str">
        <f>HYPERLINK("https://esbl.nhlbi.nih.gov/Databases/mpkFractions/proteomic_fractions_linear_files/Yang_linear_img/9790029.jpg","show blot")</f>
        <v>show blot</v>
      </c>
      <c r="J1604" s="5" t="s">
        <v>3197</v>
      </c>
      <c r="L1604" s="11">
        <v>2.7297665970021132</v>
      </c>
      <c r="N1604" s="12"/>
    </row>
    <row r="1605" spans="1:14" s="5" customFormat="1" ht="15" customHeight="1" x14ac:dyDescent="0.25">
      <c r="A1605" s="9" t="s">
        <v>3198</v>
      </c>
      <c r="C1605" s="9" t="str">
        <f>HYPERLINK("http://www.ncbi.nlm.nih.gov/protein/31542438","Cyb5b")</f>
        <v>Cyb5b</v>
      </c>
      <c r="D1605" s="10">
        <f t="shared" ref="D1605:D1668" si="25">L1605</f>
        <v>6.3967502824204487</v>
      </c>
      <c r="F1605" s="8" t="str">
        <f>HYPERLINK("https://esbl.nhlbi.nih.gov/Databases/mpkFractions/proteomic_fractions_log_files/Yang_log_img/31542438.jpg","show blot")</f>
        <v>show blot</v>
      </c>
      <c r="H1605" s="8" t="str">
        <f>HYPERLINK("https://esbl.nhlbi.nih.gov/Databases/mpkFractions/proteomic_fractions_linear_files/Yang_linear_img/31542438.jpg","show blot")</f>
        <v>show blot</v>
      </c>
      <c r="J1605" s="5" t="s">
        <v>3199</v>
      </c>
      <c r="L1605" s="11">
        <v>6.3967502824204487</v>
      </c>
      <c r="N1605" s="12"/>
    </row>
    <row r="1606" spans="1:14" s="5" customFormat="1" ht="15" customHeight="1" x14ac:dyDescent="0.25">
      <c r="A1606" s="9" t="s">
        <v>3200</v>
      </c>
      <c r="C1606" s="9" t="str">
        <f>HYPERLINK("http://www.ncbi.nlm.nih.gov/protein/21312524","Cyb5r1")</f>
        <v>Cyb5r1</v>
      </c>
      <c r="D1606" s="10">
        <f t="shared" si="25"/>
        <v>5.3579908009439707</v>
      </c>
      <c r="F1606" s="8" t="str">
        <f>HYPERLINK("https://esbl.nhlbi.nih.gov/Databases/mpkFractions/proteomic_fractions_log_files/Yang_log_img/21312524.jpg","show blot")</f>
        <v>show blot</v>
      </c>
      <c r="H1606" s="8" t="str">
        <f>HYPERLINK("https://esbl.nhlbi.nih.gov/Databases/mpkFractions/proteomic_fractions_linear_files/Yang_linear_img/21312524.jpg","show blot")</f>
        <v>show blot</v>
      </c>
      <c r="J1606" s="5" t="s">
        <v>3201</v>
      </c>
      <c r="L1606" s="11">
        <v>5.3579908009439707</v>
      </c>
      <c r="N1606" s="12"/>
    </row>
    <row r="1607" spans="1:14" s="5" customFormat="1" ht="15" customHeight="1" x14ac:dyDescent="0.25">
      <c r="A1607" s="9" t="s">
        <v>3202</v>
      </c>
      <c r="C1607" s="9" t="str">
        <f>HYPERLINK("http://www.ncbi.nlm.nih.gov/protein/19745150","Cyb5r3")</f>
        <v>Cyb5r3</v>
      </c>
      <c r="D1607" s="10">
        <f t="shared" si="25"/>
        <v>6.9099715100561463</v>
      </c>
      <c r="F1607" s="8" t="str">
        <f>HYPERLINK("https://esbl.nhlbi.nih.gov/Databases/mpkFractions/proteomic_fractions_log_files/Yang_log_img/19745150.jpg","show blot")</f>
        <v>show blot</v>
      </c>
      <c r="H1607" s="8" t="str">
        <f>HYPERLINK("https://esbl.nhlbi.nih.gov/Databases/mpkFractions/proteomic_fractions_linear_files/Yang_linear_img/19745150.jpg","show blot")</f>
        <v>show blot</v>
      </c>
      <c r="J1607" s="5" t="s">
        <v>3203</v>
      </c>
      <c r="L1607" s="11">
        <v>6.9099715100561463</v>
      </c>
      <c r="N1607" s="12"/>
    </row>
    <row r="1608" spans="1:14" s="5" customFormat="1" ht="15" customHeight="1" x14ac:dyDescent="0.25">
      <c r="A1608" s="9" t="s">
        <v>3204</v>
      </c>
      <c r="C1608" s="9" t="str">
        <f>HYPERLINK("http://www.ncbi.nlm.nih.gov/protein/13385006","Cyc1")</f>
        <v>Cyc1</v>
      </c>
      <c r="D1608" s="10">
        <f t="shared" si="25"/>
        <v>5.8791724245789556</v>
      </c>
      <c r="F1608" s="8" t="str">
        <f>HYPERLINK("https://esbl.nhlbi.nih.gov/Databases/mpkFractions/proteomic_fractions_log_files/Yang_log_img/13385006.jpg","show blot")</f>
        <v>show blot</v>
      </c>
      <c r="H1608" s="8" t="str">
        <f>HYPERLINK("https://esbl.nhlbi.nih.gov/Databases/mpkFractions/proteomic_fractions_linear_files/Yang_linear_img/13385006.jpg","show blot")</f>
        <v>show blot</v>
      </c>
      <c r="J1608" s="5" t="s">
        <v>3205</v>
      </c>
      <c r="L1608" s="11">
        <v>5.8791724245789556</v>
      </c>
      <c r="N1608" s="12"/>
    </row>
    <row r="1609" spans="1:14" s="5" customFormat="1" ht="15" customHeight="1" x14ac:dyDescent="0.25">
      <c r="A1609" s="9" t="s">
        <v>3206</v>
      </c>
      <c r="C1609" s="9" t="str">
        <f>HYPERLINK("http://www.ncbi.nlm.nih.gov/protein/6681095","Cycs")</f>
        <v>Cycs</v>
      </c>
      <c r="D1609" s="10">
        <f t="shared" si="25"/>
        <v>5.8611172645445624</v>
      </c>
      <c r="F1609" s="8" t="str">
        <f>HYPERLINK("https://esbl.nhlbi.nih.gov/Databases/mpkFractions/proteomic_fractions_log_files/Yang_log_img/6681095.jpg","show blot")</f>
        <v>show blot</v>
      </c>
      <c r="H1609" s="8" t="str">
        <f>HYPERLINK("https://esbl.nhlbi.nih.gov/Databases/mpkFractions/proteomic_fractions_linear_files/Yang_linear_img/6681095.jpg","show blot")</f>
        <v>show blot</v>
      </c>
      <c r="J1609" s="5" t="s">
        <v>3207</v>
      </c>
      <c r="L1609" s="11">
        <v>5.8611172645445624</v>
      </c>
      <c r="N1609" s="12"/>
    </row>
    <row r="1610" spans="1:14" s="5" customFormat="1" ht="15" customHeight="1" x14ac:dyDescent="0.25">
      <c r="A1610" s="9" t="s">
        <v>3208</v>
      </c>
      <c r="C1610" s="9" t="str">
        <f>HYPERLINK("http://www.ncbi.nlm.nih.gov/protein/164698474","Cyfip1")</f>
        <v>Cyfip1</v>
      </c>
      <c r="D1610" s="10">
        <f t="shared" si="25"/>
        <v>5.0713817008343609</v>
      </c>
      <c r="F1610" s="8" t="str">
        <f>HYPERLINK("https://esbl.nhlbi.nih.gov/Databases/mpkFractions/proteomic_fractions_log_files/Yang_log_img/164698474.jpg","show blot")</f>
        <v>show blot</v>
      </c>
      <c r="H1610" s="8" t="str">
        <f>HYPERLINK("https://esbl.nhlbi.nih.gov/Databases/mpkFractions/proteomic_fractions_linear_files/Yang_linear_img/164698474.jpg","show blot")</f>
        <v>show blot</v>
      </c>
      <c r="J1610" s="5" t="s">
        <v>3209</v>
      </c>
      <c r="L1610" s="11">
        <v>5.0713817008343609</v>
      </c>
      <c r="N1610" s="12"/>
    </row>
    <row r="1611" spans="1:14" s="5" customFormat="1" ht="15" customHeight="1" x14ac:dyDescent="0.25">
      <c r="A1611" s="9" t="s">
        <v>3210</v>
      </c>
      <c r="C1611" s="9" t="str">
        <f>HYPERLINK("http://www.ncbi.nlm.nih.gov/protein/258547119","Cyfip1")</f>
        <v>Cyfip1</v>
      </c>
      <c r="D1611" s="10">
        <f t="shared" si="25"/>
        <v>5.0713817008343609</v>
      </c>
      <c r="F1611" s="8" t="str">
        <f>HYPERLINK("https://esbl.nhlbi.nih.gov/Databases/mpkFractions/proteomic_fractions_log_files/Yang_log_img/258547119.jpg","show blot")</f>
        <v>show blot</v>
      </c>
      <c r="H1611" s="8" t="str">
        <f>HYPERLINK("https://esbl.nhlbi.nih.gov/Databases/mpkFractions/proteomic_fractions_linear_files/Yang_linear_img/258547119.jpg","show blot")</f>
        <v>show blot</v>
      </c>
      <c r="J1611" s="5" t="s">
        <v>3211</v>
      </c>
      <c r="L1611" s="11">
        <v>5.0713817008343609</v>
      </c>
      <c r="N1611" s="12"/>
    </row>
    <row r="1612" spans="1:14" s="5" customFormat="1" ht="15" customHeight="1" x14ac:dyDescent="0.25">
      <c r="A1612" s="9" t="s">
        <v>3212</v>
      </c>
      <c r="C1612" s="9" t="str">
        <f>HYPERLINK("http://www.ncbi.nlm.nih.gov/protein/84370256","Cyfip2")</f>
        <v>Cyfip2</v>
      </c>
      <c r="D1612" s="10">
        <f t="shared" si="25"/>
        <v>4.8231164699930087</v>
      </c>
      <c r="F1612" s="8" t="str">
        <f>HYPERLINK("https://esbl.nhlbi.nih.gov/Databases/mpkFractions/proteomic_fractions_log_files/Yang_log_img/84370256.jpg","show blot")</f>
        <v>show blot</v>
      </c>
      <c r="H1612" s="8" t="str">
        <f>HYPERLINK("https://esbl.nhlbi.nih.gov/Databases/mpkFractions/proteomic_fractions_linear_files/Yang_linear_img/84370256.jpg","show blot")</f>
        <v>show blot</v>
      </c>
      <c r="J1612" s="5" t="s">
        <v>3213</v>
      </c>
      <c r="L1612" s="11">
        <v>4.8231164699930087</v>
      </c>
      <c r="N1612" s="12"/>
    </row>
    <row r="1613" spans="1:14" s="5" customFormat="1" ht="15" customHeight="1" x14ac:dyDescent="0.25">
      <c r="A1613" s="9" t="s">
        <v>3214</v>
      </c>
      <c r="C1613" s="9" t="str">
        <f>HYPERLINK("http://www.ncbi.nlm.nih.gov/protein/30725867","Cyhr1")</f>
        <v>Cyhr1</v>
      </c>
      <c r="D1613" s="10">
        <f t="shared" si="25"/>
        <v>4.4084980933526614</v>
      </c>
      <c r="F1613" s="8" t="str">
        <f>HYPERLINK("https://esbl.nhlbi.nih.gov/Databases/mpkFractions/proteomic_fractions_log_files/Yang_log_img/30725867.jpg","show blot")</f>
        <v>show blot</v>
      </c>
      <c r="H1613" s="8" t="str">
        <f>HYPERLINK("https://esbl.nhlbi.nih.gov/Databases/mpkFractions/proteomic_fractions_linear_files/Yang_linear_img/30725867.jpg","show blot")</f>
        <v>show blot</v>
      </c>
      <c r="J1613" s="5" t="s">
        <v>3215</v>
      </c>
      <c r="L1613" s="11">
        <v>4.4084980933526614</v>
      </c>
      <c r="N1613" s="12"/>
    </row>
    <row r="1614" spans="1:14" s="5" customFormat="1" ht="15" customHeight="1" x14ac:dyDescent="0.25">
      <c r="A1614" s="9" t="s">
        <v>3216</v>
      </c>
      <c r="C1614" s="9" t="str">
        <f>HYPERLINK("http://www.ncbi.nlm.nih.gov/protein/444741673","Cyhr1")</f>
        <v>Cyhr1</v>
      </c>
      <c r="D1614" s="10">
        <f t="shared" si="25"/>
        <v>4.4084980933526614</v>
      </c>
      <c r="F1614" s="8" t="str">
        <f>HYPERLINK("https://esbl.nhlbi.nih.gov/Databases/mpkFractions/proteomic_fractions_log_files/Yang_log_img/444741673.jpg","show blot")</f>
        <v>show blot</v>
      </c>
      <c r="H1614" s="8" t="str">
        <f>HYPERLINK("https://esbl.nhlbi.nih.gov/Databases/mpkFractions/proteomic_fractions_linear_files/Yang_linear_img/444741673.jpg","show blot")</f>
        <v>show blot</v>
      </c>
      <c r="J1614" s="5" t="s">
        <v>3217</v>
      </c>
      <c r="L1614" s="11">
        <v>4.4084980933526614</v>
      </c>
      <c r="N1614" s="12"/>
    </row>
    <row r="1615" spans="1:14" s="5" customFormat="1" ht="15" customHeight="1" x14ac:dyDescent="0.25">
      <c r="A1615" s="9" t="s">
        <v>3218</v>
      </c>
      <c r="C1615" s="9" t="str">
        <f>HYPERLINK("http://www.ncbi.nlm.nih.gov/protein/9506491","Cyhr1")</f>
        <v>Cyhr1</v>
      </c>
      <c r="D1615" s="10">
        <f t="shared" si="25"/>
        <v>4.4084980933526614</v>
      </c>
      <c r="F1615" s="8" t="str">
        <f>HYPERLINK("https://esbl.nhlbi.nih.gov/Databases/mpkFractions/proteomic_fractions_log_files/Yang_log_img/9506491.jpg","show blot")</f>
        <v>show blot</v>
      </c>
      <c r="H1615" s="8" t="str">
        <f>HYPERLINK("https://esbl.nhlbi.nih.gov/Databases/mpkFractions/proteomic_fractions_linear_files/Yang_linear_img/9506491.jpg","show blot")</f>
        <v>show blot</v>
      </c>
      <c r="J1615" s="5" t="s">
        <v>3219</v>
      </c>
      <c r="L1615" s="11">
        <v>4.4084980933526614</v>
      </c>
      <c r="N1615" s="12"/>
    </row>
    <row r="1616" spans="1:14" s="5" customFormat="1" ht="15" customHeight="1" x14ac:dyDescent="0.25">
      <c r="A1616" s="9" t="s">
        <v>3220</v>
      </c>
      <c r="C1616" s="9" t="str">
        <f>HYPERLINK("http://www.ncbi.nlm.nih.gov/protein/74271886","Cyp20a1")</f>
        <v>Cyp20a1</v>
      </c>
      <c r="D1616" s="10">
        <f t="shared" si="25"/>
        <v>4.1521260162255373</v>
      </c>
      <c r="F1616" s="8" t="str">
        <f>HYPERLINK("https://esbl.nhlbi.nih.gov/Databases/mpkFractions/proteomic_fractions_log_files/Yang_log_img/74271886.jpg","show blot")</f>
        <v>show blot</v>
      </c>
      <c r="H1616" s="8" t="str">
        <f>HYPERLINK("https://esbl.nhlbi.nih.gov/Databases/mpkFractions/proteomic_fractions_linear_files/Yang_linear_img/74271886.jpg","show blot")</f>
        <v>show blot</v>
      </c>
      <c r="J1616" s="5" t="s">
        <v>3221</v>
      </c>
      <c r="L1616" s="11">
        <v>4.1521260162255373</v>
      </c>
      <c r="N1616" s="12"/>
    </row>
    <row r="1617" spans="1:14" s="5" customFormat="1" ht="15" customHeight="1" x14ac:dyDescent="0.25">
      <c r="A1617" s="9" t="s">
        <v>3222</v>
      </c>
      <c r="C1617" s="9" t="str">
        <f>HYPERLINK("http://www.ncbi.nlm.nih.gov/protein/21311915","Cyp2s1")</f>
        <v>Cyp2s1</v>
      </c>
      <c r="D1617" s="10">
        <f t="shared" si="25"/>
        <v>3.3792512382582132</v>
      </c>
      <c r="F1617" s="8" t="str">
        <f>HYPERLINK("https://esbl.nhlbi.nih.gov/Databases/mpkFractions/proteomic_fractions_log_files/Yang_log_img/21311915.jpg","show blot")</f>
        <v>show blot</v>
      </c>
      <c r="H1617" s="8" t="str">
        <f>HYPERLINK("https://esbl.nhlbi.nih.gov/Databases/mpkFractions/proteomic_fractions_linear_files/Yang_linear_img/21311915.jpg","show blot")</f>
        <v>show blot</v>
      </c>
      <c r="J1617" s="5" t="s">
        <v>3223</v>
      </c>
      <c r="L1617" s="11">
        <v>3.3792512382582132</v>
      </c>
      <c r="N1617" s="12"/>
    </row>
    <row r="1618" spans="1:14" s="5" customFormat="1" ht="15" customHeight="1" x14ac:dyDescent="0.25">
      <c r="A1618" s="9" t="s">
        <v>3224</v>
      </c>
      <c r="C1618" s="9" t="str">
        <f>HYPERLINK("http://www.ncbi.nlm.nih.gov/protein/9256529","Cyp39a1")</f>
        <v>Cyp39a1</v>
      </c>
      <c r="D1618" s="10">
        <f t="shared" si="25"/>
        <v>3.3416765143593028</v>
      </c>
      <c r="F1618" s="8" t="str">
        <f>HYPERLINK("https://esbl.nhlbi.nih.gov/Databases/mpkFractions/proteomic_fractions_log_files/Yang_log_img/9256529.jpg","show blot")</f>
        <v>show blot</v>
      </c>
      <c r="H1618" s="8" t="str">
        <f>HYPERLINK("https://esbl.nhlbi.nih.gov/Databases/mpkFractions/proteomic_fractions_linear_files/Yang_linear_img/9256529.jpg","show blot")</f>
        <v>show blot</v>
      </c>
      <c r="J1618" s="5" t="s">
        <v>3225</v>
      </c>
      <c r="L1618" s="11">
        <v>3.3416765143593028</v>
      </c>
      <c r="N1618" s="12"/>
    </row>
    <row r="1619" spans="1:14" s="5" customFormat="1" ht="15" customHeight="1" x14ac:dyDescent="0.25">
      <c r="A1619" s="9" t="s">
        <v>3226</v>
      </c>
      <c r="C1619" s="9" t="str">
        <f>HYPERLINK("http://www.ncbi.nlm.nih.gov/protein/13277362","Cyp4f16")</f>
        <v>Cyp4f16</v>
      </c>
      <c r="D1619" s="10">
        <f t="shared" si="25"/>
        <v>2.6540458830639939</v>
      </c>
      <c r="F1619" s="8" t="str">
        <f>HYPERLINK("https://esbl.nhlbi.nih.gov/Databases/mpkFractions/proteomic_fractions_log_files/Yang_log_img/13277362.jpg","show blot")</f>
        <v>show blot</v>
      </c>
      <c r="H1619" s="8" t="str">
        <f>HYPERLINK("https://esbl.nhlbi.nih.gov/Databases/mpkFractions/proteomic_fractions_linear_files/Yang_linear_img/13277362.jpg","show blot")</f>
        <v>show blot</v>
      </c>
      <c r="J1619" s="5" t="s">
        <v>3227</v>
      </c>
      <c r="L1619" s="11">
        <v>2.6540458830639939</v>
      </c>
      <c r="N1619" s="12"/>
    </row>
    <row r="1620" spans="1:14" s="5" customFormat="1" ht="15" customHeight="1" x14ac:dyDescent="0.25">
      <c r="A1620" s="9" t="s">
        <v>3228</v>
      </c>
      <c r="C1620" s="9" t="str">
        <f>HYPERLINK("http://www.ncbi.nlm.nih.gov/protein/71061451","Cyp51")</f>
        <v>Cyp51</v>
      </c>
      <c r="D1620" s="10">
        <f t="shared" si="25"/>
        <v>4.5513624069183214</v>
      </c>
      <c r="F1620" s="8" t="str">
        <f>HYPERLINK("https://esbl.nhlbi.nih.gov/Databases/mpkFractions/proteomic_fractions_log_files/Yang_log_img/71061451.jpg","show blot")</f>
        <v>show blot</v>
      </c>
      <c r="H1620" s="8" t="str">
        <f>HYPERLINK("https://esbl.nhlbi.nih.gov/Databases/mpkFractions/proteomic_fractions_linear_files/Yang_linear_img/71061451.jpg","show blot")</f>
        <v>show blot</v>
      </c>
      <c r="J1620" s="5" t="s">
        <v>3229</v>
      </c>
      <c r="L1620" s="11">
        <v>4.5513624069183214</v>
      </c>
      <c r="N1620" s="12"/>
    </row>
    <row r="1621" spans="1:14" s="5" customFormat="1" ht="15" customHeight="1" x14ac:dyDescent="0.25">
      <c r="A1621" s="9" t="s">
        <v>3230</v>
      </c>
      <c r="C1621" s="9" t="str">
        <f>HYPERLINK("http://www.ncbi.nlm.nih.gov/protein/240120154","Cys1")</f>
        <v>Cys1</v>
      </c>
      <c r="D1621" s="10" t="str">
        <f t="shared" si="25"/>
        <v>-</v>
      </c>
      <c r="F1621" s="8" t="str">
        <f>HYPERLINK("https://esbl.nhlbi.nih.gov/Databases/mpkFractions/proteomic_fractions_log_files/Yang_log_img/240120154.jpg","show blot")</f>
        <v>show blot</v>
      </c>
      <c r="H1621" s="8" t="str">
        <f>HYPERLINK("https://esbl.nhlbi.nih.gov/Databases/mpkFractions/proteomic_fractions_linear_files/Yang_linear_img/240120154.jpg","show blot")</f>
        <v>show blot</v>
      </c>
      <c r="J1621" s="5" t="s">
        <v>3231</v>
      </c>
      <c r="L1621" s="13" t="s">
        <v>389</v>
      </c>
      <c r="N1621" s="12"/>
    </row>
    <row r="1622" spans="1:14" s="5" customFormat="1" ht="15" customHeight="1" x14ac:dyDescent="0.25">
      <c r="A1622" s="9" t="s">
        <v>3232</v>
      </c>
      <c r="C1622" s="9" t="str">
        <f>HYPERLINK("http://www.ncbi.nlm.nih.gov/protein/167716849","CYTB")</f>
        <v>CYTB</v>
      </c>
      <c r="D1622" s="10">
        <f t="shared" si="25"/>
        <v>3.7285529181072401</v>
      </c>
      <c r="F1622" s="8" t="str">
        <f>HYPERLINK("https://esbl.nhlbi.nih.gov/Databases/mpkFractions/proteomic_fractions_log_files/Yang_log_img/167716849.jpg","show blot")</f>
        <v>show blot</v>
      </c>
      <c r="H1622" s="8" t="str">
        <f>HYPERLINK("https://esbl.nhlbi.nih.gov/Databases/mpkFractions/proteomic_fractions_linear_files/Yang_linear_img/167716849.jpg","show blot")</f>
        <v>show blot</v>
      </c>
      <c r="J1622" s="5" t="s">
        <v>3233</v>
      </c>
      <c r="L1622" s="11">
        <v>3.7285529181072401</v>
      </c>
      <c r="N1622" s="12"/>
    </row>
    <row r="1623" spans="1:14" s="5" customFormat="1" ht="15" customHeight="1" x14ac:dyDescent="0.25">
      <c r="A1623" s="9" t="s">
        <v>3234</v>
      </c>
      <c r="C1623" s="9" t="str">
        <f>HYPERLINK("http://www.ncbi.nlm.nih.gov/protein/226453487","CYTB")</f>
        <v>CYTB</v>
      </c>
      <c r="D1623" s="10">
        <f t="shared" si="25"/>
        <v>3.7285529181072401</v>
      </c>
      <c r="F1623" s="8" t="str">
        <f>HYPERLINK("https://esbl.nhlbi.nih.gov/Databases/mpkFractions/proteomic_fractions_log_files/Yang_log_img/226453487.jpg","show blot")</f>
        <v>show blot</v>
      </c>
      <c r="H1623" s="8" t="str">
        <f>HYPERLINK("https://esbl.nhlbi.nih.gov/Databases/mpkFractions/proteomic_fractions_linear_files/Yang_linear_img/226453487.jpg","show blot")</f>
        <v>show blot</v>
      </c>
      <c r="J1623" s="5" t="s">
        <v>3235</v>
      </c>
      <c r="L1623" s="11">
        <v>3.7285529181072401</v>
      </c>
      <c r="N1623" s="12"/>
    </row>
    <row r="1624" spans="1:14" s="5" customFormat="1" ht="15" customHeight="1" x14ac:dyDescent="0.25">
      <c r="A1624" s="9" t="s">
        <v>3236</v>
      </c>
      <c r="C1624" s="9" t="str">
        <f>HYPERLINK("http://www.ncbi.nlm.nih.gov/protein/34538610","CYTB")</f>
        <v>CYTB</v>
      </c>
      <c r="D1624" s="10">
        <f t="shared" si="25"/>
        <v>3.7285529181072401</v>
      </c>
      <c r="F1624" s="8" t="str">
        <f>HYPERLINK("https://esbl.nhlbi.nih.gov/Databases/mpkFractions/proteomic_fractions_log_files/Yang_log_img/34538610.jpg","show blot")</f>
        <v>show blot</v>
      </c>
      <c r="H1624" s="8" t="str">
        <f>HYPERLINK("https://esbl.nhlbi.nih.gov/Databases/mpkFractions/proteomic_fractions_linear_files/Yang_linear_img/34538610.jpg","show blot")</f>
        <v>show blot</v>
      </c>
      <c r="J1624" s="5" t="s">
        <v>3237</v>
      </c>
      <c r="L1624" s="11">
        <v>3.7285529181072401</v>
      </c>
      <c r="N1624" s="12"/>
    </row>
    <row r="1625" spans="1:14" s="5" customFormat="1" ht="15" customHeight="1" x14ac:dyDescent="0.25">
      <c r="A1625" s="9" t="s">
        <v>3238</v>
      </c>
      <c r="C1625" s="9" t="str">
        <f>HYPERLINK("http://www.ncbi.nlm.nih.gov/protein/162951835","Cyth1")</f>
        <v>Cyth1</v>
      </c>
      <c r="D1625" s="10">
        <f t="shared" si="25"/>
        <v>3.127562524968023</v>
      </c>
      <c r="F1625" s="8" t="str">
        <f>HYPERLINK("https://esbl.nhlbi.nih.gov/Databases/mpkFractions/proteomic_fractions_log_files/Yang_log_img/162951835.jpg","show blot")</f>
        <v>show blot</v>
      </c>
      <c r="H1625" s="8" t="str">
        <f>HYPERLINK("https://esbl.nhlbi.nih.gov/Databases/mpkFractions/proteomic_fractions_linear_files/Yang_linear_img/162951835.jpg","show blot")</f>
        <v>show blot</v>
      </c>
      <c r="J1625" s="5" t="s">
        <v>3239</v>
      </c>
      <c r="L1625" s="11">
        <v>3.127562524968023</v>
      </c>
      <c r="N1625" s="12"/>
    </row>
    <row r="1626" spans="1:14" s="5" customFormat="1" ht="15" customHeight="1" x14ac:dyDescent="0.25">
      <c r="A1626" s="9" t="s">
        <v>3240</v>
      </c>
      <c r="C1626" s="9" t="str">
        <f>HYPERLINK("http://www.ncbi.nlm.nih.gov/protein/162951837","Cyth1")</f>
        <v>Cyth1</v>
      </c>
      <c r="D1626" s="10">
        <f t="shared" si="25"/>
        <v>3.127562524968023</v>
      </c>
      <c r="F1626" s="8" t="str">
        <f>HYPERLINK("https://esbl.nhlbi.nih.gov/Databases/mpkFractions/proteomic_fractions_log_files/Yang_log_img/162951837.jpg","show blot")</f>
        <v>show blot</v>
      </c>
      <c r="H1626" s="8" t="str">
        <f>HYPERLINK("https://esbl.nhlbi.nih.gov/Databases/mpkFractions/proteomic_fractions_linear_files/Yang_linear_img/162951837.jpg","show blot")</f>
        <v>show blot</v>
      </c>
      <c r="J1626" s="5" t="s">
        <v>3241</v>
      </c>
      <c r="L1626" s="11">
        <v>3.127562524968023</v>
      </c>
      <c r="N1626" s="12"/>
    </row>
    <row r="1627" spans="1:14" s="5" customFormat="1" ht="15" customHeight="1" x14ac:dyDescent="0.25">
      <c r="A1627" s="9" t="s">
        <v>3242</v>
      </c>
      <c r="C1627" s="9" t="str">
        <f>HYPERLINK("http://www.ncbi.nlm.nih.gov/protein/31543516","Cyth1")</f>
        <v>Cyth1</v>
      </c>
      <c r="D1627" s="10">
        <f t="shared" si="25"/>
        <v>3.127562524968023</v>
      </c>
      <c r="F1627" s="8" t="str">
        <f>HYPERLINK("https://esbl.nhlbi.nih.gov/Databases/mpkFractions/proteomic_fractions_log_files/Yang_log_img/31543516.jpg","show blot")</f>
        <v>show blot</v>
      </c>
      <c r="H1627" s="8" t="str">
        <f>HYPERLINK("https://esbl.nhlbi.nih.gov/Databases/mpkFractions/proteomic_fractions_linear_files/Yang_linear_img/31543516.jpg","show blot")</f>
        <v>show blot</v>
      </c>
      <c r="J1627" s="5" t="s">
        <v>3243</v>
      </c>
      <c r="L1627" s="11">
        <v>3.127562524968023</v>
      </c>
      <c r="N1627" s="12"/>
    </row>
    <row r="1628" spans="1:14" s="5" customFormat="1" ht="15" customHeight="1" x14ac:dyDescent="0.25">
      <c r="A1628" s="9" t="s">
        <v>3244</v>
      </c>
      <c r="C1628" s="9" t="str">
        <f>HYPERLINK("http://www.ncbi.nlm.nih.gov/protein/162951840","Cyth2")</f>
        <v>Cyth2</v>
      </c>
      <c r="D1628" s="10">
        <f t="shared" si="25"/>
        <v>3.6096576386289478</v>
      </c>
      <c r="F1628" s="8" t="str">
        <f>HYPERLINK("https://esbl.nhlbi.nih.gov/Databases/mpkFractions/proteomic_fractions_log_files/Yang_log_img/162951840.jpg","show blot")</f>
        <v>show blot</v>
      </c>
      <c r="H1628" s="8" t="str">
        <f>HYPERLINK("https://esbl.nhlbi.nih.gov/Databases/mpkFractions/proteomic_fractions_linear_files/Yang_linear_img/162951840.jpg","show blot")</f>
        <v>show blot</v>
      </c>
      <c r="J1628" s="5" t="s">
        <v>3245</v>
      </c>
      <c r="L1628" s="11">
        <v>3.6096576386289478</v>
      </c>
      <c r="N1628" s="12"/>
    </row>
    <row r="1629" spans="1:14" s="5" customFormat="1" ht="15" customHeight="1" x14ac:dyDescent="0.25">
      <c r="A1629" s="9" t="s">
        <v>3246</v>
      </c>
      <c r="C1629" s="9" t="str">
        <f>HYPERLINK("http://www.ncbi.nlm.nih.gov/protein/6755186","Cyth2")</f>
        <v>Cyth2</v>
      </c>
      <c r="D1629" s="10">
        <f t="shared" si="25"/>
        <v>3.6096576386289478</v>
      </c>
      <c r="F1629" s="8" t="str">
        <f>HYPERLINK("https://esbl.nhlbi.nih.gov/Databases/mpkFractions/proteomic_fractions_log_files/Yang_log_img/6755186.jpg","show blot")</f>
        <v>show blot</v>
      </c>
      <c r="H1629" s="8" t="str">
        <f>HYPERLINK("https://esbl.nhlbi.nih.gov/Databases/mpkFractions/proteomic_fractions_linear_files/Yang_linear_img/6755186.jpg","show blot")</f>
        <v>show blot</v>
      </c>
      <c r="J1629" s="5" t="s">
        <v>3247</v>
      </c>
      <c r="L1629" s="11">
        <v>3.6096576386289478</v>
      </c>
      <c r="N1629" s="12"/>
    </row>
    <row r="1630" spans="1:14" s="5" customFormat="1" ht="15" customHeight="1" x14ac:dyDescent="0.25">
      <c r="A1630" s="9" t="s">
        <v>3248</v>
      </c>
      <c r="C1630" s="9" t="str">
        <f>HYPERLINK("http://www.ncbi.nlm.nih.gov/protein/29244042","D030056L22Rik")</f>
        <v>D030056L22Rik</v>
      </c>
      <c r="D1630" s="10">
        <f t="shared" si="25"/>
        <v>4.3891272028560122</v>
      </c>
      <c r="F1630" s="8" t="str">
        <f>HYPERLINK("https://esbl.nhlbi.nih.gov/Databases/mpkFractions/proteomic_fractions_log_files/Yang_log_img/29244042.jpg","show blot")</f>
        <v>show blot</v>
      </c>
      <c r="H1630" s="8" t="str">
        <f>HYPERLINK("https://esbl.nhlbi.nih.gov/Databases/mpkFractions/proteomic_fractions_linear_files/Yang_linear_img/29244042.jpg","show blot")</f>
        <v>show blot</v>
      </c>
      <c r="J1630" s="5" t="s">
        <v>3249</v>
      </c>
      <c r="L1630" s="11">
        <v>4.3891272028560122</v>
      </c>
      <c r="N1630" s="12"/>
    </row>
    <row r="1631" spans="1:14" s="5" customFormat="1" ht="15" customHeight="1" x14ac:dyDescent="0.25">
      <c r="A1631" s="9" t="s">
        <v>3250</v>
      </c>
      <c r="C1631" s="9" t="str">
        <f>HYPERLINK("http://www.ncbi.nlm.nih.gov/protein/85701756","D10Bwg1379e")</f>
        <v>D10Bwg1379e</v>
      </c>
      <c r="D1631" s="10">
        <f t="shared" si="25"/>
        <v>2.8546646726541649</v>
      </c>
      <c r="F1631" s="8" t="str">
        <f>HYPERLINK("https://esbl.nhlbi.nih.gov/Databases/mpkFractions/proteomic_fractions_log_files/Yang_log_img/85701756.jpg","show blot")</f>
        <v>show blot</v>
      </c>
      <c r="H1631" s="8" t="str">
        <f>HYPERLINK("https://esbl.nhlbi.nih.gov/Databases/mpkFractions/proteomic_fractions_linear_files/Yang_linear_img/85701756.jpg","show blot")</f>
        <v>show blot</v>
      </c>
      <c r="J1631" s="5" t="s">
        <v>3251</v>
      </c>
      <c r="L1631" s="11">
        <v>2.8546646726541649</v>
      </c>
      <c r="N1631" s="12"/>
    </row>
    <row r="1632" spans="1:14" s="5" customFormat="1" ht="15" customHeight="1" x14ac:dyDescent="0.25">
      <c r="A1632" s="9" t="s">
        <v>3252</v>
      </c>
      <c r="C1632" s="9" t="str">
        <f>HYPERLINK("http://www.ncbi.nlm.nih.gov/protein/163838637","D14Abb1e")</f>
        <v>D14Abb1e</v>
      </c>
      <c r="D1632" s="10">
        <f t="shared" si="25"/>
        <v>0.55170978664415105</v>
      </c>
      <c r="F1632" s="8" t="str">
        <f>HYPERLINK("https://esbl.nhlbi.nih.gov/Databases/mpkFractions/proteomic_fractions_log_files/Yang_log_img/163838637.jpg","show blot")</f>
        <v>show blot</v>
      </c>
      <c r="H1632" s="8" t="str">
        <f>HYPERLINK("https://esbl.nhlbi.nih.gov/Databases/mpkFractions/proteomic_fractions_linear_files/Yang_linear_img/163838637.jpg","show blot")</f>
        <v>show blot</v>
      </c>
      <c r="J1632" s="5" t="s">
        <v>3253</v>
      </c>
      <c r="L1632" s="11">
        <v>0.55170978664415105</v>
      </c>
      <c r="N1632" s="12"/>
    </row>
    <row r="1633" spans="1:14" s="5" customFormat="1" ht="15" customHeight="1" x14ac:dyDescent="0.25">
      <c r="A1633" s="9" t="s">
        <v>3254</v>
      </c>
      <c r="C1633" s="9" t="str">
        <f>HYPERLINK("http://www.ncbi.nlm.nih.gov/protein/168823452","D14Abb1e")</f>
        <v>D14Abb1e</v>
      </c>
      <c r="D1633" s="10">
        <f t="shared" si="25"/>
        <v>0.55170978664415105</v>
      </c>
      <c r="F1633" s="8" t="str">
        <f>HYPERLINK("https://esbl.nhlbi.nih.gov/Databases/mpkFractions/proteomic_fractions_log_files/Yang_log_img/168823452.jpg","show blot")</f>
        <v>show blot</v>
      </c>
      <c r="H1633" s="8" t="str">
        <f>HYPERLINK("https://esbl.nhlbi.nih.gov/Databases/mpkFractions/proteomic_fractions_linear_files/Yang_linear_img/168823452.jpg","show blot")</f>
        <v>show blot</v>
      </c>
      <c r="J1633" s="5" t="s">
        <v>3255</v>
      </c>
      <c r="L1633" s="11">
        <v>0.55170978664415105</v>
      </c>
      <c r="N1633" s="12"/>
    </row>
    <row r="1634" spans="1:14" s="5" customFormat="1" ht="15" customHeight="1" x14ac:dyDescent="0.25">
      <c r="A1634" s="9" t="s">
        <v>3256</v>
      </c>
      <c r="C1634" s="9" t="str">
        <f>HYPERLINK("http://www.ncbi.nlm.nih.gov/protein/112817622","D15Ertd621e")</f>
        <v>D15Ertd621e</v>
      </c>
      <c r="D1634" s="10">
        <f t="shared" si="25"/>
        <v>4.5343105643386084</v>
      </c>
      <c r="F1634" s="8" t="str">
        <f>HYPERLINK("https://esbl.nhlbi.nih.gov/Databases/mpkFractions/proteomic_fractions_log_files/Yang_log_img/112817622.jpg","show blot")</f>
        <v>show blot</v>
      </c>
      <c r="H1634" s="8" t="str">
        <f>HYPERLINK("https://esbl.nhlbi.nih.gov/Databases/mpkFractions/proteomic_fractions_linear_files/Yang_linear_img/112817622.jpg","show blot")</f>
        <v>show blot</v>
      </c>
      <c r="J1634" s="5" t="s">
        <v>3257</v>
      </c>
      <c r="L1634" s="11">
        <v>4.5343105643386084</v>
      </c>
      <c r="N1634" s="12"/>
    </row>
    <row r="1635" spans="1:14" s="5" customFormat="1" ht="15" customHeight="1" x14ac:dyDescent="0.25">
      <c r="A1635" s="9" t="s">
        <v>3258</v>
      </c>
      <c r="C1635" s="9" t="str">
        <f>HYPERLINK("http://www.ncbi.nlm.nih.gov/protein/51591905","D17H6S53E")</f>
        <v>D17H6S53E</v>
      </c>
      <c r="D1635" s="10">
        <f t="shared" si="25"/>
        <v>2.052597763321562</v>
      </c>
      <c r="F1635" s="8" t="str">
        <f>HYPERLINK("https://esbl.nhlbi.nih.gov/Databases/mpkFractions/proteomic_fractions_log_files/Yang_log_img/51591905.jpg","show blot")</f>
        <v>show blot</v>
      </c>
      <c r="H1635" s="8" t="str">
        <f>HYPERLINK("https://esbl.nhlbi.nih.gov/Databases/mpkFractions/proteomic_fractions_linear_files/Yang_linear_img/51591905.jpg","show blot")</f>
        <v>show blot</v>
      </c>
      <c r="J1635" s="5" t="s">
        <v>3259</v>
      </c>
      <c r="L1635" s="11">
        <v>2.052597763321562</v>
      </c>
      <c r="N1635" s="12"/>
    </row>
    <row r="1636" spans="1:14" s="5" customFormat="1" ht="15" customHeight="1" x14ac:dyDescent="0.25">
      <c r="A1636" s="9" t="s">
        <v>3260</v>
      </c>
      <c r="C1636" s="9" t="str">
        <f>HYPERLINK("http://www.ncbi.nlm.nih.gov/protein/18250288","D17Wsu104e")</f>
        <v>D17Wsu104e</v>
      </c>
      <c r="D1636" s="10">
        <f t="shared" si="25"/>
        <v>5.147750354620694</v>
      </c>
      <c r="F1636" s="8" t="str">
        <f>HYPERLINK("https://esbl.nhlbi.nih.gov/Databases/mpkFractions/proteomic_fractions_log_files/Yang_log_img/18250288.jpg","show blot")</f>
        <v>show blot</v>
      </c>
      <c r="H1636" s="8" t="str">
        <f>HYPERLINK("https://esbl.nhlbi.nih.gov/Databases/mpkFractions/proteomic_fractions_linear_files/Yang_linear_img/18250288.jpg","show blot")</f>
        <v>show blot</v>
      </c>
      <c r="J1636" s="5" t="s">
        <v>3261</v>
      </c>
      <c r="L1636" s="11">
        <v>5.147750354620694</v>
      </c>
      <c r="N1636" s="12"/>
    </row>
    <row r="1637" spans="1:14" s="5" customFormat="1" ht="15" customHeight="1" x14ac:dyDescent="0.25">
      <c r="A1637" s="9" t="s">
        <v>3262</v>
      </c>
      <c r="C1637" s="9" t="str">
        <f>HYPERLINK("http://www.ncbi.nlm.nih.gov/protein/19527042","D1Ertd622e")</f>
        <v>D1Ertd622e</v>
      </c>
      <c r="D1637" s="10">
        <f t="shared" si="25"/>
        <v>2.767637893578204</v>
      </c>
      <c r="F1637" s="8" t="str">
        <f>HYPERLINK("https://esbl.nhlbi.nih.gov/Databases/mpkFractions/proteomic_fractions_log_files/Yang_log_img/19527042.jpg","show blot")</f>
        <v>show blot</v>
      </c>
      <c r="H1637" s="8" t="str">
        <f>HYPERLINK("https://esbl.nhlbi.nih.gov/Databases/mpkFractions/proteomic_fractions_linear_files/Yang_linear_img/19527042.jpg","show blot")</f>
        <v>show blot</v>
      </c>
      <c r="J1637" s="5" t="s">
        <v>3263</v>
      </c>
      <c r="L1637" s="11">
        <v>2.767637893578204</v>
      </c>
      <c r="N1637" s="12"/>
    </row>
    <row r="1638" spans="1:14" s="5" customFormat="1" ht="15" customHeight="1" x14ac:dyDescent="0.25">
      <c r="A1638" s="9" t="s">
        <v>3264</v>
      </c>
      <c r="C1638" s="9" t="str">
        <f>HYPERLINK("http://www.ncbi.nlm.nih.gov/protein/14861844","D1Pas1")</f>
        <v>D1Pas1</v>
      </c>
      <c r="D1638" s="10">
        <f t="shared" si="25"/>
        <v>5.99105503839486</v>
      </c>
      <c r="F1638" s="8" t="str">
        <f>HYPERLINK("https://esbl.nhlbi.nih.gov/Databases/mpkFractions/proteomic_fractions_log_files/Yang_log_img/14861844.jpg","show blot")</f>
        <v>show blot</v>
      </c>
      <c r="H1638" s="8" t="str">
        <f>HYPERLINK("https://esbl.nhlbi.nih.gov/Databases/mpkFractions/proteomic_fractions_linear_files/Yang_linear_img/14861844.jpg","show blot")</f>
        <v>show blot</v>
      </c>
      <c r="J1638" s="5" t="s">
        <v>3265</v>
      </c>
      <c r="L1638" s="11">
        <v>5.99105503839486</v>
      </c>
      <c r="N1638" s="12"/>
    </row>
    <row r="1639" spans="1:14" s="5" customFormat="1" ht="15" customHeight="1" x14ac:dyDescent="0.25">
      <c r="A1639" s="9" t="s">
        <v>3266</v>
      </c>
      <c r="C1639" s="9" t="str">
        <f>HYPERLINK("http://www.ncbi.nlm.nih.gov/protein/170014723","D2hgdh")</f>
        <v>D2hgdh</v>
      </c>
      <c r="D1639" s="10">
        <f t="shared" si="25"/>
        <v>3.687455186396007</v>
      </c>
      <c r="F1639" s="8" t="str">
        <f>HYPERLINK("https://esbl.nhlbi.nih.gov/Databases/mpkFractions/proteomic_fractions_log_files/Yang_log_img/170014723.jpg","show blot")</f>
        <v>show blot</v>
      </c>
      <c r="H1639" s="8" t="str">
        <f>HYPERLINK("https://esbl.nhlbi.nih.gov/Databases/mpkFractions/proteomic_fractions_linear_files/Yang_linear_img/170014723.jpg","show blot")</f>
        <v>show blot</v>
      </c>
      <c r="J1639" s="5" t="s">
        <v>3267</v>
      </c>
      <c r="L1639" s="11">
        <v>3.687455186396007</v>
      </c>
      <c r="N1639" s="12"/>
    </row>
    <row r="1640" spans="1:14" s="5" customFormat="1" ht="15" customHeight="1" x14ac:dyDescent="0.25">
      <c r="A1640" s="9" t="s">
        <v>3268</v>
      </c>
      <c r="C1640" s="9" t="str">
        <f>HYPERLINK("http://www.ncbi.nlm.nih.gov/protein/305682577","D2Wsu81e")</f>
        <v>D2Wsu81e</v>
      </c>
      <c r="D1640" s="10">
        <f t="shared" si="25"/>
        <v>2.836324115706752</v>
      </c>
      <c r="F1640" s="8" t="str">
        <f>HYPERLINK("https://esbl.nhlbi.nih.gov/Databases/mpkFractions/proteomic_fractions_log_files/Yang_log_img/305682577.jpg","show blot")</f>
        <v>show blot</v>
      </c>
      <c r="H1640" s="8" t="str">
        <f>HYPERLINK("https://esbl.nhlbi.nih.gov/Databases/mpkFractions/proteomic_fractions_linear_files/Yang_linear_img/305682577.jpg","show blot")</f>
        <v>show blot</v>
      </c>
      <c r="J1640" s="5" t="s">
        <v>3269</v>
      </c>
      <c r="L1640" s="11">
        <v>2.836324115706752</v>
      </c>
      <c r="N1640" s="12"/>
    </row>
    <row r="1641" spans="1:14" s="5" customFormat="1" ht="15" customHeight="1" x14ac:dyDescent="0.25">
      <c r="A1641" s="9" t="s">
        <v>3270</v>
      </c>
      <c r="C1641" s="9" t="str">
        <f>HYPERLINK("http://www.ncbi.nlm.nih.gov/protein/30425010","D330045A20Rik")</f>
        <v>D330045A20Rik</v>
      </c>
      <c r="D1641" s="10">
        <f t="shared" si="25"/>
        <v>1.4460372707669229</v>
      </c>
      <c r="F1641" s="8" t="str">
        <f>HYPERLINK("https://esbl.nhlbi.nih.gov/Databases/mpkFractions/proteomic_fractions_log_files/Yang_log_img/30425010.jpg","show blot")</f>
        <v>show blot</v>
      </c>
      <c r="H1641" s="8" t="str">
        <f>HYPERLINK("https://esbl.nhlbi.nih.gov/Databases/mpkFractions/proteomic_fractions_linear_files/Yang_linear_img/30425010.jpg","show blot")</f>
        <v>show blot</v>
      </c>
      <c r="J1641" s="5" t="s">
        <v>3271</v>
      </c>
      <c r="L1641" s="11">
        <v>1.4460372707669229</v>
      </c>
      <c r="N1641" s="12"/>
    </row>
    <row r="1642" spans="1:14" s="5" customFormat="1" ht="15" customHeight="1" x14ac:dyDescent="0.25">
      <c r="A1642" s="9" t="s">
        <v>3272</v>
      </c>
      <c r="C1642" s="9" t="str">
        <f>HYPERLINK("http://www.ncbi.nlm.nih.gov/protein/153281116","D3Ertd751e")</f>
        <v>D3Ertd751e</v>
      </c>
      <c r="D1642" s="10">
        <f t="shared" si="25"/>
        <v>4.4503269759662949</v>
      </c>
      <c r="F1642" s="8" t="str">
        <f>HYPERLINK("https://esbl.nhlbi.nih.gov/Databases/mpkFractions/proteomic_fractions_log_files/Yang_log_img/153281116.jpg","show blot")</f>
        <v>show blot</v>
      </c>
      <c r="H1642" s="8" t="str">
        <f>HYPERLINK("https://esbl.nhlbi.nih.gov/Databases/mpkFractions/proteomic_fractions_linear_files/Yang_linear_img/153281116.jpg","show blot")</f>
        <v>show blot</v>
      </c>
      <c r="J1642" s="5" t="s">
        <v>3273</v>
      </c>
      <c r="L1642" s="11">
        <v>4.4503269759662949</v>
      </c>
      <c r="N1642" s="12"/>
    </row>
    <row r="1643" spans="1:14" s="5" customFormat="1" ht="15" customHeight="1" x14ac:dyDescent="0.25">
      <c r="A1643" s="9" t="s">
        <v>3274</v>
      </c>
      <c r="C1643" s="9" t="str">
        <f>HYPERLINK("http://www.ncbi.nlm.nih.gov/protein/153281135","D3Ertd751e")</f>
        <v>D3Ertd751e</v>
      </c>
      <c r="D1643" s="10">
        <f t="shared" si="25"/>
        <v>4.4503269759662949</v>
      </c>
      <c r="F1643" s="8" t="str">
        <f>HYPERLINK("https://esbl.nhlbi.nih.gov/Databases/mpkFractions/proteomic_fractions_log_files/Yang_log_img/153281135.jpg","show blot")</f>
        <v>show blot</v>
      </c>
      <c r="H1643" s="8" t="str">
        <f>HYPERLINK("https://esbl.nhlbi.nih.gov/Databases/mpkFractions/proteomic_fractions_linear_files/Yang_linear_img/153281135.jpg","show blot")</f>
        <v>show blot</v>
      </c>
      <c r="J1643" s="5" t="s">
        <v>3275</v>
      </c>
      <c r="L1643" s="11">
        <v>4.4503269759662949</v>
      </c>
      <c r="N1643" s="12"/>
    </row>
    <row r="1644" spans="1:14" s="5" customFormat="1" ht="15" customHeight="1" x14ac:dyDescent="0.25">
      <c r="A1644" s="9" t="s">
        <v>3276</v>
      </c>
      <c r="C1644" s="9" t="str">
        <f>HYPERLINK("http://www.ncbi.nlm.nih.gov/protein/20070406","D6Wsu163e")</f>
        <v>D6Wsu163e</v>
      </c>
      <c r="D1644" s="10">
        <f t="shared" si="25"/>
        <v>3.4156411598781391</v>
      </c>
      <c r="F1644" s="8" t="str">
        <f>HYPERLINK("https://esbl.nhlbi.nih.gov/Databases/mpkFractions/proteomic_fractions_log_files/Yang_log_img/20070406.jpg","show blot")</f>
        <v>show blot</v>
      </c>
      <c r="H1644" s="8" t="str">
        <f>HYPERLINK("https://esbl.nhlbi.nih.gov/Databases/mpkFractions/proteomic_fractions_linear_files/Yang_linear_img/20070406.jpg","show blot")</f>
        <v>show blot</v>
      </c>
      <c r="J1644" s="5" t="s">
        <v>3277</v>
      </c>
      <c r="L1644" s="11">
        <v>3.4156411598781391</v>
      </c>
      <c r="N1644" s="12"/>
    </row>
    <row r="1645" spans="1:14" s="5" customFormat="1" ht="15" customHeight="1" x14ac:dyDescent="0.25">
      <c r="A1645" s="9" t="s">
        <v>3278</v>
      </c>
      <c r="C1645" s="9" t="str">
        <f>HYPERLINK("http://www.ncbi.nlm.nih.gov/protein/56090602","D8Ertd738e")</f>
        <v>D8Ertd738e</v>
      </c>
      <c r="D1645" s="10">
        <f t="shared" si="25"/>
        <v>4.6840637543697374</v>
      </c>
      <c r="F1645" s="8" t="str">
        <f>HYPERLINK("https://esbl.nhlbi.nih.gov/Databases/mpkFractions/proteomic_fractions_log_files/Yang_log_img/56090602.jpg","show blot")</f>
        <v>show blot</v>
      </c>
      <c r="H1645" s="8" t="str">
        <f>HYPERLINK("https://esbl.nhlbi.nih.gov/Databases/mpkFractions/proteomic_fractions_linear_files/Yang_linear_img/56090602.jpg","show blot")</f>
        <v>show blot</v>
      </c>
      <c r="J1645" s="5" t="s">
        <v>3279</v>
      </c>
      <c r="L1645" s="11">
        <v>4.6840637543697374</v>
      </c>
      <c r="N1645" s="12"/>
    </row>
    <row r="1646" spans="1:14" s="5" customFormat="1" ht="15" customHeight="1" x14ac:dyDescent="0.25">
      <c r="A1646" s="9" t="s">
        <v>3280</v>
      </c>
      <c r="C1646" s="9" t="str">
        <f>HYPERLINK("http://www.ncbi.nlm.nih.gov/protein/161333828","D8Ertd82e")</f>
        <v>D8Ertd82e</v>
      </c>
      <c r="D1646" s="10">
        <f t="shared" si="25"/>
        <v>4.4365635670714241</v>
      </c>
      <c r="F1646" s="8" t="str">
        <f>HYPERLINK("https://esbl.nhlbi.nih.gov/Databases/mpkFractions/proteomic_fractions_log_files/Yang_log_img/161333828.jpg","show blot")</f>
        <v>show blot</v>
      </c>
      <c r="H1646" s="8" t="str">
        <f>HYPERLINK("https://esbl.nhlbi.nih.gov/Databases/mpkFractions/proteomic_fractions_linear_files/Yang_linear_img/161333828.jpg","show blot")</f>
        <v>show blot</v>
      </c>
      <c r="J1646" s="5" t="s">
        <v>3281</v>
      </c>
      <c r="L1646" s="11">
        <v>4.4365635670714241</v>
      </c>
      <c r="N1646" s="12"/>
    </row>
    <row r="1647" spans="1:14" s="5" customFormat="1" ht="15" customHeight="1" x14ac:dyDescent="0.25">
      <c r="A1647" s="9" t="s">
        <v>3282</v>
      </c>
      <c r="C1647" s="9" t="str">
        <f>HYPERLINK("http://www.ncbi.nlm.nih.gov/protein/78191777","Daam1")</f>
        <v>Daam1</v>
      </c>
      <c r="D1647" s="10">
        <f t="shared" si="25"/>
        <v>2.5647526432101269</v>
      </c>
      <c r="F1647" s="8" t="str">
        <f>HYPERLINK("https://esbl.nhlbi.nih.gov/Databases/mpkFractions/proteomic_fractions_log_files/Yang_log_img/78191777.jpg","show blot")</f>
        <v>show blot</v>
      </c>
      <c r="H1647" s="8" t="str">
        <f>HYPERLINK("https://esbl.nhlbi.nih.gov/Databases/mpkFractions/proteomic_fractions_linear_files/Yang_linear_img/78191777.jpg","show blot")</f>
        <v>show blot</v>
      </c>
      <c r="J1647" s="5" t="s">
        <v>3283</v>
      </c>
      <c r="L1647" s="11">
        <v>2.5647526432101269</v>
      </c>
      <c r="N1647" s="12"/>
    </row>
    <row r="1648" spans="1:14" s="5" customFormat="1" ht="15" customHeight="1" x14ac:dyDescent="0.25">
      <c r="A1648" s="9" t="s">
        <v>3284</v>
      </c>
      <c r="C1648" s="9" t="str">
        <f>HYPERLINK("http://www.ncbi.nlm.nih.gov/protein/6753598","Dad1")</f>
        <v>Dad1</v>
      </c>
      <c r="D1648" s="10">
        <f t="shared" si="25"/>
        <v>6.0387633068529247</v>
      </c>
      <c r="F1648" s="8" t="str">
        <f>HYPERLINK("https://esbl.nhlbi.nih.gov/Databases/mpkFractions/proteomic_fractions_log_files/Yang_log_img/6753598.jpg","show blot")</f>
        <v>show blot</v>
      </c>
      <c r="H1648" s="8" t="str">
        <f>HYPERLINK("https://esbl.nhlbi.nih.gov/Databases/mpkFractions/proteomic_fractions_linear_files/Yang_linear_img/6753598.jpg","show blot")</f>
        <v>show blot</v>
      </c>
      <c r="J1648" s="5" t="s">
        <v>3285</v>
      </c>
      <c r="L1648" s="11">
        <v>6.0387633068529247</v>
      </c>
      <c r="N1648" s="12"/>
    </row>
    <row r="1649" spans="1:14" s="5" customFormat="1" ht="15" customHeight="1" x14ac:dyDescent="0.25">
      <c r="A1649" s="9" t="s">
        <v>3286</v>
      </c>
      <c r="C1649" s="9" t="str">
        <f>HYPERLINK("http://www.ncbi.nlm.nih.gov/protein/451898099;33859532","Dag1")</f>
        <v>Dag1</v>
      </c>
      <c r="D1649" s="10">
        <f t="shared" si="25"/>
        <v>4.7221510458498166</v>
      </c>
      <c r="F1649" s="8" t="str">
        <f>HYPERLINK("https://esbl.nhlbi.nih.gov/Databases/mpkFractions/proteomic_fractions_log_files/Yang_log_img/451898099;33859532.jpg","show blot")</f>
        <v>show blot</v>
      </c>
      <c r="H1649" s="8" t="str">
        <f>HYPERLINK("https://esbl.nhlbi.nih.gov/Databases/mpkFractions/proteomic_fractions_linear_files/Yang_linear_img/451898099;33859532.jpg","show blot")</f>
        <v>show blot</v>
      </c>
      <c r="J1649" s="5" t="s">
        <v>3287</v>
      </c>
      <c r="L1649" s="11">
        <v>4.7221510458498166</v>
      </c>
      <c r="N1649" s="12"/>
    </row>
    <row r="1650" spans="1:14" s="5" customFormat="1" ht="15" customHeight="1" x14ac:dyDescent="0.25">
      <c r="A1650" s="9" t="s">
        <v>3288</v>
      </c>
      <c r="C1650" s="9" t="str">
        <f>HYPERLINK("http://www.ncbi.nlm.nih.gov/protein/33859532","Dag1")</f>
        <v>Dag1</v>
      </c>
      <c r="D1650" s="10">
        <f t="shared" si="25"/>
        <v>4.7221510458498166</v>
      </c>
      <c r="F1650" s="8" t="str">
        <f>HYPERLINK("https://esbl.nhlbi.nih.gov/Databases/mpkFractions/proteomic_fractions_log_files/Yang_log_img/33859532.jpg","show blot")</f>
        <v>show blot</v>
      </c>
      <c r="H1650" s="8" t="str">
        <f>HYPERLINK("https://esbl.nhlbi.nih.gov/Databases/mpkFractions/proteomic_fractions_linear_files/Yang_linear_img/33859532.jpg","show blot")</f>
        <v>show blot</v>
      </c>
      <c r="J1650" s="5" t="s">
        <v>3287</v>
      </c>
      <c r="L1650" s="11">
        <v>4.7221510458498166</v>
      </c>
      <c r="N1650" s="12"/>
    </row>
    <row r="1651" spans="1:14" s="5" customFormat="1" ht="15" customHeight="1" x14ac:dyDescent="0.25">
      <c r="A1651" s="9" t="s">
        <v>3289</v>
      </c>
      <c r="C1651" s="9" t="str">
        <f>HYPERLINK("http://www.ncbi.nlm.nih.gov/protein/21703976","Dak")</f>
        <v>Dak</v>
      </c>
      <c r="D1651" s="10">
        <f t="shared" si="25"/>
        <v>4.3645270942989676</v>
      </c>
      <c r="F1651" s="8" t="str">
        <f>HYPERLINK("https://esbl.nhlbi.nih.gov/Databases/mpkFractions/proteomic_fractions_log_files/Yang_log_img/21703976.jpg","show blot")</f>
        <v>show blot</v>
      </c>
      <c r="H1651" s="8" t="str">
        <f>HYPERLINK("https://esbl.nhlbi.nih.gov/Databases/mpkFractions/proteomic_fractions_linear_files/Yang_linear_img/21703976.jpg","show blot")</f>
        <v>show blot</v>
      </c>
      <c r="J1651" s="5" t="s">
        <v>3290</v>
      </c>
      <c r="L1651" s="11">
        <v>4.3645270942989676</v>
      </c>
      <c r="N1651" s="12"/>
    </row>
    <row r="1652" spans="1:14" s="5" customFormat="1" ht="15" customHeight="1" x14ac:dyDescent="0.25">
      <c r="A1652" s="9" t="s">
        <v>3291</v>
      </c>
      <c r="C1652" s="9" t="str">
        <f>HYPERLINK("http://www.ncbi.nlm.nih.gov/protein/110815857","Dao")</f>
        <v>Dao</v>
      </c>
      <c r="D1652" s="10">
        <f t="shared" si="25"/>
        <v>3.3340480483240329</v>
      </c>
      <c r="F1652" s="8" t="str">
        <f>HYPERLINK("https://esbl.nhlbi.nih.gov/Databases/mpkFractions/proteomic_fractions_log_files/Yang_log_img/110815857.jpg","show blot")</f>
        <v>show blot</v>
      </c>
      <c r="H1652" s="8" t="str">
        <f>HYPERLINK("https://esbl.nhlbi.nih.gov/Databases/mpkFractions/proteomic_fractions_linear_files/Yang_linear_img/110815857.jpg","show blot")</f>
        <v>show blot</v>
      </c>
      <c r="J1652" s="5" t="s">
        <v>3292</v>
      </c>
      <c r="L1652" s="11">
        <v>3.3340480483240329</v>
      </c>
      <c r="N1652" s="12"/>
    </row>
    <row r="1653" spans="1:14" s="5" customFormat="1" ht="15" customHeight="1" x14ac:dyDescent="0.25">
      <c r="A1653" s="9" t="s">
        <v>3293</v>
      </c>
      <c r="C1653" s="9" t="str">
        <f>HYPERLINK("http://www.ncbi.nlm.nih.gov/protein/256985203","Dap3")</f>
        <v>Dap3</v>
      </c>
      <c r="D1653" s="10">
        <f t="shared" si="25"/>
        <v>4.2169433029425729</v>
      </c>
      <c r="F1653" s="8" t="str">
        <f>HYPERLINK("https://esbl.nhlbi.nih.gov/Databases/mpkFractions/proteomic_fractions_log_files/Yang_log_img/256985203.jpg","show blot")</f>
        <v>show blot</v>
      </c>
      <c r="H1653" s="8" t="str">
        <f>HYPERLINK("https://esbl.nhlbi.nih.gov/Databases/mpkFractions/proteomic_fractions_linear_files/Yang_linear_img/256985203.jpg","show blot")</f>
        <v>show blot</v>
      </c>
      <c r="J1653" s="5" t="s">
        <v>3294</v>
      </c>
      <c r="L1653" s="11">
        <v>4.2169433029425729</v>
      </c>
      <c r="N1653" s="12"/>
    </row>
    <row r="1654" spans="1:14" s="5" customFormat="1" ht="15" customHeight="1" x14ac:dyDescent="0.25">
      <c r="A1654" s="9" t="s">
        <v>3295</v>
      </c>
      <c r="C1654" s="9" t="str">
        <f>HYPERLINK("http://www.ncbi.nlm.nih.gov/protein/256985205","Dap3")</f>
        <v>Dap3</v>
      </c>
      <c r="D1654" s="10">
        <f t="shared" si="25"/>
        <v>4.2169433029425729</v>
      </c>
      <c r="F1654" s="8" t="str">
        <f>HYPERLINK("https://esbl.nhlbi.nih.gov/Databases/mpkFractions/proteomic_fractions_log_files/Yang_log_img/256985205.jpg","show blot")</f>
        <v>show blot</v>
      </c>
      <c r="H1654" s="8" t="str">
        <f>HYPERLINK("https://esbl.nhlbi.nih.gov/Databases/mpkFractions/proteomic_fractions_linear_files/Yang_linear_img/256985205.jpg","show blot")</f>
        <v>show blot</v>
      </c>
      <c r="J1654" s="5" t="s">
        <v>3296</v>
      </c>
      <c r="L1654" s="11">
        <v>4.2169433029425729</v>
      </c>
      <c r="N1654" s="12"/>
    </row>
    <row r="1655" spans="1:14" s="5" customFormat="1" ht="15" customHeight="1" x14ac:dyDescent="0.25">
      <c r="A1655" s="9" t="s">
        <v>3297</v>
      </c>
      <c r="C1655" s="9" t="str">
        <f>HYPERLINK("http://www.ncbi.nlm.nih.gov/protein/410812207","Dapk3")</f>
        <v>Dapk3</v>
      </c>
      <c r="D1655" s="10">
        <f t="shared" si="25"/>
        <v>3.4083033333382118</v>
      </c>
      <c r="F1655" s="8" t="str">
        <f>HYPERLINK("https://esbl.nhlbi.nih.gov/Databases/mpkFractions/proteomic_fractions_log_files/Yang_log_img/410812207.jpg","show blot")</f>
        <v>show blot</v>
      </c>
      <c r="H1655" s="8" t="str">
        <f>HYPERLINK("https://esbl.nhlbi.nih.gov/Databases/mpkFractions/proteomic_fractions_linear_files/Yang_linear_img/410812207.jpg","show blot")</f>
        <v>show blot</v>
      </c>
      <c r="J1655" s="5" t="s">
        <v>3298</v>
      </c>
      <c r="L1655" s="11">
        <v>3.4083033333382118</v>
      </c>
      <c r="N1655" s="12"/>
    </row>
    <row r="1656" spans="1:14" s="5" customFormat="1" ht="15" customHeight="1" x14ac:dyDescent="0.25">
      <c r="A1656" s="9" t="s">
        <v>3299</v>
      </c>
      <c r="C1656" s="9" t="str">
        <f>HYPERLINK("http://www.ncbi.nlm.nih.gov/protein/6681133","Dapk3")</f>
        <v>Dapk3</v>
      </c>
      <c r="D1656" s="10">
        <f t="shared" si="25"/>
        <v>3.4083033333382118</v>
      </c>
      <c r="F1656" s="8" t="str">
        <f>HYPERLINK("https://esbl.nhlbi.nih.gov/Databases/mpkFractions/proteomic_fractions_log_files/Yang_log_img/6681133.jpg","show blot")</f>
        <v>show blot</v>
      </c>
      <c r="H1656" s="8" t="str">
        <f>HYPERLINK("https://esbl.nhlbi.nih.gov/Databases/mpkFractions/proteomic_fractions_linear_files/Yang_linear_img/6681133.jpg","show blot")</f>
        <v>show blot</v>
      </c>
      <c r="J1656" s="5" t="s">
        <v>3300</v>
      </c>
      <c r="L1656" s="11">
        <v>3.4083033333382118</v>
      </c>
      <c r="N1656" s="12"/>
    </row>
    <row r="1657" spans="1:14" s="5" customFormat="1" ht="15" customHeight="1" x14ac:dyDescent="0.25">
      <c r="A1657" s="9" t="s">
        <v>3301</v>
      </c>
      <c r="C1657" s="9" t="str">
        <f>HYPERLINK("http://www.ncbi.nlm.nih.gov/protein/210147402","Dars")</f>
        <v>Dars</v>
      </c>
      <c r="D1657" s="10">
        <f t="shared" si="25"/>
        <v>7.421329628457185</v>
      </c>
      <c r="F1657" s="8" t="str">
        <f>HYPERLINK("https://esbl.nhlbi.nih.gov/Databases/mpkFractions/proteomic_fractions_log_files/Yang_log_img/210147402.jpg","show blot")</f>
        <v>show blot</v>
      </c>
      <c r="H1657" s="8" t="str">
        <f>HYPERLINK("https://esbl.nhlbi.nih.gov/Databases/mpkFractions/proteomic_fractions_linear_files/Yang_linear_img/210147402.jpg","show blot")</f>
        <v>show blot</v>
      </c>
      <c r="J1657" s="5" t="s">
        <v>3302</v>
      </c>
      <c r="L1657" s="11">
        <v>7.421329628457185</v>
      </c>
      <c r="N1657" s="12"/>
    </row>
    <row r="1658" spans="1:14" s="5" customFormat="1" ht="15" customHeight="1" x14ac:dyDescent="0.25">
      <c r="A1658" s="9" t="s">
        <v>3303</v>
      </c>
      <c r="C1658" s="9" t="str">
        <f>HYPERLINK("http://www.ncbi.nlm.nih.gov/protein/211065507","Dars")</f>
        <v>Dars</v>
      </c>
      <c r="D1658" s="10">
        <f t="shared" si="25"/>
        <v>7.421329628457185</v>
      </c>
      <c r="F1658" s="8" t="str">
        <f>HYPERLINK("https://esbl.nhlbi.nih.gov/Databases/mpkFractions/proteomic_fractions_log_files/Yang_log_img/211065507.jpg","show blot")</f>
        <v>show blot</v>
      </c>
      <c r="H1658" s="8" t="str">
        <f>HYPERLINK("https://esbl.nhlbi.nih.gov/Databases/mpkFractions/proteomic_fractions_linear_files/Yang_linear_img/211065507.jpg","show blot")</f>
        <v>show blot</v>
      </c>
      <c r="J1658" s="5" t="s">
        <v>3304</v>
      </c>
      <c r="L1658" s="11">
        <v>7.421329628457185</v>
      </c>
      <c r="N1658" s="12"/>
    </row>
    <row r="1659" spans="1:14" s="5" customFormat="1" ht="15" customHeight="1" x14ac:dyDescent="0.25">
      <c r="A1659" s="9" t="s">
        <v>3305</v>
      </c>
      <c r="C1659" s="9" t="str">
        <f>HYPERLINK("http://www.ncbi.nlm.nih.gov/protein/27369928","Dars2")</f>
        <v>Dars2</v>
      </c>
      <c r="D1659" s="10">
        <f t="shared" si="25"/>
        <v>3.2579004822427078</v>
      </c>
      <c r="F1659" s="8" t="str">
        <f>HYPERLINK("https://esbl.nhlbi.nih.gov/Databases/mpkFractions/proteomic_fractions_log_files/Yang_log_img/27369928.jpg","show blot")</f>
        <v>show blot</v>
      </c>
      <c r="H1659" s="8" t="str">
        <f>HYPERLINK("https://esbl.nhlbi.nih.gov/Databases/mpkFractions/proteomic_fractions_linear_files/Yang_linear_img/27369928.jpg","show blot")</f>
        <v>show blot</v>
      </c>
      <c r="J1659" s="5" t="s">
        <v>3306</v>
      </c>
      <c r="L1659" s="11">
        <v>3.2579004822427078</v>
      </c>
      <c r="N1659" s="12"/>
    </row>
    <row r="1660" spans="1:14" s="5" customFormat="1" ht="15" customHeight="1" x14ac:dyDescent="0.25">
      <c r="A1660" s="9" t="s">
        <v>3307</v>
      </c>
      <c r="C1660" s="9" t="str">
        <f>HYPERLINK("http://www.ncbi.nlm.nih.gov/protein/169790818","Dazap1")</f>
        <v>Dazap1</v>
      </c>
      <c r="D1660" s="10">
        <f t="shared" si="25"/>
        <v>5.1981971507963154</v>
      </c>
      <c r="F1660" s="8" t="str">
        <f>HYPERLINK("https://esbl.nhlbi.nih.gov/Databases/mpkFractions/proteomic_fractions_log_files/Yang_log_img/169790818.jpg","show blot")</f>
        <v>show blot</v>
      </c>
      <c r="H1660" s="8" t="str">
        <f>HYPERLINK("https://esbl.nhlbi.nih.gov/Databases/mpkFractions/proteomic_fractions_linear_files/Yang_linear_img/169790818.jpg","show blot")</f>
        <v>show blot</v>
      </c>
      <c r="J1660" s="5" t="s">
        <v>3308</v>
      </c>
      <c r="L1660" s="11">
        <v>5.1981971507963154</v>
      </c>
      <c r="N1660" s="12"/>
    </row>
    <row r="1661" spans="1:14" s="5" customFormat="1" ht="15" customHeight="1" x14ac:dyDescent="0.25">
      <c r="A1661" s="9" t="s">
        <v>3309</v>
      </c>
      <c r="C1661" s="9" t="str">
        <f>HYPERLINK("http://www.ncbi.nlm.nih.gov/protein/169790820","Dazap1")</f>
        <v>Dazap1</v>
      </c>
      <c r="D1661" s="10">
        <f t="shared" si="25"/>
        <v>5.1981971507963154</v>
      </c>
      <c r="F1661" s="8" t="str">
        <f>HYPERLINK("https://esbl.nhlbi.nih.gov/Databases/mpkFractions/proteomic_fractions_log_files/Yang_log_img/169790820.jpg","show blot")</f>
        <v>show blot</v>
      </c>
      <c r="H1661" s="8" t="str">
        <f>HYPERLINK("https://esbl.nhlbi.nih.gov/Databases/mpkFractions/proteomic_fractions_linear_files/Yang_linear_img/169790820.jpg","show blot")</f>
        <v>show blot</v>
      </c>
      <c r="J1661" s="5" t="s">
        <v>3310</v>
      </c>
      <c r="L1661" s="11">
        <v>5.1981971507963154</v>
      </c>
      <c r="N1661" s="12"/>
    </row>
    <row r="1662" spans="1:14" s="5" customFormat="1" ht="15" customHeight="1" x14ac:dyDescent="0.25">
      <c r="A1662" s="9" t="s">
        <v>3311</v>
      </c>
      <c r="C1662" s="9" t="str">
        <f>HYPERLINK("http://www.ncbi.nlm.nih.gov/protein/169790823","Dazap1")</f>
        <v>Dazap1</v>
      </c>
      <c r="D1662" s="10">
        <f t="shared" si="25"/>
        <v>5.1981971507963154</v>
      </c>
      <c r="F1662" s="8" t="str">
        <f>HYPERLINK("https://esbl.nhlbi.nih.gov/Databases/mpkFractions/proteomic_fractions_log_files/Yang_log_img/169790823.jpg","show blot")</f>
        <v>show blot</v>
      </c>
      <c r="H1662" s="8" t="str">
        <f>HYPERLINK("https://esbl.nhlbi.nih.gov/Databases/mpkFractions/proteomic_fractions_linear_files/Yang_linear_img/169790823.jpg","show blot")</f>
        <v>show blot</v>
      </c>
      <c r="J1662" s="5" t="s">
        <v>3312</v>
      </c>
      <c r="L1662" s="11">
        <v>5.1981971507963154</v>
      </c>
      <c r="N1662" s="12"/>
    </row>
    <row r="1663" spans="1:14" s="5" customFormat="1" ht="15" customHeight="1" x14ac:dyDescent="0.25">
      <c r="A1663" s="9" t="s">
        <v>3313</v>
      </c>
      <c r="C1663" s="9" t="str">
        <f>HYPERLINK("http://www.ncbi.nlm.nih.gov/protein/110815861","Dbh")</f>
        <v>Dbh</v>
      </c>
      <c r="D1663" s="10">
        <f t="shared" si="25"/>
        <v>4.0943067690359989</v>
      </c>
      <c r="F1663" s="8" t="str">
        <f>HYPERLINK("https://esbl.nhlbi.nih.gov/Databases/mpkFractions/proteomic_fractions_log_files/Yang_log_img/110815861.jpg","show blot")</f>
        <v>show blot</v>
      </c>
      <c r="H1663" s="8" t="str">
        <f>HYPERLINK("https://esbl.nhlbi.nih.gov/Databases/mpkFractions/proteomic_fractions_linear_files/Yang_linear_img/110815861.jpg","show blot")</f>
        <v>show blot</v>
      </c>
      <c r="J1663" s="5" t="s">
        <v>3314</v>
      </c>
      <c r="L1663" s="11">
        <v>4.0943067690359989</v>
      </c>
      <c r="N1663" s="12"/>
    </row>
    <row r="1664" spans="1:14" s="5" customFormat="1" ht="15" customHeight="1" x14ac:dyDescent="0.25">
      <c r="A1664" s="9" t="s">
        <v>3315</v>
      </c>
      <c r="C1664" s="9" t="str">
        <f>HYPERLINK("http://www.ncbi.nlm.nih.gov/protein/6681137","Dbi")</f>
        <v>Dbi</v>
      </c>
      <c r="D1664" s="10">
        <f t="shared" si="25"/>
        <v>4.7034692230250554</v>
      </c>
      <c r="F1664" s="8" t="str">
        <f>HYPERLINK("https://esbl.nhlbi.nih.gov/Databases/mpkFractions/proteomic_fractions_log_files/Yang_log_img/6681137.jpg","show blot")</f>
        <v>show blot</v>
      </c>
      <c r="H1664" s="8" t="str">
        <f>HYPERLINK("https://esbl.nhlbi.nih.gov/Databases/mpkFractions/proteomic_fractions_linear_files/Yang_linear_img/6681137.jpg","show blot")</f>
        <v>show blot</v>
      </c>
      <c r="J1664" s="5" t="s">
        <v>3316</v>
      </c>
      <c r="L1664" s="11">
        <v>4.7034692230250554</v>
      </c>
      <c r="N1664" s="12"/>
    </row>
    <row r="1665" spans="1:14" s="5" customFormat="1" ht="15" customHeight="1" x14ac:dyDescent="0.25">
      <c r="A1665" s="9" t="s">
        <v>3317</v>
      </c>
      <c r="C1665" s="9" t="str">
        <f>HYPERLINK("http://www.ncbi.nlm.nih.gov/protein/83921595","Dbi")</f>
        <v>Dbi</v>
      </c>
      <c r="D1665" s="10">
        <f t="shared" si="25"/>
        <v>4.7034692230250554</v>
      </c>
      <c r="F1665" s="8" t="str">
        <f>HYPERLINK("https://esbl.nhlbi.nih.gov/Databases/mpkFractions/proteomic_fractions_log_files/Yang_log_img/83921595.jpg","show blot")</f>
        <v>show blot</v>
      </c>
      <c r="H1665" s="8" t="str">
        <f>HYPERLINK("https://esbl.nhlbi.nih.gov/Databases/mpkFractions/proteomic_fractions_linear_files/Yang_linear_img/83921595.jpg","show blot")</f>
        <v>show blot</v>
      </c>
      <c r="J1665" s="5" t="s">
        <v>3318</v>
      </c>
      <c r="L1665" s="11">
        <v>4.7034692230250554</v>
      </c>
      <c r="N1665" s="12"/>
    </row>
    <row r="1666" spans="1:14" s="5" customFormat="1" ht="15" customHeight="1" x14ac:dyDescent="0.25">
      <c r="A1666" s="9" t="s">
        <v>3319</v>
      </c>
      <c r="C1666" s="9" t="str">
        <f>HYPERLINK("http://www.ncbi.nlm.nih.gov/protein/30794440","Dbndd2")</f>
        <v>Dbndd2</v>
      </c>
      <c r="D1666" s="10">
        <f t="shared" si="25"/>
        <v>4.5597056545601751</v>
      </c>
      <c r="F1666" s="8" t="str">
        <f>HYPERLINK("https://esbl.nhlbi.nih.gov/Databases/mpkFractions/proteomic_fractions_log_files/Yang_log_img/30794440.jpg","show blot")</f>
        <v>show blot</v>
      </c>
      <c r="H1666" s="8" t="str">
        <f>HYPERLINK("https://esbl.nhlbi.nih.gov/Databases/mpkFractions/proteomic_fractions_linear_files/Yang_linear_img/30794440.jpg","show blot")</f>
        <v>show blot</v>
      </c>
      <c r="J1666" s="5" t="s">
        <v>3320</v>
      </c>
      <c r="L1666" s="11">
        <v>4.5597056545601751</v>
      </c>
      <c r="N1666" s="12"/>
    </row>
    <row r="1667" spans="1:14" s="5" customFormat="1" ht="15" customHeight="1" x14ac:dyDescent="0.25">
      <c r="A1667" s="9" t="s">
        <v>3321</v>
      </c>
      <c r="C1667" s="9" t="str">
        <f>HYPERLINK("http://www.ncbi.nlm.nih.gov/protein/226423871","Dbnl")</f>
        <v>Dbnl</v>
      </c>
      <c r="D1667" s="10">
        <f t="shared" si="25"/>
        <v>5.4977763516875466</v>
      </c>
      <c r="F1667" s="8" t="str">
        <f>HYPERLINK("https://esbl.nhlbi.nih.gov/Databases/mpkFractions/proteomic_fractions_log_files/Yang_log_img/226423871.jpg","show blot")</f>
        <v>show blot</v>
      </c>
      <c r="H1667" s="8" t="str">
        <f>HYPERLINK("https://esbl.nhlbi.nih.gov/Databases/mpkFractions/proteomic_fractions_linear_files/Yang_linear_img/226423871.jpg","show blot")</f>
        <v>show blot</v>
      </c>
      <c r="J1667" s="5" t="s">
        <v>3322</v>
      </c>
      <c r="L1667" s="11">
        <v>5.4977763516875466</v>
      </c>
      <c r="N1667" s="12"/>
    </row>
    <row r="1668" spans="1:14" s="5" customFormat="1" ht="15" customHeight="1" x14ac:dyDescent="0.25">
      <c r="A1668" s="9" t="s">
        <v>3323</v>
      </c>
      <c r="C1668" s="9" t="str">
        <f>HYPERLINK("http://www.ncbi.nlm.nih.gov/protein/226423873","Dbnl")</f>
        <v>Dbnl</v>
      </c>
      <c r="D1668" s="10">
        <f t="shared" si="25"/>
        <v>5.4977763516875466</v>
      </c>
      <c r="F1668" s="8" t="str">
        <f>HYPERLINK("https://esbl.nhlbi.nih.gov/Databases/mpkFractions/proteomic_fractions_log_files/Yang_log_img/226423873.jpg","show blot")</f>
        <v>show blot</v>
      </c>
      <c r="H1668" s="8" t="str">
        <f>HYPERLINK("https://esbl.nhlbi.nih.gov/Databases/mpkFractions/proteomic_fractions_linear_files/Yang_linear_img/226423873.jpg","show blot")</f>
        <v>show blot</v>
      </c>
      <c r="J1668" s="5" t="s">
        <v>3324</v>
      </c>
      <c r="L1668" s="11">
        <v>5.4977763516875466</v>
      </c>
      <c r="N1668" s="12"/>
    </row>
    <row r="1669" spans="1:14" s="5" customFormat="1" ht="15" customHeight="1" x14ac:dyDescent="0.25">
      <c r="A1669" s="9" t="s">
        <v>3325</v>
      </c>
      <c r="C1669" s="9" t="str">
        <f>HYPERLINK("http://www.ncbi.nlm.nih.gov/protein/7304993","Dbnl")</f>
        <v>Dbnl</v>
      </c>
      <c r="D1669" s="10">
        <f t="shared" ref="D1669:D1732" si="26">L1669</f>
        <v>5.4977763516875466</v>
      </c>
      <c r="F1669" s="8" t="str">
        <f>HYPERLINK("https://esbl.nhlbi.nih.gov/Databases/mpkFractions/proteomic_fractions_log_files/Yang_log_img/7304993.jpg","show blot")</f>
        <v>show blot</v>
      </c>
      <c r="H1669" s="8" t="str">
        <f>HYPERLINK("https://esbl.nhlbi.nih.gov/Databases/mpkFractions/proteomic_fractions_linear_files/Yang_linear_img/7304993.jpg","show blot")</f>
        <v>show blot</v>
      </c>
      <c r="J1669" s="5" t="s">
        <v>3326</v>
      </c>
      <c r="L1669" s="11">
        <v>5.4977763516875466</v>
      </c>
      <c r="N1669" s="12"/>
    </row>
    <row r="1670" spans="1:14" s="5" customFormat="1" ht="15" customHeight="1" x14ac:dyDescent="0.25">
      <c r="A1670" s="9" t="s">
        <v>3327</v>
      </c>
      <c r="C1670" s="9" t="str">
        <f>HYPERLINK("http://www.ncbi.nlm.nih.gov/protein/50399860","Dbr1")</f>
        <v>Dbr1</v>
      </c>
      <c r="D1670" s="10">
        <f t="shared" si="26"/>
        <v>4.4219988153874548</v>
      </c>
      <c r="F1670" s="8" t="str">
        <f>HYPERLINK("https://esbl.nhlbi.nih.gov/Databases/mpkFractions/proteomic_fractions_log_files/Yang_log_img/50399860.jpg","show blot")</f>
        <v>show blot</v>
      </c>
      <c r="H1670" s="8" t="str">
        <f>HYPERLINK("https://esbl.nhlbi.nih.gov/Databases/mpkFractions/proteomic_fractions_linear_files/Yang_linear_img/50399860.jpg","show blot")</f>
        <v>show blot</v>
      </c>
      <c r="J1670" s="5" t="s">
        <v>3328</v>
      </c>
      <c r="L1670" s="11">
        <v>4.4219988153874548</v>
      </c>
      <c r="N1670" s="12"/>
    </row>
    <row r="1671" spans="1:14" s="5" customFormat="1" ht="15" customHeight="1" x14ac:dyDescent="0.25">
      <c r="A1671" s="9" t="s">
        <v>3329</v>
      </c>
      <c r="C1671" s="9" t="str">
        <f>HYPERLINK("http://www.ncbi.nlm.nih.gov/protein/170172520","Dbt")</f>
        <v>Dbt</v>
      </c>
      <c r="D1671" s="10">
        <f t="shared" si="26"/>
        <v>4.7326615361622872</v>
      </c>
      <c r="F1671" s="8" t="str">
        <f>HYPERLINK("https://esbl.nhlbi.nih.gov/Databases/mpkFractions/proteomic_fractions_log_files/Yang_log_img/170172520.jpg","show blot")</f>
        <v>show blot</v>
      </c>
      <c r="H1671" s="8" t="str">
        <f>HYPERLINK("https://esbl.nhlbi.nih.gov/Databases/mpkFractions/proteomic_fractions_linear_files/Yang_linear_img/170172520.jpg","show blot")</f>
        <v>show blot</v>
      </c>
      <c r="J1671" s="5" t="s">
        <v>3330</v>
      </c>
      <c r="L1671" s="11">
        <v>4.7326615361622872</v>
      </c>
      <c r="N1671" s="12"/>
    </row>
    <row r="1672" spans="1:14" s="5" customFormat="1" ht="15" customHeight="1" x14ac:dyDescent="0.25">
      <c r="A1672" s="9" t="s">
        <v>3331</v>
      </c>
      <c r="C1672" s="9" t="str">
        <f>HYPERLINK("http://www.ncbi.nlm.nih.gov/protein/19526930","Dcaf11")</f>
        <v>Dcaf11</v>
      </c>
      <c r="D1672" s="10">
        <f t="shared" si="26"/>
        <v>4.7344163618545601</v>
      </c>
      <c r="F1672" s="8" t="str">
        <f>HYPERLINK("https://esbl.nhlbi.nih.gov/Databases/mpkFractions/proteomic_fractions_log_files/Yang_log_img/19526930.jpg","show blot")</f>
        <v>show blot</v>
      </c>
      <c r="H1672" s="8" t="str">
        <f>HYPERLINK("https://esbl.nhlbi.nih.gov/Databases/mpkFractions/proteomic_fractions_linear_files/Yang_linear_img/19526930.jpg","show blot")</f>
        <v>show blot</v>
      </c>
      <c r="J1672" s="5" t="s">
        <v>3332</v>
      </c>
      <c r="L1672" s="11">
        <v>4.7344163618545601</v>
      </c>
      <c r="N1672" s="12"/>
    </row>
    <row r="1673" spans="1:14" s="5" customFormat="1" ht="15" customHeight="1" x14ac:dyDescent="0.25">
      <c r="A1673" s="9" t="s">
        <v>3333</v>
      </c>
      <c r="C1673" s="9" t="str">
        <f>HYPERLINK("http://www.ncbi.nlm.nih.gov/protein/21313612","Dcaf4")</f>
        <v>Dcaf4</v>
      </c>
      <c r="D1673" s="10">
        <f t="shared" si="26"/>
        <v>2.0373577967648249</v>
      </c>
      <c r="F1673" s="8" t="str">
        <f>HYPERLINK("https://esbl.nhlbi.nih.gov/Databases/mpkFractions/proteomic_fractions_log_files/Yang_log_img/21313612.jpg","show blot")</f>
        <v>show blot</v>
      </c>
      <c r="H1673" s="8" t="str">
        <f>HYPERLINK("https://esbl.nhlbi.nih.gov/Databases/mpkFractions/proteomic_fractions_linear_files/Yang_linear_img/21313612.jpg","show blot")</f>
        <v>show blot</v>
      </c>
      <c r="J1673" s="5" t="s">
        <v>3334</v>
      </c>
      <c r="L1673" s="11">
        <v>2.0373577967648249</v>
      </c>
      <c r="N1673" s="12"/>
    </row>
    <row r="1674" spans="1:14" s="5" customFormat="1" ht="15" customHeight="1" x14ac:dyDescent="0.25">
      <c r="A1674" s="9" t="s">
        <v>3335</v>
      </c>
      <c r="C1674" s="9" t="str">
        <f>HYPERLINK("http://www.ncbi.nlm.nih.gov/protein/259155342","Dcaf4")</f>
        <v>Dcaf4</v>
      </c>
      <c r="D1674" s="10">
        <f t="shared" si="26"/>
        <v>2.0373577967648249</v>
      </c>
      <c r="F1674" s="8" t="str">
        <f>HYPERLINK("https://esbl.nhlbi.nih.gov/Databases/mpkFractions/proteomic_fractions_log_files/Yang_log_img/259155342.jpg","show blot")</f>
        <v>show blot</v>
      </c>
      <c r="H1674" s="8" t="str">
        <f>HYPERLINK("https://esbl.nhlbi.nih.gov/Databases/mpkFractions/proteomic_fractions_linear_files/Yang_linear_img/259155342.jpg","show blot")</f>
        <v>show blot</v>
      </c>
      <c r="J1674" s="5" t="s">
        <v>3336</v>
      </c>
      <c r="L1674" s="11">
        <v>2.0373577967648249</v>
      </c>
      <c r="N1674" s="12"/>
    </row>
    <row r="1675" spans="1:14" s="5" customFormat="1" ht="15" customHeight="1" x14ac:dyDescent="0.25">
      <c r="A1675" s="9" t="s">
        <v>3337</v>
      </c>
      <c r="C1675" s="9" t="str">
        <f>HYPERLINK("http://www.ncbi.nlm.nih.gov/protein/56090231","Dcaf5")</f>
        <v>Dcaf5</v>
      </c>
      <c r="D1675" s="10">
        <f t="shared" si="26"/>
        <v>3.8349060275874471</v>
      </c>
      <c r="F1675" s="8" t="str">
        <f>HYPERLINK("https://esbl.nhlbi.nih.gov/Databases/mpkFractions/proteomic_fractions_log_files/Yang_log_img/56090231.jpg","show blot")</f>
        <v>show blot</v>
      </c>
      <c r="H1675" s="8" t="str">
        <f>HYPERLINK("https://esbl.nhlbi.nih.gov/Databases/mpkFractions/proteomic_fractions_linear_files/Yang_linear_img/56090231.jpg","show blot")</f>
        <v>show blot</v>
      </c>
      <c r="J1675" s="5" t="s">
        <v>3338</v>
      </c>
      <c r="L1675" s="11">
        <v>3.8349060275874471</v>
      </c>
      <c r="N1675" s="12"/>
    </row>
    <row r="1676" spans="1:14" s="5" customFormat="1" ht="15" customHeight="1" x14ac:dyDescent="0.25">
      <c r="A1676" s="9" t="s">
        <v>3339</v>
      </c>
      <c r="C1676" s="9" t="str">
        <f>HYPERLINK("http://www.ncbi.nlm.nih.gov/protein/58037257","Dcaf7")</f>
        <v>Dcaf7</v>
      </c>
      <c r="D1676" s="10">
        <f t="shared" si="26"/>
        <v>4.7752291224175547</v>
      </c>
      <c r="F1676" s="8" t="str">
        <f>HYPERLINK("https://esbl.nhlbi.nih.gov/Databases/mpkFractions/proteomic_fractions_log_files/Yang_log_img/58037257.jpg","show blot")</f>
        <v>show blot</v>
      </c>
      <c r="H1676" s="8" t="str">
        <f>HYPERLINK("https://esbl.nhlbi.nih.gov/Databases/mpkFractions/proteomic_fractions_linear_files/Yang_linear_img/58037257.jpg","show blot")</f>
        <v>show blot</v>
      </c>
      <c r="J1676" s="5" t="s">
        <v>3340</v>
      </c>
      <c r="L1676" s="11">
        <v>4.7752291224175547</v>
      </c>
      <c r="N1676" s="12"/>
    </row>
    <row r="1677" spans="1:14" s="5" customFormat="1" ht="15" customHeight="1" x14ac:dyDescent="0.25">
      <c r="A1677" s="9" t="s">
        <v>3341</v>
      </c>
      <c r="C1677" s="9" t="str">
        <f>HYPERLINK("http://www.ncbi.nlm.nih.gov/protein/23956326","Dcaf8")</f>
        <v>Dcaf8</v>
      </c>
      <c r="D1677" s="10">
        <f t="shared" si="26"/>
        <v>4.4627037357752286</v>
      </c>
      <c r="F1677" s="8" t="str">
        <f>HYPERLINK("https://esbl.nhlbi.nih.gov/Databases/mpkFractions/proteomic_fractions_log_files/Yang_log_img/23956326.jpg","show blot")</f>
        <v>show blot</v>
      </c>
      <c r="H1677" s="8" t="str">
        <f>HYPERLINK("https://esbl.nhlbi.nih.gov/Databases/mpkFractions/proteomic_fractions_linear_files/Yang_linear_img/23956326.jpg","show blot")</f>
        <v>show blot</v>
      </c>
      <c r="J1677" s="5" t="s">
        <v>3342</v>
      </c>
      <c r="L1677" s="11">
        <v>4.4627037357752286</v>
      </c>
      <c r="N1677" s="12"/>
    </row>
    <row r="1678" spans="1:14" s="5" customFormat="1" ht="15" customHeight="1" x14ac:dyDescent="0.25">
      <c r="A1678" s="9" t="s">
        <v>3343</v>
      </c>
      <c r="C1678" s="9" t="str">
        <f>HYPERLINK("http://www.ncbi.nlm.nih.gov/protein/27754054","Dcakd")</f>
        <v>Dcakd</v>
      </c>
      <c r="D1678" s="10">
        <f t="shared" si="26"/>
        <v>5.3331284933589371</v>
      </c>
      <c r="F1678" s="8" t="str">
        <f>HYPERLINK("https://esbl.nhlbi.nih.gov/Databases/mpkFractions/proteomic_fractions_log_files/Yang_log_img/27754054.jpg","show blot")</f>
        <v>show blot</v>
      </c>
      <c r="H1678" s="8" t="str">
        <f>HYPERLINK("https://esbl.nhlbi.nih.gov/Databases/mpkFractions/proteomic_fractions_linear_files/Yang_linear_img/27754054.jpg","show blot")</f>
        <v>show blot</v>
      </c>
      <c r="J1678" s="5" t="s">
        <v>3344</v>
      </c>
      <c r="L1678" s="11">
        <v>5.3331284933589371</v>
      </c>
      <c r="N1678" s="12"/>
    </row>
    <row r="1679" spans="1:14" s="5" customFormat="1" ht="15" customHeight="1" x14ac:dyDescent="0.25">
      <c r="A1679" s="9" t="s">
        <v>3345</v>
      </c>
      <c r="C1679" s="9" t="str">
        <f>HYPERLINK("http://www.ncbi.nlm.nih.gov/protein/94369682","Dchs2")</f>
        <v>Dchs2</v>
      </c>
      <c r="D1679" s="10">
        <f t="shared" si="26"/>
        <v>3.823780735459132</v>
      </c>
      <c r="F1679" s="8" t="str">
        <f>HYPERLINK("https://esbl.nhlbi.nih.gov/Databases/mpkFractions/proteomic_fractions_log_files/Yang_log_img/94369682.jpg","show blot")</f>
        <v>show blot</v>
      </c>
      <c r="H1679" s="8" t="str">
        <f>HYPERLINK("https://esbl.nhlbi.nih.gov/Databases/mpkFractions/proteomic_fractions_linear_files/Yang_linear_img/94369682.jpg","show blot")</f>
        <v>show blot</v>
      </c>
      <c r="J1679" s="5" t="s">
        <v>3346</v>
      </c>
      <c r="L1679" s="11">
        <v>3.823780735459132</v>
      </c>
      <c r="N1679" s="12"/>
    </row>
    <row r="1680" spans="1:14" s="5" customFormat="1" ht="15" customHeight="1" x14ac:dyDescent="0.25">
      <c r="A1680" s="9" t="s">
        <v>3347</v>
      </c>
      <c r="C1680" s="9" t="str">
        <f>HYPERLINK("http://www.ncbi.nlm.nih.gov/protein/6681141","Dck")</f>
        <v>Dck</v>
      </c>
      <c r="D1680" s="10">
        <f t="shared" si="26"/>
        <v>4.691216609885565</v>
      </c>
      <c r="F1680" s="8" t="str">
        <f>HYPERLINK("https://esbl.nhlbi.nih.gov/Databases/mpkFractions/proteomic_fractions_log_files/Yang_log_img/6681141.jpg","show blot")</f>
        <v>show blot</v>
      </c>
      <c r="H1680" s="8" t="str">
        <f>HYPERLINK("https://esbl.nhlbi.nih.gov/Databases/mpkFractions/proteomic_fractions_linear_files/Yang_linear_img/6681141.jpg","show blot")</f>
        <v>show blot</v>
      </c>
      <c r="J1680" s="5" t="s">
        <v>3348</v>
      </c>
      <c r="L1680" s="11">
        <v>4.691216609885565</v>
      </c>
      <c r="N1680" s="12"/>
    </row>
    <row r="1681" spans="1:14" s="5" customFormat="1" ht="15" customHeight="1" x14ac:dyDescent="0.25">
      <c r="A1681" s="9" t="s">
        <v>3349</v>
      </c>
      <c r="C1681" s="9" t="str">
        <f>HYPERLINK("http://www.ncbi.nlm.nih.gov/protein/133778958","Dcp1a")</f>
        <v>Dcp1a</v>
      </c>
      <c r="D1681" s="10">
        <f t="shared" si="26"/>
        <v>2.9556877503135062</v>
      </c>
      <c r="F1681" s="8" t="str">
        <f>HYPERLINK("https://esbl.nhlbi.nih.gov/Databases/mpkFractions/proteomic_fractions_log_files/Yang_log_img/133778958.jpg","show blot")</f>
        <v>show blot</v>
      </c>
      <c r="H1681" s="8" t="str">
        <f>HYPERLINK("https://esbl.nhlbi.nih.gov/Databases/mpkFractions/proteomic_fractions_linear_files/Yang_linear_img/133778958.jpg","show blot")</f>
        <v>show blot</v>
      </c>
      <c r="J1681" s="5" t="s">
        <v>3350</v>
      </c>
      <c r="L1681" s="11">
        <v>2.9556877503135062</v>
      </c>
      <c r="N1681" s="12"/>
    </row>
    <row r="1682" spans="1:14" s="5" customFormat="1" ht="15" customHeight="1" x14ac:dyDescent="0.25">
      <c r="A1682" s="9" t="s">
        <v>3351</v>
      </c>
      <c r="C1682" s="9" t="str">
        <f>HYPERLINK("http://www.ncbi.nlm.nih.gov/protein/21312256","Dcps")</f>
        <v>Dcps</v>
      </c>
      <c r="D1682" s="10">
        <f t="shared" si="26"/>
        <v>5.5415955604069271</v>
      </c>
      <c r="F1682" s="8" t="str">
        <f>HYPERLINK("https://esbl.nhlbi.nih.gov/Databases/mpkFractions/proteomic_fractions_log_files/Yang_log_img/21312256.jpg","show blot")</f>
        <v>show blot</v>
      </c>
      <c r="H1682" s="8" t="str">
        <f>HYPERLINK("https://esbl.nhlbi.nih.gov/Databases/mpkFractions/proteomic_fractions_linear_files/Yang_linear_img/21312256.jpg","show blot")</f>
        <v>show blot</v>
      </c>
      <c r="J1682" s="5" t="s">
        <v>3352</v>
      </c>
      <c r="L1682" s="11">
        <v>5.5415955604069271</v>
      </c>
      <c r="N1682" s="12"/>
    </row>
    <row r="1683" spans="1:14" s="5" customFormat="1" ht="15" customHeight="1" x14ac:dyDescent="0.25">
      <c r="A1683" s="9" t="s">
        <v>3353</v>
      </c>
      <c r="C1683" s="9" t="str">
        <f>HYPERLINK("http://www.ncbi.nlm.nih.gov/protein/238859570;238859573","Dctd")</f>
        <v>Dctd</v>
      </c>
      <c r="D1683" s="10">
        <f t="shared" si="26"/>
        <v>4.3550778137844093</v>
      </c>
      <c r="F1683" s="8" t="str">
        <f>HYPERLINK("https://esbl.nhlbi.nih.gov/Databases/mpkFractions/proteomic_fractions_log_files/Yang_log_img/238859570;238859573.jpg","show blot")</f>
        <v>show blot</v>
      </c>
      <c r="H1683" s="8" t="str">
        <f>HYPERLINK("https://esbl.nhlbi.nih.gov/Databases/mpkFractions/proteomic_fractions_linear_files/Yang_linear_img/238859570;238859573.jpg","show blot")</f>
        <v>show blot</v>
      </c>
      <c r="J1683" s="5" t="s">
        <v>3354</v>
      </c>
      <c r="L1683" s="11">
        <v>4.3550778137844093</v>
      </c>
      <c r="N1683" s="12"/>
    </row>
    <row r="1684" spans="1:14" s="5" customFormat="1" ht="15" customHeight="1" x14ac:dyDescent="0.25">
      <c r="A1684" s="9" t="s">
        <v>3355</v>
      </c>
      <c r="C1684" s="9" t="str">
        <f>HYPERLINK("http://www.ncbi.nlm.nih.gov/protein/118601017","Dctn1")</f>
        <v>Dctn1</v>
      </c>
      <c r="D1684" s="10">
        <f t="shared" si="26"/>
        <v>5.6325886969091838</v>
      </c>
      <c r="F1684" s="8" t="str">
        <f>HYPERLINK("https://esbl.nhlbi.nih.gov/Databases/mpkFractions/proteomic_fractions_log_files/Yang_log_img/118601017.jpg","show blot")</f>
        <v>show blot</v>
      </c>
      <c r="H1684" s="8" t="str">
        <f>HYPERLINK("https://esbl.nhlbi.nih.gov/Databases/mpkFractions/proteomic_fractions_linear_files/Yang_linear_img/118601017.jpg","show blot")</f>
        <v>show blot</v>
      </c>
      <c r="J1684" s="5" t="s">
        <v>3356</v>
      </c>
      <c r="L1684" s="11">
        <v>5.6325886969091838</v>
      </c>
      <c r="N1684" s="12"/>
    </row>
    <row r="1685" spans="1:14" s="5" customFormat="1" ht="15" customHeight="1" x14ac:dyDescent="0.25">
      <c r="A1685" s="9" t="s">
        <v>3357</v>
      </c>
      <c r="C1685" s="9" t="str">
        <f>HYPERLINK("http://www.ncbi.nlm.nih.gov/protein/311893358","Dctn1")</f>
        <v>Dctn1</v>
      </c>
      <c r="D1685" s="10">
        <f t="shared" si="26"/>
        <v>5.6325886969091838</v>
      </c>
      <c r="F1685" s="8" t="str">
        <f>HYPERLINK("https://esbl.nhlbi.nih.gov/Databases/mpkFractions/proteomic_fractions_log_files/Yang_log_img/311893358.jpg","show blot")</f>
        <v>show blot</v>
      </c>
      <c r="H1685" s="8" t="str">
        <f>HYPERLINK("https://esbl.nhlbi.nih.gov/Databases/mpkFractions/proteomic_fractions_linear_files/Yang_linear_img/311893358.jpg","show blot")</f>
        <v>show blot</v>
      </c>
      <c r="J1685" s="5" t="s">
        <v>3358</v>
      </c>
      <c r="L1685" s="11">
        <v>5.6325886969091838</v>
      </c>
      <c r="N1685" s="12"/>
    </row>
    <row r="1686" spans="1:14" s="5" customFormat="1" ht="15" customHeight="1" x14ac:dyDescent="0.25">
      <c r="A1686" s="9" t="s">
        <v>3359</v>
      </c>
      <c r="C1686" s="9" t="str">
        <f>HYPERLINK("http://www.ncbi.nlm.nih.gov/protein/311893360","Dctn1")</f>
        <v>Dctn1</v>
      </c>
      <c r="D1686" s="10">
        <f t="shared" si="26"/>
        <v>5.6325886969091838</v>
      </c>
      <c r="F1686" s="8" t="str">
        <f>HYPERLINK("https://esbl.nhlbi.nih.gov/Databases/mpkFractions/proteomic_fractions_log_files/Yang_log_img/311893360.jpg","show blot")</f>
        <v>show blot</v>
      </c>
      <c r="H1686" s="8" t="str">
        <f>HYPERLINK("https://esbl.nhlbi.nih.gov/Databases/mpkFractions/proteomic_fractions_linear_files/Yang_linear_img/311893360.jpg","show blot")</f>
        <v>show blot</v>
      </c>
      <c r="J1686" s="5" t="s">
        <v>3360</v>
      </c>
      <c r="L1686" s="11">
        <v>5.6325886969091838</v>
      </c>
      <c r="N1686" s="12"/>
    </row>
    <row r="1687" spans="1:14" s="5" customFormat="1" ht="15" customHeight="1" x14ac:dyDescent="0.25">
      <c r="A1687" s="9" t="s">
        <v>3361</v>
      </c>
      <c r="C1687" s="9" t="str">
        <f>HYPERLINK("http://www.ncbi.nlm.nih.gov/protein/28076935","Dctn2")</f>
        <v>Dctn2</v>
      </c>
      <c r="D1687" s="10">
        <f t="shared" si="26"/>
        <v>6.0945438439335842</v>
      </c>
      <c r="F1687" s="8" t="str">
        <f>HYPERLINK("https://esbl.nhlbi.nih.gov/Databases/mpkFractions/proteomic_fractions_log_files/Yang_log_img/28076935.jpg","show blot")</f>
        <v>show blot</v>
      </c>
      <c r="H1687" s="8" t="str">
        <f>HYPERLINK("https://esbl.nhlbi.nih.gov/Databases/mpkFractions/proteomic_fractions_linear_files/Yang_linear_img/28076935.jpg","show blot")</f>
        <v>show blot</v>
      </c>
      <c r="J1687" s="5" t="s">
        <v>3362</v>
      </c>
      <c r="L1687" s="11">
        <v>6.0945438439335842</v>
      </c>
      <c r="N1687" s="12"/>
    </row>
    <row r="1688" spans="1:14" s="5" customFormat="1" ht="15" customHeight="1" x14ac:dyDescent="0.25">
      <c r="A1688" s="9" t="s">
        <v>3363</v>
      </c>
      <c r="C1688" s="9" t="str">
        <f>HYPERLINK("http://www.ncbi.nlm.nih.gov/protein/299522838","Dctn2")</f>
        <v>Dctn2</v>
      </c>
      <c r="D1688" s="10">
        <f t="shared" si="26"/>
        <v>6.0945438439335842</v>
      </c>
      <c r="F1688" s="8" t="str">
        <f>HYPERLINK("https://esbl.nhlbi.nih.gov/Databases/mpkFractions/proteomic_fractions_log_files/Yang_log_img/299522838.jpg","show blot")</f>
        <v>show blot</v>
      </c>
      <c r="H1688" s="8" t="str">
        <f>HYPERLINK("https://esbl.nhlbi.nih.gov/Databases/mpkFractions/proteomic_fractions_linear_files/Yang_linear_img/299522838.jpg","show blot")</f>
        <v>show blot</v>
      </c>
      <c r="J1688" s="5" t="s">
        <v>3364</v>
      </c>
      <c r="L1688" s="11">
        <v>6.0945438439335842</v>
      </c>
      <c r="N1688" s="12"/>
    </row>
    <row r="1689" spans="1:14" s="5" customFormat="1" ht="15" customHeight="1" x14ac:dyDescent="0.25">
      <c r="A1689" s="9" t="s">
        <v>3365</v>
      </c>
      <c r="C1689" s="9" t="str">
        <f>HYPERLINK("http://www.ncbi.nlm.nih.gov/protein/299522842","Dctn2")</f>
        <v>Dctn2</v>
      </c>
      <c r="D1689" s="10">
        <f t="shared" si="26"/>
        <v>6.0945438439335842</v>
      </c>
      <c r="F1689" s="8" t="str">
        <f>HYPERLINK("https://esbl.nhlbi.nih.gov/Databases/mpkFractions/proteomic_fractions_log_files/Yang_log_img/299522842.jpg","show blot")</f>
        <v>show blot</v>
      </c>
      <c r="H1689" s="8" t="str">
        <f>HYPERLINK("https://esbl.nhlbi.nih.gov/Databases/mpkFractions/proteomic_fractions_linear_files/Yang_linear_img/299522842.jpg","show blot")</f>
        <v>show blot</v>
      </c>
      <c r="J1689" s="5" t="s">
        <v>3366</v>
      </c>
      <c r="L1689" s="11">
        <v>6.0945438439335842</v>
      </c>
      <c r="N1689" s="12"/>
    </row>
    <row r="1690" spans="1:14" s="5" customFormat="1" ht="15" customHeight="1" x14ac:dyDescent="0.25">
      <c r="A1690" s="9" t="s">
        <v>3367</v>
      </c>
      <c r="C1690" s="9" t="str">
        <f>HYPERLINK("http://www.ncbi.nlm.nih.gov/protein/227116273","Dctn3")</f>
        <v>Dctn3</v>
      </c>
      <c r="D1690" s="10">
        <f t="shared" si="26"/>
        <v>5.7391426368084772</v>
      </c>
      <c r="F1690" s="8" t="str">
        <f>HYPERLINK("https://esbl.nhlbi.nih.gov/Databases/mpkFractions/proteomic_fractions_log_files/Yang_log_img/227116273.jpg","show blot")</f>
        <v>show blot</v>
      </c>
      <c r="H1690" s="8" t="str">
        <f>HYPERLINK("https://esbl.nhlbi.nih.gov/Databases/mpkFractions/proteomic_fractions_linear_files/Yang_linear_img/227116273.jpg","show blot")</f>
        <v>show blot</v>
      </c>
      <c r="J1690" s="5" t="s">
        <v>3368</v>
      </c>
      <c r="L1690" s="11">
        <v>5.7391426368084772</v>
      </c>
      <c r="N1690" s="12"/>
    </row>
    <row r="1691" spans="1:14" s="5" customFormat="1" ht="15" customHeight="1" x14ac:dyDescent="0.25">
      <c r="A1691" s="9" t="s">
        <v>3369</v>
      </c>
      <c r="C1691" s="9" t="str">
        <f>HYPERLINK("http://www.ncbi.nlm.nih.gov/protein/227116275","Dctn3")</f>
        <v>Dctn3</v>
      </c>
      <c r="D1691" s="10">
        <f t="shared" si="26"/>
        <v>5.7391426368084772</v>
      </c>
      <c r="F1691" s="8" t="str">
        <f>HYPERLINK("https://esbl.nhlbi.nih.gov/Databases/mpkFractions/proteomic_fractions_log_files/Yang_log_img/227116275.jpg","show blot")</f>
        <v>show blot</v>
      </c>
      <c r="H1691" s="8" t="str">
        <f>HYPERLINK("https://esbl.nhlbi.nih.gov/Databases/mpkFractions/proteomic_fractions_linear_files/Yang_linear_img/227116275.jpg","show blot")</f>
        <v>show blot</v>
      </c>
      <c r="J1691" s="5" t="s">
        <v>3370</v>
      </c>
      <c r="L1691" s="11">
        <v>5.7391426368084772</v>
      </c>
      <c r="N1691" s="12"/>
    </row>
    <row r="1692" spans="1:14" s="5" customFormat="1" ht="15" customHeight="1" x14ac:dyDescent="0.25">
      <c r="A1692" s="9" t="s">
        <v>3371</v>
      </c>
      <c r="C1692" s="9" t="str">
        <f>HYPERLINK("http://www.ncbi.nlm.nih.gov/protein/13385798","Dctn4")</f>
        <v>Dctn4</v>
      </c>
      <c r="D1692" s="10">
        <f t="shared" si="26"/>
        <v>5.5714267636941326</v>
      </c>
      <c r="F1692" s="8" t="str">
        <f>HYPERLINK("https://esbl.nhlbi.nih.gov/Databases/mpkFractions/proteomic_fractions_log_files/Yang_log_img/13385798.jpg","show blot")</f>
        <v>show blot</v>
      </c>
      <c r="H1692" s="8" t="str">
        <f>HYPERLINK("https://esbl.nhlbi.nih.gov/Databases/mpkFractions/proteomic_fractions_linear_files/Yang_linear_img/13385798.jpg","show blot")</f>
        <v>show blot</v>
      </c>
      <c r="J1692" s="5" t="s">
        <v>3372</v>
      </c>
      <c r="L1692" s="11">
        <v>5.5714267636941326</v>
      </c>
      <c r="N1692" s="12"/>
    </row>
    <row r="1693" spans="1:14" s="5" customFormat="1" ht="15" customHeight="1" x14ac:dyDescent="0.25">
      <c r="A1693" s="9" t="s">
        <v>3373</v>
      </c>
      <c r="C1693" s="9" t="str">
        <f>HYPERLINK("http://www.ncbi.nlm.nih.gov/protein/188219518","Dctn5")</f>
        <v>Dctn5</v>
      </c>
      <c r="D1693" s="10">
        <f t="shared" si="26"/>
        <v>5.0679012913173072</v>
      </c>
      <c r="F1693" s="8" t="str">
        <f>HYPERLINK("https://esbl.nhlbi.nih.gov/Databases/mpkFractions/proteomic_fractions_log_files/Yang_log_img/188219518.jpg","show blot")</f>
        <v>show blot</v>
      </c>
      <c r="H1693" s="8" t="str">
        <f>HYPERLINK("https://esbl.nhlbi.nih.gov/Databases/mpkFractions/proteomic_fractions_linear_files/Yang_linear_img/188219518.jpg","show blot")</f>
        <v>show blot</v>
      </c>
      <c r="J1693" s="5" t="s">
        <v>3374</v>
      </c>
      <c r="L1693" s="11">
        <v>5.0679012913173072</v>
      </c>
      <c r="N1693" s="12"/>
    </row>
    <row r="1694" spans="1:14" s="5" customFormat="1" ht="15" customHeight="1" x14ac:dyDescent="0.25">
      <c r="A1694" s="9" t="s">
        <v>3375</v>
      </c>
      <c r="C1694" s="9" t="str">
        <f>HYPERLINK("http://www.ncbi.nlm.nih.gov/protein/6756009","Dctn6")</f>
        <v>Dctn6</v>
      </c>
      <c r="D1694" s="10">
        <f t="shared" si="26"/>
        <v>4.2261350745326878</v>
      </c>
      <c r="F1694" s="8" t="str">
        <f>HYPERLINK("https://esbl.nhlbi.nih.gov/Databases/mpkFractions/proteomic_fractions_log_files/Yang_log_img/6756009.jpg","show blot")</f>
        <v>show blot</v>
      </c>
      <c r="H1694" s="8" t="str">
        <f>HYPERLINK("https://esbl.nhlbi.nih.gov/Databases/mpkFractions/proteomic_fractions_linear_files/Yang_linear_img/6756009.jpg","show blot")</f>
        <v>show blot</v>
      </c>
      <c r="J1694" s="5" t="s">
        <v>3376</v>
      </c>
      <c r="L1694" s="11">
        <v>4.2261350745326878</v>
      </c>
      <c r="N1694" s="12"/>
    </row>
    <row r="1695" spans="1:14" s="5" customFormat="1" ht="15" customHeight="1" x14ac:dyDescent="0.25">
      <c r="A1695" s="9" t="s">
        <v>3377</v>
      </c>
      <c r="C1695" s="9" t="str">
        <f>HYPERLINK("http://www.ncbi.nlm.nih.gov/protein/12963573","Dctpp1")</f>
        <v>Dctpp1</v>
      </c>
      <c r="D1695" s="10">
        <f t="shared" si="26"/>
        <v>4.5693929219633063</v>
      </c>
      <c r="F1695" s="8" t="str">
        <f>HYPERLINK("https://esbl.nhlbi.nih.gov/Databases/mpkFractions/proteomic_fractions_log_files/Yang_log_img/12963573.jpg","show blot")</f>
        <v>show blot</v>
      </c>
      <c r="H1695" s="8" t="str">
        <f>HYPERLINK("https://esbl.nhlbi.nih.gov/Databases/mpkFractions/proteomic_fractions_linear_files/Yang_linear_img/12963573.jpg","show blot")</f>
        <v>show blot</v>
      </c>
      <c r="J1695" s="5" t="s">
        <v>3378</v>
      </c>
      <c r="L1695" s="11">
        <v>4.5693929219633063</v>
      </c>
      <c r="N1695" s="12"/>
    </row>
    <row r="1696" spans="1:14" s="5" customFormat="1" ht="15" customHeight="1" x14ac:dyDescent="0.25">
      <c r="A1696" s="9" t="s">
        <v>3379</v>
      </c>
      <c r="C1696" s="9" t="str">
        <f>HYPERLINK("http://www.ncbi.nlm.nih.gov/protein/329299048","Dcun1d1")</f>
        <v>Dcun1d1</v>
      </c>
      <c r="D1696" s="10">
        <f t="shared" si="26"/>
        <v>5.1967178364680562</v>
      </c>
      <c r="F1696" s="8" t="str">
        <f>HYPERLINK("https://esbl.nhlbi.nih.gov/Databases/mpkFractions/proteomic_fractions_log_files/Yang_log_img/329299048.jpg","show blot")</f>
        <v>show blot</v>
      </c>
      <c r="H1696" s="8" t="str">
        <f>HYPERLINK("https://esbl.nhlbi.nih.gov/Databases/mpkFractions/proteomic_fractions_linear_files/Yang_linear_img/329299048.jpg","show blot")</f>
        <v>show blot</v>
      </c>
      <c r="J1696" s="5" t="s">
        <v>3380</v>
      </c>
      <c r="L1696" s="11">
        <v>5.1967178364680562</v>
      </c>
      <c r="N1696" s="12"/>
    </row>
    <row r="1697" spans="1:14" s="5" customFormat="1" ht="15" customHeight="1" x14ac:dyDescent="0.25">
      <c r="A1697" s="9" t="s">
        <v>3381</v>
      </c>
      <c r="C1697" s="9" t="str">
        <f>HYPERLINK("http://www.ncbi.nlm.nih.gov/protein/329299050","Dcun1d1")</f>
        <v>Dcun1d1</v>
      </c>
      <c r="D1697" s="10">
        <f t="shared" si="26"/>
        <v>5.1967178364680562</v>
      </c>
      <c r="F1697" s="8" t="str">
        <f>HYPERLINK("https://esbl.nhlbi.nih.gov/Databases/mpkFractions/proteomic_fractions_log_files/Yang_log_img/329299050.jpg","show blot")</f>
        <v>show blot</v>
      </c>
      <c r="H1697" s="8" t="str">
        <f>HYPERLINK("https://esbl.nhlbi.nih.gov/Databases/mpkFractions/proteomic_fractions_linear_files/Yang_linear_img/329299050.jpg","show blot")</f>
        <v>show blot</v>
      </c>
      <c r="J1697" s="5" t="s">
        <v>3382</v>
      </c>
      <c r="L1697" s="11">
        <v>5.1967178364680562</v>
      </c>
      <c r="N1697" s="12"/>
    </row>
    <row r="1698" spans="1:14" s="5" customFormat="1" ht="15" customHeight="1" x14ac:dyDescent="0.25">
      <c r="A1698" s="9" t="s">
        <v>3383</v>
      </c>
      <c r="C1698" s="9" t="str">
        <f>HYPERLINK("http://www.ncbi.nlm.nih.gov/protein/111162655","Dcun1d2")</f>
        <v>Dcun1d2</v>
      </c>
      <c r="D1698" s="10">
        <f t="shared" si="26"/>
        <v>3.941405134415338</v>
      </c>
      <c r="F1698" s="8" t="str">
        <f>HYPERLINK("https://esbl.nhlbi.nih.gov/Databases/mpkFractions/proteomic_fractions_log_files/Yang_log_img/111162655.jpg","show blot")</f>
        <v>show blot</v>
      </c>
      <c r="H1698" s="8" t="str">
        <f>HYPERLINK("https://esbl.nhlbi.nih.gov/Databases/mpkFractions/proteomic_fractions_linear_files/Yang_linear_img/111162655.jpg","show blot")</f>
        <v>show blot</v>
      </c>
      <c r="J1698" s="5" t="s">
        <v>3384</v>
      </c>
      <c r="L1698" s="11">
        <v>3.941405134415338</v>
      </c>
      <c r="N1698" s="12"/>
    </row>
    <row r="1699" spans="1:14" s="5" customFormat="1" ht="15" customHeight="1" x14ac:dyDescent="0.25">
      <c r="A1699" s="9" t="s">
        <v>3385</v>
      </c>
      <c r="C1699" s="9" t="str">
        <f>HYPERLINK("http://www.ncbi.nlm.nih.gov/protein/111162657","Dcun1d2")</f>
        <v>Dcun1d2</v>
      </c>
      <c r="D1699" s="10">
        <f t="shared" si="26"/>
        <v>3.941405134415338</v>
      </c>
      <c r="F1699" s="8" t="str">
        <f>HYPERLINK("https://esbl.nhlbi.nih.gov/Databases/mpkFractions/proteomic_fractions_log_files/Yang_log_img/111162657.jpg","show blot")</f>
        <v>show blot</v>
      </c>
      <c r="H1699" s="8" t="str">
        <f>HYPERLINK("https://esbl.nhlbi.nih.gov/Databases/mpkFractions/proteomic_fractions_linear_files/Yang_linear_img/111162657.jpg","show blot")</f>
        <v>show blot</v>
      </c>
      <c r="J1699" s="5" t="s">
        <v>3386</v>
      </c>
      <c r="L1699" s="11">
        <v>3.941405134415338</v>
      </c>
      <c r="N1699" s="12"/>
    </row>
    <row r="1700" spans="1:14" s="5" customFormat="1" ht="15" customHeight="1" x14ac:dyDescent="0.25">
      <c r="A1700" s="9" t="s">
        <v>3387</v>
      </c>
      <c r="C1700" s="9" t="str">
        <f>HYPERLINK("http://www.ncbi.nlm.nih.gov/protein/111162659","Dcun1d2")</f>
        <v>Dcun1d2</v>
      </c>
      <c r="D1700" s="10">
        <f t="shared" si="26"/>
        <v>3.941405134415338</v>
      </c>
      <c r="F1700" s="8" t="str">
        <f>HYPERLINK("https://esbl.nhlbi.nih.gov/Databases/mpkFractions/proteomic_fractions_log_files/Yang_log_img/111162659.jpg","show blot")</f>
        <v>show blot</v>
      </c>
      <c r="H1700" s="8" t="str">
        <f>HYPERLINK("https://esbl.nhlbi.nih.gov/Databases/mpkFractions/proteomic_fractions_linear_files/Yang_linear_img/111162659.jpg","show blot")</f>
        <v>show blot</v>
      </c>
      <c r="J1700" s="5" t="s">
        <v>3388</v>
      </c>
      <c r="L1700" s="11">
        <v>3.941405134415338</v>
      </c>
      <c r="N1700" s="12"/>
    </row>
    <row r="1701" spans="1:14" s="5" customFormat="1" ht="15" customHeight="1" x14ac:dyDescent="0.25">
      <c r="A1701" s="9" t="s">
        <v>3389</v>
      </c>
      <c r="C1701" s="9" t="str">
        <f>HYPERLINK("http://www.ncbi.nlm.nih.gov/protein/111162661","Dcun1d2")</f>
        <v>Dcun1d2</v>
      </c>
      <c r="D1701" s="10">
        <f t="shared" si="26"/>
        <v>3.941405134415338</v>
      </c>
      <c r="F1701" s="8" t="str">
        <f>HYPERLINK("https://esbl.nhlbi.nih.gov/Databases/mpkFractions/proteomic_fractions_log_files/Yang_log_img/111162661.jpg","show blot")</f>
        <v>show blot</v>
      </c>
      <c r="H1701" s="8" t="str">
        <f>HYPERLINK("https://esbl.nhlbi.nih.gov/Databases/mpkFractions/proteomic_fractions_linear_files/Yang_linear_img/111162661.jpg","show blot")</f>
        <v>show blot</v>
      </c>
      <c r="J1701" s="5" t="s">
        <v>3390</v>
      </c>
      <c r="L1701" s="11">
        <v>3.941405134415338</v>
      </c>
      <c r="N1701" s="12"/>
    </row>
    <row r="1702" spans="1:14" s="5" customFormat="1" ht="15" customHeight="1" x14ac:dyDescent="0.25">
      <c r="A1702" s="9" t="s">
        <v>3391</v>
      </c>
      <c r="C1702" s="9" t="str">
        <f>HYPERLINK("http://www.ncbi.nlm.nih.gov/protein/23956220","Dcun1d5")</f>
        <v>Dcun1d5</v>
      </c>
      <c r="D1702" s="10">
        <f t="shared" si="26"/>
        <v>4.3399230003715523</v>
      </c>
      <c r="F1702" s="8" t="str">
        <f>HYPERLINK("https://esbl.nhlbi.nih.gov/Databases/mpkFractions/proteomic_fractions_log_files/Yang_log_img/23956220.jpg","show blot")</f>
        <v>show blot</v>
      </c>
      <c r="H1702" s="8" t="str">
        <f>HYPERLINK("https://esbl.nhlbi.nih.gov/Databases/mpkFractions/proteomic_fractions_linear_files/Yang_linear_img/23956220.jpg","show blot")</f>
        <v>show blot</v>
      </c>
      <c r="J1702" s="5" t="s">
        <v>3392</v>
      </c>
      <c r="L1702" s="11">
        <v>4.3399230003715523</v>
      </c>
      <c r="N1702" s="12"/>
    </row>
    <row r="1703" spans="1:14" s="5" customFormat="1" ht="15" customHeight="1" x14ac:dyDescent="0.25">
      <c r="A1703" s="9" t="s">
        <v>3393</v>
      </c>
      <c r="C1703" s="9" t="str">
        <f>HYPERLINK("http://www.ncbi.nlm.nih.gov/protein/146134409","Dcxr")</f>
        <v>Dcxr</v>
      </c>
      <c r="D1703" s="10">
        <f t="shared" si="26"/>
        <v>5.3867470097036758</v>
      </c>
      <c r="F1703" s="8" t="str">
        <f>HYPERLINK("https://esbl.nhlbi.nih.gov/Databases/mpkFractions/proteomic_fractions_log_files/Yang_log_img/146134409.jpg","show blot")</f>
        <v>show blot</v>
      </c>
      <c r="H1703" s="8" t="str">
        <f>HYPERLINK("https://esbl.nhlbi.nih.gov/Databases/mpkFractions/proteomic_fractions_linear_files/Yang_linear_img/146134409.jpg","show blot")</f>
        <v>show blot</v>
      </c>
      <c r="J1703" s="5" t="s">
        <v>3394</v>
      </c>
      <c r="L1703" s="11">
        <v>5.3867470097036758</v>
      </c>
      <c r="N1703" s="12"/>
    </row>
    <row r="1704" spans="1:14" s="5" customFormat="1" ht="15" customHeight="1" x14ac:dyDescent="0.25">
      <c r="A1704" s="9" t="s">
        <v>3395</v>
      </c>
      <c r="C1704" s="9" t="str">
        <f>HYPERLINK("http://www.ncbi.nlm.nih.gov/protein/189491666","Dda1")</f>
        <v>Dda1</v>
      </c>
      <c r="D1704" s="10">
        <f t="shared" si="26"/>
        <v>5.0958592250494572</v>
      </c>
      <c r="F1704" s="8" t="str">
        <f>HYPERLINK("https://esbl.nhlbi.nih.gov/Databases/mpkFractions/proteomic_fractions_log_files/Yang_log_img/189491666.jpg","show blot")</f>
        <v>show blot</v>
      </c>
      <c r="H1704" s="8" t="str">
        <f>HYPERLINK("https://esbl.nhlbi.nih.gov/Databases/mpkFractions/proteomic_fractions_linear_files/Yang_linear_img/189491666.jpg","show blot")</f>
        <v>show blot</v>
      </c>
      <c r="J1704" s="5" t="s">
        <v>3396</v>
      </c>
      <c r="L1704" s="11">
        <v>5.0958592250494572</v>
      </c>
      <c r="N1704" s="12"/>
    </row>
    <row r="1705" spans="1:14" s="5" customFormat="1" ht="15" customHeight="1" x14ac:dyDescent="0.25">
      <c r="A1705" s="9" t="s">
        <v>3397</v>
      </c>
      <c r="C1705" s="9" t="str">
        <f>HYPERLINK("http://www.ncbi.nlm.nih.gov/protein/38371755","Ddah1")</f>
        <v>Ddah1</v>
      </c>
      <c r="D1705" s="10">
        <f t="shared" si="26"/>
        <v>5.3883637625146168</v>
      </c>
      <c r="F1705" s="8" t="str">
        <f>HYPERLINK("https://esbl.nhlbi.nih.gov/Databases/mpkFractions/proteomic_fractions_log_files/Yang_log_img/38371755.jpg","show blot")</f>
        <v>show blot</v>
      </c>
      <c r="H1705" s="8" t="str">
        <f>HYPERLINK("https://esbl.nhlbi.nih.gov/Databases/mpkFractions/proteomic_fractions_linear_files/Yang_linear_img/38371755.jpg","show blot")</f>
        <v>show blot</v>
      </c>
      <c r="J1705" s="5" t="s">
        <v>3398</v>
      </c>
      <c r="L1705" s="11">
        <v>5.3883637625146168</v>
      </c>
      <c r="N1705" s="12"/>
    </row>
    <row r="1706" spans="1:14" s="5" customFormat="1" ht="15" customHeight="1" x14ac:dyDescent="0.25">
      <c r="A1706" s="9" t="s">
        <v>3399</v>
      </c>
      <c r="C1706" s="9" t="str">
        <f>HYPERLINK("http://www.ncbi.nlm.nih.gov/protein/299522791","Ddah2")</f>
        <v>Ddah2</v>
      </c>
      <c r="D1706" s="10">
        <f t="shared" si="26"/>
        <v>5.7883301511442671</v>
      </c>
      <c r="F1706" s="8" t="str">
        <f>HYPERLINK("https://esbl.nhlbi.nih.gov/Databases/mpkFractions/proteomic_fractions_log_files/Yang_log_img/299522791.jpg","show blot")</f>
        <v>show blot</v>
      </c>
      <c r="H1706" s="8" t="str">
        <f>HYPERLINK("https://esbl.nhlbi.nih.gov/Databases/mpkFractions/proteomic_fractions_linear_files/Yang_linear_img/299522791.jpg","show blot")</f>
        <v>show blot</v>
      </c>
      <c r="J1706" s="5" t="s">
        <v>3400</v>
      </c>
      <c r="L1706" s="11">
        <v>5.7883301511442671</v>
      </c>
      <c r="N1706" s="12"/>
    </row>
    <row r="1707" spans="1:14" s="5" customFormat="1" ht="15" customHeight="1" x14ac:dyDescent="0.25">
      <c r="A1707" s="9" t="s">
        <v>3401</v>
      </c>
      <c r="C1707" s="9" t="str">
        <f>HYPERLINK("http://www.ncbi.nlm.nih.gov/protein/7949035","Ddah2")</f>
        <v>Ddah2</v>
      </c>
      <c r="D1707" s="10">
        <f t="shared" si="26"/>
        <v>5.7883301511442671</v>
      </c>
      <c r="F1707" s="8" t="str">
        <f>HYPERLINK("https://esbl.nhlbi.nih.gov/Databases/mpkFractions/proteomic_fractions_log_files/Yang_log_img/7949035.jpg","show blot")</f>
        <v>show blot</v>
      </c>
      <c r="H1707" s="8" t="str">
        <f>HYPERLINK("https://esbl.nhlbi.nih.gov/Databases/mpkFractions/proteomic_fractions_linear_files/Yang_linear_img/7949035.jpg","show blot")</f>
        <v>show blot</v>
      </c>
      <c r="J1707" s="5" t="s">
        <v>3402</v>
      </c>
      <c r="L1707" s="11">
        <v>5.7883301511442671</v>
      </c>
      <c r="N1707" s="12"/>
    </row>
    <row r="1708" spans="1:14" s="5" customFormat="1" ht="15" customHeight="1" x14ac:dyDescent="0.25">
      <c r="A1708" s="9" t="s">
        <v>3403</v>
      </c>
      <c r="C1708" s="9" t="str">
        <f>HYPERLINK("http://www.ncbi.nlm.nih.gov/protein/7657011","Ddb1")</f>
        <v>Ddb1</v>
      </c>
      <c r="D1708" s="10">
        <f t="shared" si="26"/>
        <v>5.9333889641592084</v>
      </c>
      <c r="F1708" s="8" t="str">
        <f>HYPERLINK("https://esbl.nhlbi.nih.gov/Databases/mpkFractions/proteomic_fractions_log_files/Yang_log_img/7657011.jpg","show blot")</f>
        <v>show blot</v>
      </c>
      <c r="H1708" s="8" t="str">
        <f>HYPERLINK("https://esbl.nhlbi.nih.gov/Databases/mpkFractions/proteomic_fractions_linear_files/Yang_linear_img/7657011.jpg","show blot")</f>
        <v>show blot</v>
      </c>
      <c r="J1708" s="5" t="s">
        <v>3404</v>
      </c>
      <c r="L1708" s="11">
        <v>5.9333889641592084</v>
      </c>
      <c r="N1708" s="12"/>
    </row>
    <row r="1709" spans="1:14" s="5" customFormat="1" ht="15" customHeight="1" x14ac:dyDescent="0.25">
      <c r="A1709" s="9" t="s">
        <v>3405</v>
      </c>
      <c r="C1709" s="9" t="str">
        <f>HYPERLINK("http://www.ncbi.nlm.nih.gov/protein/63003917","Ddi2")</f>
        <v>Ddi2</v>
      </c>
      <c r="D1709" s="10">
        <f t="shared" si="26"/>
        <v>4.7449661944631973</v>
      </c>
      <c r="F1709" s="8" t="str">
        <f>HYPERLINK("https://esbl.nhlbi.nih.gov/Databases/mpkFractions/proteomic_fractions_log_files/Yang_log_img/63003917.jpg","show blot")</f>
        <v>show blot</v>
      </c>
      <c r="H1709" s="8" t="str">
        <f>HYPERLINK("https://esbl.nhlbi.nih.gov/Databases/mpkFractions/proteomic_fractions_linear_files/Yang_linear_img/63003917.jpg","show blot")</f>
        <v>show blot</v>
      </c>
      <c r="J1709" s="5" t="s">
        <v>3406</v>
      </c>
      <c r="L1709" s="11">
        <v>4.7449661944631973</v>
      </c>
      <c r="N1709" s="12"/>
    </row>
    <row r="1710" spans="1:14" s="5" customFormat="1" ht="15" customHeight="1" x14ac:dyDescent="0.25">
      <c r="A1710" s="9" t="s">
        <v>3407</v>
      </c>
      <c r="C1710" s="9" t="str">
        <f>HYPERLINK("http://www.ncbi.nlm.nih.gov/protein/46195798","Ddost")</f>
        <v>Ddost</v>
      </c>
      <c r="D1710" s="10">
        <f t="shared" si="26"/>
        <v>5.7814211450776511</v>
      </c>
      <c r="F1710" s="8" t="str">
        <f>HYPERLINK("https://esbl.nhlbi.nih.gov/Databases/mpkFractions/proteomic_fractions_log_files/Yang_log_img/46195798.jpg","show blot")</f>
        <v>show blot</v>
      </c>
      <c r="H1710" s="8" t="str">
        <f>HYPERLINK("https://esbl.nhlbi.nih.gov/Databases/mpkFractions/proteomic_fractions_linear_files/Yang_linear_img/46195798.jpg","show blot")</f>
        <v>show blot</v>
      </c>
      <c r="J1710" s="5" t="s">
        <v>3408</v>
      </c>
      <c r="L1710" s="11">
        <v>5.7814211450776511</v>
      </c>
      <c r="N1710" s="12"/>
    </row>
    <row r="1711" spans="1:14" s="5" customFormat="1" ht="15" customHeight="1" x14ac:dyDescent="0.25">
      <c r="A1711" s="9" t="s">
        <v>3409</v>
      </c>
      <c r="C1711" s="9" t="str">
        <f>HYPERLINK("http://www.ncbi.nlm.nih.gov/protein/110350660","Ddrgk1")</f>
        <v>Ddrgk1</v>
      </c>
      <c r="D1711" s="10">
        <f t="shared" si="26"/>
        <v>2.561500675458388</v>
      </c>
      <c r="F1711" s="8" t="str">
        <f>HYPERLINK("https://esbl.nhlbi.nih.gov/Databases/mpkFractions/proteomic_fractions_log_files/Yang_log_img/110350660.jpg","show blot")</f>
        <v>show blot</v>
      </c>
      <c r="H1711" s="8" t="str">
        <f>HYPERLINK("https://esbl.nhlbi.nih.gov/Databases/mpkFractions/proteomic_fractions_linear_files/Yang_linear_img/110350660.jpg","show blot")</f>
        <v>show blot</v>
      </c>
      <c r="J1711" s="5" t="s">
        <v>3410</v>
      </c>
      <c r="L1711" s="11">
        <v>2.561500675458388</v>
      </c>
      <c r="N1711" s="12"/>
    </row>
    <row r="1712" spans="1:14" s="5" customFormat="1" ht="15" customHeight="1" x14ac:dyDescent="0.25">
      <c r="A1712" s="9" t="s">
        <v>3411</v>
      </c>
      <c r="C1712" s="9" t="str">
        <f>HYPERLINK("http://www.ncbi.nlm.nih.gov/protein/6753618","Ddt")</f>
        <v>Ddt</v>
      </c>
      <c r="D1712" s="10">
        <f t="shared" si="26"/>
        <v>6.036437646842038</v>
      </c>
      <c r="F1712" s="8" t="str">
        <f>HYPERLINK("https://esbl.nhlbi.nih.gov/Databases/mpkFractions/proteomic_fractions_log_files/Yang_log_img/6753618.jpg","show blot")</f>
        <v>show blot</v>
      </c>
      <c r="H1712" s="8" t="str">
        <f>HYPERLINK("https://esbl.nhlbi.nih.gov/Databases/mpkFractions/proteomic_fractions_linear_files/Yang_linear_img/6753618.jpg","show blot")</f>
        <v>show blot</v>
      </c>
      <c r="J1712" s="5" t="s">
        <v>3412</v>
      </c>
      <c r="L1712" s="11">
        <v>6.036437646842038</v>
      </c>
      <c r="N1712" s="12"/>
    </row>
    <row r="1713" spans="1:14" s="5" customFormat="1" ht="15" customHeight="1" x14ac:dyDescent="0.25">
      <c r="A1713" s="9" t="s">
        <v>3413</v>
      </c>
      <c r="C1713" s="9" t="str">
        <f>HYPERLINK("http://www.ncbi.nlm.nih.gov/protein/19527256","Ddx1")</f>
        <v>Ddx1</v>
      </c>
      <c r="D1713" s="10">
        <f t="shared" si="26"/>
        <v>5.8000073513383148</v>
      </c>
      <c r="F1713" s="8" t="str">
        <f>HYPERLINK("https://esbl.nhlbi.nih.gov/Databases/mpkFractions/proteomic_fractions_log_files/Yang_log_img/19527256.jpg","show blot")</f>
        <v>show blot</v>
      </c>
      <c r="H1713" s="8" t="str">
        <f>HYPERLINK("https://esbl.nhlbi.nih.gov/Databases/mpkFractions/proteomic_fractions_linear_files/Yang_linear_img/19527256.jpg","show blot")</f>
        <v>show blot</v>
      </c>
      <c r="J1713" s="5" t="s">
        <v>3414</v>
      </c>
      <c r="L1713" s="11">
        <v>5.8000073513383148</v>
      </c>
      <c r="N1713" s="12"/>
    </row>
    <row r="1714" spans="1:14" s="5" customFormat="1" ht="15" customHeight="1" x14ac:dyDescent="0.25">
      <c r="A1714" s="9" t="s">
        <v>3415</v>
      </c>
      <c r="C1714" s="9" t="str">
        <f>HYPERLINK("http://www.ncbi.nlm.nih.gov/protein/40068489","Ddx17")</f>
        <v>Ddx17</v>
      </c>
      <c r="D1714" s="10">
        <f t="shared" si="26"/>
        <v>7.0165069941811629</v>
      </c>
      <c r="F1714" s="8" t="str">
        <f>HYPERLINK("https://esbl.nhlbi.nih.gov/Databases/mpkFractions/proteomic_fractions_log_files/Yang_log_img/40068489.jpg","show blot")</f>
        <v>show blot</v>
      </c>
      <c r="H1714" s="8" t="str">
        <f>HYPERLINK("https://esbl.nhlbi.nih.gov/Databases/mpkFractions/proteomic_fractions_linear_files/Yang_linear_img/40068489.jpg","show blot")</f>
        <v>show blot</v>
      </c>
      <c r="J1714" s="5" t="s">
        <v>3416</v>
      </c>
      <c r="L1714" s="11">
        <v>7.0165069941811629</v>
      </c>
      <c r="N1714" s="12"/>
    </row>
    <row r="1715" spans="1:14" s="5" customFormat="1" ht="15" customHeight="1" x14ac:dyDescent="0.25">
      <c r="A1715" s="9" t="s">
        <v>3417</v>
      </c>
      <c r="C1715" s="9" t="str">
        <f>HYPERLINK("http://www.ncbi.nlm.nih.gov/protein/40068491","Ddx17")</f>
        <v>Ddx17</v>
      </c>
      <c r="D1715" s="10">
        <f t="shared" si="26"/>
        <v>7.0165069941811629</v>
      </c>
      <c r="F1715" s="8" t="str">
        <f>HYPERLINK("https://esbl.nhlbi.nih.gov/Databases/mpkFractions/proteomic_fractions_log_files/Yang_log_img/40068491.jpg","show blot")</f>
        <v>show blot</v>
      </c>
      <c r="H1715" s="8" t="str">
        <f>HYPERLINK("https://esbl.nhlbi.nih.gov/Databases/mpkFractions/proteomic_fractions_linear_files/Yang_linear_img/40068491.jpg","show blot")</f>
        <v>show blot</v>
      </c>
      <c r="J1715" s="5" t="s">
        <v>3418</v>
      </c>
      <c r="L1715" s="11">
        <v>7.0165069941811629</v>
      </c>
      <c r="N1715" s="12"/>
    </row>
    <row r="1716" spans="1:14" s="5" customFormat="1" ht="15" customHeight="1" x14ac:dyDescent="0.25">
      <c r="A1716" s="9" t="s">
        <v>3419</v>
      </c>
      <c r="C1716" s="9" t="str">
        <f>HYPERLINK("http://www.ncbi.nlm.nih.gov/protein/40068493","Ddx17")</f>
        <v>Ddx17</v>
      </c>
      <c r="D1716" s="10">
        <f t="shared" si="26"/>
        <v>7.0165069941811629</v>
      </c>
      <c r="F1716" s="8" t="str">
        <f>HYPERLINK("https://esbl.nhlbi.nih.gov/Databases/mpkFractions/proteomic_fractions_log_files/Yang_log_img/40068493.jpg","show blot")</f>
        <v>show blot</v>
      </c>
      <c r="H1716" s="8" t="str">
        <f>HYPERLINK("https://esbl.nhlbi.nih.gov/Databases/mpkFractions/proteomic_fractions_linear_files/Yang_linear_img/40068493.jpg","show blot")</f>
        <v>show blot</v>
      </c>
      <c r="J1716" s="5" t="s">
        <v>3420</v>
      </c>
      <c r="L1716" s="11">
        <v>7.0165069941811629</v>
      </c>
      <c r="N1716" s="12"/>
    </row>
    <row r="1717" spans="1:14" s="5" customFormat="1" ht="15" customHeight="1" x14ac:dyDescent="0.25">
      <c r="A1717" s="9" t="s">
        <v>3421</v>
      </c>
      <c r="C1717" s="9" t="str">
        <f>HYPERLINK("http://www.ncbi.nlm.nih.gov/protein/93587673","Ddx17")</f>
        <v>Ddx17</v>
      </c>
      <c r="D1717" s="10">
        <f t="shared" si="26"/>
        <v>7.0165069941811629</v>
      </c>
      <c r="F1717" s="8" t="str">
        <f>HYPERLINK("https://esbl.nhlbi.nih.gov/Databases/mpkFractions/proteomic_fractions_log_files/Yang_log_img/93587673.jpg","show blot")</f>
        <v>show blot</v>
      </c>
      <c r="H1717" s="8" t="str">
        <f>HYPERLINK("https://esbl.nhlbi.nih.gov/Databases/mpkFractions/proteomic_fractions_linear_files/Yang_linear_img/93587673.jpg","show blot")</f>
        <v>show blot</v>
      </c>
      <c r="J1717" s="5" t="s">
        <v>3422</v>
      </c>
      <c r="L1717" s="11">
        <v>7.0165069941811629</v>
      </c>
      <c r="N1717" s="12"/>
    </row>
    <row r="1718" spans="1:14" s="5" customFormat="1" ht="15" customHeight="1" x14ac:dyDescent="0.25">
      <c r="A1718" s="9" t="s">
        <v>3423</v>
      </c>
      <c r="C1718" s="9" t="str">
        <f>HYPERLINK("http://www.ncbi.nlm.nih.gov/protein/31981163","Ddx18")</f>
        <v>Ddx18</v>
      </c>
      <c r="D1718" s="10">
        <f t="shared" si="26"/>
        <v>4.1223817587616134</v>
      </c>
      <c r="F1718" s="8" t="str">
        <f>HYPERLINK("https://esbl.nhlbi.nih.gov/Databases/mpkFractions/proteomic_fractions_log_files/Yang_log_img/31981163.jpg","show blot")</f>
        <v>show blot</v>
      </c>
      <c r="H1718" s="8" t="str">
        <f>HYPERLINK("https://esbl.nhlbi.nih.gov/Databases/mpkFractions/proteomic_fractions_linear_files/Yang_linear_img/31981163.jpg","show blot")</f>
        <v>show blot</v>
      </c>
      <c r="J1718" s="5" t="s">
        <v>3424</v>
      </c>
      <c r="L1718" s="11">
        <v>4.1223817587616134</v>
      </c>
      <c r="N1718" s="12"/>
    </row>
    <row r="1719" spans="1:14" s="5" customFormat="1" ht="15" customHeight="1" x14ac:dyDescent="0.25">
      <c r="A1719" s="9" t="s">
        <v>3425</v>
      </c>
      <c r="C1719" s="9" t="str">
        <f>HYPERLINK("http://www.ncbi.nlm.nih.gov/protein/170932536","Ddx19a")</f>
        <v>Ddx19a</v>
      </c>
      <c r="D1719" s="10">
        <f t="shared" si="26"/>
        <v>5.6445117650274108</v>
      </c>
      <c r="F1719" s="8" t="str">
        <f>HYPERLINK("https://esbl.nhlbi.nih.gov/Databases/mpkFractions/proteomic_fractions_log_files/Yang_log_img/170932536.jpg","show blot")</f>
        <v>show blot</v>
      </c>
      <c r="H1719" s="8" t="str">
        <f>HYPERLINK("https://esbl.nhlbi.nih.gov/Databases/mpkFractions/proteomic_fractions_linear_files/Yang_linear_img/170932536.jpg","show blot")</f>
        <v>show blot</v>
      </c>
      <c r="J1719" s="5" t="s">
        <v>3426</v>
      </c>
      <c r="L1719" s="11">
        <v>5.6445117650274108</v>
      </c>
      <c r="N1719" s="12"/>
    </row>
    <row r="1720" spans="1:14" s="5" customFormat="1" ht="15" customHeight="1" x14ac:dyDescent="0.25">
      <c r="A1720" s="9" t="s">
        <v>3427</v>
      </c>
      <c r="C1720" s="9" t="str">
        <f>HYPERLINK("http://www.ncbi.nlm.nih.gov/protein/26986593","Ddx19b")</f>
        <v>Ddx19b</v>
      </c>
      <c r="D1720" s="10">
        <f t="shared" si="26"/>
        <v>5.643137823901454</v>
      </c>
      <c r="F1720" s="8" t="str">
        <f>HYPERLINK("https://esbl.nhlbi.nih.gov/Databases/mpkFractions/proteomic_fractions_log_files/Yang_log_img/26986593.jpg","show blot")</f>
        <v>show blot</v>
      </c>
      <c r="H1720" s="8" t="str">
        <f>HYPERLINK("https://esbl.nhlbi.nih.gov/Databases/mpkFractions/proteomic_fractions_linear_files/Yang_linear_img/26986593.jpg","show blot")</f>
        <v>show blot</v>
      </c>
      <c r="J1720" s="5" t="s">
        <v>3428</v>
      </c>
      <c r="L1720" s="11">
        <v>5.643137823901454</v>
      </c>
      <c r="N1720" s="12"/>
    </row>
    <row r="1721" spans="1:14" s="5" customFormat="1" ht="15" customHeight="1" x14ac:dyDescent="0.25">
      <c r="A1721" s="9" t="s">
        <v>3429</v>
      </c>
      <c r="C1721" s="9" t="str">
        <f>HYPERLINK("http://www.ncbi.nlm.nih.gov/protein/299890779","Ddx19b")</f>
        <v>Ddx19b</v>
      </c>
      <c r="D1721" s="10">
        <f t="shared" si="26"/>
        <v>5.643137823901454</v>
      </c>
      <c r="F1721" s="8" t="str">
        <f>HYPERLINK("https://esbl.nhlbi.nih.gov/Databases/mpkFractions/proteomic_fractions_log_files/Yang_log_img/299890779.jpg","show blot")</f>
        <v>show blot</v>
      </c>
      <c r="H1721" s="8" t="str">
        <f>HYPERLINK("https://esbl.nhlbi.nih.gov/Databases/mpkFractions/proteomic_fractions_linear_files/Yang_linear_img/299890779.jpg","show blot")</f>
        <v>show blot</v>
      </c>
      <c r="J1721" s="5" t="s">
        <v>3430</v>
      </c>
      <c r="L1721" s="11">
        <v>5.643137823901454</v>
      </c>
      <c r="N1721" s="12"/>
    </row>
    <row r="1722" spans="1:14" s="5" customFormat="1" ht="15" customHeight="1" x14ac:dyDescent="0.25">
      <c r="A1722" s="9" t="s">
        <v>3431</v>
      </c>
      <c r="C1722" s="9" t="str">
        <f>HYPERLINK("http://www.ncbi.nlm.nih.gov/protein/299890868","Ddx19b")</f>
        <v>Ddx19b</v>
      </c>
      <c r="D1722" s="10">
        <f t="shared" si="26"/>
        <v>5.643137823901454</v>
      </c>
      <c r="F1722" s="8" t="str">
        <f>HYPERLINK("https://esbl.nhlbi.nih.gov/Databases/mpkFractions/proteomic_fractions_log_files/Yang_log_img/299890868.jpg","show blot")</f>
        <v>show blot</v>
      </c>
      <c r="H1722" s="8" t="str">
        <f>HYPERLINK("https://esbl.nhlbi.nih.gov/Databases/mpkFractions/proteomic_fractions_linear_files/Yang_linear_img/299890868.jpg","show blot")</f>
        <v>show blot</v>
      </c>
      <c r="J1722" s="5" t="s">
        <v>3432</v>
      </c>
      <c r="L1722" s="11">
        <v>5.643137823901454</v>
      </c>
      <c r="N1722" s="12"/>
    </row>
    <row r="1723" spans="1:14" s="5" customFormat="1" ht="15" customHeight="1" x14ac:dyDescent="0.25">
      <c r="A1723" s="9" t="s">
        <v>3433</v>
      </c>
      <c r="C1723" s="9" t="str">
        <f>HYPERLINK("http://www.ncbi.nlm.nih.gov/protein/72384374","Ddx21")</f>
        <v>Ddx21</v>
      </c>
      <c r="D1723" s="10">
        <f t="shared" si="26"/>
        <v>5.3695227079748404</v>
      </c>
      <c r="F1723" s="8" t="str">
        <f>HYPERLINK("https://esbl.nhlbi.nih.gov/Databases/mpkFractions/proteomic_fractions_log_files/Yang_log_img/72384374.jpg","show blot")</f>
        <v>show blot</v>
      </c>
      <c r="H1723" s="8" t="str">
        <f>HYPERLINK("https://esbl.nhlbi.nih.gov/Databases/mpkFractions/proteomic_fractions_linear_files/Yang_linear_img/72384374.jpg","show blot")</f>
        <v>show blot</v>
      </c>
      <c r="J1723" s="5" t="s">
        <v>3434</v>
      </c>
      <c r="L1723" s="11">
        <v>5.3695227079748404</v>
      </c>
      <c r="N1723" s="12"/>
    </row>
    <row r="1724" spans="1:14" s="5" customFormat="1" ht="15" customHeight="1" x14ac:dyDescent="0.25">
      <c r="A1724" s="9" t="s">
        <v>3435</v>
      </c>
      <c r="C1724" s="9" t="str">
        <f>HYPERLINK("http://www.ncbi.nlm.nih.gov/protein/124430514","Ddx23")</f>
        <v>Ddx23</v>
      </c>
      <c r="D1724" s="10">
        <f t="shared" si="26"/>
        <v>4.5497107219488031</v>
      </c>
      <c r="F1724" s="8" t="str">
        <f>HYPERLINK("https://esbl.nhlbi.nih.gov/Databases/mpkFractions/proteomic_fractions_log_files/Yang_log_img/124430514.jpg","show blot")</f>
        <v>show blot</v>
      </c>
      <c r="H1724" s="8" t="str">
        <f>HYPERLINK("https://esbl.nhlbi.nih.gov/Databases/mpkFractions/proteomic_fractions_linear_files/Yang_linear_img/124430514.jpg","show blot")</f>
        <v>show blot</v>
      </c>
      <c r="J1724" s="5" t="s">
        <v>3436</v>
      </c>
      <c r="L1724" s="11">
        <v>4.5497107219488031</v>
      </c>
      <c r="N1724" s="12"/>
    </row>
    <row r="1725" spans="1:14" s="5" customFormat="1" ht="15" customHeight="1" x14ac:dyDescent="0.25">
      <c r="A1725" s="9" t="s">
        <v>3437</v>
      </c>
      <c r="C1725" s="9" t="str">
        <f>HYPERLINK("http://www.ncbi.nlm.nih.gov/protein/226958385","Ddx24")</f>
        <v>Ddx24</v>
      </c>
      <c r="D1725" s="10">
        <f t="shared" si="26"/>
        <v>3.1200463553215609</v>
      </c>
      <c r="F1725" s="8" t="str">
        <f>HYPERLINK("https://esbl.nhlbi.nih.gov/Databases/mpkFractions/proteomic_fractions_log_files/Yang_log_img/226958385.jpg","show blot")</f>
        <v>show blot</v>
      </c>
      <c r="H1725" s="8" t="str">
        <f>HYPERLINK("https://esbl.nhlbi.nih.gov/Databases/mpkFractions/proteomic_fractions_linear_files/Yang_linear_img/226958385.jpg","show blot")</f>
        <v>show blot</v>
      </c>
      <c r="J1725" s="5" t="s">
        <v>3438</v>
      </c>
      <c r="L1725" s="11">
        <v>3.1200463553215609</v>
      </c>
      <c r="N1725" s="12"/>
    </row>
    <row r="1726" spans="1:14" s="5" customFormat="1" ht="15" customHeight="1" x14ac:dyDescent="0.25">
      <c r="A1726" s="9" t="s">
        <v>3439</v>
      </c>
      <c r="C1726" s="9" t="str">
        <f>HYPERLINK("http://www.ncbi.nlm.nih.gov/protein/34328253","Ddx24")</f>
        <v>Ddx24</v>
      </c>
      <c r="D1726" s="10">
        <f t="shared" si="26"/>
        <v>3.1200463553215609</v>
      </c>
      <c r="F1726" s="8" t="str">
        <f>HYPERLINK("https://esbl.nhlbi.nih.gov/Databases/mpkFractions/proteomic_fractions_log_files/Yang_log_img/34328253.jpg","show blot")</f>
        <v>show blot</v>
      </c>
      <c r="H1726" s="8" t="str">
        <f>HYPERLINK("https://esbl.nhlbi.nih.gov/Databases/mpkFractions/proteomic_fractions_linear_files/Yang_linear_img/34328253.jpg","show blot")</f>
        <v>show blot</v>
      </c>
      <c r="J1726" s="5" t="s">
        <v>3440</v>
      </c>
      <c r="L1726" s="11">
        <v>3.1200463553215609</v>
      </c>
      <c r="N1726" s="12"/>
    </row>
    <row r="1727" spans="1:14" s="5" customFormat="1" ht="15" customHeight="1" x14ac:dyDescent="0.25">
      <c r="A1727" s="9" t="s">
        <v>3441</v>
      </c>
      <c r="C1727" s="9" t="str">
        <f>HYPERLINK("http://www.ncbi.nlm.nih.gov/protein/163914388","Ddx25")</f>
        <v>Ddx25</v>
      </c>
      <c r="D1727" s="10">
        <f t="shared" si="26"/>
        <v>5.1063981138906733</v>
      </c>
      <c r="F1727" s="8" t="str">
        <f>HYPERLINK("https://esbl.nhlbi.nih.gov/Databases/mpkFractions/proteomic_fractions_log_files/Yang_log_img/163914388.jpg","show blot")</f>
        <v>show blot</v>
      </c>
      <c r="H1727" s="8" t="str">
        <f>HYPERLINK("https://esbl.nhlbi.nih.gov/Databases/mpkFractions/proteomic_fractions_linear_files/Yang_linear_img/163914388.jpg","show blot")</f>
        <v>show blot</v>
      </c>
      <c r="J1727" s="5" t="s">
        <v>3442</v>
      </c>
      <c r="L1727" s="11">
        <v>5.1063981138906733</v>
      </c>
      <c r="N1727" s="12"/>
    </row>
    <row r="1728" spans="1:14" s="5" customFormat="1" ht="15" customHeight="1" x14ac:dyDescent="0.25">
      <c r="A1728" s="9" t="s">
        <v>3443</v>
      </c>
      <c r="C1728" s="9" t="str">
        <f>HYPERLINK("http://www.ncbi.nlm.nih.gov/protein/124249330","Ddx27")</f>
        <v>Ddx27</v>
      </c>
      <c r="D1728" s="10">
        <f t="shared" si="26"/>
        <v>3.9594662740471729</v>
      </c>
      <c r="F1728" s="8" t="str">
        <f>HYPERLINK("https://esbl.nhlbi.nih.gov/Databases/mpkFractions/proteomic_fractions_log_files/Yang_log_img/124249330.jpg","show blot")</f>
        <v>show blot</v>
      </c>
      <c r="H1728" s="8" t="str">
        <f>HYPERLINK("https://esbl.nhlbi.nih.gov/Databases/mpkFractions/proteomic_fractions_linear_files/Yang_linear_img/124249330.jpg","show blot")</f>
        <v>show blot</v>
      </c>
      <c r="J1728" s="5" t="s">
        <v>3444</v>
      </c>
      <c r="L1728" s="11">
        <v>3.9594662740471729</v>
      </c>
      <c r="N1728" s="12"/>
    </row>
    <row r="1729" spans="1:14" s="5" customFormat="1" ht="15" customHeight="1" x14ac:dyDescent="0.25">
      <c r="A1729" s="9" t="s">
        <v>3445</v>
      </c>
      <c r="C1729" s="9" t="str">
        <f>HYPERLINK("http://www.ncbi.nlm.nih.gov/protein/255069809","Ddx28")</f>
        <v>Ddx28</v>
      </c>
      <c r="D1729" s="10">
        <f t="shared" si="26"/>
        <v>2.7596316636423541</v>
      </c>
      <c r="F1729" s="8" t="str">
        <f>HYPERLINK("https://esbl.nhlbi.nih.gov/Databases/mpkFractions/proteomic_fractions_log_files/Yang_log_img/255069809.jpg","show blot")</f>
        <v>show blot</v>
      </c>
      <c r="H1729" s="8" t="str">
        <f>HYPERLINK("https://esbl.nhlbi.nih.gov/Databases/mpkFractions/proteomic_fractions_linear_files/Yang_linear_img/255069809.jpg","show blot")</f>
        <v>show blot</v>
      </c>
      <c r="J1729" s="5" t="s">
        <v>3446</v>
      </c>
      <c r="L1729" s="11">
        <v>2.7596316636423541</v>
      </c>
      <c r="N1729" s="12"/>
    </row>
    <row r="1730" spans="1:14" s="5" customFormat="1" ht="15" customHeight="1" x14ac:dyDescent="0.25">
      <c r="A1730" s="9" t="s">
        <v>3447</v>
      </c>
      <c r="C1730" s="9" t="str">
        <f>HYPERLINK("http://www.ncbi.nlm.nih.gov/protein/254675193","Ddx31")</f>
        <v>Ddx31</v>
      </c>
      <c r="D1730" s="10">
        <f t="shared" si="26"/>
        <v>2.8497543452905458</v>
      </c>
      <c r="F1730" s="8" t="str">
        <f>HYPERLINK("https://esbl.nhlbi.nih.gov/Databases/mpkFractions/proteomic_fractions_log_files/Yang_log_img/254675193.jpg","show blot")</f>
        <v>show blot</v>
      </c>
      <c r="H1730" s="8" t="str">
        <f>HYPERLINK("https://esbl.nhlbi.nih.gov/Databases/mpkFractions/proteomic_fractions_linear_files/Yang_linear_img/254675193.jpg","show blot")</f>
        <v>show blot</v>
      </c>
      <c r="J1730" s="5" t="s">
        <v>3448</v>
      </c>
      <c r="L1730" s="11">
        <v>2.8497543452905458</v>
      </c>
      <c r="N1730" s="12"/>
    </row>
    <row r="1731" spans="1:14" s="5" customFormat="1" ht="15" customHeight="1" x14ac:dyDescent="0.25">
      <c r="A1731" s="9" t="s">
        <v>3449</v>
      </c>
      <c r="C1731" s="9" t="str">
        <f>HYPERLINK("http://www.ncbi.nlm.nih.gov/protein/38372907","Ddx39")</f>
        <v>Ddx39</v>
      </c>
      <c r="D1731" s="10">
        <f t="shared" si="26"/>
        <v>6.6112806704770408</v>
      </c>
      <c r="F1731" s="8" t="str">
        <f>HYPERLINK("https://esbl.nhlbi.nih.gov/Databases/mpkFractions/proteomic_fractions_log_files/Yang_log_img/38372907.jpg","show blot")</f>
        <v>show blot</v>
      </c>
      <c r="H1731" s="8" t="str">
        <f>HYPERLINK("https://esbl.nhlbi.nih.gov/Databases/mpkFractions/proteomic_fractions_linear_files/Yang_linear_img/38372907.jpg","show blot")</f>
        <v>show blot</v>
      </c>
      <c r="J1731" s="5" t="s">
        <v>3450</v>
      </c>
      <c r="L1731" s="11">
        <v>6.6112806704770408</v>
      </c>
      <c r="N1731" s="12"/>
    </row>
    <row r="1732" spans="1:14" s="5" customFormat="1" ht="15" customHeight="1" x14ac:dyDescent="0.25">
      <c r="A1732" s="9" t="s">
        <v>3451</v>
      </c>
      <c r="C1732" s="9" t="str">
        <f>HYPERLINK("http://www.ncbi.nlm.nih.gov/protein/356995868","Ddx39b")</f>
        <v>Ddx39b</v>
      </c>
      <c r="D1732" s="10">
        <f t="shared" si="26"/>
        <v>6.6300567910024633</v>
      </c>
      <c r="F1732" s="8" t="str">
        <f>HYPERLINK("https://esbl.nhlbi.nih.gov/Databases/mpkFractions/proteomic_fractions_log_files/Yang_log_img/356995868.jpg","show blot")</f>
        <v>show blot</v>
      </c>
      <c r="H1732" s="8" t="str">
        <f>HYPERLINK("https://esbl.nhlbi.nih.gov/Databases/mpkFractions/proteomic_fractions_linear_files/Yang_linear_img/356995868.jpg","show blot")</f>
        <v>show blot</v>
      </c>
      <c r="J1732" s="5" t="s">
        <v>3452</v>
      </c>
      <c r="L1732" s="11">
        <v>6.6300567910024633</v>
      </c>
      <c r="N1732" s="12"/>
    </row>
    <row r="1733" spans="1:14" s="5" customFormat="1" ht="15" customHeight="1" x14ac:dyDescent="0.25">
      <c r="A1733" s="9" t="s">
        <v>3453</v>
      </c>
      <c r="C1733" s="9" t="str">
        <f>HYPERLINK("http://www.ncbi.nlm.nih.gov/protein/6753620","Ddx3x")</f>
        <v>Ddx3x</v>
      </c>
      <c r="D1733" s="10">
        <f t="shared" ref="D1733:D1796" si="27">L1733</f>
        <v>6.0450784744867008</v>
      </c>
      <c r="F1733" s="8" t="str">
        <f>HYPERLINK("https://esbl.nhlbi.nih.gov/Databases/mpkFractions/proteomic_fractions_log_files/Yang_log_img/6753620.jpg","show blot")</f>
        <v>show blot</v>
      </c>
      <c r="H1733" s="8" t="str">
        <f>HYPERLINK("https://esbl.nhlbi.nih.gov/Databases/mpkFractions/proteomic_fractions_linear_files/Yang_linear_img/6753620.jpg","show blot")</f>
        <v>show blot</v>
      </c>
      <c r="J1733" s="5" t="s">
        <v>3454</v>
      </c>
      <c r="L1733" s="11">
        <v>6.0450784744867008</v>
      </c>
      <c r="N1733" s="12"/>
    </row>
    <row r="1734" spans="1:14" s="5" customFormat="1" ht="15" customHeight="1" x14ac:dyDescent="0.25">
      <c r="A1734" s="9" t="s">
        <v>3455</v>
      </c>
      <c r="C1734" s="9" t="str">
        <f>HYPERLINK("http://www.ncbi.nlm.nih.gov/protein/25141235","Ddx3y")</f>
        <v>Ddx3y</v>
      </c>
      <c r="D1734" s="10">
        <f t="shared" si="27"/>
        <v>5.9409644312291912</v>
      </c>
      <c r="F1734" s="8" t="str">
        <f>HYPERLINK("https://esbl.nhlbi.nih.gov/Databases/mpkFractions/proteomic_fractions_log_files/Yang_log_img/25141235.jpg","show blot")</f>
        <v>show blot</v>
      </c>
      <c r="H1734" s="8" t="str">
        <f>HYPERLINK("https://esbl.nhlbi.nih.gov/Databases/mpkFractions/proteomic_fractions_linear_files/Yang_linear_img/25141235.jpg","show blot")</f>
        <v>show blot</v>
      </c>
      <c r="J1734" s="5" t="s">
        <v>3456</v>
      </c>
      <c r="L1734" s="11">
        <v>5.9409644312291912</v>
      </c>
      <c r="N1734" s="12"/>
    </row>
    <row r="1735" spans="1:14" s="5" customFormat="1" ht="15" customHeight="1" x14ac:dyDescent="0.25">
      <c r="A1735" s="9" t="s">
        <v>3457</v>
      </c>
      <c r="C1735" s="9" t="str">
        <f>HYPERLINK("http://www.ncbi.nlm.nih.gov/protein/225007636","Ddx4")</f>
        <v>Ddx4</v>
      </c>
      <c r="D1735" s="10">
        <f t="shared" si="27"/>
        <v>4.7875816917137088</v>
      </c>
      <c r="F1735" s="8" t="str">
        <f>HYPERLINK("https://esbl.nhlbi.nih.gov/Databases/mpkFractions/proteomic_fractions_log_files/Yang_log_img/225007636.jpg","show blot")</f>
        <v>show blot</v>
      </c>
      <c r="H1735" s="8" t="str">
        <f>HYPERLINK("https://esbl.nhlbi.nih.gov/Databases/mpkFractions/proteomic_fractions_linear_files/Yang_linear_img/225007636.jpg","show blot")</f>
        <v>show blot</v>
      </c>
      <c r="J1735" s="5" t="s">
        <v>3458</v>
      </c>
      <c r="L1735" s="11">
        <v>4.7875816917137088</v>
      </c>
      <c r="N1735" s="12"/>
    </row>
    <row r="1736" spans="1:14" s="5" customFormat="1" ht="15" customHeight="1" x14ac:dyDescent="0.25">
      <c r="A1736" s="9" t="s">
        <v>3459</v>
      </c>
      <c r="C1736" s="9" t="str">
        <f>HYPERLINK("http://www.ncbi.nlm.nih.gov/protein/33859536","Ddx4")</f>
        <v>Ddx4</v>
      </c>
      <c r="D1736" s="10">
        <f t="shared" si="27"/>
        <v>4.7875816917137088</v>
      </c>
      <c r="F1736" s="8" t="str">
        <f>HYPERLINK("https://esbl.nhlbi.nih.gov/Databases/mpkFractions/proteomic_fractions_log_files/Yang_log_img/33859536.jpg","show blot")</f>
        <v>show blot</v>
      </c>
      <c r="H1736" s="8" t="str">
        <f>HYPERLINK("https://esbl.nhlbi.nih.gov/Databases/mpkFractions/proteomic_fractions_linear_files/Yang_linear_img/33859536.jpg","show blot")</f>
        <v>show blot</v>
      </c>
      <c r="J1736" s="5" t="s">
        <v>3460</v>
      </c>
      <c r="L1736" s="11">
        <v>4.7875816917137088</v>
      </c>
      <c r="N1736" s="12"/>
    </row>
    <row r="1737" spans="1:14" s="5" customFormat="1" ht="15" customHeight="1" x14ac:dyDescent="0.25">
      <c r="A1737" s="9" t="s">
        <v>3461</v>
      </c>
      <c r="C1737" s="9" t="str">
        <f>HYPERLINK("http://www.ncbi.nlm.nih.gov/protein/270047502","Ddx41")</f>
        <v>Ddx41</v>
      </c>
      <c r="D1737" s="10">
        <f t="shared" si="27"/>
        <v>4.4340042426591983</v>
      </c>
      <c r="F1737" s="8" t="str">
        <f>HYPERLINK("https://esbl.nhlbi.nih.gov/Databases/mpkFractions/proteomic_fractions_log_files/Yang_log_img/270047502.jpg","show blot")</f>
        <v>show blot</v>
      </c>
      <c r="H1737" s="8" t="str">
        <f>HYPERLINK("https://esbl.nhlbi.nih.gov/Databases/mpkFractions/proteomic_fractions_linear_files/Yang_linear_img/270047502.jpg","show blot")</f>
        <v>show blot</v>
      </c>
      <c r="J1737" s="5" t="s">
        <v>3462</v>
      </c>
      <c r="L1737" s="11">
        <v>4.4340042426591983</v>
      </c>
      <c r="N1737" s="12"/>
    </row>
    <row r="1738" spans="1:14" s="5" customFormat="1" ht="15" customHeight="1" x14ac:dyDescent="0.25">
      <c r="A1738" s="9" t="s">
        <v>3463</v>
      </c>
      <c r="C1738" s="9" t="str">
        <f>HYPERLINK("http://www.ncbi.nlm.nih.gov/protein/157838001","Ddx42")</f>
        <v>Ddx42</v>
      </c>
      <c r="D1738" s="10">
        <f t="shared" si="27"/>
        <v>4.1195996894669804</v>
      </c>
      <c r="F1738" s="8" t="str">
        <f>HYPERLINK("https://esbl.nhlbi.nih.gov/Databases/mpkFractions/proteomic_fractions_log_files/Yang_log_img/157838001.jpg","show blot")</f>
        <v>show blot</v>
      </c>
      <c r="H1738" s="8" t="str">
        <f>HYPERLINK("https://esbl.nhlbi.nih.gov/Databases/mpkFractions/proteomic_fractions_linear_files/Yang_linear_img/157838001.jpg","show blot")</f>
        <v>show blot</v>
      </c>
      <c r="J1738" s="5" t="s">
        <v>3464</v>
      </c>
      <c r="L1738" s="11">
        <v>4.1195996894669804</v>
      </c>
      <c r="N1738" s="12"/>
    </row>
    <row r="1739" spans="1:14" s="5" customFormat="1" ht="15" customHeight="1" x14ac:dyDescent="0.25">
      <c r="A1739" s="9" t="s">
        <v>3465</v>
      </c>
      <c r="C1739" s="9" t="str">
        <f>HYPERLINK("http://www.ncbi.nlm.nih.gov/protein/160420299","Ddx46")</f>
        <v>Ddx46</v>
      </c>
      <c r="D1739" s="10">
        <f t="shared" si="27"/>
        <v>4.3370186554466983</v>
      </c>
      <c r="F1739" s="8" t="str">
        <f>HYPERLINK("https://esbl.nhlbi.nih.gov/Databases/mpkFractions/proteomic_fractions_log_files/Yang_log_img/160420299.jpg","show blot")</f>
        <v>show blot</v>
      </c>
      <c r="H1739" s="8" t="str">
        <f>HYPERLINK("https://esbl.nhlbi.nih.gov/Databases/mpkFractions/proteomic_fractions_linear_files/Yang_linear_img/160420299.jpg","show blot")</f>
        <v>show blot</v>
      </c>
      <c r="J1739" s="5" t="s">
        <v>3466</v>
      </c>
      <c r="L1739" s="11">
        <v>4.3370186554466983</v>
      </c>
      <c r="N1739" s="12"/>
    </row>
    <row r="1740" spans="1:14" s="5" customFormat="1" ht="15" customHeight="1" x14ac:dyDescent="0.25">
      <c r="A1740" s="9" t="s">
        <v>3467</v>
      </c>
      <c r="C1740" s="9" t="str">
        <f>HYPERLINK("http://www.ncbi.nlm.nih.gov/protein/27229058","Ddx47")</f>
        <v>Ddx47</v>
      </c>
      <c r="D1740" s="10">
        <f t="shared" si="27"/>
        <v>4.1840934230774423</v>
      </c>
      <c r="F1740" s="8" t="str">
        <f>HYPERLINK("https://esbl.nhlbi.nih.gov/Databases/mpkFractions/proteomic_fractions_log_files/Yang_log_img/27229058.jpg","show blot")</f>
        <v>show blot</v>
      </c>
      <c r="H1740" s="8" t="str">
        <f>HYPERLINK("https://esbl.nhlbi.nih.gov/Databases/mpkFractions/proteomic_fractions_linear_files/Yang_linear_img/27229058.jpg","show blot")</f>
        <v>show blot</v>
      </c>
      <c r="J1740" s="5" t="s">
        <v>3468</v>
      </c>
      <c r="L1740" s="11">
        <v>4.1840934230774423</v>
      </c>
      <c r="N1740" s="12"/>
    </row>
    <row r="1741" spans="1:14" s="5" customFormat="1" ht="15" customHeight="1" x14ac:dyDescent="0.25">
      <c r="A1741" s="9" t="s">
        <v>3469</v>
      </c>
      <c r="C1741" s="9" t="str">
        <f>HYPERLINK("http://www.ncbi.nlm.nih.gov/protein/67972435","Ddx49")</f>
        <v>Ddx49</v>
      </c>
      <c r="D1741" s="10">
        <f t="shared" si="27"/>
        <v>3.2663344804693901</v>
      </c>
      <c r="F1741" s="8" t="str">
        <f>HYPERLINK("https://esbl.nhlbi.nih.gov/Databases/mpkFractions/proteomic_fractions_log_files/Yang_log_img/67972435.jpg","show blot")</f>
        <v>show blot</v>
      </c>
      <c r="H1741" s="8" t="str">
        <f>HYPERLINK("https://esbl.nhlbi.nih.gov/Databases/mpkFractions/proteomic_fractions_linear_files/Yang_linear_img/67972435.jpg","show blot")</f>
        <v>show blot</v>
      </c>
      <c r="J1741" s="5" t="s">
        <v>3470</v>
      </c>
      <c r="L1741" s="11">
        <v>3.2663344804693901</v>
      </c>
      <c r="N1741" s="12"/>
    </row>
    <row r="1742" spans="1:14" s="5" customFormat="1" ht="15" customHeight="1" x14ac:dyDescent="0.25">
      <c r="A1742" s="9" t="s">
        <v>3471</v>
      </c>
      <c r="C1742" s="9" t="str">
        <f>HYPERLINK("http://www.ncbi.nlm.nih.gov/protein/83816893","Ddx5")</f>
        <v>Ddx5</v>
      </c>
      <c r="D1742" s="10">
        <f t="shared" si="27"/>
        <v>6.6983739766870452</v>
      </c>
      <c r="F1742" s="8" t="str">
        <f>HYPERLINK("https://esbl.nhlbi.nih.gov/Databases/mpkFractions/proteomic_fractions_log_files/Yang_log_img/83816893.jpg","show blot")</f>
        <v>show blot</v>
      </c>
      <c r="H1742" s="8" t="str">
        <f>HYPERLINK("https://esbl.nhlbi.nih.gov/Databases/mpkFractions/proteomic_fractions_linear_files/Yang_linear_img/83816893.jpg","show blot")</f>
        <v>show blot</v>
      </c>
      <c r="J1742" s="5" t="s">
        <v>3472</v>
      </c>
      <c r="L1742" s="11">
        <v>6.6983739766870452</v>
      </c>
      <c r="N1742" s="12"/>
    </row>
    <row r="1743" spans="1:14" s="5" customFormat="1" ht="15" customHeight="1" x14ac:dyDescent="0.25">
      <c r="A1743" s="9" t="s">
        <v>3473</v>
      </c>
      <c r="C1743" s="9" t="str">
        <f>HYPERLINK("http://www.ncbi.nlm.nih.gov/protein/16716475","Ddx50")</f>
        <v>Ddx50</v>
      </c>
      <c r="D1743" s="10">
        <f t="shared" si="27"/>
        <v>2.5141426498550401</v>
      </c>
      <c r="F1743" s="8" t="str">
        <f>HYPERLINK("https://esbl.nhlbi.nih.gov/Databases/mpkFractions/proteomic_fractions_log_files/Yang_log_img/16716475.jpg","show blot")</f>
        <v>show blot</v>
      </c>
      <c r="H1743" s="8" t="str">
        <f>HYPERLINK("https://esbl.nhlbi.nih.gov/Databases/mpkFractions/proteomic_fractions_linear_files/Yang_linear_img/16716475.jpg","show blot")</f>
        <v>show blot</v>
      </c>
      <c r="J1743" s="5" t="s">
        <v>3474</v>
      </c>
      <c r="L1743" s="11">
        <v>2.5141426498550401</v>
      </c>
      <c r="N1743" s="12"/>
    </row>
    <row r="1744" spans="1:14" s="5" customFormat="1" ht="15" customHeight="1" x14ac:dyDescent="0.25">
      <c r="A1744" s="9" t="s">
        <v>3475</v>
      </c>
      <c r="C1744" s="9" t="str">
        <f>HYPERLINK("http://www.ncbi.nlm.nih.gov/protein/40538825","Ddx51")</f>
        <v>Ddx51</v>
      </c>
      <c r="D1744" s="10">
        <f t="shared" si="27"/>
        <v>2.858298957309259</v>
      </c>
      <c r="F1744" s="8" t="str">
        <f>HYPERLINK("https://esbl.nhlbi.nih.gov/Databases/mpkFractions/proteomic_fractions_log_files/Yang_log_img/40538825.jpg","show blot")</f>
        <v>show blot</v>
      </c>
      <c r="H1744" s="8" t="str">
        <f>HYPERLINK("https://esbl.nhlbi.nih.gov/Databases/mpkFractions/proteomic_fractions_linear_files/Yang_linear_img/40538825.jpg","show blot")</f>
        <v>show blot</v>
      </c>
      <c r="J1744" s="5" t="s">
        <v>3476</v>
      </c>
      <c r="L1744" s="11">
        <v>2.858298957309259</v>
      </c>
      <c r="N1744" s="12"/>
    </row>
    <row r="1745" spans="1:14" s="5" customFormat="1" ht="15" customHeight="1" x14ac:dyDescent="0.25">
      <c r="A1745" s="9" t="s">
        <v>3477</v>
      </c>
      <c r="C1745" s="9" t="str">
        <f>HYPERLINK("http://www.ncbi.nlm.nih.gov/protein/117647283","Ddx55")</f>
        <v>Ddx55</v>
      </c>
      <c r="D1745" s="10">
        <f t="shared" si="27"/>
        <v>2.721604544280138</v>
      </c>
      <c r="F1745" s="8" t="str">
        <f>HYPERLINK("https://esbl.nhlbi.nih.gov/Databases/mpkFractions/proteomic_fractions_log_files/Yang_log_img/117647283.jpg","show blot")</f>
        <v>show blot</v>
      </c>
      <c r="H1745" s="8" t="str">
        <f>HYPERLINK("https://esbl.nhlbi.nih.gov/Databases/mpkFractions/proteomic_fractions_linear_files/Yang_linear_img/117647283.jpg","show blot")</f>
        <v>show blot</v>
      </c>
      <c r="J1745" s="5" t="s">
        <v>3478</v>
      </c>
      <c r="L1745" s="11">
        <v>2.721604544280138</v>
      </c>
      <c r="N1745" s="12"/>
    </row>
    <row r="1746" spans="1:14" s="5" customFormat="1" ht="15" customHeight="1" x14ac:dyDescent="0.25">
      <c r="A1746" s="9" t="s">
        <v>3479</v>
      </c>
      <c r="C1746" s="9" t="str">
        <f>HYPERLINK("http://www.ncbi.nlm.nih.gov/protein/299890889","Ddx55")</f>
        <v>Ddx55</v>
      </c>
      <c r="D1746" s="10">
        <f t="shared" si="27"/>
        <v>2.721604544280138</v>
      </c>
      <c r="F1746" s="8" t="str">
        <f>HYPERLINK("https://esbl.nhlbi.nih.gov/Databases/mpkFractions/proteomic_fractions_log_files/Yang_log_img/299890889.jpg","show blot")</f>
        <v>show blot</v>
      </c>
      <c r="H1746" s="8" t="str">
        <f>HYPERLINK("https://esbl.nhlbi.nih.gov/Databases/mpkFractions/proteomic_fractions_linear_files/Yang_linear_img/299890889.jpg","show blot")</f>
        <v>show blot</v>
      </c>
      <c r="J1746" s="5" t="s">
        <v>3480</v>
      </c>
      <c r="L1746" s="11">
        <v>2.721604544280138</v>
      </c>
      <c r="N1746" s="12"/>
    </row>
    <row r="1747" spans="1:14" s="5" customFormat="1" ht="15" customHeight="1" x14ac:dyDescent="0.25">
      <c r="A1747" s="9" t="s">
        <v>3481</v>
      </c>
      <c r="C1747" s="9" t="str">
        <f>HYPERLINK("http://www.ncbi.nlm.nih.gov/protein/21312650","Ddx56")</f>
        <v>Ddx56</v>
      </c>
      <c r="D1747" s="10">
        <f t="shared" si="27"/>
        <v>4.3468437196060474</v>
      </c>
      <c r="F1747" s="8" t="str">
        <f>HYPERLINK("https://esbl.nhlbi.nih.gov/Databases/mpkFractions/proteomic_fractions_log_files/Yang_log_img/21312650.jpg","show blot")</f>
        <v>show blot</v>
      </c>
      <c r="H1747" s="8" t="str">
        <f>HYPERLINK("https://esbl.nhlbi.nih.gov/Databases/mpkFractions/proteomic_fractions_linear_files/Yang_linear_img/21312650.jpg","show blot")</f>
        <v>show blot</v>
      </c>
      <c r="J1747" s="5" t="s">
        <v>3482</v>
      </c>
      <c r="L1747" s="11">
        <v>4.3468437196060474</v>
      </c>
      <c r="N1747" s="12"/>
    </row>
    <row r="1748" spans="1:14" s="5" customFormat="1" ht="15" customHeight="1" x14ac:dyDescent="0.25">
      <c r="A1748" s="9" t="s">
        <v>3483</v>
      </c>
      <c r="C1748" s="9" t="str">
        <f>HYPERLINK("http://www.ncbi.nlm.nih.gov/protein/153945886","Ddx58")</f>
        <v>Ddx58</v>
      </c>
      <c r="D1748" s="10">
        <f t="shared" si="27"/>
        <v>4.7557231228349588</v>
      </c>
      <c r="F1748" s="8" t="str">
        <f>HYPERLINK("https://esbl.nhlbi.nih.gov/Databases/mpkFractions/proteomic_fractions_log_files/Yang_log_img/153945886.jpg","show blot")</f>
        <v>show blot</v>
      </c>
      <c r="H1748" s="8" t="str">
        <f>HYPERLINK("https://esbl.nhlbi.nih.gov/Databases/mpkFractions/proteomic_fractions_linear_files/Yang_linear_img/153945886.jpg","show blot")</f>
        <v>show blot</v>
      </c>
      <c r="J1748" s="5" t="s">
        <v>3484</v>
      </c>
      <c r="L1748" s="11">
        <v>4.7557231228349588</v>
      </c>
      <c r="N1748" s="12"/>
    </row>
    <row r="1749" spans="1:14" s="5" customFormat="1" ht="15" customHeight="1" x14ac:dyDescent="0.25">
      <c r="A1749" s="9" t="s">
        <v>3485</v>
      </c>
      <c r="C1749" s="9" t="str">
        <f>HYPERLINK("http://www.ncbi.nlm.nih.gov/protein/6681159","Ddx6")</f>
        <v>Ddx6</v>
      </c>
      <c r="D1749" s="10">
        <f t="shared" si="27"/>
        <v>6.0166526951133701</v>
      </c>
      <c r="F1749" s="8" t="str">
        <f>HYPERLINK("https://esbl.nhlbi.nih.gov/Databases/mpkFractions/proteomic_fractions_log_files/Yang_log_img/6681159.jpg","show blot")</f>
        <v>show blot</v>
      </c>
      <c r="H1749" s="8" t="str">
        <f>HYPERLINK("https://esbl.nhlbi.nih.gov/Databases/mpkFractions/proteomic_fractions_linear_files/Yang_linear_img/6681159.jpg","show blot")</f>
        <v>show blot</v>
      </c>
      <c r="J1749" s="5" t="s">
        <v>3486</v>
      </c>
      <c r="L1749" s="11">
        <v>6.0166526951133701</v>
      </c>
      <c r="N1749" s="12"/>
    </row>
    <row r="1750" spans="1:14" s="5" customFormat="1" ht="15" customHeight="1" x14ac:dyDescent="0.25">
      <c r="A1750" s="9" t="s">
        <v>3487</v>
      </c>
      <c r="C1750" s="9" t="str">
        <f>HYPERLINK("http://www.ncbi.nlm.nih.gov/protein/124487049","Ddx60")</f>
        <v>Ddx60</v>
      </c>
      <c r="D1750" s="10">
        <f t="shared" si="27"/>
        <v>1.136143814771637</v>
      </c>
      <c r="F1750" s="8" t="str">
        <f>HYPERLINK("https://esbl.nhlbi.nih.gov/Databases/mpkFractions/proteomic_fractions_log_files/Yang_log_img/124487049.jpg","show blot")</f>
        <v>show blot</v>
      </c>
      <c r="H1750" s="8" t="str">
        <f>HYPERLINK("https://esbl.nhlbi.nih.gov/Databases/mpkFractions/proteomic_fractions_linear_files/Yang_linear_img/124487049.jpg","show blot")</f>
        <v>show blot</v>
      </c>
      <c r="J1750" s="5" t="s">
        <v>3488</v>
      </c>
      <c r="L1750" s="11">
        <v>1.136143814771637</v>
      </c>
      <c r="N1750" s="12"/>
    </row>
    <row r="1751" spans="1:14" s="5" customFormat="1" ht="15" customHeight="1" x14ac:dyDescent="0.25">
      <c r="A1751" s="9" t="s">
        <v>3489</v>
      </c>
      <c r="C1751" s="9" t="str">
        <f>HYPERLINK("http://www.ncbi.nlm.nih.gov/protein/21312078","Deb1")</f>
        <v>Deb1</v>
      </c>
      <c r="D1751" s="10">
        <f t="shared" si="27"/>
        <v>2.001445240874181</v>
      </c>
      <c r="F1751" s="8" t="str">
        <f>HYPERLINK("https://esbl.nhlbi.nih.gov/Databases/mpkFractions/proteomic_fractions_log_files/Yang_log_img/21312078.jpg","show blot")</f>
        <v>show blot</v>
      </c>
      <c r="H1751" s="8" t="str">
        <f>HYPERLINK("https://esbl.nhlbi.nih.gov/Databases/mpkFractions/proteomic_fractions_linear_files/Yang_linear_img/21312078.jpg","show blot")</f>
        <v>show blot</v>
      </c>
      <c r="J1751" s="5" t="s">
        <v>3490</v>
      </c>
      <c r="L1751" s="11">
        <v>2.001445240874181</v>
      </c>
      <c r="N1751" s="12"/>
    </row>
    <row r="1752" spans="1:14" s="5" customFormat="1" ht="15" customHeight="1" x14ac:dyDescent="0.25">
      <c r="A1752" s="9" t="s">
        <v>3491</v>
      </c>
      <c r="C1752" s="9" t="str">
        <f>HYPERLINK("http://www.ncbi.nlm.nih.gov/protein/6753622","Decr2")</f>
        <v>Decr2</v>
      </c>
      <c r="D1752" s="10">
        <f t="shared" si="27"/>
        <v>4.6278122254533738</v>
      </c>
      <c r="F1752" s="8" t="str">
        <f>HYPERLINK("https://esbl.nhlbi.nih.gov/Databases/mpkFractions/proteomic_fractions_log_files/Yang_log_img/6753622.jpg","show blot")</f>
        <v>show blot</v>
      </c>
      <c r="H1752" s="8" t="str">
        <f>HYPERLINK("https://esbl.nhlbi.nih.gov/Databases/mpkFractions/proteomic_fractions_linear_files/Yang_linear_img/6753622.jpg","show blot")</f>
        <v>show blot</v>
      </c>
      <c r="J1752" s="5" t="s">
        <v>3492</v>
      </c>
      <c r="L1752" s="11">
        <v>4.6278122254533738</v>
      </c>
      <c r="N1752" s="12"/>
    </row>
    <row r="1753" spans="1:14" s="5" customFormat="1" ht="15" customHeight="1" x14ac:dyDescent="0.25">
      <c r="A1753" s="9" t="s">
        <v>3493</v>
      </c>
      <c r="C1753" s="9" t="str">
        <f>HYPERLINK("http://www.ncbi.nlm.nih.gov/protein/6681175","Degs1")</f>
        <v>Degs1</v>
      </c>
      <c r="D1753" s="10">
        <f t="shared" si="27"/>
        <v>3.7230037255193169</v>
      </c>
      <c r="F1753" s="8" t="str">
        <f>HYPERLINK("https://esbl.nhlbi.nih.gov/Databases/mpkFractions/proteomic_fractions_log_files/Yang_log_img/6681175.jpg","show blot")</f>
        <v>show blot</v>
      </c>
      <c r="H1753" s="8" t="str">
        <f>HYPERLINK("https://esbl.nhlbi.nih.gov/Databases/mpkFractions/proteomic_fractions_linear_files/Yang_linear_img/6681175.jpg","show blot")</f>
        <v>show blot</v>
      </c>
      <c r="J1753" s="5" t="s">
        <v>3494</v>
      </c>
      <c r="L1753" s="11">
        <v>3.7230037255193169</v>
      </c>
      <c r="N1753" s="12"/>
    </row>
    <row r="1754" spans="1:14" s="5" customFormat="1" ht="15" customHeight="1" x14ac:dyDescent="0.25">
      <c r="A1754" s="9" t="s">
        <v>3495</v>
      </c>
      <c r="C1754" s="9" t="str">
        <f>HYPERLINK("http://www.ncbi.nlm.nih.gov/protein/253795498","Dek")</f>
        <v>Dek</v>
      </c>
      <c r="D1754" s="10">
        <f t="shared" si="27"/>
        <v>5.3405934902873291</v>
      </c>
      <c r="F1754" s="8" t="str">
        <f>HYPERLINK("https://esbl.nhlbi.nih.gov/Databases/mpkFractions/proteomic_fractions_log_files/Yang_log_img/253795498.jpg","show blot")</f>
        <v>show blot</v>
      </c>
      <c r="H1754" s="8" t="str">
        <f>HYPERLINK("https://esbl.nhlbi.nih.gov/Databases/mpkFractions/proteomic_fractions_linear_files/Yang_linear_img/253795498.jpg","show blot")</f>
        <v>show blot</v>
      </c>
      <c r="J1754" s="5" t="s">
        <v>3496</v>
      </c>
      <c r="L1754" s="11">
        <v>5.3405934902873291</v>
      </c>
      <c r="N1754" s="12"/>
    </row>
    <row r="1755" spans="1:14" s="5" customFormat="1" ht="15" customHeight="1" x14ac:dyDescent="0.25">
      <c r="A1755" s="9" t="s">
        <v>3497</v>
      </c>
      <c r="C1755" s="9" t="str">
        <f>HYPERLINK("http://www.ncbi.nlm.nih.gov/protein/24025656","Dennd1c")</f>
        <v>Dennd1c</v>
      </c>
      <c r="D1755" s="10">
        <f t="shared" si="27"/>
        <v>3.1149412582452691</v>
      </c>
      <c r="F1755" s="8" t="str">
        <f>HYPERLINK("https://esbl.nhlbi.nih.gov/Databases/mpkFractions/proteomic_fractions_log_files/Yang_log_img/24025656.jpg","show blot")</f>
        <v>show blot</v>
      </c>
      <c r="H1755" s="8" t="str">
        <f>HYPERLINK("https://esbl.nhlbi.nih.gov/Databases/mpkFractions/proteomic_fractions_linear_files/Yang_linear_img/24025656.jpg","show blot")</f>
        <v>show blot</v>
      </c>
      <c r="J1755" s="5" t="s">
        <v>3498</v>
      </c>
      <c r="L1755" s="11">
        <v>3.1149412582452691</v>
      </c>
      <c r="N1755" s="12"/>
    </row>
    <row r="1756" spans="1:14" s="5" customFormat="1" ht="15" customHeight="1" x14ac:dyDescent="0.25">
      <c r="A1756" s="9" t="s">
        <v>3499</v>
      </c>
      <c r="C1756" s="9" t="str">
        <f>HYPERLINK("http://www.ncbi.nlm.nih.gov/protein/27369652","Dennd2a")</f>
        <v>Dennd2a</v>
      </c>
      <c r="D1756" s="10">
        <f t="shared" si="27"/>
        <v>1.8234280607824609</v>
      </c>
      <c r="F1756" s="8" t="str">
        <f>HYPERLINK("https://esbl.nhlbi.nih.gov/Databases/mpkFractions/proteomic_fractions_log_files/Yang_log_img/27369652.jpg","show blot")</f>
        <v>show blot</v>
      </c>
      <c r="H1756" s="8" t="str">
        <f>HYPERLINK("https://esbl.nhlbi.nih.gov/Databases/mpkFractions/proteomic_fractions_linear_files/Yang_linear_img/27369652.jpg","show blot")</f>
        <v>show blot</v>
      </c>
      <c r="J1756" s="5" t="s">
        <v>3500</v>
      </c>
      <c r="L1756" s="11">
        <v>1.8234280607824609</v>
      </c>
      <c r="N1756" s="12"/>
    </row>
    <row r="1757" spans="1:14" s="5" customFormat="1" ht="15" customHeight="1" x14ac:dyDescent="0.25">
      <c r="A1757" s="9" t="s">
        <v>3501</v>
      </c>
      <c r="C1757" s="9" t="str">
        <f>HYPERLINK("http://www.ncbi.nlm.nih.gov/protein/238814338","Dennd2c")</f>
        <v>Dennd2c</v>
      </c>
      <c r="D1757" s="10">
        <f t="shared" si="27"/>
        <v>1.859473164967101</v>
      </c>
      <c r="F1757" s="8" t="str">
        <f>HYPERLINK("https://esbl.nhlbi.nih.gov/Databases/mpkFractions/proteomic_fractions_log_files/Yang_log_img/238814338.jpg","show blot")</f>
        <v>show blot</v>
      </c>
      <c r="H1757" s="8" t="str">
        <f>HYPERLINK("https://esbl.nhlbi.nih.gov/Databases/mpkFractions/proteomic_fractions_linear_files/Yang_linear_img/238814338.jpg","show blot")</f>
        <v>show blot</v>
      </c>
      <c r="J1757" s="5" t="s">
        <v>3502</v>
      </c>
      <c r="L1757" s="11">
        <v>1.859473164967101</v>
      </c>
      <c r="N1757" s="12"/>
    </row>
    <row r="1758" spans="1:14" s="5" customFormat="1" ht="15" customHeight="1" x14ac:dyDescent="0.25">
      <c r="A1758" s="9" t="s">
        <v>3503</v>
      </c>
      <c r="C1758" s="9" t="str">
        <f>HYPERLINK("http://www.ncbi.nlm.nih.gov/protein/389616154","Dennd2d")</f>
        <v>Dennd2d</v>
      </c>
      <c r="D1758" s="10">
        <f t="shared" si="27"/>
        <v>4.5876641742192561</v>
      </c>
      <c r="F1758" s="8" t="str">
        <f>HYPERLINK("https://esbl.nhlbi.nih.gov/Databases/mpkFractions/proteomic_fractions_log_files/Yang_log_img/389616154.jpg","show blot")</f>
        <v>show blot</v>
      </c>
      <c r="H1758" s="8" t="str">
        <f>HYPERLINK("https://esbl.nhlbi.nih.gov/Databases/mpkFractions/proteomic_fractions_linear_files/Yang_linear_img/389616154.jpg","show blot")</f>
        <v>show blot</v>
      </c>
      <c r="J1758" s="5" t="s">
        <v>3504</v>
      </c>
      <c r="L1758" s="11">
        <v>4.5876641742192561</v>
      </c>
      <c r="N1758" s="12"/>
    </row>
    <row r="1759" spans="1:14" s="5" customFormat="1" ht="15" customHeight="1" x14ac:dyDescent="0.25">
      <c r="A1759" s="9" t="s">
        <v>3505</v>
      </c>
      <c r="C1759" s="9" t="str">
        <f>HYPERLINK("http://www.ncbi.nlm.nih.gov/protein/147904706","Dennd2d")</f>
        <v>Dennd2d</v>
      </c>
      <c r="D1759" s="10">
        <f t="shared" si="27"/>
        <v>4.5876641742192561</v>
      </c>
      <c r="F1759" s="8" t="str">
        <f>HYPERLINK("https://esbl.nhlbi.nih.gov/Databases/mpkFractions/proteomic_fractions_log_files/Yang_log_img/147904706.jpg","show blot")</f>
        <v>show blot</v>
      </c>
      <c r="H1759" s="8" t="str">
        <f>HYPERLINK("https://esbl.nhlbi.nih.gov/Databases/mpkFractions/proteomic_fractions_linear_files/Yang_linear_img/147904706.jpg","show blot")</f>
        <v>show blot</v>
      </c>
      <c r="J1759" s="5" t="s">
        <v>3506</v>
      </c>
      <c r="L1759" s="11">
        <v>4.5876641742192561</v>
      </c>
      <c r="N1759" s="12"/>
    </row>
    <row r="1760" spans="1:14" s="5" customFormat="1" ht="15" customHeight="1" x14ac:dyDescent="0.25">
      <c r="A1760" s="9" t="s">
        <v>3507</v>
      </c>
      <c r="C1760" s="9" t="str">
        <f>HYPERLINK("http://www.ncbi.nlm.nih.gov/protein/124486710","Dennd3")</f>
        <v>Dennd3</v>
      </c>
      <c r="D1760" s="10">
        <f t="shared" si="27"/>
        <v>1.925290449456744</v>
      </c>
      <c r="F1760" s="8" t="str">
        <f>HYPERLINK("https://esbl.nhlbi.nih.gov/Databases/mpkFractions/proteomic_fractions_log_files/Yang_log_img/124486710.jpg","show blot")</f>
        <v>show blot</v>
      </c>
      <c r="H1760" s="8" t="str">
        <f>HYPERLINK("https://esbl.nhlbi.nih.gov/Databases/mpkFractions/proteomic_fractions_linear_files/Yang_linear_img/124486710.jpg","show blot")</f>
        <v>show blot</v>
      </c>
      <c r="J1760" s="5" t="s">
        <v>3508</v>
      </c>
      <c r="L1760" s="11">
        <v>1.925290449456744</v>
      </c>
      <c r="N1760" s="12"/>
    </row>
    <row r="1761" spans="1:14" s="5" customFormat="1" ht="15" customHeight="1" x14ac:dyDescent="0.25">
      <c r="A1761" s="9" t="s">
        <v>3509</v>
      </c>
      <c r="C1761" s="9" t="str">
        <f>HYPERLINK("http://www.ncbi.nlm.nih.gov/protein/124486610","Dennd4c")</f>
        <v>Dennd4c</v>
      </c>
      <c r="D1761" s="10">
        <f t="shared" si="27"/>
        <v>1.6881114625129059</v>
      </c>
      <c r="F1761" s="8" t="str">
        <f>HYPERLINK("https://esbl.nhlbi.nih.gov/Databases/mpkFractions/proteomic_fractions_log_files/Yang_log_img/124486610.jpg","show blot")</f>
        <v>show blot</v>
      </c>
      <c r="H1761" s="8" t="str">
        <f>HYPERLINK("https://esbl.nhlbi.nih.gov/Databases/mpkFractions/proteomic_fractions_linear_files/Yang_linear_img/124486610.jpg","show blot")</f>
        <v>show blot</v>
      </c>
      <c r="J1761" s="5" t="s">
        <v>3510</v>
      </c>
      <c r="L1761" s="11">
        <v>1.6881114625129059</v>
      </c>
      <c r="N1761" s="12"/>
    </row>
    <row r="1762" spans="1:14" s="5" customFormat="1" ht="15" customHeight="1" x14ac:dyDescent="0.25">
      <c r="A1762" s="9" t="s">
        <v>3511</v>
      </c>
      <c r="C1762" s="9" t="str">
        <f>HYPERLINK("http://www.ncbi.nlm.nih.gov/protein/300863147","Dennd4c")</f>
        <v>Dennd4c</v>
      </c>
      <c r="D1762" s="10">
        <f t="shared" si="27"/>
        <v>1.6881114625129059</v>
      </c>
      <c r="F1762" s="8" t="str">
        <f>HYPERLINK("https://esbl.nhlbi.nih.gov/Databases/mpkFractions/proteomic_fractions_log_files/Yang_log_img/300863147.jpg","show blot")</f>
        <v>show blot</v>
      </c>
      <c r="H1762" s="8" t="str">
        <f>HYPERLINK("https://esbl.nhlbi.nih.gov/Databases/mpkFractions/proteomic_fractions_linear_files/Yang_linear_img/300863147.jpg","show blot")</f>
        <v>show blot</v>
      </c>
      <c r="J1762" s="5" t="s">
        <v>3512</v>
      </c>
      <c r="L1762" s="11">
        <v>1.6881114625129059</v>
      </c>
      <c r="N1762" s="12"/>
    </row>
    <row r="1763" spans="1:14" s="5" customFormat="1" ht="15" customHeight="1" x14ac:dyDescent="0.25">
      <c r="A1763" s="9" t="s">
        <v>3513</v>
      </c>
      <c r="C1763" s="9" t="str">
        <f>HYPERLINK("http://www.ncbi.nlm.nih.gov/protein/39930409","Dennd5a")</f>
        <v>Dennd5a</v>
      </c>
      <c r="D1763" s="10">
        <f t="shared" si="27"/>
        <v>2.539135865459341</v>
      </c>
      <c r="F1763" s="8" t="str">
        <f>HYPERLINK("https://esbl.nhlbi.nih.gov/Databases/mpkFractions/proteomic_fractions_log_files/Yang_log_img/39930409.jpg","show blot")</f>
        <v>show blot</v>
      </c>
      <c r="H1763" s="8" t="str">
        <f>HYPERLINK("https://esbl.nhlbi.nih.gov/Databases/mpkFractions/proteomic_fractions_linear_files/Yang_linear_img/39930409.jpg","show blot")</f>
        <v>show blot</v>
      </c>
      <c r="J1763" s="5" t="s">
        <v>3514</v>
      </c>
      <c r="L1763" s="11">
        <v>2.539135865459341</v>
      </c>
      <c r="N1763" s="12"/>
    </row>
    <row r="1764" spans="1:14" s="5" customFormat="1" ht="15" customHeight="1" x14ac:dyDescent="0.25">
      <c r="A1764" s="9" t="s">
        <v>3515</v>
      </c>
      <c r="C1764" s="9" t="str">
        <f>HYPERLINK("http://www.ncbi.nlm.nih.gov/protein/197333847","Dennd6a")</f>
        <v>Dennd6a</v>
      </c>
      <c r="D1764" s="10">
        <f t="shared" si="27"/>
        <v>2.5953950229403748</v>
      </c>
      <c r="F1764" s="8" t="str">
        <f>HYPERLINK("https://esbl.nhlbi.nih.gov/Databases/mpkFractions/proteomic_fractions_log_files/Yang_log_img/197333847.jpg","show blot")</f>
        <v>show blot</v>
      </c>
      <c r="H1764" s="8" t="str">
        <f>HYPERLINK("https://esbl.nhlbi.nih.gov/Databases/mpkFractions/proteomic_fractions_linear_files/Yang_linear_img/197333847.jpg","show blot")</f>
        <v>show blot</v>
      </c>
      <c r="J1764" s="5" t="s">
        <v>3516</v>
      </c>
      <c r="L1764" s="11">
        <v>2.5953950229403748</v>
      </c>
      <c r="N1764" s="12"/>
    </row>
    <row r="1765" spans="1:14" s="5" customFormat="1" ht="15" customHeight="1" x14ac:dyDescent="0.25">
      <c r="A1765" s="9" t="s">
        <v>3517</v>
      </c>
      <c r="C1765" s="9" t="str">
        <f>HYPERLINK("http://www.ncbi.nlm.nih.gov/protein/22122407","Dennd6a")</f>
        <v>Dennd6a</v>
      </c>
      <c r="D1765" s="10">
        <f t="shared" si="27"/>
        <v>2.5953950229403748</v>
      </c>
      <c r="F1765" s="8" t="str">
        <f>HYPERLINK("https://esbl.nhlbi.nih.gov/Databases/mpkFractions/proteomic_fractions_log_files/Yang_log_img/22122407.jpg","show blot")</f>
        <v>show blot</v>
      </c>
      <c r="H1765" s="8" t="str">
        <f>HYPERLINK("https://esbl.nhlbi.nih.gov/Databases/mpkFractions/proteomic_fractions_linear_files/Yang_linear_img/22122407.jpg","show blot")</f>
        <v>show blot</v>
      </c>
      <c r="J1765" s="5" t="s">
        <v>3518</v>
      </c>
      <c r="L1765" s="11">
        <v>2.5953950229403748</v>
      </c>
      <c r="N1765" s="12"/>
    </row>
    <row r="1766" spans="1:14" s="5" customFormat="1" ht="15" customHeight="1" x14ac:dyDescent="0.25">
      <c r="A1766" s="9" t="s">
        <v>3519</v>
      </c>
      <c r="C1766" s="9" t="str">
        <f>HYPERLINK("http://www.ncbi.nlm.nih.gov/protein/13386092","Denr")</f>
        <v>Denr</v>
      </c>
      <c r="D1766" s="10">
        <f t="shared" si="27"/>
        <v>5.2012099434426062</v>
      </c>
      <c r="F1766" s="8" t="str">
        <f>HYPERLINK("https://esbl.nhlbi.nih.gov/Databases/mpkFractions/proteomic_fractions_log_files/Yang_log_img/13386092.jpg","show blot")</f>
        <v>show blot</v>
      </c>
      <c r="H1766" s="8" t="str">
        <f>HYPERLINK("https://esbl.nhlbi.nih.gov/Databases/mpkFractions/proteomic_fractions_linear_files/Yang_linear_img/13386092.jpg","show blot")</f>
        <v>show blot</v>
      </c>
      <c r="J1766" s="5" t="s">
        <v>3520</v>
      </c>
      <c r="L1766" s="11">
        <v>5.2012099434426062</v>
      </c>
      <c r="N1766" s="12"/>
    </row>
    <row r="1767" spans="1:14" s="5" customFormat="1" ht="15" customHeight="1" x14ac:dyDescent="0.25">
      <c r="A1767" s="9" t="s">
        <v>3521</v>
      </c>
      <c r="C1767" s="9" t="str">
        <f>HYPERLINK("http://www.ncbi.nlm.nih.gov/protein/21450165","Depdc7")</f>
        <v>Depdc7</v>
      </c>
      <c r="D1767" s="10">
        <f t="shared" si="27"/>
        <v>3.0756316057606519</v>
      </c>
      <c r="F1767" s="8" t="str">
        <f>HYPERLINK("https://esbl.nhlbi.nih.gov/Databases/mpkFractions/proteomic_fractions_log_files/Yang_log_img/21450165.jpg","show blot")</f>
        <v>show blot</v>
      </c>
      <c r="H1767" s="8" t="str">
        <f>HYPERLINK("https://esbl.nhlbi.nih.gov/Databases/mpkFractions/proteomic_fractions_linear_files/Yang_linear_img/21450165.jpg","show blot")</f>
        <v>show blot</v>
      </c>
      <c r="J1767" s="5" t="s">
        <v>3522</v>
      </c>
      <c r="L1767" s="11">
        <v>3.0756316057606519</v>
      </c>
      <c r="N1767" s="12"/>
    </row>
    <row r="1768" spans="1:14" s="5" customFormat="1" ht="15" customHeight="1" x14ac:dyDescent="0.25">
      <c r="A1768" s="9" t="s">
        <v>3523</v>
      </c>
      <c r="C1768" s="9" t="str">
        <f>HYPERLINK("http://www.ncbi.nlm.nih.gov/protein/27777677","Dera")</f>
        <v>Dera</v>
      </c>
      <c r="D1768" s="10">
        <f t="shared" si="27"/>
        <v>5.1117882334078786</v>
      </c>
      <c r="F1768" s="8" t="str">
        <f>HYPERLINK("https://esbl.nhlbi.nih.gov/Databases/mpkFractions/proteomic_fractions_log_files/Yang_log_img/27777677.jpg","show blot")</f>
        <v>show blot</v>
      </c>
      <c r="H1768" s="8" t="str">
        <f>HYPERLINK("https://esbl.nhlbi.nih.gov/Databases/mpkFractions/proteomic_fractions_linear_files/Yang_linear_img/27777677.jpg","show blot")</f>
        <v>show blot</v>
      </c>
      <c r="J1768" s="5" t="s">
        <v>3524</v>
      </c>
      <c r="L1768" s="11">
        <v>5.1117882334078786</v>
      </c>
      <c r="N1768" s="12"/>
    </row>
    <row r="1769" spans="1:14" s="5" customFormat="1" ht="15" customHeight="1" x14ac:dyDescent="0.25">
      <c r="A1769" s="9" t="s">
        <v>3525</v>
      </c>
      <c r="C1769" s="9" t="str">
        <f>HYPERLINK("http://www.ncbi.nlm.nih.gov/protein/13195638","Derl1")</f>
        <v>Derl1</v>
      </c>
      <c r="D1769" s="10">
        <f t="shared" si="27"/>
        <v>4.6256696272220648</v>
      </c>
      <c r="F1769" s="8" t="str">
        <f>HYPERLINK("https://esbl.nhlbi.nih.gov/Databases/mpkFractions/proteomic_fractions_log_files/Yang_log_img/13195638.jpg","show blot")</f>
        <v>show blot</v>
      </c>
      <c r="H1769" s="8" t="str">
        <f>HYPERLINK("https://esbl.nhlbi.nih.gov/Databases/mpkFractions/proteomic_fractions_linear_files/Yang_linear_img/13195638.jpg","show blot")</f>
        <v>show blot</v>
      </c>
      <c r="J1769" s="5" t="s">
        <v>3526</v>
      </c>
      <c r="L1769" s="11">
        <v>4.6256696272220648</v>
      </c>
      <c r="N1769" s="12"/>
    </row>
    <row r="1770" spans="1:14" s="5" customFormat="1" ht="15" customHeight="1" x14ac:dyDescent="0.25">
      <c r="A1770" s="9" t="s">
        <v>3527</v>
      </c>
      <c r="C1770" s="9" t="str">
        <f>HYPERLINK("http://www.ncbi.nlm.nih.gov/protein/15808990","Derl2")</f>
        <v>Derl2</v>
      </c>
      <c r="D1770" s="10">
        <f t="shared" si="27"/>
        <v>3.815912593648886</v>
      </c>
      <c r="F1770" s="8" t="str">
        <f>HYPERLINK("https://esbl.nhlbi.nih.gov/Databases/mpkFractions/proteomic_fractions_log_files/Yang_log_img/15808990.jpg","show blot")</f>
        <v>show blot</v>
      </c>
      <c r="H1770" s="8" t="str">
        <f>HYPERLINK("https://esbl.nhlbi.nih.gov/Databases/mpkFractions/proteomic_fractions_linear_files/Yang_linear_img/15808990.jpg","show blot")</f>
        <v>show blot</v>
      </c>
      <c r="J1770" s="5" t="s">
        <v>3528</v>
      </c>
      <c r="L1770" s="11">
        <v>3.815912593648886</v>
      </c>
      <c r="N1770" s="12"/>
    </row>
    <row r="1771" spans="1:14" s="5" customFormat="1" ht="15" customHeight="1" x14ac:dyDescent="0.25">
      <c r="A1771" s="9" t="s">
        <v>3529</v>
      </c>
      <c r="C1771" s="9" t="str">
        <f>HYPERLINK("http://www.ncbi.nlm.nih.gov/protein/33563250","Des")</f>
        <v>Des</v>
      </c>
      <c r="D1771" s="10">
        <f t="shared" si="27"/>
        <v>6.4452237183242529</v>
      </c>
      <c r="F1771" s="8" t="str">
        <f>HYPERLINK("https://esbl.nhlbi.nih.gov/Databases/mpkFractions/proteomic_fractions_log_files/Yang_log_img/33563250.jpg","show blot")</f>
        <v>show blot</v>
      </c>
      <c r="H1771" s="8" t="str">
        <f>HYPERLINK("https://esbl.nhlbi.nih.gov/Databases/mpkFractions/proteomic_fractions_linear_files/Yang_linear_img/33563250.jpg","show blot")</f>
        <v>show blot</v>
      </c>
      <c r="J1771" s="5" t="s">
        <v>3530</v>
      </c>
      <c r="L1771" s="11">
        <v>6.4452237183242529</v>
      </c>
      <c r="N1771" s="12"/>
    </row>
    <row r="1772" spans="1:14" s="5" customFormat="1" ht="15" customHeight="1" x14ac:dyDescent="0.25">
      <c r="A1772" s="9" t="s">
        <v>3531</v>
      </c>
      <c r="C1772" s="9" t="str">
        <f>HYPERLINK("http://www.ncbi.nlm.nih.gov/protein/70608119","Dffa")</f>
        <v>Dffa</v>
      </c>
      <c r="D1772" s="10">
        <f t="shared" si="27"/>
        <v>3.399477900548677</v>
      </c>
      <c r="F1772" s="8" t="str">
        <f>HYPERLINK("https://esbl.nhlbi.nih.gov/Databases/mpkFractions/proteomic_fractions_log_files/Yang_log_img/70608119.jpg","show blot")</f>
        <v>show blot</v>
      </c>
      <c r="H1772" s="8" t="str">
        <f>HYPERLINK("https://esbl.nhlbi.nih.gov/Databases/mpkFractions/proteomic_fractions_linear_files/Yang_linear_img/70608119.jpg","show blot")</f>
        <v>show blot</v>
      </c>
      <c r="J1772" s="5" t="s">
        <v>3532</v>
      </c>
      <c r="L1772" s="11">
        <v>3.399477900548677</v>
      </c>
      <c r="N1772" s="12"/>
    </row>
    <row r="1773" spans="1:14" s="5" customFormat="1" ht="15" customHeight="1" x14ac:dyDescent="0.25">
      <c r="A1773" s="9" t="s">
        <v>3533</v>
      </c>
      <c r="C1773" s="9" t="str">
        <f>HYPERLINK("http://www.ncbi.nlm.nih.gov/protein/70608144","Dffa")</f>
        <v>Dffa</v>
      </c>
      <c r="D1773" s="10">
        <f t="shared" si="27"/>
        <v>3.399477900548677</v>
      </c>
      <c r="F1773" s="8" t="str">
        <f>HYPERLINK("https://esbl.nhlbi.nih.gov/Databases/mpkFractions/proteomic_fractions_log_files/Yang_log_img/70608144.jpg","show blot")</f>
        <v>show blot</v>
      </c>
      <c r="H1773" s="8" t="str">
        <f>HYPERLINK("https://esbl.nhlbi.nih.gov/Databases/mpkFractions/proteomic_fractions_linear_files/Yang_linear_img/70608144.jpg","show blot")</f>
        <v>show blot</v>
      </c>
      <c r="J1773" s="5" t="s">
        <v>3534</v>
      </c>
      <c r="L1773" s="11">
        <v>3.399477900548677</v>
      </c>
      <c r="N1773" s="12"/>
    </row>
    <row r="1774" spans="1:14" s="5" customFormat="1" ht="15" customHeight="1" x14ac:dyDescent="0.25">
      <c r="A1774" s="9" t="s">
        <v>3535</v>
      </c>
      <c r="C1774" s="9" t="str">
        <f>HYPERLINK("http://www.ncbi.nlm.nih.gov/protein/9055204","Dfna5")</f>
        <v>Dfna5</v>
      </c>
      <c r="D1774" s="10">
        <f t="shared" si="27"/>
        <v>1.6769341493606771</v>
      </c>
      <c r="F1774" s="8" t="str">
        <f>HYPERLINK("https://esbl.nhlbi.nih.gov/Databases/mpkFractions/proteomic_fractions_log_files/Yang_log_img/9055204.jpg","show blot")</f>
        <v>show blot</v>
      </c>
      <c r="H1774" s="8" t="str">
        <f>HYPERLINK("https://esbl.nhlbi.nih.gov/Databases/mpkFractions/proteomic_fractions_linear_files/Yang_linear_img/9055204.jpg","show blot")</f>
        <v>show blot</v>
      </c>
      <c r="J1774" s="5" t="s">
        <v>3536</v>
      </c>
      <c r="L1774" s="11">
        <v>1.6769341493606771</v>
      </c>
      <c r="N1774" s="12"/>
    </row>
    <row r="1775" spans="1:14" s="5" customFormat="1" ht="15" customHeight="1" x14ac:dyDescent="0.25">
      <c r="A1775" s="9" t="s">
        <v>3537</v>
      </c>
      <c r="C1775" s="9" t="str">
        <f>HYPERLINK("http://www.ncbi.nlm.nih.gov/protein/41152099","Dgcr8")</f>
        <v>Dgcr8</v>
      </c>
      <c r="D1775" s="10">
        <f t="shared" si="27"/>
        <v>2.5611013836490559</v>
      </c>
      <c r="F1775" s="8" t="str">
        <f>HYPERLINK("https://esbl.nhlbi.nih.gov/Databases/mpkFractions/proteomic_fractions_log_files/Yang_log_img/41152099.jpg","show blot")</f>
        <v>show blot</v>
      </c>
      <c r="H1775" s="8" t="str">
        <f>HYPERLINK("https://esbl.nhlbi.nih.gov/Databases/mpkFractions/proteomic_fractions_linear_files/Yang_linear_img/41152099.jpg","show blot")</f>
        <v>show blot</v>
      </c>
      <c r="J1775" s="5" t="s">
        <v>3538</v>
      </c>
      <c r="L1775" s="11">
        <v>2.5611013836490559</v>
      </c>
      <c r="N1775" s="12"/>
    </row>
    <row r="1776" spans="1:14" s="5" customFormat="1" ht="15" customHeight="1" x14ac:dyDescent="0.25">
      <c r="A1776" s="9" t="s">
        <v>3539</v>
      </c>
      <c r="C1776" s="9" t="str">
        <f>HYPERLINK("http://www.ncbi.nlm.nih.gov/protein/31560474","Dgka")</f>
        <v>Dgka</v>
      </c>
      <c r="D1776" s="10">
        <f t="shared" si="27"/>
        <v>3.4912529683725908</v>
      </c>
      <c r="F1776" s="8" t="str">
        <f>HYPERLINK("https://esbl.nhlbi.nih.gov/Databases/mpkFractions/proteomic_fractions_log_files/Yang_log_img/31560474.jpg","show blot")</f>
        <v>show blot</v>
      </c>
      <c r="H1776" s="8" t="str">
        <f>HYPERLINK("https://esbl.nhlbi.nih.gov/Databases/mpkFractions/proteomic_fractions_linear_files/Yang_linear_img/31560474.jpg","show blot")</f>
        <v>show blot</v>
      </c>
      <c r="J1776" s="5" t="s">
        <v>3540</v>
      </c>
      <c r="L1776" s="11">
        <v>3.4912529683725908</v>
      </c>
      <c r="N1776" s="12"/>
    </row>
    <row r="1777" spans="1:14" s="5" customFormat="1" ht="15" customHeight="1" x14ac:dyDescent="0.25">
      <c r="A1777" s="9" t="s">
        <v>3541</v>
      </c>
      <c r="C1777" s="9" t="str">
        <f>HYPERLINK("http://www.ncbi.nlm.nih.gov/protein/9506541","Dgke")</f>
        <v>Dgke</v>
      </c>
      <c r="D1777" s="10">
        <f t="shared" si="27"/>
        <v>2.969938023380879</v>
      </c>
      <c r="F1777" s="8" t="str">
        <f>HYPERLINK("https://esbl.nhlbi.nih.gov/Databases/mpkFractions/proteomic_fractions_log_files/Yang_log_img/9506541.jpg","show blot")</f>
        <v>show blot</v>
      </c>
      <c r="H1777" s="8" t="str">
        <f>HYPERLINK("https://esbl.nhlbi.nih.gov/Databases/mpkFractions/proteomic_fractions_linear_files/Yang_linear_img/9506541.jpg","show blot")</f>
        <v>show blot</v>
      </c>
      <c r="J1777" s="5" t="s">
        <v>3542</v>
      </c>
      <c r="L1777" s="11">
        <v>2.969938023380879</v>
      </c>
      <c r="N1777" s="12"/>
    </row>
    <row r="1778" spans="1:14" s="5" customFormat="1" ht="15" customHeight="1" x14ac:dyDescent="0.25">
      <c r="A1778" s="9" t="s">
        <v>3543</v>
      </c>
      <c r="C1778" s="9" t="str">
        <f>HYPERLINK("http://www.ncbi.nlm.nih.gov/protein/124486741","Dgkh")</f>
        <v>Dgkh</v>
      </c>
      <c r="D1778" s="10">
        <f t="shared" si="27"/>
        <v>3.0621827214762831</v>
      </c>
      <c r="F1778" s="8" t="str">
        <f>HYPERLINK("https://esbl.nhlbi.nih.gov/Databases/mpkFractions/proteomic_fractions_log_files/Yang_log_img/124486741.jpg","show blot")</f>
        <v>show blot</v>
      </c>
      <c r="H1778" s="8" t="str">
        <f>HYPERLINK("https://esbl.nhlbi.nih.gov/Databases/mpkFractions/proteomic_fractions_linear_files/Yang_linear_img/124486741.jpg","show blot")</f>
        <v>show blot</v>
      </c>
      <c r="J1778" s="5" t="s">
        <v>3544</v>
      </c>
      <c r="L1778" s="11">
        <v>3.0621827214762831</v>
      </c>
      <c r="N1778" s="12"/>
    </row>
    <row r="1779" spans="1:14" s="5" customFormat="1" ht="15" customHeight="1" x14ac:dyDescent="0.25">
      <c r="A1779" s="9" t="s">
        <v>3545</v>
      </c>
      <c r="C1779" s="9" t="str">
        <f>HYPERLINK("http://www.ncbi.nlm.nih.gov/protein/247269607","Dguok")</f>
        <v>Dguok</v>
      </c>
      <c r="D1779" s="10">
        <f t="shared" si="27"/>
        <v>4.3942783579897968</v>
      </c>
      <c r="F1779" s="8" t="str">
        <f>HYPERLINK("https://esbl.nhlbi.nih.gov/Databases/mpkFractions/proteomic_fractions_log_files/Yang_log_img/247269607.jpg","show blot")</f>
        <v>show blot</v>
      </c>
      <c r="H1779" s="8" t="str">
        <f>HYPERLINK("https://esbl.nhlbi.nih.gov/Databases/mpkFractions/proteomic_fractions_linear_files/Yang_linear_img/247269607.jpg","show blot")</f>
        <v>show blot</v>
      </c>
      <c r="J1779" s="5" t="s">
        <v>3546</v>
      </c>
      <c r="L1779" s="11">
        <v>4.3942783579897968</v>
      </c>
      <c r="N1779" s="12"/>
    </row>
    <row r="1780" spans="1:14" s="5" customFormat="1" ht="15" customHeight="1" x14ac:dyDescent="0.25">
      <c r="A1780" s="9" t="s">
        <v>3547</v>
      </c>
      <c r="C1780" s="9" t="str">
        <f>HYPERLINK("http://www.ncbi.nlm.nih.gov/protein/247269645","Dguok")</f>
        <v>Dguok</v>
      </c>
      <c r="D1780" s="10">
        <f t="shared" si="27"/>
        <v>4.3942783579897968</v>
      </c>
      <c r="F1780" s="8" t="str">
        <f>HYPERLINK("https://esbl.nhlbi.nih.gov/Databases/mpkFractions/proteomic_fractions_log_files/Yang_log_img/247269645.jpg","show blot")</f>
        <v>show blot</v>
      </c>
      <c r="H1780" s="8" t="str">
        <f>HYPERLINK("https://esbl.nhlbi.nih.gov/Databases/mpkFractions/proteomic_fractions_linear_files/Yang_linear_img/247269645.jpg","show blot")</f>
        <v>show blot</v>
      </c>
      <c r="J1780" s="5" t="s">
        <v>3548</v>
      </c>
      <c r="L1780" s="11">
        <v>4.3942783579897968</v>
      </c>
      <c r="N1780" s="12"/>
    </row>
    <row r="1781" spans="1:14" s="5" customFormat="1" ht="15" customHeight="1" x14ac:dyDescent="0.25">
      <c r="A1781" s="9" t="s">
        <v>3549</v>
      </c>
      <c r="C1781" s="9" t="str">
        <f>HYPERLINK("http://www.ncbi.nlm.nih.gov/protein/114155129","Dhcr24")</f>
        <v>Dhcr24</v>
      </c>
      <c r="D1781" s="10">
        <f t="shared" si="27"/>
        <v>3.0096626143886298</v>
      </c>
      <c r="F1781" s="8" t="str">
        <f>HYPERLINK("https://esbl.nhlbi.nih.gov/Databases/mpkFractions/proteomic_fractions_log_files/Yang_log_img/114155129.jpg","show blot")</f>
        <v>show blot</v>
      </c>
      <c r="H1781" s="8" t="str">
        <f>HYPERLINK("https://esbl.nhlbi.nih.gov/Databases/mpkFractions/proteomic_fractions_linear_files/Yang_linear_img/114155129.jpg","show blot")</f>
        <v>show blot</v>
      </c>
      <c r="J1781" s="5" t="s">
        <v>3550</v>
      </c>
      <c r="L1781" s="11">
        <v>3.0096626143886298</v>
      </c>
      <c r="N1781" s="12"/>
    </row>
    <row r="1782" spans="1:14" s="5" customFormat="1" ht="15" customHeight="1" x14ac:dyDescent="0.25">
      <c r="A1782" s="9" t="s">
        <v>3551</v>
      </c>
      <c r="C1782" s="9" t="str">
        <f>HYPERLINK("http://www.ncbi.nlm.nih.gov/protein/6681179","Dhcr7")</f>
        <v>Dhcr7</v>
      </c>
      <c r="D1782" s="10">
        <f t="shared" si="27"/>
        <v>3.5475600026283201</v>
      </c>
      <c r="F1782" s="8" t="str">
        <f>HYPERLINK("https://esbl.nhlbi.nih.gov/Databases/mpkFractions/proteomic_fractions_log_files/Yang_log_img/6681179.jpg","show blot")</f>
        <v>show blot</v>
      </c>
      <c r="H1782" s="8" t="str">
        <f>HYPERLINK("https://esbl.nhlbi.nih.gov/Databases/mpkFractions/proteomic_fractions_linear_files/Yang_linear_img/6681179.jpg","show blot")</f>
        <v>show blot</v>
      </c>
      <c r="J1782" s="5" t="s">
        <v>3552</v>
      </c>
      <c r="L1782" s="11">
        <v>3.5475600026283201</v>
      </c>
      <c r="N1782" s="12"/>
    </row>
    <row r="1783" spans="1:14" s="5" customFormat="1" ht="15" customHeight="1" x14ac:dyDescent="0.25">
      <c r="A1783" s="9" t="s">
        <v>3553</v>
      </c>
      <c r="C1783" s="9" t="str">
        <f>HYPERLINK("http://www.ncbi.nlm.nih.gov/protein/7106289","Dhfr")</f>
        <v>Dhfr</v>
      </c>
      <c r="D1783" s="10">
        <f t="shared" si="27"/>
        <v>5.9117592720730503</v>
      </c>
      <c r="F1783" s="8" t="str">
        <f>HYPERLINK("https://esbl.nhlbi.nih.gov/Databases/mpkFractions/proteomic_fractions_log_files/Yang_log_img/7106289.jpg","show blot")</f>
        <v>show blot</v>
      </c>
      <c r="H1783" s="8" t="str">
        <f>HYPERLINK("https://esbl.nhlbi.nih.gov/Databases/mpkFractions/proteomic_fractions_linear_files/Yang_linear_img/7106289.jpg","show blot")</f>
        <v>show blot</v>
      </c>
      <c r="J1783" s="5" t="s">
        <v>3554</v>
      </c>
      <c r="L1783" s="11">
        <v>5.9117592720730503</v>
      </c>
      <c r="N1783" s="12"/>
    </row>
    <row r="1784" spans="1:14" s="5" customFormat="1" ht="15" customHeight="1" x14ac:dyDescent="0.25">
      <c r="A1784" s="9" t="s">
        <v>3555</v>
      </c>
      <c r="C1784" s="9" t="str">
        <f>HYPERLINK("http://www.ncbi.nlm.nih.gov/protein/9910194","Dhodh")</f>
        <v>Dhodh</v>
      </c>
      <c r="D1784" s="10">
        <f t="shared" si="27"/>
        <v>3.572505617577677</v>
      </c>
      <c r="F1784" s="8" t="str">
        <f>HYPERLINK("https://esbl.nhlbi.nih.gov/Databases/mpkFractions/proteomic_fractions_log_files/Yang_log_img/9910194.jpg","show blot")</f>
        <v>show blot</v>
      </c>
      <c r="H1784" s="8" t="str">
        <f>HYPERLINK("https://esbl.nhlbi.nih.gov/Databases/mpkFractions/proteomic_fractions_linear_files/Yang_linear_img/9910194.jpg","show blot")</f>
        <v>show blot</v>
      </c>
      <c r="J1784" s="5" t="s">
        <v>3556</v>
      </c>
      <c r="L1784" s="11">
        <v>3.572505617577677</v>
      </c>
      <c r="N1784" s="12"/>
    </row>
    <row r="1785" spans="1:14" s="5" customFormat="1" ht="15" customHeight="1" x14ac:dyDescent="0.25">
      <c r="A1785" s="9" t="s">
        <v>3557</v>
      </c>
      <c r="C1785" s="9" t="str">
        <f>HYPERLINK("http://www.ncbi.nlm.nih.gov/protein/87252720","Dhps")</f>
        <v>Dhps</v>
      </c>
      <c r="D1785" s="10">
        <f t="shared" si="27"/>
        <v>4.1176025142152231</v>
      </c>
      <c r="F1785" s="8" t="str">
        <f>HYPERLINK("https://esbl.nhlbi.nih.gov/Databases/mpkFractions/proteomic_fractions_log_files/Yang_log_img/87252720.jpg","show blot")</f>
        <v>show blot</v>
      </c>
      <c r="H1785" s="8" t="str">
        <f>HYPERLINK("https://esbl.nhlbi.nih.gov/Databases/mpkFractions/proteomic_fractions_linear_files/Yang_linear_img/87252720.jpg","show blot")</f>
        <v>show blot</v>
      </c>
      <c r="J1785" s="5" t="s">
        <v>3558</v>
      </c>
      <c r="L1785" s="11">
        <v>4.1176025142152231</v>
      </c>
      <c r="N1785" s="12"/>
    </row>
    <row r="1786" spans="1:14" s="5" customFormat="1" ht="15" customHeight="1" x14ac:dyDescent="0.25">
      <c r="A1786" s="9" t="s">
        <v>3559</v>
      </c>
      <c r="C1786" s="9" t="str">
        <f>HYPERLINK("http://www.ncbi.nlm.nih.gov/protein/31980844","Dhrs1")</f>
        <v>Dhrs1</v>
      </c>
      <c r="D1786" s="10">
        <f t="shared" si="27"/>
        <v>5.6593379373423254</v>
      </c>
      <c r="F1786" s="8" t="str">
        <f>HYPERLINK("https://esbl.nhlbi.nih.gov/Databases/mpkFractions/proteomic_fractions_log_files/Yang_log_img/31980844.jpg","show blot")</f>
        <v>show blot</v>
      </c>
      <c r="H1786" s="8" t="str">
        <f>HYPERLINK("https://esbl.nhlbi.nih.gov/Databases/mpkFractions/proteomic_fractions_linear_files/Yang_linear_img/31980844.jpg","show blot")</f>
        <v>show blot</v>
      </c>
      <c r="J1786" s="5" t="s">
        <v>3560</v>
      </c>
      <c r="L1786" s="11">
        <v>5.6593379373423254</v>
      </c>
      <c r="N1786" s="12"/>
    </row>
    <row r="1787" spans="1:14" s="5" customFormat="1" ht="15" customHeight="1" x14ac:dyDescent="0.25">
      <c r="A1787" s="9" t="s">
        <v>3561</v>
      </c>
      <c r="C1787" s="9" t="str">
        <f>HYPERLINK("http://www.ncbi.nlm.nih.gov/protein/109715818","Dhrs11")</f>
        <v>Dhrs11</v>
      </c>
      <c r="D1787" s="10">
        <f t="shared" si="27"/>
        <v>4.3549896592554864</v>
      </c>
      <c r="F1787" s="8" t="str">
        <f>HYPERLINK("https://esbl.nhlbi.nih.gov/Databases/mpkFractions/proteomic_fractions_log_files/Yang_log_img/109715818.jpg","show blot")</f>
        <v>show blot</v>
      </c>
      <c r="H1787" s="8" t="str">
        <f>HYPERLINK("https://esbl.nhlbi.nih.gov/Databases/mpkFractions/proteomic_fractions_linear_files/Yang_linear_img/109715818.jpg","show blot")</f>
        <v>show blot</v>
      </c>
      <c r="J1787" s="5" t="s">
        <v>3562</v>
      </c>
      <c r="L1787" s="11">
        <v>4.3549896592554864</v>
      </c>
      <c r="N1787" s="12"/>
    </row>
    <row r="1788" spans="1:14" s="5" customFormat="1" ht="15" customHeight="1" x14ac:dyDescent="0.25">
      <c r="A1788" s="9" t="s">
        <v>3563</v>
      </c>
      <c r="C1788" s="9" t="str">
        <f>HYPERLINK("http://www.ncbi.nlm.nih.gov/protein/117647267","Dhrs13")</f>
        <v>Dhrs13</v>
      </c>
      <c r="D1788" s="10">
        <f t="shared" si="27"/>
        <v>4.036170132859918</v>
      </c>
      <c r="F1788" s="8" t="str">
        <f>HYPERLINK("https://esbl.nhlbi.nih.gov/Databases/mpkFractions/proteomic_fractions_log_files/Yang_log_img/117647267.jpg","show blot")</f>
        <v>show blot</v>
      </c>
      <c r="H1788" s="8" t="str">
        <f>HYPERLINK("https://esbl.nhlbi.nih.gov/Databases/mpkFractions/proteomic_fractions_linear_files/Yang_linear_img/117647267.jpg","show blot")</f>
        <v>show blot</v>
      </c>
      <c r="J1788" s="5" t="s">
        <v>3564</v>
      </c>
      <c r="L1788" s="11">
        <v>4.036170132859918</v>
      </c>
      <c r="N1788" s="12"/>
    </row>
    <row r="1789" spans="1:14" s="5" customFormat="1" ht="15" customHeight="1" x14ac:dyDescent="0.25">
      <c r="A1789" s="9" t="s">
        <v>3565</v>
      </c>
      <c r="C1789" s="9" t="str">
        <f>HYPERLINK("http://www.ncbi.nlm.nih.gov/protein/289063391","Dhrs3")</f>
        <v>Dhrs3</v>
      </c>
      <c r="D1789" s="10">
        <f t="shared" si="27"/>
        <v>4.1835963732250327</v>
      </c>
      <c r="F1789" s="8" t="str">
        <f>HYPERLINK("https://esbl.nhlbi.nih.gov/Databases/mpkFractions/proteomic_fractions_log_files/Yang_log_img/289063391.jpg","show blot")</f>
        <v>show blot</v>
      </c>
      <c r="H1789" s="8" t="str">
        <f>HYPERLINK("https://esbl.nhlbi.nih.gov/Databases/mpkFractions/proteomic_fractions_linear_files/Yang_linear_img/289063391.jpg","show blot")</f>
        <v>show blot</v>
      </c>
      <c r="J1789" s="5" t="s">
        <v>3566</v>
      </c>
      <c r="L1789" s="11">
        <v>4.1835963732250327</v>
      </c>
      <c r="N1789" s="12"/>
    </row>
    <row r="1790" spans="1:14" s="5" customFormat="1" ht="15" customHeight="1" x14ac:dyDescent="0.25">
      <c r="A1790" s="9" t="s">
        <v>3567</v>
      </c>
      <c r="C1790" s="9" t="str">
        <f>HYPERLINK("http://www.ncbi.nlm.nih.gov/protein/6755380","Dhrs3")</f>
        <v>Dhrs3</v>
      </c>
      <c r="D1790" s="10">
        <f t="shared" si="27"/>
        <v>4.1835963732250327</v>
      </c>
      <c r="F1790" s="8" t="str">
        <f>HYPERLINK("https://esbl.nhlbi.nih.gov/Databases/mpkFractions/proteomic_fractions_log_files/Yang_log_img/6755380.jpg","show blot")</f>
        <v>show blot</v>
      </c>
      <c r="H1790" s="8" t="str">
        <f>HYPERLINK("https://esbl.nhlbi.nih.gov/Databases/mpkFractions/proteomic_fractions_linear_files/Yang_linear_img/6755380.jpg","show blot")</f>
        <v>show blot</v>
      </c>
      <c r="J1790" s="5" t="s">
        <v>3568</v>
      </c>
      <c r="L1790" s="11">
        <v>4.1835963732250327</v>
      </c>
      <c r="N1790" s="12"/>
    </row>
    <row r="1791" spans="1:14" s="5" customFormat="1" ht="15" customHeight="1" x14ac:dyDescent="0.25">
      <c r="A1791" s="9" t="s">
        <v>3569</v>
      </c>
      <c r="C1791" s="9" t="str">
        <f>HYPERLINK("http://www.ncbi.nlm.nih.gov/protein/13507612","Dhrs4")</f>
        <v>Dhrs4</v>
      </c>
      <c r="D1791" s="10">
        <f t="shared" si="27"/>
        <v>5.7667152900888654</v>
      </c>
      <c r="F1791" s="8" t="str">
        <f>HYPERLINK("https://esbl.nhlbi.nih.gov/Databases/mpkFractions/proteomic_fractions_log_files/Yang_log_img/13507612.jpg","show blot")</f>
        <v>show blot</v>
      </c>
      <c r="H1791" s="8" t="str">
        <f>HYPERLINK("https://esbl.nhlbi.nih.gov/Databases/mpkFractions/proteomic_fractions_linear_files/Yang_linear_img/13507612.jpg","show blot")</f>
        <v>show blot</v>
      </c>
      <c r="J1791" s="5" t="s">
        <v>3570</v>
      </c>
      <c r="L1791" s="11">
        <v>5.7667152900888654</v>
      </c>
      <c r="N1791" s="12"/>
    </row>
    <row r="1792" spans="1:14" s="5" customFormat="1" ht="15" customHeight="1" x14ac:dyDescent="0.25">
      <c r="A1792" s="9" t="s">
        <v>3571</v>
      </c>
      <c r="C1792" s="9" t="str">
        <f>HYPERLINK("http://www.ncbi.nlm.nih.gov/protein/256220343","Dhrs4")</f>
        <v>Dhrs4</v>
      </c>
      <c r="D1792" s="10">
        <f t="shared" si="27"/>
        <v>5.7667152900888654</v>
      </c>
      <c r="F1792" s="8" t="str">
        <f>HYPERLINK("https://esbl.nhlbi.nih.gov/Databases/mpkFractions/proteomic_fractions_log_files/Yang_log_img/256220343.jpg","show blot")</f>
        <v>show blot</v>
      </c>
      <c r="H1792" s="8" t="str">
        <f>HYPERLINK("https://esbl.nhlbi.nih.gov/Databases/mpkFractions/proteomic_fractions_linear_files/Yang_linear_img/256220343.jpg","show blot")</f>
        <v>show blot</v>
      </c>
      <c r="J1792" s="5" t="s">
        <v>3572</v>
      </c>
      <c r="L1792" s="11">
        <v>5.7667152900888654</v>
      </c>
      <c r="N1792" s="12"/>
    </row>
    <row r="1793" spans="1:14" s="5" customFormat="1" ht="15" customHeight="1" x14ac:dyDescent="0.25">
      <c r="A1793" s="9" t="s">
        <v>3573</v>
      </c>
      <c r="C1793" s="9" t="str">
        <f>HYPERLINK("http://www.ncbi.nlm.nih.gov/protein/226958616","Dhrs7")</f>
        <v>Dhrs7</v>
      </c>
      <c r="D1793" s="10">
        <f t="shared" si="27"/>
        <v>3.8127521747080682</v>
      </c>
      <c r="F1793" s="8" t="str">
        <f>HYPERLINK("https://esbl.nhlbi.nih.gov/Databases/mpkFractions/proteomic_fractions_log_files/Yang_log_img/226958616.jpg","show blot")</f>
        <v>show blot</v>
      </c>
      <c r="H1793" s="8" t="str">
        <f>HYPERLINK("https://esbl.nhlbi.nih.gov/Databases/mpkFractions/proteomic_fractions_linear_files/Yang_linear_img/226958616.jpg","show blot")</f>
        <v>show blot</v>
      </c>
      <c r="J1793" s="5" t="s">
        <v>3574</v>
      </c>
      <c r="L1793" s="11">
        <v>3.8127521747080682</v>
      </c>
      <c r="N1793" s="12"/>
    </row>
    <row r="1794" spans="1:14" s="5" customFormat="1" ht="15" customHeight="1" x14ac:dyDescent="0.25">
      <c r="A1794" s="9" t="s">
        <v>3575</v>
      </c>
      <c r="C1794" s="9" t="str">
        <f>HYPERLINK("http://www.ncbi.nlm.nih.gov/protein/21703854","Dhrs7b")</f>
        <v>Dhrs7b</v>
      </c>
      <c r="D1794" s="10">
        <f t="shared" si="27"/>
        <v>4.5238237690534522</v>
      </c>
      <c r="F1794" s="8" t="str">
        <f>HYPERLINK("https://esbl.nhlbi.nih.gov/Databases/mpkFractions/proteomic_fractions_log_files/Yang_log_img/21703854.jpg","show blot")</f>
        <v>show blot</v>
      </c>
      <c r="H1794" s="8" t="str">
        <f>HYPERLINK("https://esbl.nhlbi.nih.gov/Databases/mpkFractions/proteomic_fractions_linear_files/Yang_linear_img/21703854.jpg","show blot")</f>
        <v>show blot</v>
      </c>
      <c r="J1794" s="5" t="s">
        <v>3576</v>
      </c>
      <c r="L1794" s="11">
        <v>4.5238237690534522</v>
      </c>
      <c r="N1794" s="12"/>
    </row>
    <row r="1795" spans="1:14" s="5" customFormat="1" ht="15" customHeight="1" x14ac:dyDescent="0.25">
      <c r="A1795" s="9" t="s">
        <v>3577</v>
      </c>
      <c r="C1795" s="9" t="str">
        <f>HYPERLINK("http://www.ncbi.nlm.nih.gov/protein/285403538","Dhrs7b")</f>
        <v>Dhrs7b</v>
      </c>
      <c r="D1795" s="10">
        <f t="shared" si="27"/>
        <v>4.5238237690534522</v>
      </c>
      <c r="F1795" s="8" t="str">
        <f>HYPERLINK("https://esbl.nhlbi.nih.gov/Databases/mpkFractions/proteomic_fractions_log_files/Yang_log_img/285403538.jpg","show blot")</f>
        <v>show blot</v>
      </c>
      <c r="H1795" s="8" t="str">
        <f>HYPERLINK("https://esbl.nhlbi.nih.gov/Databases/mpkFractions/proteomic_fractions_linear_files/Yang_linear_img/285403538.jpg","show blot")</f>
        <v>show blot</v>
      </c>
      <c r="J1795" s="5" t="s">
        <v>3578</v>
      </c>
      <c r="L1795" s="11">
        <v>4.5238237690534522</v>
      </c>
      <c r="N1795" s="12"/>
    </row>
    <row r="1796" spans="1:14" s="5" customFormat="1" ht="15" customHeight="1" x14ac:dyDescent="0.25">
      <c r="A1796" s="9" t="s">
        <v>3579</v>
      </c>
      <c r="C1796" s="9" t="str">
        <f>HYPERLINK("http://www.ncbi.nlm.nih.gov/protein/110835723","Dhx15")</f>
        <v>Dhx15</v>
      </c>
      <c r="D1796" s="10">
        <f t="shared" si="27"/>
        <v>5.7273333481379796</v>
      </c>
      <c r="F1796" s="8" t="str">
        <f>HYPERLINK("https://esbl.nhlbi.nih.gov/Databases/mpkFractions/proteomic_fractions_log_files/Yang_log_img/110835723.jpg","show blot")</f>
        <v>show blot</v>
      </c>
      <c r="H1796" s="8" t="str">
        <f>HYPERLINK("https://esbl.nhlbi.nih.gov/Databases/mpkFractions/proteomic_fractions_linear_files/Yang_linear_img/110835723.jpg","show blot")</f>
        <v>show blot</v>
      </c>
      <c r="J1796" s="5" t="s">
        <v>3580</v>
      </c>
      <c r="L1796" s="11">
        <v>5.7273333481379796</v>
      </c>
      <c r="N1796" s="12"/>
    </row>
    <row r="1797" spans="1:14" s="5" customFormat="1" ht="15" customHeight="1" x14ac:dyDescent="0.25">
      <c r="A1797" s="9" t="s">
        <v>3581</v>
      </c>
      <c r="C1797" s="9" t="str">
        <f>HYPERLINK("http://www.ncbi.nlm.nih.gov/protein/110835726","Dhx15")</f>
        <v>Dhx15</v>
      </c>
      <c r="D1797" s="10">
        <f t="shared" ref="D1797:D1860" si="28">L1797</f>
        <v>5.7273333481379796</v>
      </c>
      <c r="F1797" s="8" t="str">
        <f>HYPERLINK("https://esbl.nhlbi.nih.gov/Databases/mpkFractions/proteomic_fractions_log_files/Yang_log_img/110835726.jpg","show blot")</f>
        <v>show blot</v>
      </c>
      <c r="H1797" s="8" t="str">
        <f>HYPERLINK("https://esbl.nhlbi.nih.gov/Databases/mpkFractions/proteomic_fractions_linear_files/Yang_linear_img/110835726.jpg","show blot")</f>
        <v>show blot</v>
      </c>
      <c r="J1797" s="5" t="s">
        <v>3582</v>
      </c>
      <c r="L1797" s="11">
        <v>5.7273333481379796</v>
      </c>
      <c r="N1797" s="12"/>
    </row>
    <row r="1798" spans="1:14" s="5" customFormat="1" ht="15" customHeight="1" x14ac:dyDescent="0.25">
      <c r="A1798" s="9" t="s">
        <v>3583</v>
      </c>
      <c r="C1798" s="9" t="str">
        <f>HYPERLINK("http://www.ncbi.nlm.nih.gov/protein/226246667","Dhx16")</f>
        <v>Dhx16</v>
      </c>
      <c r="D1798" s="10">
        <f t="shared" si="28"/>
        <v>3.760169531800666</v>
      </c>
      <c r="F1798" s="8" t="str">
        <f>HYPERLINK("https://esbl.nhlbi.nih.gov/Databases/mpkFractions/proteomic_fractions_log_files/Yang_log_img/226246667.jpg","show blot")</f>
        <v>show blot</v>
      </c>
      <c r="H1798" s="8" t="str">
        <f>HYPERLINK("https://esbl.nhlbi.nih.gov/Databases/mpkFractions/proteomic_fractions_linear_files/Yang_linear_img/226246667.jpg","show blot")</f>
        <v>show blot</v>
      </c>
      <c r="J1798" s="5" t="s">
        <v>3584</v>
      </c>
      <c r="L1798" s="11">
        <v>3.760169531800666</v>
      </c>
      <c r="N1798" s="12"/>
    </row>
    <row r="1799" spans="1:14" s="5" customFormat="1" ht="15" customHeight="1" x14ac:dyDescent="0.25">
      <c r="A1799" s="9" t="s">
        <v>3585</v>
      </c>
      <c r="C1799" s="9" t="str">
        <f>HYPERLINK("http://www.ncbi.nlm.nih.gov/protein/46852276","Dhx29")</f>
        <v>Dhx29</v>
      </c>
      <c r="D1799" s="10">
        <f t="shared" si="28"/>
        <v>3.9475666833524579</v>
      </c>
      <c r="F1799" s="8" t="str">
        <f>HYPERLINK("https://esbl.nhlbi.nih.gov/Databases/mpkFractions/proteomic_fractions_log_files/Yang_log_img/46852276.jpg","show blot")</f>
        <v>show blot</v>
      </c>
      <c r="H1799" s="8" t="str">
        <f>HYPERLINK("https://esbl.nhlbi.nih.gov/Databases/mpkFractions/proteomic_fractions_linear_files/Yang_linear_img/46852276.jpg","show blot")</f>
        <v>show blot</v>
      </c>
      <c r="J1799" s="5" t="s">
        <v>3586</v>
      </c>
      <c r="L1799" s="11">
        <v>3.9475666833524579</v>
      </c>
      <c r="N1799" s="12"/>
    </row>
    <row r="1800" spans="1:14" s="5" customFormat="1" ht="15" customHeight="1" x14ac:dyDescent="0.25">
      <c r="A1800" s="9" t="s">
        <v>3587</v>
      </c>
      <c r="C1800" s="9" t="str">
        <f>HYPERLINK("http://www.ncbi.nlm.nih.gov/protein/19111156","Dhx30")</f>
        <v>Dhx30</v>
      </c>
      <c r="D1800" s="10">
        <f t="shared" si="28"/>
        <v>4.5965015832930529</v>
      </c>
      <c r="F1800" s="8" t="str">
        <f>HYPERLINK("https://esbl.nhlbi.nih.gov/Databases/mpkFractions/proteomic_fractions_log_files/Yang_log_img/19111156.jpg","show blot")</f>
        <v>show blot</v>
      </c>
      <c r="H1800" s="8" t="str">
        <f>HYPERLINK("https://esbl.nhlbi.nih.gov/Databases/mpkFractions/proteomic_fractions_linear_files/Yang_linear_img/19111156.jpg","show blot")</f>
        <v>show blot</v>
      </c>
      <c r="J1800" s="5" t="s">
        <v>3588</v>
      </c>
      <c r="L1800" s="11">
        <v>4.5965015832930529</v>
      </c>
      <c r="N1800" s="12"/>
    </row>
    <row r="1801" spans="1:14" s="5" customFormat="1" ht="15" customHeight="1" x14ac:dyDescent="0.25">
      <c r="A1801" s="9" t="s">
        <v>3589</v>
      </c>
      <c r="C1801" s="9" t="str">
        <f>HYPERLINK("http://www.ncbi.nlm.nih.gov/protein/358248315","Dhx30")</f>
        <v>Dhx30</v>
      </c>
      <c r="D1801" s="10">
        <f t="shared" si="28"/>
        <v>4.5965015832930529</v>
      </c>
      <c r="F1801" s="8" t="str">
        <f>HYPERLINK("https://esbl.nhlbi.nih.gov/Databases/mpkFractions/proteomic_fractions_log_files/Yang_log_img/358248315.jpg","show blot")</f>
        <v>show blot</v>
      </c>
      <c r="H1801" s="8" t="str">
        <f>HYPERLINK("https://esbl.nhlbi.nih.gov/Databases/mpkFractions/proteomic_fractions_linear_files/Yang_linear_img/358248315.jpg","show blot")</f>
        <v>show blot</v>
      </c>
      <c r="J1801" s="5" t="s">
        <v>3590</v>
      </c>
      <c r="L1801" s="11">
        <v>4.5965015832930529</v>
      </c>
      <c r="N1801" s="12"/>
    </row>
    <row r="1802" spans="1:14" s="5" customFormat="1" ht="15" customHeight="1" x14ac:dyDescent="0.25">
      <c r="A1802" s="9" t="s">
        <v>3591</v>
      </c>
      <c r="C1802" s="9" t="str">
        <f>HYPERLINK("http://www.ncbi.nlm.nih.gov/protein/358248329","Dhx30")</f>
        <v>Dhx30</v>
      </c>
      <c r="D1802" s="10">
        <f t="shared" si="28"/>
        <v>4.5965015832930529</v>
      </c>
      <c r="F1802" s="8" t="str">
        <f>HYPERLINK("https://esbl.nhlbi.nih.gov/Databases/mpkFractions/proteomic_fractions_log_files/Yang_log_img/358248329.jpg","show blot")</f>
        <v>show blot</v>
      </c>
      <c r="H1802" s="8" t="str">
        <f>HYPERLINK("https://esbl.nhlbi.nih.gov/Databases/mpkFractions/proteomic_fractions_linear_files/Yang_linear_img/358248329.jpg","show blot")</f>
        <v>show blot</v>
      </c>
      <c r="J1802" s="5" t="s">
        <v>3592</v>
      </c>
      <c r="L1802" s="11">
        <v>4.5965015832930529</v>
      </c>
      <c r="N1802" s="12"/>
    </row>
    <row r="1803" spans="1:14" s="5" customFormat="1" ht="15" customHeight="1" x14ac:dyDescent="0.25">
      <c r="A1803" s="9" t="s">
        <v>3593</v>
      </c>
      <c r="C1803" s="9" t="str">
        <f>HYPERLINK("http://www.ncbi.nlm.nih.gov/protein/21919420","Dhx35")</f>
        <v>Dhx35</v>
      </c>
      <c r="D1803" s="10">
        <f t="shared" si="28"/>
        <v>3.29932088836898</v>
      </c>
      <c r="F1803" s="8" t="str">
        <f>HYPERLINK("https://esbl.nhlbi.nih.gov/Databases/mpkFractions/proteomic_fractions_log_files/Yang_log_img/21919420.jpg","show blot")</f>
        <v>show blot</v>
      </c>
      <c r="H1803" s="8" t="str">
        <f>HYPERLINK("https://esbl.nhlbi.nih.gov/Databases/mpkFractions/proteomic_fractions_linear_files/Yang_linear_img/21919420.jpg","show blot")</f>
        <v>show blot</v>
      </c>
      <c r="J1803" s="5" t="s">
        <v>3594</v>
      </c>
      <c r="L1803" s="11">
        <v>3.29932088836898</v>
      </c>
      <c r="N1803" s="12"/>
    </row>
    <row r="1804" spans="1:14" s="5" customFormat="1" ht="15" customHeight="1" x14ac:dyDescent="0.25">
      <c r="A1804" s="9" t="s">
        <v>3595</v>
      </c>
      <c r="C1804" s="9" t="str">
        <f>HYPERLINK("http://www.ncbi.nlm.nih.gov/protein/240848573","Dhx36")</f>
        <v>Dhx36</v>
      </c>
      <c r="D1804" s="10">
        <f t="shared" si="28"/>
        <v>4.5670822996855636</v>
      </c>
      <c r="F1804" s="8" t="str">
        <f>HYPERLINK("https://esbl.nhlbi.nih.gov/Databases/mpkFractions/proteomic_fractions_log_files/Yang_log_img/240848573.jpg","show blot")</f>
        <v>show blot</v>
      </c>
      <c r="H1804" s="8" t="str">
        <f>HYPERLINK("https://esbl.nhlbi.nih.gov/Databases/mpkFractions/proteomic_fractions_linear_files/Yang_linear_img/240848573.jpg","show blot")</f>
        <v>show blot</v>
      </c>
      <c r="J1804" s="5" t="s">
        <v>3596</v>
      </c>
      <c r="L1804" s="11">
        <v>4.5670822996855636</v>
      </c>
      <c r="N1804" s="12"/>
    </row>
    <row r="1805" spans="1:14" s="5" customFormat="1" ht="15" customHeight="1" x14ac:dyDescent="0.25">
      <c r="A1805" s="9" t="s">
        <v>3597</v>
      </c>
      <c r="C1805" s="9" t="str">
        <f>HYPERLINK("http://www.ncbi.nlm.nih.gov/protein/42600571","Dhx37")</f>
        <v>Dhx37</v>
      </c>
      <c r="D1805" s="10">
        <f t="shared" si="28"/>
        <v>1.8027202901049619</v>
      </c>
      <c r="F1805" s="8" t="str">
        <f>HYPERLINK("https://esbl.nhlbi.nih.gov/Databases/mpkFractions/proteomic_fractions_log_files/Yang_log_img/42600571.jpg","show blot")</f>
        <v>show blot</v>
      </c>
      <c r="H1805" s="8" t="str">
        <f>HYPERLINK("https://esbl.nhlbi.nih.gov/Databases/mpkFractions/proteomic_fractions_linear_files/Yang_linear_img/42600571.jpg","show blot")</f>
        <v>show blot</v>
      </c>
      <c r="J1805" s="5" t="s">
        <v>3598</v>
      </c>
      <c r="L1805" s="11">
        <v>1.8027202901049619</v>
      </c>
      <c r="N1805" s="12"/>
    </row>
    <row r="1806" spans="1:14" s="5" customFormat="1" ht="15" customHeight="1" x14ac:dyDescent="0.25">
      <c r="A1806" s="9" t="s">
        <v>3599</v>
      </c>
      <c r="C1806" s="9" t="str">
        <f>HYPERLINK("http://www.ncbi.nlm.nih.gov/protein/30410010","Dhx38")</f>
        <v>Dhx38</v>
      </c>
      <c r="D1806" s="10">
        <f t="shared" si="28"/>
        <v>4.5794978373339479</v>
      </c>
      <c r="F1806" s="8" t="str">
        <f>HYPERLINK("https://esbl.nhlbi.nih.gov/Databases/mpkFractions/proteomic_fractions_log_files/Yang_log_img/30410010.jpg","show blot")</f>
        <v>show blot</v>
      </c>
      <c r="H1806" s="8" t="str">
        <f>HYPERLINK("https://esbl.nhlbi.nih.gov/Databases/mpkFractions/proteomic_fractions_linear_files/Yang_linear_img/30410010.jpg","show blot")</f>
        <v>show blot</v>
      </c>
      <c r="J1806" s="5" t="s">
        <v>3600</v>
      </c>
      <c r="L1806" s="11">
        <v>4.5794978373339479</v>
      </c>
      <c r="N1806" s="12"/>
    </row>
    <row r="1807" spans="1:14" s="5" customFormat="1" ht="15" customHeight="1" x14ac:dyDescent="0.25">
      <c r="A1807" s="9" t="s">
        <v>3601</v>
      </c>
      <c r="C1807" s="9" t="str">
        <f>HYPERLINK("http://www.ncbi.nlm.nih.gov/protein/144926009","Dhx40")</f>
        <v>Dhx40</v>
      </c>
      <c r="D1807" s="10">
        <f t="shared" si="28"/>
        <v>3.5045095416012679</v>
      </c>
      <c r="F1807" s="8" t="str">
        <f>HYPERLINK("https://esbl.nhlbi.nih.gov/Databases/mpkFractions/proteomic_fractions_log_files/Yang_log_img/144926009.jpg","show blot")</f>
        <v>show blot</v>
      </c>
      <c r="H1807" s="8" t="str">
        <f>HYPERLINK("https://esbl.nhlbi.nih.gov/Databases/mpkFractions/proteomic_fractions_linear_files/Yang_linear_img/144926009.jpg","show blot")</f>
        <v>show blot</v>
      </c>
      <c r="J1807" s="5" t="s">
        <v>3602</v>
      </c>
      <c r="L1807" s="11">
        <v>3.5045095416012679</v>
      </c>
      <c r="N1807" s="12"/>
    </row>
    <row r="1808" spans="1:14" s="5" customFormat="1" ht="15" customHeight="1" x14ac:dyDescent="0.25">
      <c r="A1808" s="9" t="s">
        <v>3603</v>
      </c>
      <c r="C1808" s="9" t="str">
        <f>HYPERLINK("http://www.ncbi.nlm.nih.gov/protein/254939651","Dhx57")</f>
        <v>Dhx57</v>
      </c>
      <c r="D1808" s="10">
        <f t="shared" si="28"/>
        <v>3.2158586379072149</v>
      </c>
      <c r="F1808" s="8" t="str">
        <f>HYPERLINK("https://esbl.nhlbi.nih.gov/Databases/mpkFractions/proteomic_fractions_log_files/Yang_log_img/254939651.jpg","show blot")</f>
        <v>show blot</v>
      </c>
      <c r="H1808" s="8" t="str">
        <f>HYPERLINK("https://esbl.nhlbi.nih.gov/Databases/mpkFractions/proteomic_fractions_linear_files/Yang_linear_img/254939651.jpg","show blot")</f>
        <v>show blot</v>
      </c>
      <c r="J1808" s="5" t="s">
        <v>3604</v>
      </c>
      <c r="L1808" s="11">
        <v>3.2158586379072149</v>
      </c>
      <c r="N1808" s="12"/>
    </row>
    <row r="1809" spans="1:14" s="5" customFormat="1" ht="15" customHeight="1" x14ac:dyDescent="0.25">
      <c r="A1809" s="9" t="s">
        <v>3605</v>
      </c>
      <c r="C1809" s="9" t="str">
        <f>HYPERLINK("http://www.ncbi.nlm.nih.gov/protein/254939654","Dhx57")</f>
        <v>Dhx57</v>
      </c>
      <c r="D1809" s="10">
        <f t="shared" si="28"/>
        <v>3.2158586379072149</v>
      </c>
      <c r="F1809" s="8" t="str">
        <f>HYPERLINK("https://esbl.nhlbi.nih.gov/Databases/mpkFractions/proteomic_fractions_log_files/Yang_log_img/254939654.jpg","show blot")</f>
        <v>show blot</v>
      </c>
      <c r="H1809" s="8" t="str">
        <f>HYPERLINK("https://esbl.nhlbi.nih.gov/Databases/mpkFractions/proteomic_fractions_linear_files/Yang_linear_img/254939654.jpg","show blot")</f>
        <v>show blot</v>
      </c>
      <c r="J1809" s="5" t="s">
        <v>3606</v>
      </c>
      <c r="L1809" s="11">
        <v>3.2158586379072149</v>
      </c>
      <c r="N1809" s="12"/>
    </row>
    <row r="1810" spans="1:14" s="5" customFormat="1" ht="15" customHeight="1" x14ac:dyDescent="0.25">
      <c r="A1810" s="9" t="s">
        <v>3607</v>
      </c>
      <c r="C1810" s="9" t="str">
        <f>HYPERLINK("http://www.ncbi.nlm.nih.gov/protein/56699440","Dhx8")</f>
        <v>Dhx8</v>
      </c>
      <c r="D1810" s="10">
        <f t="shared" si="28"/>
        <v>3.6753386413574738</v>
      </c>
      <c r="F1810" s="8" t="str">
        <f>HYPERLINK("https://esbl.nhlbi.nih.gov/Databases/mpkFractions/proteomic_fractions_log_files/Yang_log_img/56699440.jpg","show blot")</f>
        <v>show blot</v>
      </c>
      <c r="H1810" s="8" t="str">
        <f>HYPERLINK("https://esbl.nhlbi.nih.gov/Databases/mpkFractions/proteomic_fractions_linear_files/Yang_linear_img/56699440.jpg","show blot")</f>
        <v>show blot</v>
      </c>
      <c r="J1810" s="5" t="s">
        <v>3608</v>
      </c>
      <c r="L1810" s="11">
        <v>3.6753386413574738</v>
      </c>
      <c r="N1810" s="12"/>
    </row>
    <row r="1811" spans="1:14" s="5" customFormat="1" ht="15" customHeight="1" x14ac:dyDescent="0.25">
      <c r="A1811" s="9" t="s">
        <v>3609</v>
      </c>
      <c r="C1811" s="9" t="str">
        <f>HYPERLINK("http://www.ncbi.nlm.nih.gov/protein/150456419","Dhx9")</f>
        <v>Dhx9</v>
      </c>
      <c r="D1811" s="10">
        <f t="shared" si="28"/>
        <v>6.1106323571449748</v>
      </c>
      <c r="F1811" s="8" t="str">
        <f>HYPERLINK("https://esbl.nhlbi.nih.gov/Databases/mpkFractions/proteomic_fractions_log_files/Yang_log_img/150456419.jpg","show blot")</f>
        <v>show blot</v>
      </c>
      <c r="H1811" s="8" t="str">
        <f>HYPERLINK("https://esbl.nhlbi.nih.gov/Databases/mpkFractions/proteomic_fractions_linear_files/Yang_linear_img/150456419.jpg","show blot")</f>
        <v>show blot</v>
      </c>
      <c r="J1811" s="5" t="s">
        <v>3610</v>
      </c>
      <c r="L1811" s="11">
        <v>6.1106323571449748</v>
      </c>
      <c r="N1811" s="12"/>
    </row>
    <row r="1812" spans="1:14" s="5" customFormat="1" ht="15" customHeight="1" x14ac:dyDescent="0.25">
      <c r="A1812" s="9" t="s">
        <v>3611</v>
      </c>
      <c r="C1812" s="9" t="str">
        <f>HYPERLINK("http://www.ncbi.nlm.nih.gov/protein/85677504","Diablo")</f>
        <v>Diablo</v>
      </c>
      <c r="D1812" s="10">
        <f t="shared" si="28"/>
        <v>4.1399039815435454</v>
      </c>
      <c r="F1812" s="8" t="str">
        <f>HYPERLINK("https://esbl.nhlbi.nih.gov/Databases/mpkFractions/proteomic_fractions_log_files/Yang_log_img/85677504.jpg","show blot")</f>
        <v>show blot</v>
      </c>
      <c r="H1812" s="8" t="str">
        <f>HYPERLINK("https://esbl.nhlbi.nih.gov/Databases/mpkFractions/proteomic_fractions_linear_files/Yang_linear_img/85677504.jpg","show blot")</f>
        <v>show blot</v>
      </c>
      <c r="J1812" s="5" t="s">
        <v>3612</v>
      </c>
      <c r="L1812" s="11">
        <v>4.1399039815435454</v>
      </c>
      <c r="N1812" s="12"/>
    </row>
    <row r="1813" spans="1:14" s="5" customFormat="1" ht="15" customHeight="1" x14ac:dyDescent="0.25">
      <c r="A1813" s="9" t="s">
        <v>3613</v>
      </c>
      <c r="C1813" s="9" t="str">
        <f>HYPERLINK("http://www.ncbi.nlm.nih.gov/protein/6681183","Diap1")</f>
        <v>Diap1</v>
      </c>
      <c r="D1813" s="10">
        <f t="shared" si="28"/>
        <v>4.8913570495711589</v>
      </c>
      <c r="F1813" s="8" t="str">
        <f>HYPERLINK("https://esbl.nhlbi.nih.gov/Databases/mpkFractions/proteomic_fractions_log_files/Yang_log_img/6681183.jpg","show blot")</f>
        <v>show blot</v>
      </c>
      <c r="H1813" s="8" t="str">
        <f>HYPERLINK("https://esbl.nhlbi.nih.gov/Databases/mpkFractions/proteomic_fractions_linear_files/Yang_linear_img/6681183.jpg","show blot")</f>
        <v>show blot</v>
      </c>
      <c r="J1813" s="5" t="s">
        <v>3614</v>
      </c>
      <c r="L1813" s="11">
        <v>4.8913570495711589</v>
      </c>
      <c r="N1813" s="12"/>
    </row>
    <row r="1814" spans="1:14" s="5" customFormat="1" ht="15" customHeight="1" x14ac:dyDescent="0.25">
      <c r="A1814" s="9" t="s">
        <v>3615</v>
      </c>
      <c r="C1814" s="9" t="str">
        <f>HYPERLINK("http://www.ncbi.nlm.nih.gov/protein/189491671","Diap2")</f>
        <v>Diap2</v>
      </c>
      <c r="D1814" s="10">
        <f t="shared" si="28"/>
        <v>2.5519181979807439</v>
      </c>
      <c r="F1814" s="8" t="str">
        <f>HYPERLINK("https://esbl.nhlbi.nih.gov/Databases/mpkFractions/proteomic_fractions_log_files/Yang_log_img/189491671.jpg","show blot")</f>
        <v>show blot</v>
      </c>
      <c r="H1814" s="8" t="str">
        <f>HYPERLINK("https://esbl.nhlbi.nih.gov/Databases/mpkFractions/proteomic_fractions_linear_files/Yang_linear_img/189491671.jpg","show blot")</f>
        <v>show blot</v>
      </c>
      <c r="J1814" s="5" t="s">
        <v>3616</v>
      </c>
      <c r="L1814" s="11">
        <v>2.5519181979807439</v>
      </c>
      <c r="N1814" s="12"/>
    </row>
    <row r="1815" spans="1:14" s="5" customFormat="1" ht="15" customHeight="1" x14ac:dyDescent="0.25">
      <c r="A1815" s="9" t="s">
        <v>3617</v>
      </c>
      <c r="C1815" s="9" t="str">
        <f>HYPERLINK("http://www.ncbi.nlm.nih.gov/protein/9789931","Diap3")</f>
        <v>Diap3</v>
      </c>
      <c r="D1815" s="10">
        <f t="shared" si="28"/>
        <v>2.295944369379205</v>
      </c>
      <c r="F1815" s="8" t="str">
        <f>HYPERLINK("https://esbl.nhlbi.nih.gov/Databases/mpkFractions/proteomic_fractions_log_files/Yang_log_img/9789931.jpg","show blot")</f>
        <v>show blot</v>
      </c>
      <c r="H1815" s="8" t="str">
        <f>HYPERLINK("https://esbl.nhlbi.nih.gov/Databases/mpkFractions/proteomic_fractions_linear_files/Yang_linear_img/9789931.jpg","show blot")</f>
        <v>show blot</v>
      </c>
      <c r="J1815" s="5" t="s">
        <v>3618</v>
      </c>
      <c r="L1815" s="11">
        <v>2.295944369379205</v>
      </c>
      <c r="N1815" s="12"/>
    </row>
    <row r="1816" spans="1:14" s="5" customFormat="1" ht="15" customHeight="1" x14ac:dyDescent="0.25">
      <c r="A1816" s="9" t="s">
        <v>3619</v>
      </c>
      <c r="C1816" s="9" t="str">
        <f>HYPERLINK("http://www.ncbi.nlm.nih.gov/protein/117168271","Dicer1")</f>
        <v>Dicer1</v>
      </c>
      <c r="D1816" s="10">
        <f t="shared" si="28"/>
        <v>3.9848927724485721</v>
      </c>
      <c r="F1816" s="8" t="str">
        <f>HYPERLINK("https://esbl.nhlbi.nih.gov/Databases/mpkFractions/proteomic_fractions_log_files/Yang_log_img/117168271.jpg","show blot")</f>
        <v>show blot</v>
      </c>
      <c r="H1816" s="8" t="str">
        <f>HYPERLINK("https://esbl.nhlbi.nih.gov/Databases/mpkFractions/proteomic_fractions_linear_files/Yang_linear_img/117168271.jpg","show blot")</f>
        <v>show blot</v>
      </c>
      <c r="J1816" s="5" t="s">
        <v>3620</v>
      </c>
      <c r="L1816" s="11">
        <v>3.9848927724485721</v>
      </c>
      <c r="N1816" s="12"/>
    </row>
    <row r="1817" spans="1:14" s="5" customFormat="1" ht="15" customHeight="1" x14ac:dyDescent="0.25">
      <c r="A1817" s="9" t="s">
        <v>3621</v>
      </c>
      <c r="C1817" s="9" t="str">
        <f>HYPERLINK("http://www.ncbi.nlm.nih.gov/protein/51571541","Dido1")</f>
        <v>Dido1</v>
      </c>
      <c r="D1817" s="10">
        <f t="shared" si="28"/>
        <v>2.7662612864675769</v>
      </c>
      <c r="F1817" s="8" t="str">
        <f>HYPERLINK("https://esbl.nhlbi.nih.gov/Databases/mpkFractions/proteomic_fractions_log_files/Yang_log_img/51571541.jpg","show blot")</f>
        <v>show blot</v>
      </c>
      <c r="H1817" s="8" t="str">
        <f>HYPERLINK("https://esbl.nhlbi.nih.gov/Databases/mpkFractions/proteomic_fractions_linear_files/Yang_linear_img/51571541.jpg","show blot")</f>
        <v>show blot</v>
      </c>
      <c r="J1817" s="5" t="s">
        <v>3622</v>
      </c>
      <c r="L1817" s="11">
        <v>2.7662612864675769</v>
      </c>
      <c r="N1817" s="12"/>
    </row>
    <row r="1818" spans="1:14" s="5" customFormat="1" ht="15" customHeight="1" x14ac:dyDescent="0.25">
      <c r="A1818" s="9" t="s">
        <v>3623</v>
      </c>
      <c r="C1818" s="9" t="str">
        <f>HYPERLINK("http://www.ncbi.nlm.nih.gov/protein/76096375","Dido1")</f>
        <v>Dido1</v>
      </c>
      <c r="D1818" s="10">
        <f t="shared" si="28"/>
        <v>2.7662612864675769</v>
      </c>
      <c r="F1818" s="8" t="str">
        <f>HYPERLINK("https://esbl.nhlbi.nih.gov/Databases/mpkFractions/proteomic_fractions_log_files/Yang_log_img/76096375.jpg","show blot")</f>
        <v>show blot</v>
      </c>
      <c r="H1818" s="8" t="str">
        <f>HYPERLINK("https://esbl.nhlbi.nih.gov/Databases/mpkFractions/proteomic_fractions_linear_files/Yang_linear_img/76096375.jpg","show blot")</f>
        <v>show blot</v>
      </c>
      <c r="J1818" s="5" t="s">
        <v>3624</v>
      </c>
      <c r="L1818" s="11">
        <v>2.7662612864675769</v>
      </c>
      <c r="N1818" s="12"/>
    </row>
    <row r="1819" spans="1:14" s="5" customFormat="1" ht="15" customHeight="1" x14ac:dyDescent="0.25">
      <c r="A1819" s="9" t="s">
        <v>3625</v>
      </c>
      <c r="C1819" s="9" t="str">
        <f>HYPERLINK("http://www.ncbi.nlm.nih.gov/protein/21313560","Dimt1")</f>
        <v>Dimt1</v>
      </c>
      <c r="D1819" s="10">
        <f t="shared" si="28"/>
        <v>4.2884912483222966</v>
      </c>
      <c r="F1819" s="8" t="str">
        <f>HYPERLINK("https://esbl.nhlbi.nih.gov/Databases/mpkFractions/proteomic_fractions_log_files/Yang_log_img/21313560.jpg","show blot")</f>
        <v>show blot</v>
      </c>
      <c r="H1819" s="8" t="str">
        <f>HYPERLINK("https://esbl.nhlbi.nih.gov/Databases/mpkFractions/proteomic_fractions_linear_files/Yang_linear_img/21313560.jpg","show blot")</f>
        <v>show blot</v>
      </c>
      <c r="J1819" s="5" t="s">
        <v>3626</v>
      </c>
      <c r="L1819" s="11">
        <v>4.2884912483222966</v>
      </c>
      <c r="N1819" s="12"/>
    </row>
    <row r="1820" spans="1:14" s="5" customFormat="1" ht="15" customHeight="1" x14ac:dyDescent="0.25">
      <c r="A1820" s="9" t="s">
        <v>3627</v>
      </c>
      <c r="C1820" s="9" t="str">
        <f>HYPERLINK("http://www.ncbi.nlm.nih.gov/protein/359807008","Dip2a")</f>
        <v>Dip2a</v>
      </c>
      <c r="D1820" s="10">
        <f t="shared" si="28"/>
        <v>2.148306882270612</v>
      </c>
      <c r="F1820" s="8" t="str">
        <f>HYPERLINK("https://esbl.nhlbi.nih.gov/Databases/mpkFractions/proteomic_fractions_log_files/Yang_log_img/359807008.jpg","show blot")</f>
        <v>show blot</v>
      </c>
      <c r="H1820" s="8" t="str">
        <f>HYPERLINK("https://esbl.nhlbi.nih.gov/Databases/mpkFractions/proteomic_fractions_linear_files/Yang_linear_img/359807008.jpg","show blot")</f>
        <v>show blot</v>
      </c>
      <c r="J1820" s="5" t="s">
        <v>3628</v>
      </c>
      <c r="L1820" s="11">
        <v>2.148306882270612</v>
      </c>
      <c r="N1820" s="12"/>
    </row>
    <row r="1821" spans="1:14" s="5" customFormat="1" ht="15" customHeight="1" x14ac:dyDescent="0.25">
      <c r="A1821" s="9" t="s">
        <v>3629</v>
      </c>
      <c r="C1821" s="9" t="str">
        <f>HYPERLINK("http://www.ncbi.nlm.nih.gov/protein/226823258","Dip2b")</f>
        <v>Dip2b</v>
      </c>
      <c r="D1821" s="10">
        <f t="shared" si="28"/>
        <v>2.3604671835158491</v>
      </c>
      <c r="F1821" s="8" t="str">
        <f>HYPERLINK("https://esbl.nhlbi.nih.gov/Databases/mpkFractions/proteomic_fractions_log_files/Yang_log_img/226823258.jpg","show blot")</f>
        <v>show blot</v>
      </c>
      <c r="H1821" s="8" t="str">
        <f>HYPERLINK("https://esbl.nhlbi.nih.gov/Databases/mpkFractions/proteomic_fractions_linear_files/Yang_linear_img/226823258.jpg","show blot")</f>
        <v>show blot</v>
      </c>
      <c r="J1821" s="5" t="s">
        <v>3630</v>
      </c>
      <c r="L1821" s="11">
        <v>2.3604671835158491</v>
      </c>
      <c r="N1821" s="12"/>
    </row>
    <row r="1822" spans="1:14" s="5" customFormat="1" ht="15" customHeight="1" x14ac:dyDescent="0.25">
      <c r="A1822" s="9" t="s">
        <v>3631</v>
      </c>
      <c r="C1822" s="9" t="str">
        <f>HYPERLINK("http://www.ncbi.nlm.nih.gov/protein/226823266","Dip2b")</f>
        <v>Dip2b</v>
      </c>
      <c r="D1822" s="10">
        <f t="shared" si="28"/>
        <v>2.3604671835158491</v>
      </c>
      <c r="F1822" s="8" t="str">
        <f>HYPERLINK("https://esbl.nhlbi.nih.gov/Databases/mpkFractions/proteomic_fractions_log_files/Yang_log_img/226823266.jpg","show blot")</f>
        <v>show blot</v>
      </c>
      <c r="H1822" s="8" t="str">
        <f>HYPERLINK("https://esbl.nhlbi.nih.gov/Databases/mpkFractions/proteomic_fractions_linear_files/Yang_linear_img/226823266.jpg","show blot")</f>
        <v>show blot</v>
      </c>
      <c r="J1822" s="5" t="s">
        <v>3632</v>
      </c>
      <c r="L1822" s="11">
        <v>2.3604671835158491</v>
      </c>
      <c r="N1822" s="12"/>
    </row>
    <row r="1823" spans="1:14" s="5" customFormat="1" ht="15" customHeight="1" x14ac:dyDescent="0.25">
      <c r="A1823" s="9" t="s">
        <v>3633</v>
      </c>
      <c r="C1823" s="9" t="str">
        <f>HYPERLINK("http://www.ncbi.nlm.nih.gov/protein/21644583","Diras1")</f>
        <v>Diras1</v>
      </c>
      <c r="D1823" s="10">
        <f t="shared" si="28"/>
        <v>3.956542238741056</v>
      </c>
      <c r="F1823" s="8" t="str">
        <f>HYPERLINK("https://esbl.nhlbi.nih.gov/Databases/mpkFractions/proteomic_fractions_log_files/Yang_log_img/21644583.jpg","show blot")</f>
        <v>show blot</v>
      </c>
      <c r="H1823" s="8" t="str">
        <f>HYPERLINK("https://esbl.nhlbi.nih.gov/Databases/mpkFractions/proteomic_fractions_linear_files/Yang_linear_img/21644583.jpg","show blot")</f>
        <v>show blot</v>
      </c>
      <c r="J1823" s="5" t="s">
        <v>3634</v>
      </c>
      <c r="L1823" s="11">
        <v>3.956542238741056</v>
      </c>
      <c r="N1823" s="12"/>
    </row>
    <row r="1824" spans="1:14" s="5" customFormat="1" ht="15" customHeight="1" x14ac:dyDescent="0.25">
      <c r="A1824" s="9" t="s">
        <v>3635</v>
      </c>
      <c r="C1824" s="9" t="str">
        <f>HYPERLINK("http://www.ncbi.nlm.nih.gov/protein/71725385","Diras2")</f>
        <v>Diras2</v>
      </c>
      <c r="D1824" s="10">
        <f t="shared" si="28"/>
        <v>3.956542238741056</v>
      </c>
      <c r="F1824" s="8" t="str">
        <f>HYPERLINK("https://esbl.nhlbi.nih.gov/Databases/mpkFractions/proteomic_fractions_log_files/Yang_log_img/71725385.jpg","show blot")</f>
        <v>show blot</v>
      </c>
      <c r="H1824" s="8" t="str">
        <f>HYPERLINK("https://esbl.nhlbi.nih.gov/Databases/mpkFractions/proteomic_fractions_linear_files/Yang_linear_img/71725385.jpg","show blot")</f>
        <v>show blot</v>
      </c>
      <c r="J1824" s="5" t="s">
        <v>3636</v>
      </c>
      <c r="L1824" s="11">
        <v>3.956542238741056</v>
      </c>
      <c r="N1824" s="12"/>
    </row>
    <row r="1825" spans="1:14" s="5" customFormat="1" ht="15" customHeight="1" x14ac:dyDescent="0.25">
      <c r="A1825" s="9" t="s">
        <v>3637</v>
      </c>
      <c r="C1825" s="9" t="str">
        <f>HYPERLINK("http://www.ncbi.nlm.nih.gov/protein/145207992","Dis3")</f>
        <v>Dis3</v>
      </c>
      <c r="D1825" s="10">
        <f t="shared" si="28"/>
        <v>5.1519180226434766</v>
      </c>
      <c r="F1825" s="8" t="str">
        <f>HYPERLINK("https://esbl.nhlbi.nih.gov/Databases/mpkFractions/proteomic_fractions_log_files/Yang_log_img/145207992.jpg","show blot")</f>
        <v>show blot</v>
      </c>
      <c r="H1825" s="8" t="str">
        <f>HYPERLINK("https://esbl.nhlbi.nih.gov/Databases/mpkFractions/proteomic_fractions_linear_files/Yang_linear_img/145207992.jpg","show blot")</f>
        <v>show blot</v>
      </c>
      <c r="J1825" s="5" t="s">
        <v>3638</v>
      </c>
      <c r="L1825" s="11">
        <v>5.1519180226434766</v>
      </c>
      <c r="N1825" s="12"/>
    </row>
    <row r="1826" spans="1:14" s="5" customFormat="1" ht="15" customHeight="1" x14ac:dyDescent="0.25">
      <c r="A1826" s="9" t="s">
        <v>3639</v>
      </c>
      <c r="C1826" s="9" t="str">
        <f>HYPERLINK("http://www.ncbi.nlm.nih.gov/protein/27369724","Dis3l")</f>
        <v>Dis3l</v>
      </c>
      <c r="D1826" s="10">
        <f t="shared" si="28"/>
        <v>2.5869682380792129</v>
      </c>
      <c r="F1826" s="8" t="str">
        <f>HYPERLINK("https://esbl.nhlbi.nih.gov/Databases/mpkFractions/proteomic_fractions_log_files/Yang_log_img/27369724.jpg","show blot")</f>
        <v>show blot</v>
      </c>
      <c r="H1826" s="8" t="str">
        <f>HYPERLINK("https://esbl.nhlbi.nih.gov/Databases/mpkFractions/proteomic_fractions_linear_files/Yang_linear_img/27369724.jpg","show blot")</f>
        <v>show blot</v>
      </c>
      <c r="J1826" s="5" t="s">
        <v>3640</v>
      </c>
      <c r="L1826" s="11">
        <v>2.5869682380792129</v>
      </c>
      <c r="N1826" s="12"/>
    </row>
    <row r="1827" spans="1:14" s="5" customFormat="1" ht="15" customHeight="1" x14ac:dyDescent="0.25">
      <c r="A1827" s="9" t="s">
        <v>3641</v>
      </c>
      <c r="C1827" s="9" t="str">
        <f>HYPERLINK("http://www.ncbi.nlm.nih.gov/protein/295293138","Dis3l")</f>
        <v>Dis3l</v>
      </c>
      <c r="D1827" s="10">
        <f t="shared" si="28"/>
        <v>2.5869682380792129</v>
      </c>
      <c r="F1827" s="8" t="str">
        <f>HYPERLINK("https://esbl.nhlbi.nih.gov/Databases/mpkFractions/proteomic_fractions_log_files/Yang_log_img/295293138.jpg","show blot")</f>
        <v>show blot</v>
      </c>
      <c r="H1827" s="8" t="str">
        <f>HYPERLINK("https://esbl.nhlbi.nih.gov/Databases/mpkFractions/proteomic_fractions_linear_files/Yang_linear_img/295293138.jpg","show blot")</f>
        <v>show blot</v>
      </c>
      <c r="J1827" s="5" t="s">
        <v>3642</v>
      </c>
      <c r="L1827" s="11">
        <v>2.5869682380792129</v>
      </c>
      <c r="N1827" s="12"/>
    </row>
    <row r="1828" spans="1:14" s="5" customFormat="1" ht="15" customHeight="1" x14ac:dyDescent="0.25">
      <c r="A1828" s="9" t="s">
        <v>3643</v>
      </c>
      <c r="C1828" s="9" t="str">
        <f>HYPERLINK("http://www.ncbi.nlm.nih.gov/protein/24233556","Dis3l2")</f>
        <v>Dis3l2</v>
      </c>
      <c r="D1828" s="10">
        <f t="shared" si="28"/>
        <v>3.6236120754402341</v>
      </c>
      <c r="F1828" s="8" t="str">
        <f>HYPERLINK("https://esbl.nhlbi.nih.gov/Databases/mpkFractions/proteomic_fractions_log_files/Yang_log_img/24233556.jpg","show blot")</f>
        <v>show blot</v>
      </c>
      <c r="H1828" s="8" t="str">
        <f>HYPERLINK("https://esbl.nhlbi.nih.gov/Databases/mpkFractions/proteomic_fractions_linear_files/Yang_linear_img/24233556.jpg","show blot")</f>
        <v>show blot</v>
      </c>
      <c r="J1828" s="5" t="s">
        <v>3644</v>
      </c>
      <c r="L1828" s="11">
        <v>3.6236120754402341</v>
      </c>
      <c r="N1828" s="12"/>
    </row>
    <row r="1829" spans="1:14" s="5" customFormat="1" ht="15" customHeight="1" x14ac:dyDescent="0.25">
      <c r="A1829" s="9" t="s">
        <v>3645</v>
      </c>
      <c r="C1829" s="9" t="str">
        <f>HYPERLINK("http://www.ncbi.nlm.nih.gov/protein/288541376","Dis3l2")</f>
        <v>Dis3l2</v>
      </c>
      <c r="D1829" s="10">
        <f t="shared" si="28"/>
        <v>3.6236120754402341</v>
      </c>
      <c r="F1829" s="8" t="str">
        <f>HYPERLINK("https://esbl.nhlbi.nih.gov/Databases/mpkFractions/proteomic_fractions_log_files/Yang_log_img/288541376.jpg","show blot")</f>
        <v>show blot</v>
      </c>
      <c r="H1829" s="8" t="str">
        <f>HYPERLINK("https://esbl.nhlbi.nih.gov/Databases/mpkFractions/proteomic_fractions_linear_files/Yang_linear_img/288541376.jpg","show blot")</f>
        <v>show blot</v>
      </c>
      <c r="J1829" s="5" t="s">
        <v>3646</v>
      </c>
      <c r="L1829" s="11">
        <v>3.6236120754402341</v>
      </c>
      <c r="N1829" s="12"/>
    </row>
    <row r="1830" spans="1:14" s="5" customFormat="1" ht="15" customHeight="1" x14ac:dyDescent="0.25">
      <c r="A1830" s="9" t="s">
        <v>3647</v>
      </c>
      <c r="C1830" s="9" t="str">
        <f>HYPERLINK("http://www.ncbi.nlm.nih.gov/protein/91064867","Dkc1")</f>
        <v>Dkc1</v>
      </c>
      <c r="D1830" s="10">
        <f t="shared" si="28"/>
        <v>4.3561607983336064</v>
      </c>
      <c r="F1830" s="8" t="str">
        <f>HYPERLINK("https://esbl.nhlbi.nih.gov/Databases/mpkFractions/proteomic_fractions_log_files/Yang_log_img/91064867.jpg","show blot")</f>
        <v>show blot</v>
      </c>
      <c r="H1830" s="8" t="str">
        <f>HYPERLINK("https://esbl.nhlbi.nih.gov/Databases/mpkFractions/proteomic_fractions_linear_files/Yang_linear_img/91064867.jpg","show blot")</f>
        <v>show blot</v>
      </c>
      <c r="J1830" s="5" t="s">
        <v>3648</v>
      </c>
      <c r="L1830" s="11">
        <v>4.3561607983336064</v>
      </c>
      <c r="N1830" s="12"/>
    </row>
    <row r="1831" spans="1:14" s="5" customFormat="1" ht="15" customHeight="1" x14ac:dyDescent="0.25">
      <c r="A1831" s="9" t="s">
        <v>3649</v>
      </c>
      <c r="C1831" s="9" t="str">
        <f>HYPERLINK("http://www.ncbi.nlm.nih.gov/protein/257796245","Dlat")</f>
        <v>Dlat</v>
      </c>
      <c r="D1831" s="10">
        <f t="shared" si="28"/>
        <v>5.7425226615891827</v>
      </c>
      <c r="F1831" s="8" t="str">
        <f>HYPERLINK("https://esbl.nhlbi.nih.gov/Databases/mpkFractions/proteomic_fractions_log_files/Yang_log_img/257796245.jpg","show blot")</f>
        <v>show blot</v>
      </c>
      <c r="H1831" s="8" t="str">
        <f>HYPERLINK("https://esbl.nhlbi.nih.gov/Databases/mpkFractions/proteomic_fractions_linear_files/Yang_linear_img/257796245.jpg","show blot")</f>
        <v>show blot</v>
      </c>
      <c r="J1831" s="5" t="s">
        <v>3650</v>
      </c>
      <c r="L1831" s="11">
        <v>5.7425226615891827</v>
      </c>
      <c r="N1831" s="12"/>
    </row>
    <row r="1832" spans="1:14" s="5" customFormat="1" ht="15" customHeight="1" x14ac:dyDescent="0.25">
      <c r="A1832" s="9" t="s">
        <v>3651</v>
      </c>
      <c r="C1832" s="9" t="str">
        <f>HYPERLINK("http://www.ncbi.nlm.nih.gov/protein/113195692","Dlc1")</f>
        <v>Dlc1</v>
      </c>
      <c r="D1832" s="10">
        <f t="shared" si="28"/>
        <v>4.2463599374247991</v>
      </c>
      <c r="F1832" s="8" t="str">
        <f>HYPERLINK("https://esbl.nhlbi.nih.gov/Databases/mpkFractions/proteomic_fractions_log_files/Yang_log_img/113195692.jpg","show blot")</f>
        <v>show blot</v>
      </c>
      <c r="H1832" s="8" t="str">
        <f>HYPERLINK("https://esbl.nhlbi.nih.gov/Databases/mpkFractions/proteomic_fractions_linear_files/Yang_linear_img/113195692.jpg","show blot")</f>
        <v>show blot</v>
      </c>
      <c r="J1832" s="5" t="s">
        <v>3652</v>
      </c>
      <c r="L1832" s="11">
        <v>4.2463599374247991</v>
      </c>
      <c r="N1832" s="12"/>
    </row>
    <row r="1833" spans="1:14" s="5" customFormat="1" ht="15" customHeight="1" x14ac:dyDescent="0.25">
      <c r="A1833" s="9" t="s">
        <v>3653</v>
      </c>
      <c r="C1833" s="9" t="str">
        <f>HYPERLINK("http://www.ncbi.nlm.nih.gov/protein/302699221","Dlc1")</f>
        <v>Dlc1</v>
      </c>
      <c r="D1833" s="10">
        <f t="shared" si="28"/>
        <v>4.2463599374247991</v>
      </c>
      <c r="F1833" s="8" t="str">
        <f>HYPERLINK("https://esbl.nhlbi.nih.gov/Databases/mpkFractions/proteomic_fractions_log_files/Yang_log_img/302699221.jpg","show blot")</f>
        <v>show blot</v>
      </c>
      <c r="H1833" s="8" t="str">
        <f>HYPERLINK("https://esbl.nhlbi.nih.gov/Databases/mpkFractions/proteomic_fractions_linear_files/Yang_linear_img/302699221.jpg","show blot")</f>
        <v>show blot</v>
      </c>
      <c r="J1833" s="5" t="s">
        <v>3654</v>
      </c>
      <c r="L1833" s="11">
        <v>4.2463599374247991</v>
      </c>
      <c r="N1833" s="12"/>
    </row>
    <row r="1834" spans="1:14" s="5" customFormat="1" ht="15" customHeight="1" x14ac:dyDescent="0.25">
      <c r="A1834" s="9" t="s">
        <v>3655</v>
      </c>
      <c r="C1834" s="9" t="str">
        <f>HYPERLINK("http://www.ncbi.nlm.nih.gov/protein/302699225","Dlc1")</f>
        <v>Dlc1</v>
      </c>
      <c r="D1834" s="10">
        <f t="shared" si="28"/>
        <v>4.2463599374247991</v>
      </c>
      <c r="F1834" s="8" t="str">
        <f>HYPERLINK("https://esbl.nhlbi.nih.gov/Databases/mpkFractions/proteomic_fractions_log_files/Yang_log_img/302699225.jpg","show blot")</f>
        <v>show blot</v>
      </c>
      <c r="H1834" s="8" t="str">
        <f>HYPERLINK("https://esbl.nhlbi.nih.gov/Databases/mpkFractions/proteomic_fractions_linear_files/Yang_linear_img/302699225.jpg","show blot")</f>
        <v>show blot</v>
      </c>
      <c r="J1834" s="5" t="s">
        <v>3656</v>
      </c>
      <c r="L1834" s="11">
        <v>4.2463599374247991</v>
      </c>
      <c r="N1834" s="12"/>
    </row>
    <row r="1835" spans="1:14" s="5" customFormat="1" ht="15" customHeight="1" x14ac:dyDescent="0.25">
      <c r="A1835" s="9" t="s">
        <v>3657</v>
      </c>
      <c r="C1835" s="9" t="str">
        <f>HYPERLINK("http://www.ncbi.nlm.nih.gov/protein/31982856","Dld")</f>
        <v>Dld</v>
      </c>
      <c r="D1835" s="10">
        <f t="shared" si="28"/>
        <v>6.1769717656467549</v>
      </c>
      <c r="F1835" s="8" t="str">
        <f>HYPERLINK("https://esbl.nhlbi.nih.gov/Databases/mpkFractions/proteomic_fractions_log_files/Yang_log_img/31982856.jpg","show blot")</f>
        <v>show blot</v>
      </c>
      <c r="H1835" s="8" t="str">
        <f>HYPERLINK("https://esbl.nhlbi.nih.gov/Databases/mpkFractions/proteomic_fractions_linear_files/Yang_linear_img/31982856.jpg","show blot")</f>
        <v>show blot</v>
      </c>
      <c r="J1835" s="5" t="s">
        <v>3658</v>
      </c>
      <c r="L1835" s="11">
        <v>6.1769717656467549</v>
      </c>
      <c r="N1835" s="12"/>
    </row>
    <row r="1836" spans="1:14" s="5" customFormat="1" ht="15" customHeight="1" x14ac:dyDescent="0.25">
      <c r="A1836" s="9" t="s">
        <v>3659</v>
      </c>
      <c r="C1836" s="9" t="str">
        <f>HYPERLINK("http://www.ncbi.nlm.nih.gov/protein/356995919","Dlg1")</f>
        <v>Dlg1</v>
      </c>
      <c r="D1836" s="10">
        <f t="shared" si="28"/>
        <v>5.3252930679858999</v>
      </c>
      <c r="F1836" s="8" t="str">
        <f>HYPERLINK("https://esbl.nhlbi.nih.gov/Databases/mpkFractions/proteomic_fractions_log_files/Yang_log_img/356995919.jpg","show blot")</f>
        <v>show blot</v>
      </c>
      <c r="H1836" s="8" t="str">
        <f>HYPERLINK("https://esbl.nhlbi.nih.gov/Databases/mpkFractions/proteomic_fractions_linear_files/Yang_linear_img/356995919.jpg","show blot")</f>
        <v>show blot</v>
      </c>
      <c r="J1836" s="5" t="s">
        <v>3660</v>
      </c>
      <c r="L1836" s="11">
        <v>5.3252930679858999</v>
      </c>
      <c r="N1836" s="12"/>
    </row>
    <row r="1837" spans="1:14" s="5" customFormat="1" ht="15" customHeight="1" x14ac:dyDescent="0.25">
      <c r="A1837" s="9" t="s">
        <v>3661</v>
      </c>
      <c r="C1837" s="9" t="str">
        <f>HYPERLINK("http://www.ncbi.nlm.nih.gov/protein/356995921","Dlg1")</f>
        <v>Dlg1</v>
      </c>
      <c r="D1837" s="10">
        <f t="shared" si="28"/>
        <v>5.3252930679858999</v>
      </c>
      <c r="F1837" s="8" t="str">
        <f>HYPERLINK("https://esbl.nhlbi.nih.gov/Databases/mpkFractions/proteomic_fractions_log_files/Yang_log_img/356995921.jpg","show blot")</f>
        <v>show blot</v>
      </c>
      <c r="H1837" s="8" t="str">
        <f>HYPERLINK("https://esbl.nhlbi.nih.gov/Databases/mpkFractions/proteomic_fractions_linear_files/Yang_linear_img/356995921.jpg","show blot")</f>
        <v>show blot</v>
      </c>
      <c r="J1837" s="5" t="s">
        <v>3662</v>
      </c>
      <c r="L1837" s="11">
        <v>5.3252930679858999</v>
      </c>
      <c r="N1837" s="12"/>
    </row>
    <row r="1838" spans="1:14" s="5" customFormat="1" ht="15" customHeight="1" x14ac:dyDescent="0.25">
      <c r="A1838" s="9" t="s">
        <v>3663</v>
      </c>
      <c r="C1838" s="9" t="str">
        <f>HYPERLINK("http://www.ncbi.nlm.nih.gov/protein/356995923","Dlg1")</f>
        <v>Dlg1</v>
      </c>
      <c r="D1838" s="10">
        <f t="shared" si="28"/>
        <v>5.3252930679858999</v>
      </c>
      <c r="F1838" s="8" t="str">
        <f>HYPERLINK("https://esbl.nhlbi.nih.gov/Databases/mpkFractions/proteomic_fractions_log_files/Yang_log_img/356995923.jpg","show blot")</f>
        <v>show blot</v>
      </c>
      <c r="H1838" s="8" t="str">
        <f>HYPERLINK("https://esbl.nhlbi.nih.gov/Databases/mpkFractions/proteomic_fractions_linear_files/Yang_linear_img/356995923.jpg","show blot")</f>
        <v>show blot</v>
      </c>
      <c r="J1838" s="5" t="s">
        <v>3664</v>
      </c>
      <c r="L1838" s="11">
        <v>5.3252930679858999</v>
      </c>
      <c r="N1838" s="12"/>
    </row>
    <row r="1839" spans="1:14" s="5" customFormat="1" ht="15" customHeight="1" x14ac:dyDescent="0.25">
      <c r="A1839" s="9" t="s">
        <v>3665</v>
      </c>
      <c r="C1839" s="9" t="str">
        <f>HYPERLINK("http://www.ncbi.nlm.nih.gov/protein/356995917","Dlg1")</f>
        <v>Dlg1</v>
      </c>
      <c r="D1839" s="10">
        <f t="shared" si="28"/>
        <v>5.3252930679858999</v>
      </c>
      <c r="F1839" s="8" t="str">
        <f>HYPERLINK("https://esbl.nhlbi.nih.gov/Databases/mpkFractions/proteomic_fractions_log_files/Yang_log_img/356995917.jpg","show blot")</f>
        <v>show blot</v>
      </c>
      <c r="H1839" s="8" t="str">
        <f>HYPERLINK("https://esbl.nhlbi.nih.gov/Databases/mpkFractions/proteomic_fractions_linear_files/Yang_linear_img/356995917.jpg","show blot")</f>
        <v>show blot</v>
      </c>
      <c r="J1839" s="5" t="s">
        <v>3666</v>
      </c>
      <c r="L1839" s="11">
        <v>5.3252930679858999</v>
      </c>
      <c r="N1839" s="12"/>
    </row>
    <row r="1840" spans="1:14" s="5" customFormat="1" ht="15" customHeight="1" x14ac:dyDescent="0.25">
      <c r="A1840" s="9" t="s">
        <v>3667</v>
      </c>
      <c r="C1840" s="9" t="str">
        <f>HYPERLINK("http://www.ncbi.nlm.nih.gov/protein/40254642","Dlg1")</f>
        <v>Dlg1</v>
      </c>
      <c r="D1840" s="10">
        <f t="shared" si="28"/>
        <v>5.3252930679858999</v>
      </c>
      <c r="F1840" s="8" t="str">
        <f>HYPERLINK("https://esbl.nhlbi.nih.gov/Databases/mpkFractions/proteomic_fractions_log_files/Yang_log_img/40254642.jpg","show blot")</f>
        <v>show blot</v>
      </c>
      <c r="H1840" s="8" t="str">
        <f>HYPERLINK("https://esbl.nhlbi.nih.gov/Databases/mpkFractions/proteomic_fractions_linear_files/Yang_linear_img/40254642.jpg","show blot")</f>
        <v>show blot</v>
      </c>
      <c r="J1840" s="5" t="s">
        <v>3668</v>
      </c>
      <c r="L1840" s="11">
        <v>5.3252930679858999</v>
      </c>
      <c r="N1840" s="12"/>
    </row>
    <row r="1841" spans="1:14" s="5" customFormat="1" ht="15" customHeight="1" x14ac:dyDescent="0.25">
      <c r="A1841" s="9" t="s">
        <v>3669</v>
      </c>
      <c r="C1841" s="9" t="str">
        <f>HYPERLINK("http://www.ncbi.nlm.nih.gov/protein/118136297","Dlg2")</f>
        <v>Dlg2</v>
      </c>
      <c r="D1841" s="10">
        <f t="shared" si="28"/>
        <v>4.5265696280521821</v>
      </c>
      <c r="F1841" s="8" t="str">
        <f>HYPERLINK("https://esbl.nhlbi.nih.gov/Databases/mpkFractions/proteomic_fractions_log_files/Yang_log_img/118136297.jpg","show blot")</f>
        <v>show blot</v>
      </c>
      <c r="H1841" s="8" t="str">
        <f>HYPERLINK("https://esbl.nhlbi.nih.gov/Databases/mpkFractions/proteomic_fractions_linear_files/Yang_linear_img/118136297.jpg","show blot")</f>
        <v>show blot</v>
      </c>
      <c r="J1841" s="5" t="s">
        <v>3670</v>
      </c>
      <c r="L1841" s="11">
        <v>4.5265696280521821</v>
      </c>
      <c r="N1841" s="12"/>
    </row>
    <row r="1842" spans="1:14" s="5" customFormat="1" ht="15" customHeight="1" x14ac:dyDescent="0.25">
      <c r="A1842" s="9" t="s">
        <v>3671</v>
      </c>
      <c r="C1842" s="9" t="str">
        <f>HYPERLINK("http://www.ncbi.nlm.nih.gov/protein/340007425","Dlg2")</f>
        <v>Dlg2</v>
      </c>
      <c r="D1842" s="10">
        <f t="shared" si="28"/>
        <v>4.5265696280521821</v>
      </c>
      <c r="F1842" s="8" t="str">
        <f>HYPERLINK("https://esbl.nhlbi.nih.gov/Databases/mpkFractions/proteomic_fractions_log_files/Yang_log_img/340007425.jpg","show blot")</f>
        <v>show blot</v>
      </c>
      <c r="H1842" s="8" t="str">
        <f>HYPERLINK("https://esbl.nhlbi.nih.gov/Databases/mpkFractions/proteomic_fractions_linear_files/Yang_linear_img/340007425.jpg","show blot")</f>
        <v>show blot</v>
      </c>
      <c r="J1842" s="5" t="s">
        <v>3672</v>
      </c>
      <c r="L1842" s="11">
        <v>4.5265696280521821</v>
      </c>
      <c r="N1842" s="12"/>
    </row>
    <row r="1843" spans="1:14" s="5" customFormat="1" ht="15" customHeight="1" x14ac:dyDescent="0.25">
      <c r="A1843" s="9" t="s">
        <v>3673</v>
      </c>
      <c r="C1843" s="9" t="str">
        <f>HYPERLINK("http://www.ncbi.nlm.nih.gov/protein/340007427","Dlg2")</f>
        <v>Dlg2</v>
      </c>
      <c r="D1843" s="10">
        <f t="shared" si="28"/>
        <v>4.5265696280521821</v>
      </c>
      <c r="F1843" s="8" t="str">
        <f>HYPERLINK("https://esbl.nhlbi.nih.gov/Databases/mpkFractions/proteomic_fractions_log_files/Yang_log_img/340007427.jpg","show blot")</f>
        <v>show blot</v>
      </c>
      <c r="H1843" s="8" t="str">
        <f>HYPERLINK("https://esbl.nhlbi.nih.gov/Databases/mpkFractions/proteomic_fractions_linear_files/Yang_linear_img/340007427.jpg","show blot")</f>
        <v>show blot</v>
      </c>
      <c r="J1843" s="5" t="s">
        <v>3674</v>
      </c>
      <c r="L1843" s="11">
        <v>4.5265696280521821</v>
      </c>
      <c r="N1843" s="12"/>
    </row>
    <row r="1844" spans="1:14" s="5" customFormat="1" ht="15" customHeight="1" x14ac:dyDescent="0.25">
      <c r="A1844" s="9" t="s">
        <v>3675</v>
      </c>
      <c r="C1844" s="9" t="str">
        <f>HYPERLINK("http://www.ncbi.nlm.nih.gov/protein/295293129","Dlg3")</f>
        <v>Dlg3</v>
      </c>
      <c r="D1844" s="10">
        <f t="shared" si="28"/>
        <v>4.3907029219852074</v>
      </c>
      <c r="F1844" s="8" t="str">
        <f>HYPERLINK("https://esbl.nhlbi.nih.gov/Databases/mpkFractions/proteomic_fractions_log_files/Yang_log_img/295293129.jpg","show blot")</f>
        <v>show blot</v>
      </c>
      <c r="H1844" s="8" t="str">
        <f>HYPERLINK("https://esbl.nhlbi.nih.gov/Databases/mpkFractions/proteomic_fractions_linear_files/Yang_linear_img/295293129.jpg","show blot")</f>
        <v>show blot</v>
      </c>
      <c r="J1844" s="5" t="s">
        <v>3676</v>
      </c>
      <c r="L1844" s="11">
        <v>4.3907029219852074</v>
      </c>
      <c r="N1844" s="12"/>
    </row>
    <row r="1845" spans="1:14" s="5" customFormat="1" ht="15" customHeight="1" x14ac:dyDescent="0.25">
      <c r="A1845" s="9" t="s">
        <v>3677</v>
      </c>
      <c r="C1845" s="9" t="str">
        <f>HYPERLINK("http://www.ncbi.nlm.nih.gov/protein/295293124","Dlg3")</f>
        <v>Dlg3</v>
      </c>
      <c r="D1845" s="10">
        <f t="shared" si="28"/>
        <v>4.3907029219852074</v>
      </c>
      <c r="F1845" s="8" t="str">
        <f>HYPERLINK("https://esbl.nhlbi.nih.gov/Databases/mpkFractions/proteomic_fractions_log_files/Yang_log_img/295293124.jpg","show blot")</f>
        <v>show blot</v>
      </c>
      <c r="H1845" s="8" t="str">
        <f>HYPERLINK("https://esbl.nhlbi.nih.gov/Databases/mpkFractions/proteomic_fractions_linear_files/Yang_linear_img/295293124.jpg","show blot")</f>
        <v>show blot</v>
      </c>
      <c r="J1845" s="5" t="s">
        <v>3678</v>
      </c>
      <c r="L1845" s="11">
        <v>4.3907029219852074</v>
      </c>
      <c r="N1845" s="12"/>
    </row>
    <row r="1846" spans="1:14" s="5" customFormat="1" ht="15" customHeight="1" x14ac:dyDescent="0.25">
      <c r="A1846" s="9" t="s">
        <v>3679</v>
      </c>
      <c r="C1846" s="9" t="str">
        <f>HYPERLINK("http://www.ncbi.nlm.nih.gov/protein/295293127","Dlg3")</f>
        <v>Dlg3</v>
      </c>
      <c r="D1846" s="10">
        <f t="shared" si="28"/>
        <v>4.3907029219852074</v>
      </c>
      <c r="F1846" s="8" t="str">
        <f>HYPERLINK("https://esbl.nhlbi.nih.gov/Databases/mpkFractions/proteomic_fractions_log_files/Yang_log_img/295293127.jpg","show blot")</f>
        <v>show blot</v>
      </c>
      <c r="H1846" s="8" t="str">
        <f>HYPERLINK("https://esbl.nhlbi.nih.gov/Databases/mpkFractions/proteomic_fractions_linear_files/Yang_linear_img/295293127.jpg","show blot")</f>
        <v>show blot</v>
      </c>
      <c r="J1846" s="5" t="s">
        <v>3680</v>
      </c>
      <c r="L1846" s="11">
        <v>4.3907029219852074</v>
      </c>
      <c r="N1846" s="12"/>
    </row>
    <row r="1847" spans="1:14" s="5" customFormat="1" ht="15" customHeight="1" x14ac:dyDescent="0.25">
      <c r="A1847" s="9" t="s">
        <v>3681</v>
      </c>
      <c r="C1847" s="9" t="str">
        <f>HYPERLINK("http://www.ncbi.nlm.nih.gov/protein/7949129","Dlg3")</f>
        <v>Dlg3</v>
      </c>
      <c r="D1847" s="10">
        <f t="shared" si="28"/>
        <v>4.3907029219852074</v>
      </c>
      <c r="F1847" s="8" t="str">
        <f>HYPERLINK("https://esbl.nhlbi.nih.gov/Databases/mpkFractions/proteomic_fractions_log_files/Yang_log_img/7949129.jpg","show blot")</f>
        <v>show blot</v>
      </c>
      <c r="H1847" s="8" t="str">
        <f>HYPERLINK("https://esbl.nhlbi.nih.gov/Databases/mpkFractions/proteomic_fractions_linear_files/Yang_linear_img/7949129.jpg","show blot")</f>
        <v>show blot</v>
      </c>
      <c r="J1847" s="5" t="s">
        <v>3682</v>
      </c>
      <c r="L1847" s="11">
        <v>4.3907029219852074</v>
      </c>
      <c r="N1847" s="12"/>
    </row>
    <row r="1848" spans="1:14" s="5" customFormat="1" ht="15" customHeight="1" x14ac:dyDescent="0.25">
      <c r="A1848" s="9" t="s">
        <v>3683</v>
      </c>
      <c r="C1848" s="9" t="str">
        <f>HYPERLINK("http://www.ncbi.nlm.nih.gov/protein/254588083","Dlg5")</f>
        <v>Dlg5</v>
      </c>
      <c r="D1848" s="10">
        <f t="shared" si="28"/>
        <v>1.513958470682685</v>
      </c>
      <c r="F1848" s="8" t="str">
        <f>HYPERLINK("https://esbl.nhlbi.nih.gov/Databases/mpkFractions/proteomic_fractions_log_files/Yang_log_img/254588083.jpg","show blot")</f>
        <v>show blot</v>
      </c>
      <c r="H1848" s="8" t="str">
        <f>HYPERLINK("https://esbl.nhlbi.nih.gov/Databases/mpkFractions/proteomic_fractions_linear_files/Yang_linear_img/254588083.jpg","show blot")</f>
        <v>show blot</v>
      </c>
      <c r="J1848" s="5" t="s">
        <v>3684</v>
      </c>
      <c r="L1848" s="11">
        <v>1.513958470682685</v>
      </c>
      <c r="N1848" s="12"/>
    </row>
    <row r="1849" spans="1:14" s="5" customFormat="1" ht="15" customHeight="1" x14ac:dyDescent="0.25">
      <c r="A1849" s="9" t="s">
        <v>3685</v>
      </c>
      <c r="C1849" s="9" t="str">
        <f>HYPERLINK("http://www.ncbi.nlm.nih.gov/protein/254588085","Dlg5")</f>
        <v>Dlg5</v>
      </c>
      <c r="D1849" s="10">
        <f t="shared" si="28"/>
        <v>1.513958470682685</v>
      </c>
      <c r="F1849" s="8" t="str">
        <f>HYPERLINK("https://esbl.nhlbi.nih.gov/Databases/mpkFractions/proteomic_fractions_log_files/Yang_log_img/254588085.jpg","show blot")</f>
        <v>show blot</v>
      </c>
      <c r="H1849" s="8" t="str">
        <f>HYPERLINK("https://esbl.nhlbi.nih.gov/Databases/mpkFractions/proteomic_fractions_linear_files/Yang_linear_img/254588085.jpg","show blot")</f>
        <v>show blot</v>
      </c>
      <c r="J1849" s="5" t="s">
        <v>3686</v>
      </c>
      <c r="L1849" s="11">
        <v>1.513958470682685</v>
      </c>
      <c r="N1849" s="12"/>
    </row>
    <row r="1850" spans="1:14" s="5" customFormat="1" ht="15" customHeight="1" x14ac:dyDescent="0.25">
      <c r="A1850" s="9" t="s">
        <v>3687</v>
      </c>
      <c r="C1850" s="9" t="str">
        <f>HYPERLINK("http://www.ncbi.nlm.nih.gov/protein/464397471","Dlgap4")</f>
        <v>Dlgap4</v>
      </c>
      <c r="D1850" s="10">
        <f t="shared" si="28"/>
        <v>4.7180029182858041</v>
      </c>
      <c r="F1850" s="8" t="str">
        <f>HYPERLINK("https://esbl.nhlbi.nih.gov/Databases/mpkFractions/proteomic_fractions_log_files/Yang_log_img/464397471.jpg","show blot")</f>
        <v>show blot</v>
      </c>
      <c r="H1850" s="8" t="str">
        <f>HYPERLINK("https://esbl.nhlbi.nih.gov/Databases/mpkFractions/proteomic_fractions_linear_files/Yang_linear_img/464397471.jpg","show blot")</f>
        <v>show blot</v>
      </c>
      <c r="J1850" s="5" t="s">
        <v>3688</v>
      </c>
      <c r="L1850" s="11">
        <v>4.7180029182858041</v>
      </c>
      <c r="N1850" s="12"/>
    </row>
    <row r="1851" spans="1:14" s="5" customFormat="1" ht="15" customHeight="1" x14ac:dyDescent="0.25">
      <c r="A1851" s="9" t="s">
        <v>3689</v>
      </c>
      <c r="C1851" s="9" t="str">
        <f>HYPERLINK("http://www.ncbi.nlm.nih.gov/protein/464398772","Dlgap4")</f>
        <v>Dlgap4</v>
      </c>
      <c r="D1851" s="10">
        <f t="shared" si="28"/>
        <v>4.7180029182858041</v>
      </c>
      <c r="F1851" s="8" t="str">
        <f>HYPERLINK("https://esbl.nhlbi.nih.gov/Databases/mpkFractions/proteomic_fractions_log_files/Yang_log_img/464398772.jpg","show blot")</f>
        <v>show blot</v>
      </c>
      <c r="H1851" s="8" t="str">
        <f>HYPERLINK("https://esbl.nhlbi.nih.gov/Databases/mpkFractions/proteomic_fractions_linear_files/Yang_linear_img/464398772.jpg","show blot")</f>
        <v>show blot</v>
      </c>
      <c r="J1851" s="5" t="s">
        <v>3690</v>
      </c>
      <c r="L1851" s="11">
        <v>4.7180029182858041</v>
      </c>
      <c r="N1851" s="12"/>
    </row>
    <row r="1852" spans="1:14" s="5" customFormat="1" ht="15" customHeight="1" x14ac:dyDescent="0.25">
      <c r="A1852" s="9" t="s">
        <v>3691</v>
      </c>
      <c r="C1852" s="9" t="str">
        <f>HYPERLINK("http://www.ncbi.nlm.nih.gov/protein/109891940","Dlgap4")</f>
        <v>Dlgap4</v>
      </c>
      <c r="D1852" s="10">
        <f t="shared" si="28"/>
        <v>4.7180029182858041</v>
      </c>
      <c r="F1852" s="8" t="str">
        <f>HYPERLINK("https://esbl.nhlbi.nih.gov/Databases/mpkFractions/proteomic_fractions_log_files/Yang_log_img/109891940.jpg","show blot")</f>
        <v>show blot</v>
      </c>
      <c r="H1852" s="8" t="str">
        <f>HYPERLINK("https://esbl.nhlbi.nih.gov/Databases/mpkFractions/proteomic_fractions_linear_files/Yang_linear_img/109891940.jpg","show blot")</f>
        <v>show blot</v>
      </c>
      <c r="J1852" s="5" t="s">
        <v>3692</v>
      </c>
      <c r="L1852" s="11">
        <v>4.7180029182858041</v>
      </c>
      <c r="N1852" s="12"/>
    </row>
    <row r="1853" spans="1:14" s="5" customFormat="1" ht="15" customHeight="1" x14ac:dyDescent="0.25">
      <c r="A1853" s="9" t="s">
        <v>3693</v>
      </c>
      <c r="C1853" s="9" t="str">
        <f>HYPERLINK("http://www.ncbi.nlm.nih.gov/protein/109891942","Dlgap4")</f>
        <v>Dlgap4</v>
      </c>
      <c r="D1853" s="10">
        <f t="shared" si="28"/>
        <v>4.7180029182858041</v>
      </c>
      <c r="F1853" s="8" t="str">
        <f>HYPERLINK("https://esbl.nhlbi.nih.gov/Databases/mpkFractions/proteomic_fractions_log_files/Yang_log_img/109891942.jpg","show blot")</f>
        <v>show blot</v>
      </c>
      <c r="H1853" s="8" t="str">
        <f>HYPERLINK("https://esbl.nhlbi.nih.gov/Databases/mpkFractions/proteomic_fractions_linear_files/Yang_linear_img/109891942.jpg","show blot")</f>
        <v>show blot</v>
      </c>
      <c r="J1853" s="5" t="s">
        <v>3694</v>
      </c>
      <c r="L1853" s="11">
        <v>4.7180029182858041</v>
      </c>
      <c r="N1853" s="12"/>
    </row>
    <row r="1854" spans="1:14" s="5" customFormat="1" ht="15" customHeight="1" x14ac:dyDescent="0.25">
      <c r="A1854" s="9" t="s">
        <v>3695</v>
      </c>
      <c r="C1854" s="9" t="str">
        <f>HYPERLINK("http://www.ncbi.nlm.nih.gov/protein/62530192","Dlgap4")</f>
        <v>Dlgap4</v>
      </c>
      <c r="D1854" s="10">
        <f t="shared" si="28"/>
        <v>4.7180029182858041</v>
      </c>
      <c r="F1854" s="8" t="str">
        <f>HYPERLINK("https://esbl.nhlbi.nih.gov/Databases/mpkFractions/proteomic_fractions_log_files/Yang_log_img/62530192.jpg","show blot")</f>
        <v>show blot</v>
      </c>
      <c r="H1854" s="8" t="str">
        <f>HYPERLINK("https://esbl.nhlbi.nih.gov/Databases/mpkFractions/proteomic_fractions_linear_files/Yang_linear_img/62530192.jpg","show blot")</f>
        <v>show blot</v>
      </c>
      <c r="J1854" s="5" t="s">
        <v>3696</v>
      </c>
      <c r="L1854" s="11">
        <v>4.7180029182858041</v>
      </c>
      <c r="N1854" s="12"/>
    </row>
    <row r="1855" spans="1:14" s="5" customFormat="1" ht="15" customHeight="1" x14ac:dyDescent="0.25">
      <c r="A1855" s="9" t="s">
        <v>3697</v>
      </c>
      <c r="C1855" s="9" t="str">
        <f>HYPERLINK("http://www.ncbi.nlm.nih.gov/protein/225543150","Dlgap5")</f>
        <v>Dlgap5</v>
      </c>
      <c r="D1855" s="10" t="str">
        <f t="shared" si="28"/>
        <v>-</v>
      </c>
      <c r="F1855" s="8" t="str">
        <f>HYPERLINK("https://esbl.nhlbi.nih.gov/Databases/mpkFractions/proteomic_fractions_log_files/Yang_log_img/225543150.jpg","show blot")</f>
        <v>show blot</v>
      </c>
      <c r="H1855" s="8" t="str">
        <f>HYPERLINK("https://esbl.nhlbi.nih.gov/Databases/mpkFractions/proteomic_fractions_linear_files/Yang_linear_img/225543150.jpg","show blot")</f>
        <v>show blot</v>
      </c>
      <c r="J1855" s="5" t="s">
        <v>3698</v>
      </c>
      <c r="L1855" s="13" t="s">
        <v>389</v>
      </c>
      <c r="N1855" s="12"/>
    </row>
    <row r="1856" spans="1:14" s="5" customFormat="1" ht="15" customHeight="1" x14ac:dyDescent="0.25">
      <c r="A1856" s="9" t="s">
        <v>3699</v>
      </c>
      <c r="C1856" s="9" t="str">
        <f>HYPERLINK("http://www.ncbi.nlm.nih.gov/protein/21313536","Dlst")</f>
        <v>Dlst</v>
      </c>
      <c r="D1856" s="10">
        <f t="shared" si="28"/>
        <v>5.3315336207985338</v>
      </c>
      <c r="F1856" s="8" t="str">
        <f>HYPERLINK("https://esbl.nhlbi.nih.gov/Databases/mpkFractions/proteomic_fractions_log_files/Yang_log_img/21313536.jpg","show blot")</f>
        <v>show blot</v>
      </c>
      <c r="H1856" s="8" t="str">
        <f>HYPERLINK("https://esbl.nhlbi.nih.gov/Databases/mpkFractions/proteomic_fractions_linear_files/Yang_linear_img/21313536.jpg","show blot")</f>
        <v>show blot</v>
      </c>
      <c r="J1856" s="5" t="s">
        <v>3700</v>
      </c>
      <c r="L1856" s="11">
        <v>5.3315336207985338</v>
      </c>
      <c r="N1856" s="12"/>
    </row>
    <row r="1857" spans="1:14" s="5" customFormat="1" ht="15" customHeight="1" x14ac:dyDescent="0.25">
      <c r="A1857" s="9" t="s">
        <v>3701</v>
      </c>
      <c r="C1857" s="9" t="str">
        <f>HYPERLINK("http://www.ncbi.nlm.nih.gov/protein/6681203","Dmd")</f>
        <v>Dmd</v>
      </c>
      <c r="D1857" s="10">
        <f t="shared" si="28"/>
        <v>3.3195579333792429</v>
      </c>
      <c r="F1857" s="8" t="str">
        <f>HYPERLINK("https://esbl.nhlbi.nih.gov/Databases/mpkFractions/proteomic_fractions_log_files/Yang_log_img/6681203.jpg","show blot")</f>
        <v>show blot</v>
      </c>
      <c r="H1857" s="8" t="str">
        <f>HYPERLINK("https://esbl.nhlbi.nih.gov/Databases/mpkFractions/proteomic_fractions_linear_files/Yang_linear_img/6681203.jpg","show blot")</f>
        <v>show blot</v>
      </c>
      <c r="J1857" s="5" t="s">
        <v>3702</v>
      </c>
      <c r="L1857" s="11">
        <v>3.3195579333792429</v>
      </c>
      <c r="N1857" s="12"/>
    </row>
    <row r="1858" spans="1:14" s="5" customFormat="1" ht="15" customHeight="1" x14ac:dyDescent="0.25">
      <c r="A1858" s="9" t="s">
        <v>3703</v>
      </c>
      <c r="C1858" s="9" t="str">
        <f>HYPERLINK("http://www.ncbi.nlm.nih.gov/protein/283837769","Dna2")</f>
        <v>Dna2</v>
      </c>
      <c r="D1858" s="10">
        <f t="shared" si="28"/>
        <v>3.4981888856330681</v>
      </c>
      <c r="F1858" s="8" t="str">
        <f>HYPERLINK("https://esbl.nhlbi.nih.gov/Databases/mpkFractions/proteomic_fractions_log_files/Yang_log_img/283837769.jpg","show blot")</f>
        <v>show blot</v>
      </c>
      <c r="H1858" s="8" t="str">
        <f>HYPERLINK("https://esbl.nhlbi.nih.gov/Databases/mpkFractions/proteomic_fractions_linear_files/Yang_linear_img/283837769.jpg","show blot")</f>
        <v>show blot</v>
      </c>
      <c r="J1858" s="5" t="s">
        <v>3704</v>
      </c>
      <c r="L1858" s="11">
        <v>3.4981888856330681</v>
      </c>
      <c r="N1858" s="12"/>
    </row>
    <row r="1859" spans="1:14" s="5" customFormat="1" ht="15" customHeight="1" x14ac:dyDescent="0.25">
      <c r="A1859" s="9" t="s">
        <v>3705</v>
      </c>
      <c r="C1859" s="9" t="str">
        <f>HYPERLINK("http://www.ncbi.nlm.nih.gov/protein/13386136","Dnaaf1")</f>
        <v>Dnaaf1</v>
      </c>
      <c r="D1859" s="10">
        <f t="shared" si="28"/>
        <v>2.198208362591465</v>
      </c>
      <c r="F1859" s="8" t="str">
        <f>HYPERLINK("https://esbl.nhlbi.nih.gov/Databases/mpkFractions/proteomic_fractions_log_files/Yang_log_img/13386136.jpg","show blot")</f>
        <v>show blot</v>
      </c>
      <c r="H1859" s="8" t="str">
        <f>HYPERLINK("https://esbl.nhlbi.nih.gov/Databases/mpkFractions/proteomic_fractions_linear_files/Yang_linear_img/13386136.jpg","show blot")</f>
        <v>show blot</v>
      </c>
      <c r="J1859" s="5" t="s">
        <v>3706</v>
      </c>
      <c r="L1859" s="11">
        <v>2.198208362591465</v>
      </c>
      <c r="N1859" s="12"/>
    </row>
    <row r="1860" spans="1:14" s="5" customFormat="1" ht="15" customHeight="1" x14ac:dyDescent="0.25">
      <c r="A1860" s="9" t="s">
        <v>3707</v>
      </c>
      <c r="C1860" s="9" t="str">
        <f>HYPERLINK("http://www.ncbi.nlm.nih.gov/protein/66793421","Dnaaf2")</f>
        <v>Dnaaf2</v>
      </c>
      <c r="D1860" s="10">
        <f t="shared" si="28"/>
        <v>3.3985138724460611</v>
      </c>
      <c r="F1860" s="8" t="str">
        <f>HYPERLINK("https://esbl.nhlbi.nih.gov/Databases/mpkFractions/proteomic_fractions_log_files/Yang_log_img/66793421.jpg","show blot")</f>
        <v>show blot</v>
      </c>
      <c r="H1860" s="8" t="str">
        <f>HYPERLINK("https://esbl.nhlbi.nih.gov/Databases/mpkFractions/proteomic_fractions_linear_files/Yang_linear_img/66793421.jpg","show blot")</f>
        <v>show blot</v>
      </c>
      <c r="J1860" s="5" t="s">
        <v>3708</v>
      </c>
      <c r="L1860" s="11">
        <v>3.3985138724460611</v>
      </c>
      <c r="N1860" s="12"/>
    </row>
    <row r="1861" spans="1:14" s="5" customFormat="1" ht="15" customHeight="1" x14ac:dyDescent="0.25">
      <c r="A1861" s="9" t="s">
        <v>3709</v>
      </c>
      <c r="C1861" s="9" t="str">
        <f>HYPERLINK("http://www.ncbi.nlm.nih.gov/protein/256773234","Dnah1")</f>
        <v>Dnah1</v>
      </c>
      <c r="D1861" s="10">
        <f t="shared" ref="D1861:D1924" si="29">L1861</f>
        <v>3.724832132078526</v>
      </c>
      <c r="F1861" s="8" t="str">
        <f>HYPERLINK("https://esbl.nhlbi.nih.gov/Databases/mpkFractions/proteomic_fractions_log_files/Yang_log_img/256773234.jpg","show blot")</f>
        <v>show blot</v>
      </c>
      <c r="H1861" s="8" t="str">
        <f>HYPERLINK("https://esbl.nhlbi.nih.gov/Databases/mpkFractions/proteomic_fractions_linear_files/Yang_linear_img/256773234.jpg","show blot")</f>
        <v>show blot</v>
      </c>
      <c r="J1861" s="5" t="s">
        <v>3710</v>
      </c>
      <c r="L1861" s="11">
        <v>3.724832132078526</v>
      </c>
      <c r="N1861" s="12"/>
    </row>
    <row r="1862" spans="1:14" s="5" customFormat="1" ht="15" customHeight="1" x14ac:dyDescent="0.25">
      <c r="A1862" s="9" t="s">
        <v>3711</v>
      </c>
      <c r="C1862" s="9" t="str">
        <f>HYPERLINK("http://www.ncbi.nlm.nih.gov/protein/254692843","Dnah10")</f>
        <v>Dnah10</v>
      </c>
      <c r="D1862" s="10">
        <f t="shared" si="29"/>
        <v>3.701025951726292</v>
      </c>
      <c r="F1862" s="8" t="str">
        <f>HYPERLINK("https://esbl.nhlbi.nih.gov/Databases/mpkFractions/proteomic_fractions_log_files/Yang_log_img/254692843.jpg","show blot")</f>
        <v>show blot</v>
      </c>
      <c r="H1862" s="8" t="str">
        <f>HYPERLINK("https://esbl.nhlbi.nih.gov/Databases/mpkFractions/proteomic_fractions_linear_files/Yang_linear_img/254692843.jpg","show blot")</f>
        <v>show blot</v>
      </c>
      <c r="J1862" s="5" t="s">
        <v>3712</v>
      </c>
      <c r="L1862" s="11">
        <v>3.701025951726292</v>
      </c>
      <c r="N1862" s="12"/>
    </row>
    <row r="1863" spans="1:14" s="5" customFormat="1" ht="15" customHeight="1" x14ac:dyDescent="0.25">
      <c r="A1863" s="9" t="s">
        <v>3713</v>
      </c>
      <c r="C1863" s="9" t="str">
        <f>HYPERLINK("http://www.ncbi.nlm.nih.gov/protein/393794754","Dnah11")</f>
        <v>Dnah11</v>
      </c>
      <c r="D1863" s="10">
        <f t="shared" si="29"/>
        <v>3.6997113916659479</v>
      </c>
      <c r="F1863" s="8" t="str">
        <f>HYPERLINK("https://esbl.nhlbi.nih.gov/Databases/mpkFractions/proteomic_fractions_log_files/Yang_log_img/393794754.jpg","show blot")</f>
        <v>show blot</v>
      </c>
      <c r="H1863" s="8" t="str">
        <f>HYPERLINK("https://esbl.nhlbi.nih.gov/Databases/mpkFractions/proteomic_fractions_linear_files/Yang_linear_img/393794754.jpg","show blot")</f>
        <v>show blot</v>
      </c>
      <c r="J1863" s="5" t="s">
        <v>3714</v>
      </c>
      <c r="L1863" s="11">
        <v>3.6997113916659479</v>
      </c>
      <c r="N1863" s="12"/>
    </row>
    <row r="1864" spans="1:14" s="5" customFormat="1" ht="15" customHeight="1" x14ac:dyDescent="0.25">
      <c r="A1864" s="9" t="s">
        <v>3715</v>
      </c>
      <c r="C1864" s="9" t="str">
        <f>HYPERLINK("http://www.ncbi.nlm.nih.gov/protein/283837762","Dnah17")</f>
        <v>Dnah17</v>
      </c>
      <c r="D1864" s="10">
        <f t="shared" si="29"/>
        <v>1.0506023142099139</v>
      </c>
      <c r="F1864" s="8" t="str">
        <f>HYPERLINK("https://esbl.nhlbi.nih.gov/Databases/mpkFractions/proteomic_fractions_log_files/Yang_log_img/283837762.jpg","show blot")</f>
        <v>show blot</v>
      </c>
      <c r="H1864" s="8" t="str">
        <f>HYPERLINK("https://esbl.nhlbi.nih.gov/Databases/mpkFractions/proteomic_fractions_linear_files/Yang_linear_img/283837762.jpg","show blot")</f>
        <v>show blot</v>
      </c>
      <c r="J1864" s="5" t="s">
        <v>3716</v>
      </c>
      <c r="L1864" s="11">
        <v>1.0506023142099139</v>
      </c>
      <c r="N1864" s="12"/>
    </row>
    <row r="1865" spans="1:14" s="5" customFormat="1" ht="15" customHeight="1" x14ac:dyDescent="0.25">
      <c r="A1865" s="9" t="s">
        <v>3717</v>
      </c>
      <c r="C1865" s="9" t="str">
        <f>HYPERLINK("http://www.ncbi.nlm.nih.gov/protein/342672105","Dnah5")</f>
        <v>Dnah5</v>
      </c>
      <c r="D1865" s="10">
        <f t="shared" si="29"/>
        <v>4.5394878630856139</v>
      </c>
      <c r="F1865" s="8" t="str">
        <f>HYPERLINK("https://esbl.nhlbi.nih.gov/Databases/mpkFractions/proteomic_fractions_log_files/Yang_log_img/342672105.jpg","show blot")</f>
        <v>show blot</v>
      </c>
      <c r="H1865" s="8" t="str">
        <f>HYPERLINK("https://esbl.nhlbi.nih.gov/Databases/mpkFractions/proteomic_fractions_linear_files/Yang_linear_img/342672105.jpg","show blot")</f>
        <v>show blot</v>
      </c>
      <c r="J1865" s="5" t="s">
        <v>3718</v>
      </c>
      <c r="L1865" s="11">
        <v>4.5394878630856139</v>
      </c>
      <c r="N1865" s="12"/>
    </row>
    <row r="1866" spans="1:14" s="5" customFormat="1" ht="15" customHeight="1" x14ac:dyDescent="0.25">
      <c r="A1866" s="9" t="s">
        <v>3719</v>
      </c>
      <c r="C1866" s="9" t="str">
        <f>HYPERLINK("http://www.ncbi.nlm.nih.gov/protein/153792273","Dnah8")</f>
        <v>Dnah8</v>
      </c>
      <c r="D1866" s="10">
        <f t="shared" si="29"/>
        <v>3.6791638281865899</v>
      </c>
      <c r="F1866" s="8" t="str">
        <f>HYPERLINK("https://esbl.nhlbi.nih.gov/Databases/mpkFractions/proteomic_fractions_log_files/Yang_log_img/153792273.jpg","show blot")</f>
        <v>show blot</v>
      </c>
      <c r="H1866" s="8" t="str">
        <f>HYPERLINK("https://esbl.nhlbi.nih.gov/Databases/mpkFractions/proteomic_fractions_linear_files/Yang_linear_img/153792273.jpg","show blot")</f>
        <v>show blot</v>
      </c>
      <c r="J1866" s="5" t="s">
        <v>3720</v>
      </c>
      <c r="L1866" s="11">
        <v>3.6791638281865899</v>
      </c>
      <c r="N1866" s="12"/>
    </row>
    <row r="1867" spans="1:14" s="5" customFormat="1" ht="15" customHeight="1" x14ac:dyDescent="0.25">
      <c r="A1867" s="9" t="s">
        <v>3721</v>
      </c>
      <c r="C1867" s="9" t="str">
        <f>HYPERLINK("http://www.ncbi.nlm.nih.gov/protein/153791933","Dnah9")</f>
        <v>Dnah9</v>
      </c>
      <c r="D1867" s="10">
        <f t="shared" si="29"/>
        <v>1.131024370635606</v>
      </c>
      <c r="F1867" s="8" t="str">
        <f>HYPERLINK("https://esbl.nhlbi.nih.gov/Databases/mpkFractions/proteomic_fractions_log_files/Yang_log_img/153791933.jpg","show blot")</f>
        <v>show blot</v>
      </c>
      <c r="H1867" s="8" t="str">
        <f>HYPERLINK("https://esbl.nhlbi.nih.gov/Databases/mpkFractions/proteomic_fractions_linear_files/Yang_linear_img/153791933.jpg","show blot")</f>
        <v>show blot</v>
      </c>
      <c r="J1867" s="5" t="s">
        <v>3722</v>
      </c>
      <c r="L1867" s="11">
        <v>1.131024370635606</v>
      </c>
      <c r="N1867" s="12"/>
    </row>
    <row r="1868" spans="1:14" s="5" customFormat="1" ht="15" customHeight="1" x14ac:dyDescent="0.25">
      <c r="A1868" s="9" t="s">
        <v>3723</v>
      </c>
      <c r="C1868" s="9" t="str">
        <f>HYPERLINK("http://www.ncbi.nlm.nih.gov/protein/407262105","Dnahc12")</f>
        <v>Dnahc12</v>
      </c>
      <c r="D1868" s="10">
        <f t="shared" si="29"/>
        <v>3.7553052404360558</v>
      </c>
      <c r="F1868" s="8" t="str">
        <f>HYPERLINK("https://esbl.nhlbi.nih.gov/Databases/mpkFractions/proteomic_fractions_log_files/Yang_log_img/407262105.jpg","show blot")</f>
        <v>show blot</v>
      </c>
      <c r="H1868" s="8" t="str">
        <f>HYPERLINK("https://esbl.nhlbi.nih.gov/Databases/mpkFractions/proteomic_fractions_linear_files/Yang_linear_img/407262105.jpg","show blot")</f>
        <v>show blot</v>
      </c>
      <c r="J1868" s="5" t="s">
        <v>3724</v>
      </c>
      <c r="L1868" s="11">
        <v>3.7553052404360558</v>
      </c>
      <c r="N1868" s="12"/>
    </row>
    <row r="1869" spans="1:14" s="5" customFormat="1" ht="15" customHeight="1" x14ac:dyDescent="0.25">
      <c r="A1869" s="9" t="s">
        <v>3725</v>
      </c>
      <c r="C1869" s="9" t="str">
        <f>HYPERLINK("http://www.ncbi.nlm.nih.gov/protein/407264021","Dnahc12")</f>
        <v>Dnahc12</v>
      </c>
      <c r="D1869" s="10">
        <f t="shared" si="29"/>
        <v>3.7553052404360558</v>
      </c>
      <c r="F1869" s="8" t="str">
        <f>HYPERLINK("https://esbl.nhlbi.nih.gov/Databases/mpkFractions/proteomic_fractions_log_files/Yang_log_img/407264021.jpg","show blot")</f>
        <v>show blot</v>
      </c>
      <c r="H1869" s="8" t="str">
        <f>HYPERLINK("https://esbl.nhlbi.nih.gov/Databases/mpkFractions/proteomic_fractions_linear_files/Yang_linear_img/407264021.jpg","show blot")</f>
        <v>show blot</v>
      </c>
      <c r="J1869" s="5" t="s">
        <v>3724</v>
      </c>
      <c r="L1869" s="11">
        <v>3.7553052404360558</v>
      </c>
      <c r="N1869" s="12"/>
    </row>
    <row r="1870" spans="1:14" s="5" customFormat="1" ht="15" customHeight="1" x14ac:dyDescent="0.25">
      <c r="A1870" s="9" t="s">
        <v>3726</v>
      </c>
      <c r="C1870" s="9" t="str">
        <f>HYPERLINK("http://www.ncbi.nlm.nih.gov/protein/377833725","Dnahc14")</f>
        <v>Dnahc14</v>
      </c>
      <c r="D1870" s="10">
        <f t="shared" si="29"/>
        <v>1.0781518677939499</v>
      </c>
      <c r="F1870" s="8" t="str">
        <f>HYPERLINK("https://esbl.nhlbi.nih.gov/Databases/mpkFractions/proteomic_fractions_log_files/Yang_log_img/377833725.jpg","show blot")</f>
        <v>show blot</v>
      </c>
      <c r="H1870" s="8" t="str">
        <f>HYPERLINK("https://esbl.nhlbi.nih.gov/Databases/mpkFractions/proteomic_fractions_linear_files/Yang_linear_img/377833725.jpg","show blot")</f>
        <v>show blot</v>
      </c>
      <c r="J1870" s="5" t="s">
        <v>3727</v>
      </c>
      <c r="L1870" s="11">
        <v>1.0781518677939499</v>
      </c>
      <c r="N1870" s="12"/>
    </row>
    <row r="1871" spans="1:14" s="5" customFormat="1" ht="15" customHeight="1" x14ac:dyDescent="0.25">
      <c r="A1871" s="9" t="s">
        <v>3728</v>
      </c>
      <c r="C1871" s="9" t="str">
        <f>HYPERLINK("http://www.ncbi.nlm.nih.gov/protein/377834821","Dnahc14")</f>
        <v>Dnahc14</v>
      </c>
      <c r="D1871" s="10">
        <f t="shared" si="29"/>
        <v>1.0781518677939499</v>
      </c>
      <c r="F1871" s="8" t="str">
        <f>HYPERLINK("https://esbl.nhlbi.nih.gov/Databases/mpkFractions/proteomic_fractions_log_files/Yang_log_img/377834821.jpg","show blot")</f>
        <v>show blot</v>
      </c>
      <c r="H1871" s="8" t="str">
        <f>HYPERLINK("https://esbl.nhlbi.nih.gov/Databases/mpkFractions/proteomic_fractions_linear_files/Yang_linear_img/377834821.jpg","show blot")</f>
        <v>show blot</v>
      </c>
      <c r="J1871" s="5" t="s">
        <v>3727</v>
      </c>
      <c r="L1871" s="11">
        <v>1.0781518677939499</v>
      </c>
      <c r="N1871" s="12"/>
    </row>
    <row r="1872" spans="1:14" s="5" customFormat="1" ht="15" customHeight="1" x14ac:dyDescent="0.25">
      <c r="A1872" s="9" t="s">
        <v>3729</v>
      </c>
      <c r="C1872" s="9" t="str">
        <f>HYPERLINK("http://www.ncbi.nlm.nih.gov/protein/6680297;258547146","Dnaja1")</f>
        <v>Dnaja1</v>
      </c>
      <c r="D1872" s="10">
        <f t="shared" si="29"/>
        <v>5.4910624045464287</v>
      </c>
      <c r="F1872" s="8" t="str">
        <f>HYPERLINK("https://esbl.nhlbi.nih.gov/Databases/mpkFractions/proteomic_fractions_log_files/Yang_log_img/6680297;258547146.jpg","show blot")</f>
        <v>show blot</v>
      </c>
      <c r="H1872" s="8" t="str">
        <f>HYPERLINK("https://esbl.nhlbi.nih.gov/Databases/mpkFractions/proteomic_fractions_linear_files/Yang_linear_img/6680297;258547146.jpg","show blot")</f>
        <v>show blot</v>
      </c>
      <c r="J1872" s="5" t="s">
        <v>3730</v>
      </c>
      <c r="L1872" s="11">
        <v>5.4910624045464287</v>
      </c>
      <c r="N1872" s="12"/>
    </row>
    <row r="1873" spans="1:14" s="5" customFormat="1" ht="15" customHeight="1" x14ac:dyDescent="0.25">
      <c r="A1873" s="9" t="s">
        <v>3731</v>
      </c>
      <c r="C1873" s="9" t="str">
        <f>HYPERLINK("http://www.ncbi.nlm.nih.gov/protein/258547146","Dnaja1")</f>
        <v>Dnaja1</v>
      </c>
      <c r="D1873" s="10">
        <f t="shared" si="29"/>
        <v>5.4910624045464287</v>
      </c>
      <c r="F1873" s="8" t="str">
        <f>HYPERLINK("https://esbl.nhlbi.nih.gov/Databases/mpkFractions/proteomic_fractions_log_files/Yang_log_img/258547146.jpg","show blot")</f>
        <v>show blot</v>
      </c>
      <c r="H1873" s="8" t="str">
        <f>HYPERLINK("https://esbl.nhlbi.nih.gov/Databases/mpkFractions/proteomic_fractions_linear_files/Yang_linear_img/258547146.jpg","show blot")</f>
        <v>show blot</v>
      </c>
      <c r="J1873" s="5" t="s">
        <v>3730</v>
      </c>
      <c r="L1873" s="11">
        <v>5.4910624045464287</v>
      </c>
      <c r="N1873" s="12"/>
    </row>
    <row r="1874" spans="1:14" s="5" customFormat="1" ht="15" customHeight="1" x14ac:dyDescent="0.25">
      <c r="A1874" s="9" t="s">
        <v>3732</v>
      </c>
      <c r="C1874" s="9" t="str">
        <f>HYPERLINK("http://www.ncbi.nlm.nih.gov/protein/9789937","Dnaja2")</f>
        <v>Dnaja2</v>
      </c>
      <c r="D1874" s="10">
        <f t="shared" si="29"/>
        <v>5.6915602355384323</v>
      </c>
      <c r="F1874" s="8" t="str">
        <f>HYPERLINK("https://esbl.nhlbi.nih.gov/Databases/mpkFractions/proteomic_fractions_log_files/Yang_log_img/9789937.jpg","show blot")</f>
        <v>show blot</v>
      </c>
      <c r="H1874" s="8" t="str">
        <f>HYPERLINK("https://esbl.nhlbi.nih.gov/Databases/mpkFractions/proteomic_fractions_linear_files/Yang_linear_img/9789937.jpg","show blot")</f>
        <v>show blot</v>
      </c>
      <c r="J1874" s="5" t="s">
        <v>3733</v>
      </c>
      <c r="L1874" s="11">
        <v>5.6915602355384323</v>
      </c>
      <c r="N1874" s="12"/>
    </row>
    <row r="1875" spans="1:14" s="5" customFormat="1" ht="15" customHeight="1" x14ac:dyDescent="0.25">
      <c r="A1875" s="9" t="s">
        <v>3734</v>
      </c>
      <c r="C1875" s="9" t="str">
        <f>HYPERLINK("http://www.ncbi.nlm.nih.gov/protein/205361112","Dnaja3")</f>
        <v>Dnaja3</v>
      </c>
      <c r="D1875" s="10">
        <f t="shared" si="29"/>
        <v>4.829794919396722</v>
      </c>
      <c r="F1875" s="8" t="str">
        <f>HYPERLINK("https://esbl.nhlbi.nih.gov/Databases/mpkFractions/proteomic_fractions_log_files/Yang_log_img/205361112.jpg","show blot")</f>
        <v>show blot</v>
      </c>
      <c r="H1875" s="8" t="str">
        <f>HYPERLINK("https://esbl.nhlbi.nih.gov/Databases/mpkFractions/proteomic_fractions_linear_files/Yang_linear_img/205361112.jpg","show blot")</f>
        <v>show blot</v>
      </c>
      <c r="J1875" s="5" t="s">
        <v>3735</v>
      </c>
      <c r="L1875" s="11">
        <v>4.829794919396722</v>
      </c>
      <c r="N1875" s="12"/>
    </row>
    <row r="1876" spans="1:14" s="5" customFormat="1" ht="15" customHeight="1" x14ac:dyDescent="0.25">
      <c r="A1876" s="9" t="s">
        <v>3736</v>
      </c>
      <c r="C1876" s="9" t="str">
        <f>HYPERLINK("http://www.ncbi.nlm.nih.gov/protein/205361114","Dnaja3")</f>
        <v>Dnaja3</v>
      </c>
      <c r="D1876" s="10">
        <f t="shared" si="29"/>
        <v>4.829794919396722</v>
      </c>
      <c r="F1876" s="8" t="str">
        <f>HYPERLINK("https://esbl.nhlbi.nih.gov/Databases/mpkFractions/proteomic_fractions_log_files/Yang_log_img/205361114.jpg","show blot")</f>
        <v>show blot</v>
      </c>
      <c r="H1876" s="8" t="str">
        <f>HYPERLINK("https://esbl.nhlbi.nih.gov/Databases/mpkFractions/proteomic_fractions_linear_files/Yang_linear_img/205361114.jpg","show blot")</f>
        <v>show blot</v>
      </c>
      <c r="J1876" s="5" t="s">
        <v>3737</v>
      </c>
      <c r="L1876" s="11">
        <v>4.829794919396722</v>
      </c>
      <c r="N1876" s="12"/>
    </row>
    <row r="1877" spans="1:14" s="5" customFormat="1" ht="15" customHeight="1" x14ac:dyDescent="0.25">
      <c r="A1877" s="9" t="s">
        <v>3738</v>
      </c>
      <c r="C1877" s="9" t="str">
        <f>HYPERLINK("http://www.ncbi.nlm.nih.gov/protein/9055242","Dnajb1")</f>
        <v>Dnajb1</v>
      </c>
      <c r="D1877" s="10">
        <f t="shared" si="29"/>
        <v>5.2675177499368786</v>
      </c>
      <c r="F1877" s="8" t="str">
        <f>HYPERLINK("https://esbl.nhlbi.nih.gov/Databases/mpkFractions/proteomic_fractions_log_files/Yang_log_img/9055242.jpg","show blot")</f>
        <v>show blot</v>
      </c>
      <c r="H1877" s="8" t="str">
        <f>HYPERLINK("https://esbl.nhlbi.nih.gov/Databases/mpkFractions/proteomic_fractions_linear_files/Yang_linear_img/9055242.jpg","show blot")</f>
        <v>show blot</v>
      </c>
      <c r="J1877" s="5" t="s">
        <v>3739</v>
      </c>
      <c r="L1877" s="11">
        <v>5.2675177499368786</v>
      </c>
      <c r="N1877" s="12"/>
    </row>
    <row r="1878" spans="1:14" s="5" customFormat="1" ht="15" customHeight="1" x14ac:dyDescent="0.25">
      <c r="A1878" s="9" t="s">
        <v>3740</v>
      </c>
      <c r="C1878" s="9" t="str">
        <f>HYPERLINK("http://www.ncbi.nlm.nih.gov/protein/110625998","Dnajb11")</f>
        <v>Dnajb11</v>
      </c>
      <c r="D1878" s="10">
        <f t="shared" si="29"/>
        <v>5.2714002267669082</v>
      </c>
      <c r="F1878" s="8" t="str">
        <f>HYPERLINK("https://esbl.nhlbi.nih.gov/Databases/mpkFractions/proteomic_fractions_log_files/Yang_log_img/110625998.jpg","show blot")</f>
        <v>show blot</v>
      </c>
      <c r="H1878" s="8" t="str">
        <f>HYPERLINK("https://esbl.nhlbi.nih.gov/Databases/mpkFractions/proteomic_fractions_linear_files/Yang_linear_img/110625998.jpg","show blot")</f>
        <v>show blot</v>
      </c>
      <c r="J1878" s="5" t="s">
        <v>3741</v>
      </c>
      <c r="L1878" s="11">
        <v>5.2714002267669082</v>
      </c>
      <c r="N1878" s="12"/>
    </row>
    <row r="1879" spans="1:14" s="5" customFormat="1" ht="15" customHeight="1" x14ac:dyDescent="0.25">
      <c r="A1879" s="9" t="s">
        <v>3742</v>
      </c>
      <c r="C1879" s="9" t="str">
        <f>HYPERLINK("http://www.ncbi.nlm.nih.gov/protein/31982701","Dnajb12")</f>
        <v>Dnajb12</v>
      </c>
      <c r="D1879" s="10">
        <f t="shared" si="29"/>
        <v>1.809559714635268</v>
      </c>
      <c r="F1879" s="8" t="str">
        <f>HYPERLINK("https://esbl.nhlbi.nih.gov/Databases/mpkFractions/proteomic_fractions_log_files/Yang_log_img/31982701.jpg","show blot")</f>
        <v>show blot</v>
      </c>
      <c r="H1879" s="8" t="str">
        <f>HYPERLINK("https://esbl.nhlbi.nih.gov/Databases/mpkFractions/proteomic_fractions_linear_files/Yang_linear_img/31982701.jpg","show blot")</f>
        <v>show blot</v>
      </c>
      <c r="J1879" s="5" t="s">
        <v>3743</v>
      </c>
      <c r="L1879" s="11">
        <v>1.809559714635268</v>
      </c>
      <c r="N1879" s="12"/>
    </row>
    <row r="1880" spans="1:14" s="5" customFormat="1" ht="15" customHeight="1" x14ac:dyDescent="0.25">
      <c r="A1880" s="9" t="s">
        <v>3744</v>
      </c>
      <c r="C1880" s="9" t="str">
        <f>HYPERLINK("http://www.ncbi.nlm.nih.gov/protein/229577334;30017349","Dnajb2")</f>
        <v>Dnajb2</v>
      </c>
      <c r="D1880" s="10">
        <f t="shared" si="29"/>
        <v>4.2887576125733569</v>
      </c>
      <c r="F1880" s="8" t="str">
        <f>HYPERLINK("https://esbl.nhlbi.nih.gov/Databases/mpkFractions/proteomic_fractions_log_files/Yang_log_img/229577334;30017349.jpg","show blot")</f>
        <v>show blot</v>
      </c>
      <c r="H1880" s="8" t="str">
        <f>HYPERLINK("https://esbl.nhlbi.nih.gov/Databases/mpkFractions/proteomic_fractions_linear_files/Yang_linear_img/229577334;30017349.jpg","show blot")</f>
        <v>show blot</v>
      </c>
      <c r="J1880" s="5" t="s">
        <v>3745</v>
      </c>
      <c r="L1880" s="11">
        <v>4.2887576125733569</v>
      </c>
      <c r="N1880" s="12"/>
    </row>
    <row r="1881" spans="1:14" s="5" customFormat="1" ht="15" customHeight="1" x14ac:dyDescent="0.25">
      <c r="A1881" s="9" t="s">
        <v>3746</v>
      </c>
      <c r="C1881" s="9" t="str">
        <f>HYPERLINK("http://www.ncbi.nlm.nih.gov/protein/30017349","Dnajb2")</f>
        <v>Dnajb2</v>
      </c>
      <c r="D1881" s="10">
        <f t="shared" si="29"/>
        <v>4.2887576125733569</v>
      </c>
      <c r="F1881" s="8" t="str">
        <f>HYPERLINK("https://esbl.nhlbi.nih.gov/Databases/mpkFractions/proteomic_fractions_log_files/Yang_log_img/30017349.jpg","show blot")</f>
        <v>show blot</v>
      </c>
      <c r="H1881" s="8" t="str">
        <f>HYPERLINK("https://esbl.nhlbi.nih.gov/Databases/mpkFractions/proteomic_fractions_linear_files/Yang_linear_img/30017349.jpg","show blot")</f>
        <v>show blot</v>
      </c>
      <c r="J1881" s="5" t="s">
        <v>3745</v>
      </c>
      <c r="L1881" s="11">
        <v>4.2887576125733569</v>
      </c>
      <c r="N1881" s="12"/>
    </row>
    <row r="1882" spans="1:14" s="5" customFormat="1" ht="15" customHeight="1" x14ac:dyDescent="0.25">
      <c r="A1882" s="9" t="s">
        <v>3747</v>
      </c>
      <c r="C1882" s="9" t="str">
        <f>HYPERLINK("http://www.ncbi.nlm.nih.gov/protein/229577329","Dnajb2")</f>
        <v>Dnajb2</v>
      </c>
      <c r="D1882" s="10">
        <f t="shared" si="29"/>
        <v>4.2887576125733569</v>
      </c>
      <c r="F1882" s="8" t="str">
        <f>HYPERLINK("https://esbl.nhlbi.nih.gov/Databases/mpkFractions/proteomic_fractions_log_files/Yang_log_img/229577329.jpg","show blot")</f>
        <v>show blot</v>
      </c>
      <c r="H1882" s="8" t="str">
        <f>HYPERLINK("https://esbl.nhlbi.nih.gov/Databases/mpkFractions/proteomic_fractions_linear_files/Yang_linear_img/229577329.jpg","show blot")</f>
        <v>show blot</v>
      </c>
      <c r="J1882" s="5" t="s">
        <v>3748</v>
      </c>
      <c r="L1882" s="11">
        <v>4.2887576125733569</v>
      </c>
      <c r="N1882" s="12"/>
    </row>
    <row r="1883" spans="1:14" s="5" customFormat="1" ht="15" customHeight="1" x14ac:dyDescent="0.25">
      <c r="A1883" s="9" t="s">
        <v>3749</v>
      </c>
      <c r="C1883" s="9" t="str">
        <f>HYPERLINK("http://www.ncbi.nlm.nih.gov/protein/229577332","Dnajb2")</f>
        <v>Dnajb2</v>
      </c>
      <c r="D1883" s="10">
        <f t="shared" si="29"/>
        <v>4.2887576125733569</v>
      </c>
      <c r="F1883" s="8" t="str">
        <f>HYPERLINK("https://esbl.nhlbi.nih.gov/Databases/mpkFractions/proteomic_fractions_log_files/Yang_log_img/229577332.jpg","show blot")</f>
        <v>show blot</v>
      </c>
      <c r="H1883" s="8" t="str">
        <f>HYPERLINK("https://esbl.nhlbi.nih.gov/Databases/mpkFractions/proteomic_fractions_linear_files/Yang_linear_img/229577332.jpg","show blot")</f>
        <v>show blot</v>
      </c>
      <c r="J1883" s="5" t="s">
        <v>3750</v>
      </c>
      <c r="L1883" s="11">
        <v>4.2887576125733569</v>
      </c>
      <c r="N1883" s="12"/>
    </row>
    <row r="1884" spans="1:14" s="5" customFormat="1" ht="15" customHeight="1" x14ac:dyDescent="0.25">
      <c r="A1884" s="9" t="s">
        <v>3751</v>
      </c>
      <c r="C1884" s="9" t="str">
        <f>HYPERLINK("http://www.ncbi.nlm.nih.gov/protein/21313156;165377271","Dnajb4")</f>
        <v>Dnajb4</v>
      </c>
      <c r="D1884" s="10">
        <f t="shared" si="29"/>
        <v>5.3181357506381586</v>
      </c>
      <c r="F1884" s="8" t="str">
        <f>HYPERLINK("https://esbl.nhlbi.nih.gov/Databases/mpkFractions/proteomic_fractions_log_files/Yang_log_img/21313156;165377271.jpg","show blot")</f>
        <v>show blot</v>
      </c>
      <c r="H1884" s="8" t="str">
        <f>HYPERLINK("https://esbl.nhlbi.nih.gov/Databases/mpkFractions/proteomic_fractions_linear_files/Yang_linear_img/21313156;165377271.jpg","show blot")</f>
        <v>show blot</v>
      </c>
      <c r="J1884" s="5" t="s">
        <v>3752</v>
      </c>
      <c r="L1884" s="11">
        <v>5.3181357506381586</v>
      </c>
      <c r="N1884" s="12"/>
    </row>
    <row r="1885" spans="1:14" s="5" customFormat="1" ht="15" customHeight="1" x14ac:dyDescent="0.25">
      <c r="A1885" s="9" t="s">
        <v>3753</v>
      </c>
      <c r="C1885" s="9" t="str">
        <f>HYPERLINK("http://www.ncbi.nlm.nih.gov/protein/165377271","Dnajb4")</f>
        <v>Dnajb4</v>
      </c>
      <c r="D1885" s="10">
        <f t="shared" si="29"/>
        <v>5.3181357506381586</v>
      </c>
      <c r="F1885" s="8" t="str">
        <f>HYPERLINK("https://esbl.nhlbi.nih.gov/Databases/mpkFractions/proteomic_fractions_log_files/Yang_log_img/165377271.jpg","show blot")</f>
        <v>show blot</v>
      </c>
      <c r="H1885" s="8" t="str">
        <f>HYPERLINK("https://esbl.nhlbi.nih.gov/Databases/mpkFractions/proteomic_fractions_linear_files/Yang_linear_img/165377271.jpg","show blot")</f>
        <v>show blot</v>
      </c>
      <c r="J1885" s="5" t="s">
        <v>3752</v>
      </c>
      <c r="L1885" s="11">
        <v>5.3181357506381586</v>
      </c>
      <c r="N1885" s="12"/>
    </row>
    <row r="1886" spans="1:14" s="5" customFormat="1" ht="15" customHeight="1" x14ac:dyDescent="0.25">
      <c r="A1886" s="9" t="s">
        <v>3754</v>
      </c>
      <c r="C1886" s="9" t="str">
        <f>HYPERLINK("http://www.ncbi.nlm.nih.gov/protein/188219642","Dnajb6")</f>
        <v>Dnajb6</v>
      </c>
      <c r="D1886" s="10">
        <f t="shared" si="29"/>
        <v>5.0751355785135166</v>
      </c>
      <c r="F1886" s="8" t="str">
        <f>HYPERLINK("https://esbl.nhlbi.nih.gov/Databases/mpkFractions/proteomic_fractions_log_files/Yang_log_img/188219642.jpg","show blot")</f>
        <v>show blot</v>
      </c>
      <c r="H1886" s="8" t="str">
        <f>HYPERLINK("https://esbl.nhlbi.nih.gov/Databases/mpkFractions/proteomic_fractions_linear_files/Yang_linear_img/188219642.jpg","show blot")</f>
        <v>show blot</v>
      </c>
      <c r="J1886" s="5" t="s">
        <v>3755</v>
      </c>
      <c r="L1886" s="11">
        <v>5.0751355785135166</v>
      </c>
      <c r="N1886" s="12"/>
    </row>
    <row r="1887" spans="1:14" s="5" customFormat="1" ht="15" customHeight="1" x14ac:dyDescent="0.25">
      <c r="A1887" s="9" t="s">
        <v>3756</v>
      </c>
      <c r="C1887" s="9" t="str">
        <f>HYPERLINK("http://www.ncbi.nlm.nih.gov/protein/188219644","Dnajb6")</f>
        <v>Dnajb6</v>
      </c>
      <c r="D1887" s="10">
        <f t="shared" si="29"/>
        <v>5.0751355785135166</v>
      </c>
      <c r="F1887" s="8" t="str">
        <f>HYPERLINK("https://esbl.nhlbi.nih.gov/Databases/mpkFractions/proteomic_fractions_log_files/Yang_log_img/188219644.jpg","show blot")</f>
        <v>show blot</v>
      </c>
      <c r="H1887" s="8" t="str">
        <f>HYPERLINK("https://esbl.nhlbi.nih.gov/Databases/mpkFractions/proteomic_fractions_linear_files/Yang_linear_img/188219644.jpg","show blot")</f>
        <v>show blot</v>
      </c>
      <c r="J1887" s="5" t="s">
        <v>3757</v>
      </c>
      <c r="L1887" s="11">
        <v>5.0751355785135166</v>
      </c>
      <c r="N1887" s="12"/>
    </row>
    <row r="1888" spans="1:14" s="5" customFormat="1" ht="15" customHeight="1" x14ac:dyDescent="0.25">
      <c r="A1888" s="9" t="s">
        <v>3758</v>
      </c>
      <c r="C1888" s="9" t="str">
        <f>HYPERLINK("http://www.ncbi.nlm.nih.gov/protein/83816903","Dnajb6")</f>
        <v>Dnajb6</v>
      </c>
      <c r="D1888" s="10">
        <f t="shared" si="29"/>
        <v>5.0751355785135166</v>
      </c>
      <c r="F1888" s="8" t="str">
        <f>HYPERLINK("https://esbl.nhlbi.nih.gov/Databases/mpkFractions/proteomic_fractions_log_files/Yang_log_img/83816903.jpg","show blot")</f>
        <v>show blot</v>
      </c>
      <c r="H1888" s="8" t="str">
        <f>HYPERLINK("https://esbl.nhlbi.nih.gov/Databases/mpkFractions/proteomic_fractions_linear_files/Yang_linear_img/83816903.jpg","show blot")</f>
        <v>show blot</v>
      </c>
      <c r="J1888" s="5" t="s">
        <v>3759</v>
      </c>
      <c r="L1888" s="11">
        <v>5.0751355785135166</v>
      </c>
      <c r="N1888" s="12"/>
    </row>
    <row r="1889" spans="1:14" s="5" customFormat="1" ht="15" customHeight="1" x14ac:dyDescent="0.25">
      <c r="A1889" s="9" t="s">
        <v>3760</v>
      </c>
      <c r="C1889" s="9" t="str">
        <f>HYPERLINK("http://www.ncbi.nlm.nih.gov/protein/83816907","Dnajb6")</f>
        <v>Dnajb6</v>
      </c>
      <c r="D1889" s="10">
        <f t="shared" si="29"/>
        <v>5.0751355785135166</v>
      </c>
      <c r="F1889" s="8" t="str">
        <f>HYPERLINK("https://esbl.nhlbi.nih.gov/Databases/mpkFractions/proteomic_fractions_log_files/Yang_log_img/83816907.jpg","show blot")</f>
        <v>show blot</v>
      </c>
      <c r="H1889" s="8" t="str">
        <f>HYPERLINK("https://esbl.nhlbi.nih.gov/Databases/mpkFractions/proteomic_fractions_linear_files/Yang_linear_img/83816907.jpg","show blot")</f>
        <v>show blot</v>
      </c>
      <c r="J1889" s="5" t="s">
        <v>3761</v>
      </c>
      <c r="L1889" s="11">
        <v>5.0751355785135166</v>
      </c>
      <c r="N1889" s="12"/>
    </row>
    <row r="1890" spans="1:14" s="5" customFormat="1" ht="15" customHeight="1" x14ac:dyDescent="0.25">
      <c r="A1890" s="9" t="s">
        <v>3762</v>
      </c>
      <c r="C1890" s="9" t="str">
        <f>HYPERLINK("http://www.ncbi.nlm.nih.gov/protein/119392096","Dnajb7")</f>
        <v>Dnajb7</v>
      </c>
      <c r="D1890" s="10">
        <f t="shared" si="29"/>
        <v>4.5274994414300309</v>
      </c>
      <c r="F1890" s="8" t="str">
        <f>HYPERLINK("https://esbl.nhlbi.nih.gov/Databases/mpkFractions/proteomic_fractions_log_files/Yang_log_img/119392096.jpg","show blot")</f>
        <v>show blot</v>
      </c>
      <c r="H1890" s="8" t="str">
        <f>HYPERLINK("https://esbl.nhlbi.nih.gov/Databases/mpkFractions/proteomic_fractions_linear_files/Yang_linear_img/119392096.jpg","show blot")</f>
        <v>show blot</v>
      </c>
      <c r="J1890" s="5" t="s">
        <v>3763</v>
      </c>
      <c r="L1890" s="11">
        <v>4.5274994414300309</v>
      </c>
      <c r="N1890" s="12"/>
    </row>
    <row r="1891" spans="1:14" s="5" customFormat="1" ht="15" customHeight="1" x14ac:dyDescent="0.25">
      <c r="A1891" s="9" t="s">
        <v>3764</v>
      </c>
      <c r="C1891" s="9" t="str">
        <f>HYPERLINK("http://www.ncbi.nlm.nih.gov/protein/7106295","Dnajc1")</f>
        <v>Dnajc1</v>
      </c>
      <c r="D1891" s="10">
        <f t="shared" si="29"/>
        <v>3.464239135644565</v>
      </c>
      <c r="F1891" s="8" t="str">
        <f>HYPERLINK("https://esbl.nhlbi.nih.gov/Databases/mpkFractions/proteomic_fractions_log_files/Yang_log_img/7106295.jpg","show blot")</f>
        <v>show blot</v>
      </c>
      <c r="H1891" s="8" t="str">
        <f>HYPERLINK("https://esbl.nhlbi.nih.gov/Databases/mpkFractions/proteomic_fractions_linear_files/Yang_linear_img/7106295.jpg","show blot")</f>
        <v>show blot</v>
      </c>
      <c r="J1891" s="5" t="s">
        <v>3765</v>
      </c>
      <c r="L1891" s="11">
        <v>3.464239135644565</v>
      </c>
      <c r="N1891" s="12"/>
    </row>
    <row r="1892" spans="1:14" s="5" customFormat="1" ht="15" customHeight="1" x14ac:dyDescent="0.25">
      <c r="A1892" s="9" t="s">
        <v>3766</v>
      </c>
      <c r="C1892" s="9" t="str">
        <f>HYPERLINK("http://www.ncbi.nlm.nih.gov/protein/119508443","Dnajc10")</f>
        <v>Dnajc10</v>
      </c>
      <c r="D1892" s="10">
        <f t="shared" si="29"/>
        <v>4.3322866346035296</v>
      </c>
      <c r="F1892" s="8" t="str">
        <f>HYPERLINK("https://esbl.nhlbi.nih.gov/Databases/mpkFractions/proteomic_fractions_log_files/Yang_log_img/119508443.jpg","show blot")</f>
        <v>show blot</v>
      </c>
      <c r="H1892" s="8" t="str">
        <f>HYPERLINK("https://esbl.nhlbi.nih.gov/Databases/mpkFractions/proteomic_fractions_linear_files/Yang_linear_img/119508443.jpg","show blot")</f>
        <v>show blot</v>
      </c>
      <c r="J1892" s="5" t="s">
        <v>3767</v>
      </c>
      <c r="L1892" s="11">
        <v>4.3322866346035296</v>
      </c>
      <c r="N1892" s="12"/>
    </row>
    <row r="1893" spans="1:14" s="5" customFormat="1" ht="15" customHeight="1" x14ac:dyDescent="0.25">
      <c r="A1893" s="9" t="s">
        <v>3768</v>
      </c>
      <c r="C1893" s="9" t="str">
        <f>HYPERLINK("http://www.ncbi.nlm.nih.gov/protein/164565394","Dnajc11")</f>
        <v>Dnajc11</v>
      </c>
      <c r="D1893" s="10">
        <f t="shared" si="29"/>
        <v>4.1147879357880059</v>
      </c>
      <c r="F1893" s="8" t="str">
        <f>HYPERLINK("https://esbl.nhlbi.nih.gov/Databases/mpkFractions/proteomic_fractions_log_files/Yang_log_img/164565394.jpg","show blot")</f>
        <v>show blot</v>
      </c>
      <c r="H1893" s="8" t="str">
        <f>HYPERLINK("https://esbl.nhlbi.nih.gov/Databases/mpkFractions/proteomic_fractions_linear_files/Yang_linear_img/164565394.jpg","show blot")</f>
        <v>show blot</v>
      </c>
      <c r="J1893" s="5" t="s">
        <v>3769</v>
      </c>
      <c r="L1893" s="11">
        <v>4.1147879357880059</v>
      </c>
      <c r="N1893" s="12"/>
    </row>
    <row r="1894" spans="1:14" s="5" customFormat="1" ht="15" customHeight="1" x14ac:dyDescent="0.25">
      <c r="A1894" s="9" t="s">
        <v>3770</v>
      </c>
      <c r="C1894" s="9" t="str">
        <f>HYPERLINK("http://www.ncbi.nlm.nih.gov/protein/247494234","Dnajc13")</f>
        <v>Dnajc13</v>
      </c>
      <c r="D1894" s="10">
        <f t="shared" si="29"/>
        <v>4.3960645702029373</v>
      </c>
      <c r="F1894" s="8" t="str">
        <f>HYPERLINK("https://esbl.nhlbi.nih.gov/Databases/mpkFractions/proteomic_fractions_log_files/Yang_log_img/247494234.jpg","show blot")</f>
        <v>show blot</v>
      </c>
      <c r="H1894" s="8" t="str">
        <f>HYPERLINK("https://esbl.nhlbi.nih.gov/Databases/mpkFractions/proteomic_fractions_linear_files/Yang_linear_img/247494234.jpg","show blot")</f>
        <v>show blot</v>
      </c>
      <c r="J1894" s="5" t="s">
        <v>3771</v>
      </c>
      <c r="L1894" s="11">
        <v>4.3960645702029373</v>
      </c>
      <c r="N1894" s="12"/>
    </row>
    <row r="1895" spans="1:14" s="5" customFormat="1" ht="15" customHeight="1" x14ac:dyDescent="0.25">
      <c r="A1895" s="9" t="s">
        <v>3772</v>
      </c>
      <c r="C1895" s="9" t="str">
        <f>HYPERLINK("http://www.ncbi.nlm.nih.gov/protein/71061474","Dnajc19")</f>
        <v>Dnajc19</v>
      </c>
      <c r="D1895" s="10">
        <f t="shared" si="29"/>
        <v>4.3300108280245597</v>
      </c>
      <c r="F1895" s="8" t="str">
        <f>HYPERLINK("https://esbl.nhlbi.nih.gov/Databases/mpkFractions/proteomic_fractions_log_files/Yang_log_img/71061474.jpg","show blot")</f>
        <v>show blot</v>
      </c>
      <c r="H1895" s="8" t="str">
        <f>HYPERLINK("https://esbl.nhlbi.nih.gov/Databases/mpkFractions/proteomic_fractions_linear_files/Yang_linear_img/71061474.jpg","show blot")</f>
        <v>show blot</v>
      </c>
      <c r="J1895" s="5" t="s">
        <v>3773</v>
      </c>
      <c r="L1895" s="11">
        <v>4.3300108280245597</v>
      </c>
      <c r="N1895" s="12"/>
    </row>
    <row r="1896" spans="1:14" s="5" customFormat="1" ht="15" customHeight="1" x14ac:dyDescent="0.25">
      <c r="A1896" s="9" t="s">
        <v>3774</v>
      </c>
      <c r="C1896" s="9" t="str">
        <f>HYPERLINK("http://www.ncbi.nlm.nih.gov/protein/309268906","Dnajc19-ps")</f>
        <v>Dnajc19-ps</v>
      </c>
      <c r="D1896" s="10">
        <f t="shared" si="29"/>
        <v>4.4812785033552096</v>
      </c>
      <c r="F1896" s="8" t="str">
        <f>HYPERLINK("https://esbl.nhlbi.nih.gov/Databases/mpkFractions/proteomic_fractions_log_files/Yang_log_img/309268906.jpg","show blot")</f>
        <v>show blot</v>
      </c>
      <c r="H1896" s="8" t="str">
        <f>HYPERLINK("https://esbl.nhlbi.nih.gov/Databases/mpkFractions/proteomic_fractions_linear_files/Yang_linear_img/309268906.jpg","show blot")</f>
        <v>show blot</v>
      </c>
      <c r="J1896" s="5" t="s">
        <v>3775</v>
      </c>
      <c r="L1896" s="11">
        <v>4.4812785033552096</v>
      </c>
      <c r="N1896" s="12"/>
    </row>
    <row r="1897" spans="1:14" s="5" customFormat="1" ht="15" customHeight="1" x14ac:dyDescent="0.25">
      <c r="A1897" s="9" t="s">
        <v>3776</v>
      </c>
      <c r="C1897" s="9" t="str">
        <f>HYPERLINK("http://www.ncbi.nlm.nih.gov/protein/6677659","Dnajc2")</f>
        <v>Dnajc2</v>
      </c>
      <c r="D1897" s="10">
        <f t="shared" si="29"/>
        <v>5.0283937758538881</v>
      </c>
      <c r="F1897" s="8" t="str">
        <f>HYPERLINK("https://esbl.nhlbi.nih.gov/Databases/mpkFractions/proteomic_fractions_log_files/Yang_log_img/6677659.jpg","show blot")</f>
        <v>show blot</v>
      </c>
      <c r="H1897" s="8" t="str">
        <f>HYPERLINK("https://esbl.nhlbi.nih.gov/Databases/mpkFractions/proteomic_fractions_linear_files/Yang_linear_img/6677659.jpg","show blot")</f>
        <v>show blot</v>
      </c>
      <c r="J1897" s="5" t="s">
        <v>3777</v>
      </c>
      <c r="L1897" s="11">
        <v>5.0283937758538881</v>
      </c>
      <c r="N1897" s="12"/>
    </row>
    <row r="1898" spans="1:14" s="5" customFormat="1" ht="15" customHeight="1" x14ac:dyDescent="0.25">
      <c r="A1898" s="9" t="s">
        <v>3778</v>
      </c>
      <c r="C1898" s="9" t="str">
        <f>HYPERLINK("http://www.ncbi.nlm.nih.gov/protein/190194391","Dnajc21")</f>
        <v>Dnajc21</v>
      </c>
      <c r="D1898" s="10">
        <f t="shared" si="29"/>
        <v>4.5163103539663716</v>
      </c>
      <c r="F1898" s="8" t="str">
        <f>HYPERLINK("https://esbl.nhlbi.nih.gov/Databases/mpkFractions/proteomic_fractions_log_files/Yang_log_img/190194391.jpg","show blot")</f>
        <v>show blot</v>
      </c>
      <c r="H1898" s="8" t="str">
        <f>HYPERLINK("https://esbl.nhlbi.nih.gov/Databases/mpkFractions/proteomic_fractions_linear_files/Yang_linear_img/190194391.jpg","show blot")</f>
        <v>show blot</v>
      </c>
      <c r="J1898" s="5" t="s">
        <v>3779</v>
      </c>
      <c r="L1898" s="11">
        <v>4.5163103539663716</v>
      </c>
      <c r="N1898" s="12"/>
    </row>
    <row r="1899" spans="1:14" s="5" customFormat="1" ht="15" customHeight="1" x14ac:dyDescent="0.25">
      <c r="A1899" s="9" t="s">
        <v>3780</v>
      </c>
      <c r="C1899" s="9" t="str">
        <f>HYPERLINK("http://www.ncbi.nlm.nih.gov/protein/21729759","Dnajc24")</f>
        <v>Dnajc24</v>
      </c>
      <c r="D1899" s="10">
        <f t="shared" si="29"/>
        <v>4.5308489145377013</v>
      </c>
      <c r="F1899" s="8" t="str">
        <f>HYPERLINK("https://esbl.nhlbi.nih.gov/Databases/mpkFractions/proteomic_fractions_log_files/Yang_log_img/21729759.jpg","show blot")</f>
        <v>show blot</v>
      </c>
      <c r="H1899" s="8" t="str">
        <f>HYPERLINK("https://esbl.nhlbi.nih.gov/Databases/mpkFractions/proteomic_fractions_linear_files/Yang_linear_img/21729759.jpg","show blot")</f>
        <v>show blot</v>
      </c>
      <c r="J1899" s="5" t="s">
        <v>3781</v>
      </c>
      <c r="L1899" s="11">
        <v>4.5308489145377013</v>
      </c>
      <c r="N1899" s="12"/>
    </row>
    <row r="1900" spans="1:14" s="5" customFormat="1" ht="15" customHeight="1" x14ac:dyDescent="0.25">
      <c r="A1900" s="9" t="s">
        <v>3782</v>
      </c>
      <c r="C1900" s="9" t="str">
        <f>HYPERLINK("http://www.ncbi.nlm.nih.gov/protein/239985468","Dnajc25")</f>
        <v>Dnajc25</v>
      </c>
      <c r="D1900" s="10">
        <f t="shared" si="29"/>
        <v>3.9748717494257808</v>
      </c>
      <c r="F1900" s="8" t="str">
        <f>HYPERLINK("https://esbl.nhlbi.nih.gov/Databases/mpkFractions/proteomic_fractions_log_files/Yang_log_img/239985468.jpg","show blot")</f>
        <v>show blot</v>
      </c>
      <c r="H1900" s="8" t="str">
        <f>HYPERLINK("https://esbl.nhlbi.nih.gov/Databases/mpkFractions/proteomic_fractions_linear_files/Yang_linear_img/239985468.jpg","show blot")</f>
        <v>show blot</v>
      </c>
      <c r="J1900" s="5" t="s">
        <v>3783</v>
      </c>
      <c r="L1900" s="11">
        <v>3.9748717494257808</v>
      </c>
      <c r="N1900" s="12"/>
    </row>
    <row r="1901" spans="1:14" s="5" customFormat="1" ht="15" customHeight="1" x14ac:dyDescent="0.25">
      <c r="A1901" s="9" t="s">
        <v>3784</v>
      </c>
      <c r="C1901" s="9" t="str">
        <f>HYPERLINK("http://www.ncbi.nlm.nih.gov/protein/31542563","Dnajc3")</f>
        <v>Dnajc3</v>
      </c>
      <c r="D1901" s="10">
        <f t="shared" si="29"/>
        <v>4.1377200104195282</v>
      </c>
      <c r="F1901" s="8" t="str">
        <f>HYPERLINK("https://esbl.nhlbi.nih.gov/Databases/mpkFractions/proteomic_fractions_log_files/Yang_log_img/31542563.jpg","show blot")</f>
        <v>show blot</v>
      </c>
      <c r="H1901" s="8" t="str">
        <f>HYPERLINK("https://esbl.nhlbi.nih.gov/Databases/mpkFractions/proteomic_fractions_linear_files/Yang_linear_img/31542563.jpg","show blot")</f>
        <v>show blot</v>
      </c>
      <c r="J1901" s="5" t="s">
        <v>3785</v>
      </c>
      <c r="L1901" s="11">
        <v>4.1377200104195282</v>
      </c>
      <c r="N1901" s="12"/>
    </row>
    <row r="1902" spans="1:14" s="5" customFormat="1" ht="15" customHeight="1" x14ac:dyDescent="0.25">
      <c r="A1902" s="9" t="s">
        <v>3786</v>
      </c>
      <c r="C1902" s="9" t="str">
        <f>HYPERLINK("http://www.ncbi.nlm.nih.gov/protein/10181196","Dnajc4")</f>
        <v>Dnajc4</v>
      </c>
      <c r="D1902" s="10">
        <f t="shared" si="29"/>
        <v>1.779117711261635</v>
      </c>
      <c r="F1902" s="8" t="str">
        <f>HYPERLINK("https://esbl.nhlbi.nih.gov/Databases/mpkFractions/proteomic_fractions_log_files/Yang_log_img/10181196.jpg","show blot")</f>
        <v>show blot</v>
      </c>
      <c r="H1902" s="8" t="str">
        <f>HYPERLINK("https://esbl.nhlbi.nih.gov/Databases/mpkFractions/proteomic_fractions_linear_files/Yang_linear_img/10181196.jpg","show blot")</f>
        <v>show blot</v>
      </c>
      <c r="J1902" s="5" t="s">
        <v>3787</v>
      </c>
      <c r="L1902" s="11">
        <v>1.779117711261635</v>
      </c>
      <c r="N1902" s="12"/>
    </row>
    <row r="1903" spans="1:14" s="5" customFormat="1" ht="15" customHeight="1" x14ac:dyDescent="0.25">
      <c r="A1903" s="9" t="s">
        <v>3788</v>
      </c>
      <c r="C1903" s="9" t="str">
        <f>HYPERLINK("http://www.ncbi.nlm.nih.gov/protein/7949027","Dnajc5")</f>
        <v>Dnajc5</v>
      </c>
      <c r="D1903" s="10">
        <f t="shared" si="29"/>
        <v>4.2741497971888558</v>
      </c>
      <c r="F1903" s="8" t="str">
        <f>HYPERLINK("https://esbl.nhlbi.nih.gov/Databases/mpkFractions/proteomic_fractions_log_files/Yang_log_img/7949027.jpg","show blot")</f>
        <v>show blot</v>
      </c>
      <c r="H1903" s="8" t="str">
        <f>HYPERLINK("https://esbl.nhlbi.nih.gov/Databases/mpkFractions/proteomic_fractions_linear_files/Yang_linear_img/7949027.jpg","show blot")</f>
        <v>show blot</v>
      </c>
      <c r="J1903" s="5" t="s">
        <v>3789</v>
      </c>
      <c r="L1903" s="11">
        <v>4.2741497971888558</v>
      </c>
      <c r="N1903" s="12"/>
    </row>
    <row r="1904" spans="1:14" s="5" customFormat="1" ht="15" customHeight="1" x14ac:dyDescent="0.25">
      <c r="A1904" s="9" t="s">
        <v>3790</v>
      </c>
      <c r="C1904" s="9" t="str">
        <f>HYPERLINK("http://www.ncbi.nlm.nih.gov/protein/31980994","Dnajc7")</f>
        <v>Dnajc7</v>
      </c>
      <c r="D1904" s="10">
        <f t="shared" si="29"/>
        <v>4.4665081652262719</v>
      </c>
      <c r="F1904" s="8" t="str">
        <f>HYPERLINK("https://esbl.nhlbi.nih.gov/Databases/mpkFractions/proteomic_fractions_log_files/Yang_log_img/31980994.jpg","show blot")</f>
        <v>show blot</v>
      </c>
      <c r="H1904" s="8" t="str">
        <f>HYPERLINK("https://esbl.nhlbi.nih.gov/Databases/mpkFractions/proteomic_fractions_linear_files/Yang_linear_img/31980994.jpg","show blot")</f>
        <v>show blot</v>
      </c>
      <c r="J1904" s="5" t="s">
        <v>3791</v>
      </c>
      <c r="L1904" s="11">
        <v>4.4665081652262719</v>
      </c>
      <c r="N1904" s="12"/>
    </row>
    <row r="1905" spans="1:14" s="5" customFormat="1" ht="15" customHeight="1" x14ac:dyDescent="0.25">
      <c r="A1905" s="9" t="s">
        <v>3792</v>
      </c>
      <c r="C1905" s="9" t="str">
        <f>HYPERLINK("http://www.ncbi.nlm.nih.gov/protein/157951606","Dnajc8")</f>
        <v>Dnajc8</v>
      </c>
      <c r="D1905" s="10">
        <f t="shared" si="29"/>
        <v>5.3559038072450287</v>
      </c>
      <c r="F1905" s="8" t="str">
        <f>HYPERLINK("https://esbl.nhlbi.nih.gov/Databases/mpkFractions/proteomic_fractions_log_files/Yang_log_img/157951606.jpg","show blot")</f>
        <v>show blot</v>
      </c>
      <c r="H1905" s="8" t="str">
        <f>HYPERLINK("https://esbl.nhlbi.nih.gov/Databases/mpkFractions/proteomic_fractions_linear_files/Yang_linear_img/157951606.jpg","show blot")</f>
        <v>show blot</v>
      </c>
      <c r="J1905" s="5" t="s">
        <v>3793</v>
      </c>
      <c r="L1905" s="11">
        <v>5.3559038072450287</v>
      </c>
      <c r="N1905" s="12"/>
    </row>
    <row r="1906" spans="1:14" s="5" customFormat="1" ht="15" customHeight="1" x14ac:dyDescent="0.25">
      <c r="A1906" s="9" t="s">
        <v>3794</v>
      </c>
      <c r="C1906" s="9" t="str">
        <f>HYPERLINK("http://www.ncbi.nlm.nih.gov/protein/23956266","Dnajc9")</f>
        <v>Dnajc9</v>
      </c>
      <c r="D1906" s="10">
        <f t="shared" si="29"/>
        <v>5.5435717696438287</v>
      </c>
      <c r="F1906" s="8" t="str">
        <f>HYPERLINK("https://esbl.nhlbi.nih.gov/Databases/mpkFractions/proteomic_fractions_log_files/Yang_log_img/23956266.jpg","show blot")</f>
        <v>show blot</v>
      </c>
      <c r="H1906" s="8" t="str">
        <f>HYPERLINK("https://esbl.nhlbi.nih.gov/Databases/mpkFractions/proteomic_fractions_linear_files/Yang_linear_img/23956266.jpg","show blot")</f>
        <v>show blot</v>
      </c>
      <c r="J1906" s="5" t="s">
        <v>3795</v>
      </c>
      <c r="L1906" s="11">
        <v>5.5435717696438287</v>
      </c>
      <c r="N1906" s="12"/>
    </row>
    <row r="1907" spans="1:14" s="5" customFormat="1" ht="15" customHeight="1" x14ac:dyDescent="0.25">
      <c r="A1907" s="9" t="s">
        <v>3796</v>
      </c>
      <c r="C1907" s="9" t="str">
        <f>HYPERLINK("http://www.ncbi.nlm.nih.gov/protein/164607162","Dnal1")</f>
        <v>Dnal1</v>
      </c>
      <c r="D1907" s="10">
        <f t="shared" si="29"/>
        <v>3.4009884915739161</v>
      </c>
      <c r="F1907" s="8" t="str">
        <f>HYPERLINK("https://esbl.nhlbi.nih.gov/Databases/mpkFractions/proteomic_fractions_log_files/Yang_log_img/164607162.jpg","show blot")</f>
        <v>show blot</v>
      </c>
      <c r="H1907" s="8" t="str">
        <f>HYPERLINK("https://esbl.nhlbi.nih.gov/Databases/mpkFractions/proteomic_fractions_linear_files/Yang_linear_img/164607162.jpg","show blot")</f>
        <v>show blot</v>
      </c>
      <c r="J1907" s="5" t="s">
        <v>3797</v>
      </c>
      <c r="L1907" s="11">
        <v>3.4009884915739161</v>
      </c>
      <c r="N1907" s="12"/>
    </row>
    <row r="1908" spans="1:14" s="5" customFormat="1" ht="15" customHeight="1" x14ac:dyDescent="0.25">
      <c r="A1908" s="9" t="s">
        <v>3798</v>
      </c>
      <c r="C1908" s="9" t="str">
        <f>HYPERLINK("http://www.ncbi.nlm.nih.gov/protein/148539953","Dnase1l2")</f>
        <v>Dnase1l2</v>
      </c>
      <c r="D1908" s="10">
        <f t="shared" si="29"/>
        <v>5.2963871448937754</v>
      </c>
      <c r="F1908" s="8" t="str">
        <f>HYPERLINK("https://esbl.nhlbi.nih.gov/Databases/mpkFractions/proteomic_fractions_log_files/Yang_log_img/148539953.jpg","show blot")</f>
        <v>show blot</v>
      </c>
      <c r="H1908" s="8" t="str">
        <f>HYPERLINK("https://esbl.nhlbi.nih.gov/Databases/mpkFractions/proteomic_fractions_linear_files/Yang_linear_img/148539953.jpg","show blot")</f>
        <v>show blot</v>
      </c>
      <c r="J1908" s="5" t="s">
        <v>3799</v>
      </c>
      <c r="L1908" s="11">
        <v>5.2963871448937754</v>
      </c>
      <c r="N1908" s="12"/>
    </row>
    <row r="1909" spans="1:14" s="5" customFormat="1" ht="15" customHeight="1" x14ac:dyDescent="0.25">
      <c r="A1909" s="9" t="s">
        <v>3800</v>
      </c>
      <c r="C1909" s="9" t="str">
        <f>HYPERLINK("http://www.ncbi.nlm.nih.gov/protein/6753654","Dnase2a")</f>
        <v>Dnase2a</v>
      </c>
      <c r="D1909" s="10">
        <f t="shared" si="29"/>
        <v>4.2154906514949646</v>
      </c>
      <c r="F1909" s="8" t="str">
        <f>HYPERLINK("https://esbl.nhlbi.nih.gov/Databases/mpkFractions/proteomic_fractions_log_files/Yang_log_img/6753654.jpg","show blot")</f>
        <v>show blot</v>
      </c>
      <c r="H1909" s="8" t="str">
        <f>HYPERLINK("https://esbl.nhlbi.nih.gov/Databases/mpkFractions/proteomic_fractions_linear_files/Yang_linear_img/6753654.jpg","show blot")</f>
        <v>show blot</v>
      </c>
      <c r="J1909" s="5" t="s">
        <v>3801</v>
      </c>
      <c r="L1909" s="11">
        <v>4.2154906514949646</v>
      </c>
      <c r="N1909" s="12"/>
    </row>
    <row r="1910" spans="1:14" s="5" customFormat="1" ht="15" customHeight="1" x14ac:dyDescent="0.25">
      <c r="A1910" s="9" t="s">
        <v>3802</v>
      </c>
      <c r="C1910" s="9" t="str">
        <f>HYPERLINK("http://www.ncbi.nlm.nih.gov/protein/110625712","Dnlz")</f>
        <v>Dnlz</v>
      </c>
      <c r="D1910" s="10">
        <f t="shared" si="29"/>
        <v>3.4827010590327752</v>
      </c>
      <c r="F1910" s="8" t="str">
        <f>HYPERLINK("https://esbl.nhlbi.nih.gov/Databases/mpkFractions/proteomic_fractions_log_files/Yang_log_img/110625712.jpg","show blot")</f>
        <v>show blot</v>
      </c>
      <c r="H1910" s="8" t="str">
        <f>HYPERLINK("https://esbl.nhlbi.nih.gov/Databases/mpkFractions/proteomic_fractions_linear_files/Yang_linear_img/110625712.jpg","show blot")</f>
        <v>show blot</v>
      </c>
      <c r="J1910" s="5" t="s">
        <v>3803</v>
      </c>
      <c r="L1910" s="11">
        <v>3.4827010590327752</v>
      </c>
      <c r="N1910" s="12"/>
    </row>
    <row r="1911" spans="1:14" s="5" customFormat="1" ht="15" customHeight="1" x14ac:dyDescent="0.25">
      <c r="A1911" s="9" t="s">
        <v>3804</v>
      </c>
      <c r="C1911" s="9" t="str">
        <f>HYPERLINK("http://www.ncbi.nlm.nih.gov/protein/218777849","Dnlz")</f>
        <v>Dnlz</v>
      </c>
      <c r="D1911" s="10">
        <f t="shared" si="29"/>
        <v>3.4827010590327752</v>
      </c>
      <c r="F1911" s="8" t="str">
        <f>HYPERLINK("https://esbl.nhlbi.nih.gov/Databases/mpkFractions/proteomic_fractions_log_files/Yang_log_img/218777849.jpg","show blot")</f>
        <v>show blot</v>
      </c>
      <c r="H1911" s="8" t="str">
        <f>HYPERLINK("https://esbl.nhlbi.nih.gov/Databases/mpkFractions/proteomic_fractions_linear_files/Yang_linear_img/218777849.jpg","show blot")</f>
        <v>show blot</v>
      </c>
      <c r="J1911" s="5" t="s">
        <v>3805</v>
      </c>
      <c r="L1911" s="11">
        <v>3.4827010590327752</v>
      </c>
      <c r="N1911" s="12"/>
    </row>
    <row r="1912" spans="1:14" s="5" customFormat="1" ht="15" customHeight="1" x14ac:dyDescent="0.25">
      <c r="A1912" s="9" t="s">
        <v>3806</v>
      </c>
      <c r="C1912" s="9" t="str">
        <f>HYPERLINK("http://www.ncbi.nlm.nih.gov/protein/218777851","Dnlz")</f>
        <v>Dnlz</v>
      </c>
      <c r="D1912" s="10">
        <f t="shared" si="29"/>
        <v>3.4827010590327752</v>
      </c>
      <c r="F1912" s="8" t="str">
        <f>HYPERLINK("https://esbl.nhlbi.nih.gov/Databases/mpkFractions/proteomic_fractions_log_files/Yang_log_img/218777851.jpg","show blot")</f>
        <v>show blot</v>
      </c>
      <c r="H1912" s="8" t="str">
        <f>HYPERLINK("https://esbl.nhlbi.nih.gov/Databases/mpkFractions/proteomic_fractions_linear_files/Yang_linear_img/218777851.jpg","show blot")</f>
        <v>show blot</v>
      </c>
      <c r="J1912" s="5" t="s">
        <v>3807</v>
      </c>
      <c r="L1912" s="11">
        <v>3.4827010590327752</v>
      </c>
      <c r="N1912" s="12"/>
    </row>
    <row r="1913" spans="1:14" s="5" customFormat="1" ht="15" customHeight="1" x14ac:dyDescent="0.25">
      <c r="A1913" s="9" t="s">
        <v>3808</v>
      </c>
      <c r="C1913" s="9" t="str">
        <f>HYPERLINK("http://www.ncbi.nlm.nih.gov/protein/116063570","Dnm1")</f>
        <v>Dnm1</v>
      </c>
      <c r="D1913" s="10">
        <f t="shared" si="29"/>
        <v>4.7254492585626382</v>
      </c>
      <c r="F1913" s="8" t="str">
        <f>HYPERLINK("https://esbl.nhlbi.nih.gov/Databases/mpkFractions/proteomic_fractions_log_files/Yang_log_img/116063570.jpg","show blot")</f>
        <v>show blot</v>
      </c>
      <c r="H1913" s="8" t="str">
        <f>HYPERLINK("https://esbl.nhlbi.nih.gov/Databases/mpkFractions/proteomic_fractions_linear_files/Yang_linear_img/116063570.jpg","show blot")</f>
        <v>show blot</v>
      </c>
      <c r="J1913" s="5" t="s">
        <v>3809</v>
      </c>
      <c r="L1913" s="11">
        <v>4.7254492585626382</v>
      </c>
      <c r="N1913" s="12"/>
    </row>
    <row r="1914" spans="1:14" s="5" customFormat="1" ht="15" customHeight="1" x14ac:dyDescent="0.25">
      <c r="A1914" s="9" t="s">
        <v>3810</v>
      </c>
      <c r="C1914" s="9" t="str">
        <f>HYPERLINK("http://www.ncbi.nlm.nih.gov/protein/448261635","Dnm1l")</f>
        <v>Dnm1l</v>
      </c>
      <c r="D1914" s="10">
        <f t="shared" si="29"/>
        <v>5.5699291932883899</v>
      </c>
      <c r="F1914" s="8" t="str">
        <f>HYPERLINK("https://esbl.nhlbi.nih.gov/Databases/mpkFractions/proteomic_fractions_log_files/Yang_log_img/448261635.jpg","show blot")</f>
        <v>show blot</v>
      </c>
      <c r="H1914" s="8" t="str">
        <f>HYPERLINK("https://esbl.nhlbi.nih.gov/Databases/mpkFractions/proteomic_fractions_linear_files/Yang_linear_img/448261635.jpg","show blot")</f>
        <v>show blot</v>
      </c>
      <c r="J1914" s="5" t="s">
        <v>3811</v>
      </c>
      <c r="L1914" s="11">
        <v>5.5699291932883899</v>
      </c>
      <c r="N1914" s="12"/>
    </row>
    <row r="1915" spans="1:14" s="5" customFormat="1" ht="15" customHeight="1" x14ac:dyDescent="0.25">
      <c r="A1915" s="9" t="s">
        <v>3812</v>
      </c>
      <c r="C1915" s="9" t="str">
        <f>HYPERLINK("http://www.ncbi.nlm.nih.gov/protein/448261637","Dnm1l")</f>
        <v>Dnm1l</v>
      </c>
      <c r="D1915" s="10">
        <f t="shared" si="29"/>
        <v>5.5699291932883899</v>
      </c>
      <c r="F1915" s="8" t="str">
        <f>HYPERLINK("https://esbl.nhlbi.nih.gov/Databases/mpkFractions/proteomic_fractions_log_files/Yang_log_img/448261637.jpg","show blot")</f>
        <v>show blot</v>
      </c>
      <c r="H1915" s="8" t="str">
        <f>HYPERLINK("https://esbl.nhlbi.nih.gov/Databases/mpkFractions/proteomic_fractions_linear_files/Yang_linear_img/448261637.jpg","show blot")</f>
        <v>show blot</v>
      </c>
      <c r="J1915" s="5" t="s">
        <v>3813</v>
      </c>
      <c r="L1915" s="11">
        <v>5.5699291932883899</v>
      </c>
      <c r="N1915" s="12"/>
    </row>
    <row r="1916" spans="1:14" s="5" customFormat="1" ht="15" customHeight="1" x14ac:dyDescent="0.25">
      <c r="A1916" s="9" t="s">
        <v>3814</v>
      </c>
      <c r="C1916" s="9" t="str">
        <f>HYPERLINK("http://www.ncbi.nlm.nih.gov/protein/71061455","Dnm1l")</f>
        <v>Dnm1l</v>
      </c>
      <c r="D1916" s="10">
        <f t="shared" si="29"/>
        <v>5.5699291932883899</v>
      </c>
      <c r="F1916" s="8" t="str">
        <f>HYPERLINK("https://esbl.nhlbi.nih.gov/Databases/mpkFractions/proteomic_fractions_log_files/Yang_log_img/71061455.jpg","show blot")</f>
        <v>show blot</v>
      </c>
      <c r="H1916" s="8" t="str">
        <f>HYPERLINK("https://esbl.nhlbi.nih.gov/Databases/mpkFractions/proteomic_fractions_linear_files/Yang_linear_img/71061455.jpg","show blot")</f>
        <v>show blot</v>
      </c>
      <c r="J1916" s="5" t="s">
        <v>3815</v>
      </c>
      <c r="L1916" s="11">
        <v>5.5699291932883899</v>
      </c>
      <c r="N1916" s="12"/>
    </row>
    <row r="1917" spans="1:14" s="5" customFormat="1" ht="15" customHeight="1" x14ac:dyDescent="0.25">
      <c r="A1917" s="9" t="s">
        <v>3816</v>
      </c>
      <c r="C1917" s="9" t="str">
        <f>HYPERLINK("http://www.ncbi.nlm.nih.gov/protein/71061458","Dnm1l")</f>
        <v>Dnm1l</v>
      </c>
      <c r="D1917" s="10">
        <f t="shared" si="29"/>
        <v>5.5699291932883899</v>
      </c>
      <c r="F1917" s="8" t="str">
        <f>HYPERLINK("https://esbl.nhlbi.nih.gov/Databases/mpkFractions/proteomic_fractions_log_files/Yang_log_img/71061458.jpg","show blot")</f>
        <v>show blot</v>
      </c>
      <c r="H1917" s="8" t="str">
        <f>HYPERLINK("https://esbl.nhlbi.nih.gov/Databases/mpkFractions/proteomic_fractions_linear_files/Yang_linear_img/71061458.jpg","show blot")</f>
        <v>show blot</v>
      </c>
      <c r="J1917" s="5" t="s">
        <v>3817</v>
      </c>
      <c r="L1917" s="11">
        <v>5.5699291932883899</v>
      </c>
      <c r="N1917" s="12"/>
    </row>
    <row r="1918" spans="1:14" s="5" customFormat="1" ht="15" customHeight="1" x14ac:dyDescent="0.25">
      <c r="A1918" s="9" t="s">
        <v>3818</v>
      </c>
      <c r="C1918" s="9" t="str">
        <f>HYPERLINK("http://www.ncbi.nlm.nih.gov/protein/359751391","Dnm2")</f>
        <v>Dnm2</v>
      </c>
      <c r="D1918" s="10">
        <f t="shared" si="29"/>
        <v>5.1699182927386014</v>
      </c>
      <c r="F1918" s="8" t="str">
        <f>HYPERLINK("https://esbl.nhlbi.nih.gov/Databases/mpkFractions/proteomic_fractions_log_files/Yang_log_img/359751391.jpg","show blot")</f>
        <v>show blot</v>
      </c>
      <c r="H1918" s="8" t="str">
        <f>HYPERLINK("https://esbl.nhlbi.nih.gov/Databases/mpkFractions/proteomic_fractions_linear_files/Yang_linear_img/359751391.jpg","show blot")</f>
        <v>show blot</v>
      </c>
      <c r="J1918" s="5" t="s">
        <v>3819</v>
      </c>
      <c r="L1918" s="11">
        <v>5.1699182927386014</v>
      </c>
      <c r="N1918" s="12"/>
    </row>
    <row r="1919" spans="1:14" s="5" customFormat="1" ht="15" customHeight="1" x14ac:dyDescent="0.25">
      <c r="A1919" s="9" t="s">
        <v>3820</v>
      </c>
      <c r="C1919" s="9" t="str">
        <f>HYPERLINK("http://www.ncbi.nlm.nih.gov/protein/359751394","Dnm2")</f>
        <v>Dnm2</v>
      </c>
      <c r="D1919" s="10">
        <f t="shared" si="29"/>
        <v>5.1699182927386014</v>
      </c>
      <c r="F1919" s="8" t="str">
        <f>HYPERLINK("https://esbl.nhlbi.nih.gov/Databases/mpkFractions/proteomic_fractions_log_files/Yang_log_img/359751394.jpg","show blot")</f>
        <v>show blot</v>
      </c>
      <c r="H1919" s="8" t="str">
        <f>HYPERLINK("https://esbl.nhlbi.nih.gov/Databases/mpkFractions/proteomic_fractions_linear_files/Yang_linear_img/359751394.jpg","show blot")</f>
        <v>show blot</v>
      </c>
      <c r="J1919" s="5" t="s">
        <v>3821</v>
      </c>
      <c r="L1919" s="11">
        <v>5.1699182927386014</v>
      </c>
      <c r="N1919" s="12"/>
    </row>
    <row r="1920" spans="1:14" s="5" customFormat="1" ht="15" customHeight="1" x14ac:dyDescent="0.25">
      <c r="A1920" s="9" t="s">
        <v>3822</v>
      </c>
      <c r="C1920" s="9" t="str">
        <f>HYPERLINK("http://www.ncbi.nlm.nih.gov/protein/359751399","Dnm2")</f>
        <v>Dnm2</v>
      </c>
      <c r="D1920" s="10">
        <f t="shared" si="29"/>
        <v>5.1699182927386014</v>
      </c>
      <c r="F1920" s="8" t="str">
        <f>HYPERLINK("https://esbl.nhlbi.nih.gov/Databases/mpkFractions/proteomic_fractions_log_files/Yang_log_img/359751399.jpg","show blot")</f>
        <v>show blot</v>
      </c>
      <c r="H1920" s="8" t="str">
        <f>HYPERLINK("https://esbl.nhlbi.nih.gov/Databases/mpkFractions/proteomic_fractions_linear_files/Yang_linear_img/359751399.jpg","show blot")</f>
        <v>show blot</v>
      </c>
      <c r="J1920" s="5" t="s">
        <v>3823</v>
      </c>
      <c r="L1920" s="11">
        <v>5.1699182927386014</v>
      </c>
      <c r="N1920" s="12"/>
    </row>
    <row r="1921" spans="1:14" s="5" customFormat="1" ht="15" customHeight="1" x14ac:dyDescent="0.25">
      <c r="A1921" s="9" t="s">
        <v>3824</v>
      </c>
      <c r="C1921" s="9" t="str">
        <f>HYPERLINK("http://www.ncbi.nlm.nih.gov/protein/87299637","Dnm2")</f>
        <v>Dnm2</v>
      </c>
      <c r="D1921" s="10">
        <f t="shared" si="29"/>
        <v>5.1699182927386014</v>
      </c>
      <c r="F1921" s="8" t="str">
        <f>HYPERLINK("https://esbl.nhlbi.nih.gov/Databases/mpkFractions/proteomic_fractions_log_files/Yang_log_img/87299637.jpg","show blot")</f>
        <v>show blot</v>
      </c>
      <c r="H1921" s="8" t="str">
        <f>HYPERLINK("https://esbl.nhlbi.nih.gov/Databases/mpkFractions/proteomic_fractions_linear_files/Yang_linear_img/87299637.jpg","show blot")</f>
        <v>show blot</v>
      </c>
      <c r="J1921" s="5" t="s">
        <v>3825</v>
      </c>
      <c r="L1921" s="11">
        <v>5.1699182927386014</v>
      </c>
      <c r="N1921" s="12"/>
    </row>
    <row r="1922" spans="1:14" s="5" customFormat="1" ht="15" customHeight="1" x14ac:dyDescent="0.25">
      <c r="A1922" s="9" t="s">
        <v>3826</v>
      </c>
      <c r="C1922" s="9" t="str">
        <f>HYPERLINK("http://www.ncbi.nlm.nih.gov/protein/27369922","Dnm3")</f>
        <v>Dnm3</v>
      </c>
      <c r="D1922" s="10">
        <f t="shared" si="29"/>
        <v>4.7396200466222096</v>
      </c>
      <c r="F1922" s="8" t="str">
        <f>HYPERLINK("https://esbl.nhlbi.nih.gov/Databases/mpkFractions/proteomic_fractions_log_files/Yang_log_img/27369922.jpg","show blot")</f>
        <v>show blot</v>
      </c>
      <c r="H1922" s="8" t="str">
        <f>HYPERLINK("https://esbl.nhlbi.nih.gov/Databases/mpkFractions/proteomic_fractions_linear_files/Yang_linear_img/27369922.jpg","show blot")</f>
        <v>show blot</v>
      </c>
      <c r="J1922" s="5" t="s">
        <v>3827</v>
      </c>
      <c r="L1922" s="11">
        <v>4.7396200466222096</v>
      </c>
      <c r="N1922" s="12"/>
    </row>
    <row r="1923" spans="1:14" s="5" customFormat="1" ht="15" customHeight="1" x14ac:dyDescent="0.25">
      <c r="A1923" s="9" t="s">
        <v>3828</v>
      </c>
      <c r="C1923" s="9" t="str">
        <f>HYPERLINK("http://www.ncbi.nlm.nih.gov/protein/84490431","Dnm3")</f>
        <v>Dnm3</v>
      </c>
      <c r="D1923" s="10">
        <f t="shared" si="29"/>
        <v>4.7396200466222096</v>
      </c>
      <c r="F1923" s="8" t="str">
        <f>HYPERLINK("https://esbl.nhlbi.nih.gov/Databases/mpkFractions/proteomic_fractions_log_files/Yang_log_img/84490431.jpg","show blot")</f>
        <v>show blot</v>
      </c>
      <c r="H1923" s="8" t="str">
        <f>HYPERLINK("https://esbl.nhlbi.nih.gov/Databases/mpkFractions/proteomic_fractions_linear_files/Yang_linear_img/84490431.jpg","show blot")</f>
        <v>show blot</v>
      </c>
      <c r="J1923" s="5" t="s">
        <v>3829</v>
      </c>
      <c r="L1923" s="11">
        <v>4.7396200466222096</v>
      </c>
      <c r="N1923" s="12"/>
    </row>
    <row r="1924" spans="1:14" s="5" customFormat="1" ht="15" customHeight="1" x14ac:dyDescent="0.25">
      <c r="A1924" s="9" t="s">
        <v>3830</v>
      </c>
      <c r="C1924" s="9" t="str">
        <f>HYPERLINK("http://www.ncbi.nlm.nih.gov/protein/313661497","Dnmt1")</f>
        <v>Dnmt1</v>
      </c>
      <c r="D1924" s="10">
        <f t="shared" si="29"/>
        <v>5.0251147775911544</v>
      </c>
      <c r="F1924" s="8" t="str">
        <f>HYPERLINK("https://esbl.nhlbi.nih.gov/Databases/mpkFractions/proteomic_fractions_log_files/Yang_log_img/313661497.jpg","show blot")</f>
        <v>show blot</v>
      </c>
      <c r="H1924" s="8" t="str">
        <f>HYPERLINK("https://esbl.nhlbi.nih.gov/Databases/mpkFractions/proteomic_fractions_linear_files/Yang_linear_img/313661497.jpg","show blot")</f>
        <v>show blot</v>
      </c>
      <c r="J1924" s="5" t="s">
        <v>3831</v>
      </c>
      <c r="L1924" s="11">
        <v>5.0251147775911544</v>
      </c>
      <c r="N1924" s="12"/>
    </row>
    <row r="1925" spans="1:14" s="5" customFormat="1" ht="15" customHeight="1" x14ac:dyDescent="0.25">
      <c r="A1925" s="9" t="s">
        <v>3832</v>
      </c>
      <c r="C1925" s="9" t="str">
        <f>HYPERLINK("http://www.ncbi.nlm.nih.gov/protein/313661499","Dnmt1")</f>
        <v>Dnmt1</v>
      </c>
      <c r="D1925" s="10">
        <f t="shared" ref="D1925:D1988" si="30">L1925</f>
        <v>5.0251147775911544</v>
      </c>
      <c r="F1925" s="8" t="str">
        <f>HYPERLINK("https://esbl.nhlbi.nih.gov/Databases/mpkFractions/proteomic_fractions_log_files/Yang_log_img/313661499.jpg","show blot")</f>
        <v>show blot</v>
      </c>
      <c r="H1925" s="8" t="str">
        <f>HYPERLINK("https://esbl.nhlbi.nih.gov/Databases/mpkFractions/proteomic_fractions_linear_files/Yang_linear_img/313661499.jpg","show blot")</f>
        <v>show blot</v>
      </c>
      <c r="J1925" s="5" t="s">
        <v>3833</v>
      </c>
      <c r="L1925" s="11">
        <v>5.0251147775911544</v>
      </c>
      <c r="N1925" s="12"/>
    </row>
    <row r="1926" spans="1:14" s="5" customFormat="1" ht="15" customHeight="1" x14ac:dyDescent="0.25">
      <c r="A1926" s="9" t="s">
        <v>3834</v>
      </c>
      <c r="C1926" s="9" t="str">
        <f>HYPERLINK("http://www.ncbi.nlm.nih.gov/protein/327180732","Dnmt1")</f>
        <v>Dnmt1</v>
      </c>
      <c r="D1926" s="10">
        <f t="shared" si="30"/>
        <v>5.0251147775911544</v>
      </c>
      <c r="F1926" s="8" t="str">
        <f>HYPERLINK("https://esbl.nhlbi.nih.gov/Databases/mpkFractions/proteomic_fractions_log_files/Yang_log_img/327180732.jpg","show blot")</f>
        <v>show blot</v>
      </c>
      <c r="H1926" s="8" t="str">
        <f>HYPERLINK("https://esbl.nhlbi.nih.gov/Databases/mpkFractions/proteomic_fractions_linear_files/Yang_linear_img/327180732.jpg","show blot")</f>
        <v>show blot</v>
      </c>
      <c r="J1926" s="5" t="s">
        <v>3835</v>
      </c>
      <c r="L1926" s="11">
        <v>5.0251147775911544</v>
      </c>
      <c r="N1926" s="12"/>
    </row>
    <row r="1927" spans="1:14" s="5" customFormat="1" ht="15" customHeight="1" x14ac:dyDescent="0.25">
      <c r="A1927" s="9" t="s">
        <v>3836</v>
      </c>
      <c r="C1927" s="9" t="str">
        <f>HYPERLINK("http://www.ncbi.nlm.nih.gov/protein/327180734","Dnmt1")</f>
        <v>Dnmt1</v>
      </c>
      <c r="D1927" s="10">
        <f t="shared" si="30"/>
        <v>5.0251147775911544</v>
      </c>
      <c r="F1927" s="8" t="str">
        <f>HYPERLINK("https://esbl.nhlbi.nih.gov/Databases/mpkFractions/proteomic_fractions_log_files/Yang_log_img/327180734.jpg","show blot")</f>
        <v>show blot</v>
      </c>
      <c r="H1927" s="8" t="str">
        <f>HYPERLINK("https://esbl.nhlbi.nih.gov/Databases/mpkFractions/proteomic_fractions_linear_files/Yang_linear_img/327180734.jpg","show blot")</f>
        <v>show blot</v>
      </c>
      <c r="J1927" s="5" t="s">
        <v>3837</v>
      </c>
      <c r="L1927" s="11">
        <v>5.0251147775911544</v>
      </c>
      <c r="N1927" s="12"/>
    </row>
    <row r="1928" spans="1:14" s="5" customFormat="1" ht="15" customHeight="1" x14ac:dyDescent="0.25">
      <c r="A1928" s="9" t="s">
        <v>3838</v>
      </c>
      <c r="C1928" s="9" t="str">
        <f>HYPERLINK("http://www.ncbi.nlm.nih.gov/protein/161016820","Dnpep")</f>
        <v>Dnpep</v>
      </c>
      <c r="D1928" s="10">
        <f t="shared" si="30"/>
        <v>6.1710064673111988</v>
      </c>
      <c r="F1928" s="8" t="str">
        <f>HYPERLINK("https://esbl.nhlbi.nih.gov/Databases/mpkFractions/proteomic_fractions_log_files/Yang_log_img/161016820.jpg","show blot")</f>
        <v>show blot</v>
      </c>
      <c r="H1928" s="8" t="str">
        <f>HYPERLINK("https://esbl.nhlbi.nih.gov/Databases/mpkFractions/proteomic_fractions_linear_files/Yang_linear_img/161016820.jpg","show blot")</f>
        <v>show blot</v>
      </c>
      <c r="J1928" s="5" t="s">
        <v>3839</v>
      </c>
      <c r="L1928" s="11">
        <v>6.1710064673111988</v>
      </c>
      <c r="N1928" s="12"/>
    </row>
    <row r="1929" spans="1:14" s="5" customFormat="1" ht="15" customHeight="1" x14ac:dyDescent="0.25">
      <c r="A1929" s="9" t="s">
        <v>3840</v>
      </c>
      <c r="C1929" s="9" t="str">
        <f>HYPERLINK("http://www.ncbi.nlm.nih.gov/protein/161016822","Dnpep")</f>
        <v>Dnpep</v>
      </c>
      <c r="D1929" s="10">
        <f t="shared" si="30"/>
        <v>6.1710064673111988</v>
      </c>
      <c r="F1929" s="8" t="str">
        <f>HYPERLINK("https://esbl.nhlbi.nih.gov/Databases/mpkFractions/proteomic_fractions_log_files/Yang_log_img/161016822.jpg","show blot")</f>
        <v>show blot</v>
      </c>
      <c r="H1929" s="8" t="str">
        <f>HYPERLINK("https://esbl.nhlbi.nih.gov/Databases/mpkFractions/proteomic_fractions_linear_files/Yang_linear_img/161016822.jpg","show blot")</f>
        <v>show blot</v>
      </c>
      <c r="J1929" s="5" t="s">
        <v>3841</v>
      </c>
      <c r="L1929" s="11">
        <v>6.1710064673111988</v>
      </c>
      <c r="N1929" s="12"/>
    </row>
    <row r="1930" spans="1:14" s="5" customFormat="1" ht="15" customHeight="1" x14ac:dyDescent="0.25">
      <c r="A1930" s="9" t="s">
        <v>3842</v>
      </c>
      <c r="C1930" s="9" t="str">
        <f>HYPERLINK("http://www.ncbi.nlm.nih.gov/protein/110625744","Dnph1")</f>
        <v>Dnph1</v>
      </c>
      <c r="D1930" s="10">
        <f t="shared" si="30"/>
        <v>5.2755302064408074</v>
      </c>
      <c r="F1930" s="8" t="str">
        <f>HYPERLINK("https://esbl.nhlbi.nih.gov/Databases/mpkFractions/proteomic_fractions_log_files/Yang_log_img/110625744.jpg","show blot")</f>
        <v>show blot</v>
      </c>
      <c r="H1930" s="8" t="str">
        <f>HYPERLINK("https://esbl.nhlbi.nih.gov/Databases/mpkFractions/proteomic_fractions_linear_files/Yang_linear_img/110625744.jpg","show blot")</f>
        <v>show blot</v>
      </c>
      <c r="J1930" s="5" t="s">
        <v>3843</v>
      </c>
      <c r="L1930" s="11">
        <v>5.2755302064408074</v>
      </c>
      <c r="N1930" s="12"/>
    </row>
    <row r="1931" spans="1:14" s="5" customFormat="1" ht="15" customHeight="1" x14ac:dyDescent="0.25">
      <c r="A1931" s="9" t="s">
        <v>3844</v>
      </c>
      <c r="C1931" s="9" t="str">
        <f>HYPERLINK("http://www.ncbi.nlm.nih.gov/protein/24418931","Dnttip2")</f>
        <v>Dnttip2</v>
      </c>
      <c r="D1931" s="10">
        <f t="shared" si="30"/>
        <v>3.128662969760625</v>
      </c>
      <c r="F1931" s="8" t="str">
        <f>HYPERLINK("https://esbl.nhlbi.nih.gov/Databases/mpkFractions/proteomic_fractions_log_files/Yang_log_img/24418931.jpg","show blot")</f>
        <v>show blot</v>
      </c>
      <c r="H1931" s="8" t="str">
        <f>HYPERLINK("https://esbl.nhlbi.nih.gov/Databases/mpkFractions/proteomic_fractions_linear_files/Yang_linear_img/24418931.jpg","show blot")</f>
        <v>show blot</v>
      </c>
      <c r="J1931" s="5" t="s">
        <v>3845</v>
      </c>
      <c r="L1931" s="11">
        <v>3.128662969760625</v>
      </c>
      <c r="N1931" s="12"/>
    </row>
    <row r="1932" spans="1:14" s="5" customFormat="1" ht="15" customHeight="1" x14ac:dyDescent="0.25">
      <c r="A1932" s="9" t="s">
        <v>3846</v>
      </c>
      <c r="C1932" s="9" t="str">
        <f>HYPERLINK("http://www.ncbi.nlm.nih.gov/protein/88853584","Dock1")</f>
        <v>Dock1</v>
      </c>
      <c r="D1932" s="10">
        <f t="shared" si="30"/>
        <v>4.6549349879290816</v>
      </c>
      <c r="F1932" s="8" t="str">
        <f>HYPERLINK("https://esbl.nhlbi.nih.gov/Databases/mpkFractions/proteomic_fractions_log_files/Yang_log_img/88853584.jpg","show blot")</f>
        <v>show blot</v>
      </c>
      <c r="H1932" s="8" t="str">
        <f>HYPERLINK("https://esbl.nhlbi.nih.gov/Databases/mpkFractions/proteomic_fractions_linear_files/Yang_linear_img/88853584.jpg","show blot")</f>
        <v>show blot</v>
      </c>
      <c r="J1932" s="5" t="s">
        <v>3847</v>
      </c>
      <c r="L1932" s="11">
        <v>4.6549349879290816</v>
      </c>
      <c r="N1932" s="12"/>
    </row>
    <row r="1933" spans="1:14" s="5" customFormat="1" ht="15" customHeight="1" x14ac:dyDescent="0.25">
      <c r="A1933" s="9" t="s">
        <v>3848</v>
      </c>
      <c r="C1933" s="9" t="str">
        <f>HYPERLINK("http://www.ncbi.nlm.nih.gov/protein/148277096","Dock3")</f>
        <v>Dock3</v>
      </c>
      <c r="D1933" s="10">
        <f t="shared" si="30"/>
        <v>2.0457090258113921</v>
      </c>
      <c r="F1933" s="8" t="str">
        <f>HYPERLINK("https://esbl.nhlbi.nih.gov/Databases/mpkFractions/proteomic_fractions_log_files/Yang_log_img/148277096.jpg","show blot")</f>
        <v>show blot</v>
      </c>
      <c r="H1933" s="8" t="str">
        <f>HYPERLINK("https://esbl.nhlbi.nih.gov/Databases/mpkFractions/proteomic_fractions_linear_files/Yang_linear_img/148277096.jpg","show blot")</f>
        <v>show blot</v>
      </c>
      <c r="J1933" s="5" t="s">
        <v>3849</v>
      </c>
      <c r="L1933" s="11">
        <v>2.0457090258113921</v>
      </c>
      <c r="N1933" s="12"/>
    </row>
    <row r="1934" spans="1:14" s="5" customFormat="1" ht="15" customHeight="1" x14ac:dyDescent="0.25">
      <c r="A1934" s="9" t="s">
        <v>3850</v>
      </c>
      <c r="C1934" s="9" t="str">
        <f>HYPERLINK("http://www.ncbi.nlm.nih.gov/protein/124358946","Dock5")</f>
        <v>Dock5</v>
      </c>
      <c r="D1934" s="10">
        <f t="shared" si="30"/>
        <v>2.644049996260863</v>
      </c>
      <c r="F1934" s="8" t="str">
        <f>HYPERLINK("https://esbl.nhlbi.nih.gov/Databases/mpkFractions/proteomic_fractions_log_files/Yang_log_img/124358946.jpg","show blot")</f>
        <v>show blot</v>
      </c>
      <c r="H1934" s="8" t="str">
        <f>HYPERLINK("https://esbl.nhlbi.nih.gov/Databases/mpkFractions/proteomic_fractions_linear_files/Yang_linear_img/124358946.jpg","show blot")</f>
        <v>show blot</v>
      </c>
      <c r="J1934" s="5" t="s">
        <v>3851</v>
      </c>
      <c r="L1934" s="11">
        <v>2.644049996260863</v>
      </c>
      <c r="N1934" s="12"/>
    </row>
    <row r="1935" spans="1:14" s="5" customFormat="1" ht="15" customHeight="1" x14ac:dyDescent="0.25">
      <c r="A1935" s="9" t="s">
        <v>3852</v>
      </c>
      <c r="C1935" s="9" t="str">
        <f>HYPERLINK("http://www.ncbi.nlm.nih.gov/protein/78191789","Dock7")</f>
        <v>Dock7</v>
      </c>
      <c r="D1935" s="10">
        <f t="shared" si="30"/>
        <v>2.7402014976087701</v>
      </c>
      <c r="F1935" s="8" t="str">
        <f>HYPERLINK("https://esbl.nhlbi.nih.gov/Databases/mpkFractions/proteomic_fractions_log_files/Yang_log_img/78191789.jpg","show blot")</f>
        <v>show blot</v>
      </c>
      <c r="H1935" s="8" t="str">
        <f>HYPERLINK("https://esbl.nhlbi.nih.gov/Databases/mpkFractions/proteomic_fractions_linear_files/Yang_linear_img/78191789.jpg","show blot")</f>
        <v>show blot</v>
      </c>
      <c r="J1935" s="5" t="s">
        <v>3853</v>
      </c>
      <c r="L1935" s="11">
        <v>2.7402014976087701</v>
      </c>
      <c r="N1935" s="12"/>
    </row>
    <row r="1936" spans="1:14" s="5" customFormat="1" ht="15" customHeight="1" x14ac:dyDescent="0.25">
      <c r="A1936" s="9" t="s">
        <v>3854</v>
      </c>
      <c r="C1936" s="9" t="str">
        <f>HYPERLINK("http://www.ncbi.nlm.nih.gov/protein/62241030","Dock8")</f>
        <v>Dock8</v>
      </c>
      <c r="D1936" s="10">
        <f t="shared" si="30"/>
        <v>3.2777739076403658</v>
      </c>
      <c r="F1936" s="8" t="str">
        <f>HYPERLINK("https://esbl.nhlbi.nih.gov/Databases/mpkFractions/proteomic_fractions_log_files/Yang_log_img/62241030.jpg","show blot")</f>
        <v>show blot</v>
      </c>
      <c r="H1936" s="8" t="str">
        <f>HYPERLINK("https://esbl.nhlbi.nih.gov/Databases/mpkFractions/proteomic_fractions_linear_files/Yang_linear_img/62241030.jpg","show blot")</f>
        <v>show blot</v>
      </c>
      <c r="J1936" s="5" t="s">
        <v>3855</v>
      </c>
      <c r="L1936" s="11">
        <v>3.2777739076403658</v>
      </c>
      <c r="N1936" s="12"/>
    </row>
    <row r="1937" spans="1:14" s="5" customFormat="1" ht="15" customHeight="1" x14ac:dyDescent="0.25">
      <c r="A1937" s="9" t="s">
        <v>3856</v>
      </c>
      <c r="C1937" s="9" t="str">
        <f>HYPERLINK("http://www.ncbi.nlm.nih.gov/protein/124486664","Dock9")</f>
        <v>Dock9</v>
      </c>
      <c r="D1937" s="10">
        <f t="shared" si="30"/>
        <v>3.298571825934185</v>
      </c>
      <c r="F1937" s="8" t="str">
        <f>HYPERLINK("https://esbl.nhlbi.nih.gov/Databases/mpkFractions/proteomic_fractions_log_files/Yang_log_img/124486664.jpg","show blot")</f>
        <v>show blot</v>
      </c>
      <c r="H1937" s="8" t="str">
        <f>HYPERLINK("https://esbl.nhlbi.nih.gov/Databases/mpkFractions/proteomic_fractions_linear_files/Yang_linear_img/124486664.jpg","show blot")</f>
        <v>show blot</v>
      </c>
      <c r="J1937" s="5" t="s">
        <v>3857</v>
      </c>
      <c r="L1937" s="11">
        <v>3.298571825934185</v>
      </c>
      <c r="N1937" s="12"/>
    </row>
    <row r="1938" spans="1:14" s="5" customFormat="1" ht="15" customHeight="1" x14ac:dyDescent="0.25">
      <c r="A1938" s="9" t="s">
        <v>3858</v>
      </c>
      <c r="C1938" s="9" t="str">
        <f>HYPERLINK("http://www.ncbi.nlm.nih.gov/protein/190194397","Dock9")</f>
        <v>Dock9</v>
      </c>
      <c r="D1938" s="10">
        <f t="shared" si="30"/>
        <v>3.298571825934185</v>
      </c>
      <c r="F1938" s="8" t="str">
        <f>HYPERLINK("https://esbl.nhlbi.nih.gov/Databases/mpkFractions/proteomic_fractions_log_files/Yang_log_img/190194397.jpg","show blot")</f>
        <v>show blot</v>
      </c>
      <c r="H1938" s="8" t="str">
        <f>HYPERLINK("https://esbl.nhlbi.nih.gov/Databases/mpkFractions/proteomic_fractions_linear_files/Yang_linear_img/190194397.jpg","show blot")</f>
        <v>show blot</v>
      </c>
      <c r="J1938" s="5" t="s">
        <v>3859</v>
      </c>
      <c r="L1938" s="11">
        <v>3.298571825934185</v>
      </c>
      <c r="N1938" s="12"/>
    </row>
    <row r="1939" spans="1:14" s="5" customFormat="1" ht="15" customHeight="1" x14ac:dyDescent="0.25">
      <c r="A1939" s="9" t="s">
        <v>3860</v>
      </c>
      <c r="C1939" s="9" t="str">
        <f>HYPERLINK("http://www.ncbi.nlm.nih.gov/protein/190194399","Dock9")</f>
        <v>Dock9</v>
      </c>
      <c r="D1939" s="10">
        <f t="shared" si="30"/>
        <v>3.298571825934185</v>
      </c>
      <c r="F1939" s="8" t="str">
        <f>HYPERLINK("https://esbl.nhlbi.nih.gov/Databases/mpkFractions/proteomic_fractions_log_files/Yang_log_img/190194399.jpg","show blot")</f>
        <v>show blot</v>
      </c>
      <c r="H1939" s="8" t="str">
        <f>HYPERLINK("https://esbl.nhlbi.nih.gov/Databases/mpkFractions/proteomic_fractions_linear_files/Yang_linear_img/190194399.jpg","show blot")</f>
        <v>show blot</v>
      </c>
      <c r="J1939" s="5" t="s">
        <v>3861</v>
      </c>
      <c r="L1939" s="11">
        <v>3.298571825934185</v>
      </c>
      <c r="N1939" s="12"/>
    </row>
    <row r="1940" spans="1:14" s="5" customFormat="1" ht="15" customHeight="1" x14ac:dyDescent="0.25">
      <c r="A1940" s="9" t="s">
        <v>3862</v>
      </c>
      <c r="C1940" s="9" t="str">
        <f>HYPERLINK("http://www.ncbi.nlm.nih.gov/protein/190194401","Dock9")</f>
        <v>Dock9</v>
      </c>
      <c r="D1940" s="10">
        <f t="shared" si="30"/>
        <v>3.298571825934185</v>
      </c>
      <c r="F1940" s="8" t="str">
        <f>HYPERLINK("https://esbl.nhlbi.nih.gov/Databases/mpkFractions/proteomic_fractions_log_files/Yang_log_img/190194401.jpg","show blot")</f>
        <v>show blot</v>
      </c>
      <c r="H1940" s="8" t="str">
        <f>HYPERLINK("https://esbl.nhlbi.nih.gov/Databases/mpkFractions/proteomic_fractions_linear_files/Yang_linear_img/190194401.jpg","show blot")</f>
        <v>show blot</v>
      </c>
      <c r="J1940" s="5" t="s">
        <v>3863</v>
      </c>
      <c r="L1940" s="11">
        <v>3.298571825934185</v>
      </c>
      <c r="N1940" s="12"/>
    </row>
    <row r="1941" spans="1:14" s="5" customFormat="1" ht="15" customHeight="1" x14ac:dyDescent="0.25">
      <c r="A1941" s="9" t="s">
        <v>3864</v>
      </c>
      <c r="C1941" s="9" t="str">
        <f>HYPERLINK("http://www.ncbi.nlm.nih.gov/protein/284005490","Dohh")</f>
        <v>Dohh</v>
      </c>
      <c r="D1941" s="10">
        <f t="shared" si="30"/>
        <v>4.7297386534667929</v>
      </c>
      <c r="F1941" s="8" t="str">
        <f>HYPERLINK("https://esbl.nhlbi.nih.gov/Databases/mpkFractions/proteomic_fractions_log_files/Yang_log_img/284005490.jpg","show blot")</f>
        <v>show blot</v>
      </c>
      <c r="H1941" s="8" t="str">
        <f>HYPERLINK("https://esbl.nhlbi.nih.gov/Databases/mpkFractions/proteomic_fractions_linear_files/Yang_linear_img/284005490.jpg","show blot")</f>
        <v>show blot</v>
      </c>
      <c r="J1941" s="5" t="s">
        <v>3865</v>
      </c>
      <c r="L1941" s="11">
        <v>4.7297386534667929</v>
      </c>
      <c r="N1941" s="12"/>
    </row>
    <row r="1942" spans="1:14" s="5" customFormat="1" ht="15" customHeight="1" x14ac:dyDescent="0.25">
      <c r="A1942" s="9" t="s">
        <v>3866</v>
      </c>
      <c r="C1942" s="9" t="str">
        <f>HYPERLINK("http://www.ncbi.nlm.nih.gov/protein/190194414","Dopey1")</f>
        <v>Dopey1</v>
      </c>
      <c r="D1942" s="10">
        <f t="shared" si="30"/>
        <v>1.9879159561953299</v>
      </c>
      <c r="F1942" s="8" t="str">
        <f>HYPERLINK("https://esbl.nhlbi.nih.gov/Databases/mpkFractions/proteomic_fractions_log_files/Yang_log_img/190194414.jpg","show blot")</f>
        <v>show blot</v>
      </c>
      <c r="H1942" s="8" t="str">
        <f>HYPERLINK("https://esbl.nhlbi.nih.gov/Databases/mpkFractions/proteomic_fractions_linear_files/Yang_linear_img/190194414.jpg","show blot")</f>
        <v>show blot</v>
      </c>
      <c r="J1942" s="5" t="s">
        <v>3867</v>
      </c>
      <c r="L1942" s="11">
        <v>1.9879159561953299</v>
      </c>
      <c r="N1942" s="12"/>
    </row>
    <row r="1943" spans="1:14" s="5" customFormat="1" ht="15" customHeight="1" x14ac:dyDescent="0.25">
      <c r="A1943" s="9" t="s">
        <v>3868</v>
      </c>
      <c r="C1943" s="9" t="str">
        <f>HYPERLINK("http://www.ncbi.nlm.nih.gov/protein/62243808","Dopey2")</f>
        <v>Dopey2</v>
      </c>
      <c r="D1943" s="10">
        <f t="shared" si="30"/>
        <v>1.4632430395393661</v>
      </c>
      <c r="F1943" s="8" t="str">
        <f>HYPERLINK("https://esbl.nhlbi.nih.gov/Databases/mpkFractions/proteomic_fractions_log_files/Yang_log_img/62243808.jpg","show blot")</f>
        <v>show blot</v>
      </c>
      <c r="H1943" s="8" t="str">
        <f>HYPERLINK("https://esbl.nhlbi.nih.gov/Databases/mpkFractions/proteomic_fractions_linear_files/Yang_linear_img/62243808.jpg","show blot")</f>
        <v>show blot</v>
      </c>
      <c r="J1943" s="5" t="s">
        <v>3869</v>
      </c>
      <c r="L1943" s="11">
        <v>1.4632430395393661</v>
      </c>
      <c r="N1943" s="12"/>
    </row>
    <row r="1944" spans="1:14" s="5" customFormat="1" ht="15" customHeight="1" x14ac:dyDescent="0.25">
      <c r="A1944" s="9" t="s">
        <v>3870</v>
      </c>
      <c r="C1944" s="9" t="str">
        <f>HYPERLINK("http://www.ncbi.nlm.nih.gov/protein/31541998","Dpcd")</f>
        <v>Dpcd</v>
      </c>
      <c r="D1944" s="10">
        <f t="shared" si="30"/>
        <v>4.7524195254950028</v>
      </c>
      <c r="F1944" s="8" t="str">
        <f>HYPERLINK("https://esbl.nhlbi.nih.gov/Databases/mpkFractions/proteomic_fractions_log_files/Yang_log_img/31541998.jpg","show blot")</f>
        <v>show blot</v>
      </c>
      <c r="H1944" s="8" t="str">
        <f>HYPERLINK("https://esbl.nhlbi.nih.gov/Databases/mpkFractions/proteomic_fractions_linear_files/Yang_linear_img/31541998.jpg","show blot")</f>
        <v>show blot</v>
      </c>
      <c r="J1944" s="5" t="s">
        <v>3871</v>
      </c>
      <c r="L1944" s="11">
        <v>4.7524195254950028</v>
      </c>
      <c r="N1944" s="12"/>
    </row>
    <row r="1945" spans="1:14" s="5" customFormat="1" ht="15" customHeight="1" x14ac:dyDescent="0.25">
      <c r="A1945" s="9" t="s">
        <v>3872</v>
      </c>
      <c r="C1945" s="9" t="str">
        <f>HYPERLINK("http://www.ncbi.nlm.nih.gov/protein/21313683","Dpep3")</f>
        <v>Dpep3</v>
      </c>
      <c r="D1945" s="10">
        <f t="shared" si="30"/>
        <v>2.7932403719243708</v>
      </c>
      <c r="F1945" s="8" t="str">
        <f>HYPERLINK("https://esbl.nhlbi.nih.gov/Databases/mpkFractions/proteomic_fractions_log_files/Yang_log_img/21313683.jpg","show blot")</f>
        <v>show blot</v>
      </c>
      <c r="H1945" s="8" t="str">
        <f>HYPERLINK("https://esbl.nhlbi.nih.gov/Databases/mpkFractions/proteomic_fractions_linear_files/Yang_linear_img/21313683.jpg","show blot")</f>
        <v>show blot</v>
      </c>
      <c r="J1945" s="5" t="s">
        <v>3873</v>
      </c>
      <c r="L1945" s="11">
        <v>2.7932403719243708</v>
      </c>
      <c r="N1945" s="12"/>
    </row>
    <row r="1946" spans="1:14" s="5" customFormat="1" ht="15" customHeight="1" x14ac:dyDescent="0.25">
      <c r="A1946" s="9" t="s">
        <v>3874</v>
      </c>
      <c r="C1946" s="9" t="str">
        <f>HYPERLINK("http://www.ncbi.nlm.nih.gov/protein/6755314","Dpf2")</f>
        <v>Dpf2</v>
      </c>
      <c r="D1946" s="10">
        <f t="shared" si="30"/>
        <v>3.3473416725874752</v>
      </c>
      <c r="F1946" s="8" t="str">
        <f>HYPERLINK("https://esbl.nhlbi.nih.gov/Databases/mpkFractions/proteomic_fractions_log_files/Yang_log_img/6755314.jpg","show blot")</f>
        <v>show blot</v>
      </c>
      <c r="H1946" s="8" t="str">
        <f>HYPERLINK("https://esbl.nhlbi.nih.gov/Databases/mpkFractions/proteomic_fractions_linear_files/Yang_linear_img/6755314.jpg","show blot")</f>
        <v>show blot</v>
      </c>
      <c r="J1946" s="5" t="s">
        <v>3875</v>
      </c>
      <c r="L1946" s="11">
        <v>3.3473416725874752</v>
      </c>
      <c r="N1946" s="12"/>
    </row>
    <row r="1947" spans="1:14" s="5" customFormat="1" ht="15" customHeight="1" x14ac:dyDescent="0.25">
      <c r="A1947" s="9" t="s">
        <v>3876</v>
      </c>
      <c r="C1947" s="9" t="str">
        <f>HYPERLINK("http://www.ncbi.nlm.nih.gov/protein/118026919","Dph1")</f>
        <v>Dph1</v>
      </c>
      <c r="D1947" s="10">
        <f t="shared" si="30"/>
        <v>3.6153962067477821</v>
      </c>
      <c r="F1947" s="8" t="str">
        <f>HYPERLINK("https://esbl.nhlbi.nih.gov/Databases/mpkFractions/proteomic_fractions_log_files/Yang_log_img/118026919.jpg","show blot")</f>
        <v>show blot</v>
      </c>
      <c r="H1947" s="8" t="str">
        <f>HYPERLINK("https://esbl.nhlbi.nih.gov/Databases/mpkFractions/proteomic_fractions_linear_files/Yang_linear_img/118026919.jpg","show blot")</f>
        <v>show blot</v>
      </c>
      <c r="J1947" s="5" t="s">
        <v>3877</v>
      </c>
      <c r="L1947" s="11">
        <v>3.6153962067477821</v>
      </c>
      <c r="N1947" s="12"/>
    </row>
    <row r="1948" spans="1:14" s="5" customFormat="1" ht="15" customHeight="1" x14ac:dyDescent="0.25">
      <c r="A1948" s="9" t="s">
        <v>3878</v>
      </c>
      <c r="C1948" s="9" t="str">
        <f>HYPERLINK("http://www.ncbi.nlm.nih.gov/protein/33468993","Dph2")</f>
        <v>Dph2</v>
      </c>
      <c r="D1948" s="10">
        <f t="shared" si="30"/>
        <v>3.6723161797480879</v>
      </c>
      <c r="F1948" s="8" t="str">
        <f>HYPERLINK("https://esbl.nhlbi.nih.gov/Databases/mpkFractions/proteomic_fractions_log_files/Yang_log_img/33468993.jpg","show blot")</f>
        <v>show blot</v>
      </c>
      <c r="H1948" s="8" t="str">
        <f>HYPERLINK("https://esbl.nhlbi.nih.gov/Databases/mpkFractions/proteomic_fractions_linear_files/Yang_linear_img/33468993.jpg","show blot")</f>
        <v>show blot</v>
      </c>
      <c r="J1948" s="5" t="s">
        <v>3879</v>
      </c>
      <c r="L1948" s="11">
        <v>3.6723161797480879</v>
      </c>
      <c r="N1948" s="12"/>
    </row>
    <row r="1949" spans="1:14" s="5" customFormat="1" ht="15" customHeight="1" x14ac:dyDescent="0.25">
      <c r="A1949" s="9" t="s">
        <v>3880</v>
      </c>
      <c r="C1949" s="9" t="str">
        <f>HYPERLINK("http://www.ncbi.nlm.nih.gov/protein/40254183","Dph5")</f>
        <v>Dph5</v>
      </c>
      <c r="D1949" s="10">
        <f t="shared" si="30"/>
        <v>3.958844820409825</v>
      </c>
      <c r="F1949" s="8" t="str">
        <f>HYPERLINK("https://esbl.nhlbi.nih.gov/Databases/mpkFractions/proteomic_fractions_log_files/Yang_log_img/40254183.jpg","show blot")</f>
        <v>show blot</v>
      </c>
      <c r="H1949" s="8" t="str">
        <f>HYPERLINK("https://esbl.nhlbi.nih.gov/Databases/mpkFractions/proteomic_fractions_linear_files/Yang_linear_img/40254183.jpg","show blot")</f>
        <v>show blot</v>
      </c>
      <c r="J1949" s="5" t="s">
        <v>3881</v>
      </c>
      <c r="L1949" s="11">
        <v>3.958844820409825</v>
      </c>
      <c r="N1949" s="12"/>
    </row>
    <row r="1950" spans="1:14" s="5" customFormat="1" ht="15" customHeight="1" x14ac:dyDescent="0.25">
      <c r="A1950" s="9" t="s">
        <v>3882</v>
      </c>
      <c r="C1950" s="9" t="str">
        <f>HYPERLINK("http://www.ncbi.nlm.nih.gov/protein/13385136","Dph6")</f>
        <v>Dph6</v>
      </c>
      <c r="D1950" s="10">
        <f t="shared" si="30"/>
        <v>4.2956275698789748</v>
      </c>
      <c r="F1950" s="8" t="str">
        <f>HYPERLINK("https://esbl.nhlbi.nih.gov/Databases/mpkFractions/proteomic_fractions_log_files/Yang_log_img/13385136.jpg","show blot")</f>
        <v>show blot</v>
      </c>
      <c r="H1950" s="8" t="str">
        <f>HYPERLINK("https://esbl.nhlbi.nih.gov/Databases/mpkFractions/proteomic_fractions_linear_files/Yang_linear_img/13385136.jpg","show blot")</f>
        <v>show blot</v>
      </c>
      <c r="J1950" s="5" t="s">
        <v>3883</v>
      </c>
      <c r="L1950" s="11">
        <v>4.2956275698789748</v>
      </c>
      <c r="N1950" s="12"/>
    </row>
    <row r="1951" spans="1:14" s="5" customFormat="1" ht="15" customHeight="1" x14ac:dyDescent="0.25">
      <c r="A1951" s="9" t="s">
        <v>3884</v>
      </c>
      <c r="C1951" s="9" t="str">
        <f>HYPERLINK("http://www.ncbi.nlm.nih.gov/protein/21313066","Dph7")</f>
        <v>Dph7</v>
      </c>
      <c r="D1951" s="10">
        <f t="shared" si="30"/>
        <v>3.883538498004977</v>
      </c>
      <c r="F1951" s="8" t="str">
        <f>HYPERLINK("https://esbl.nhlbi.nih.gov/Databases/mpkFractions/proteomic_fractions_log_files/Yang_log_img/21313066.jpg","show blot")</f>
        <v>show blot</v>
      </c>
      <c r="H1951" s="8" t="str">
        <f>HYPERLINK("https://esbl.nhlbi.nih.gov/Databases/mpkFractions/proteomic_fractions_linear_files/Yang_linear_img/21313066.jpg","show blot")</f>
        <v>show blot</v>
      </c>
      <c r="J1951" s="5" t="s">
        <v>3885</v>
      </c>
      <c r="L1951" s="11">
        <v>3.883538498004977</v>
      </c>
      <c r="N1951" s="12"/>
    </row>
    <row r="1952" spans="1:14" s="5" customFormat="1" ht="15" customHeight="1" x14ac:dyDescent="0.25">
      <c r="A1952" s="9" t="s">
        <v>3886</v>
      </c>
      <c r="C1952" s="9" t="str">
        <f>HYPERLINK("http://www.ncbi.nlm.nih.gov/protein/6753670","Dpm1")</f>
        <v>Dpm1</v>
      </c>
      <c r="D1952" s="10">
        <f t="shared" si="30"/>
        <v>5.3719857949441856</v>
      </c>
      <c r="F1952" s="8" t="str">
        <f>HYPERLINK("https://esbl.nhlbi.nih.gov/Databases/mpkFractions/proteomic_fractions_log_files/Yang_log_img/6753670.jpg","show blot")</f>
        <v>show blot</v>
      </c>
      <c r="H1952" s="8" t="str">
        <f>HYPERLINK("https://esbl.nhlbi.nih.gov/Databases/mpkFractions/proteomic_fractions_linear_files/Yang_linear_img/6753670.jpg","show blot")</f>
        <v>show blot</v>
      </c>
      <c r="J1952" s="5" t="s">
        <v>3887</v>
      </c>
      <c r="L1952" s="11">
        <v>5.3719857949441856</v>
      </c>
      <c r="N1952" s="12"/>
    </row>
    <row r="1953" spans="1:14" s="5" customFormat="1" ht="15" customHeight="1" x14ac:dyDescent="0.25">
      <c r="A1953" s="9" t="s">
        <v>3888</v>
      </c>
      <c r="C1953" s="9" t="str">
        <f>HYPERLINK("http://www.ncbi.nlm.nih.gov/protein/58037125","Dpm3")</f>
        <v>Dpm3</v>
      </c>
      <c r="D1953" s="10">
        <f t="shared" si="30"/>
        <v>5.7035378240722849</v>
      </c>
      <c r="F1953" s="8" t="str">
        <f>HYPERLINK("https://esbl.nhlbi.nih.gov/Databases/mpkFractions/proteomic_fractions_log_files/Yang_log_img/58037125.jpg","show blot")</f>
        <v>show blot</v>
      </c>
      <c r="H1953" s="8" t="str">
        <f>HYPERLINK("https://esbl.nhlbi.nih.gov/Databases/mpkFractions/proteomic_fractions_linear_files/Yang_linear_img/58037125.jpg","show blot")</f>
        <v>show blot</v>
      </c>
      <c r="J1953" s="5" t="s">
        <v>3889</v>
      </c>
      <c r="L1953" s="11">
        <v>5.7035378240722849</v>
      </c>
      <c r="N1953" s="12"/>
    </row>
    <row r="1954" spans="1:14" s="5" customFormat="1" ht="15" customHeight="1" x14ac:dyDescent="0.25">
      <c r="A1954" s="9" t="s">
        <v>3890</v>
      </c>
      <c r="C1954" s="9" t="str">
        <f>HYPERLINK("http://www.ncbi.nlm.nih.gov/protein/244791124","Dpp3")</f>
        <v>Dpp3</v>
      </c>
      <c r="D1954" s="10">
        <f t="shared" si="30"/>
        <v>5.4098716222074206</v>
      </c>
      <c r="F1954" s="8" t="str">
        <f>HYPERLINK("https://esbl.nhlbi.nih.gov/Databases/mpkFractions/proteomic_fractions_log_files/Yang_log_img/244791124.jpg","show blot")</f>
        <v>show blot</v>
      </c>
      <c r="H1954" s="8" t="str">
        <f>HYPERLINK("https://esbl.nhlbi.nih.gov/Databases/mpkFractions/proteomic_fractions_linear_files/Yang_linear_img/244791124.jpg","show blot")</f>
        <v>show blot</v>
      </c>
      <c r="J1954" s="5" t="s">
        <v>3891</v>
      </c>
      <c r="L1954" s="11">
        <v>5.4098716222074206</v>
      </c>
      <c r="N1954" s="12"/>
    </row>
    <row r="1955" spans="1:14" s="5" customFormat="1" ht="15" customHeight="1" x14ac:dyDescent="0.25">
      <c r="A1955" s="9" t="s">
        <v>3892</v>
      </c>
      <c r="C1955" s="9" t="str">
        <f>HYPERLINK("http://www.ncbi.nlm.nih.gov/protein/227116292","Dpp4")</f>
        <v>Dpp4</v>
      </c>
      <c r="D1955" s="10">
        <f t="shared" si="30"/>
        <v>2.0456489033662351</v>
      </c>
      <c r="F1955" s="8" t="str">
        <f>HYPERLINK("https://esbl.nhlbi.nih.gov/Databases/mpkFractions/proteomic_fractions_log_files/Yang_log_img/227116292.jpg","show blot")</f>
        <v>show blot</v>
      </c>
      <c r="H1955" s="8" t="str">
        <f>HYPERLINK("https://esbl.nhlbi.nih.gov/Databases/mpkFractions/proteomic_fractions_linear_files/Yang_linear_img/227116292.jpg","show blot")</f>
        <v>show blot</v>
      </c>
      <c r="J1955" s="5" t="s">
        <v>3893</v>
      </c>
      <c r="L1955" s="11">
        <v>2.0456489033662351</v>
      </c>
      <c r="N1955" s="12"/>
    </row>
    <row r="1956" spans="1:14" s="5" customFormat="1" ht="15" customHeight="1" x14ac:dyDescent="0.25">
      <c r="A1956" s="9" t="s">
        <v>3894</v>
      </c>
      <c r="C1956" s="9" t="str">
        <f>HYPERLINK("http://www.ncbi.nlm.nih.gov/protein/6753674","Dpp4")</f>
        <v>Dpp4</v>
      </c>
      <c r="D1956" s="10">
        <f t="shared" si="30"/>
        <v>2.0456489033662351</v>
      </c>
      <c r="F1956" s="8" t="str">
        <f>HYPERLINK("https://esbl.nhlbi.nih.gov/Databases/mpkFractions/proteomic_fractions_log_files/Yang_log_img/6753674.jpg","show blot")</f>
        <v>show blot</v>
      </c>
      <c r="H1956" s="8" t="str">
        <f>HYPERLINK("https://esbl.nhlbi.nih.gov/Databases/mpkFractions/proteomic_fractions_linear_files/Yang_linear_img/6753674.jpg","show blot")</f>
        <v>show blot</v>
      </c>
      <c r="J1956" s="5" t="s">
        <v>3895</v>
      </c>
      <c r="L1956" s="11">
        <v>2.0456489033662351</v>
      </c>
      <c r="N1956" s="12"/>
    </row>
    <row r="1957" spans="1:14" s="5" customFormat="1" ht="15" customHeight="1" x14ac:dyDescent="0.25">
      <c r="A1957" s="9" t="s">
        <v>3896</v>
      </c>
      <c r="C1957" s="9" t="str">
        <f>HYPERLINK("http://www.ncbi.nlm.nih.gov/protein/31981425","Dpp7")</f>
        <v>Dpp7</v>
      </c>
      <c r="D1957" s="10">
        <f t="shared" si="30"/>
        <v>5.4358098663884249</v>
      </c>
      <c r="F1957" s="8" t="str">
        <f>HYPERLINK("https://esbl.nhlbi.nih.gov/Databases/mpkFractions/proteomic_fractions_log_files/Yang_log_img/31981425.jpg","show blot")</f>
        <v>show blot</v>
      </c>
      <c r="H1957" s="8" t="str">
        <f>HYPERLINK("https://esbl.nhlbi.nih.gov/Databases/mpkFractions/proteomic_fractions_linear_files/Yang_linear_img/31981425.jpg","show blot")</f>
        <v>show blot</v>
      </c>
      <c r="J1957" s="5" t="s">
        <v>3897</v>
      </c>
      <c r="L1957" s="11">
        <v>5.4358098663884249</v>
      </c>
      <c r="N1957" s="12"/>
    </row>
    <row r="1958" spans="1:14" s="5" customFormat="1" ht="15" customHeight="1" x14ac:dyDescent="0.25">
      <c r="A1958" s="9" t="s">
        <v>3898</v>
      </c>
      <c r="C1958" s="9" t="str">
        <f>HYPERLINK("http://www.ncbi.nlm.nih.gov/protein/255003757","Dpp9")</f>
        <v>Dpp9</v>
      </c>
      <c r="D1958" s="10">
        <f t="shared" si="30"/>
        <v>3.7399987520549658</v>
      </c>
      <c r="F1958" s="8" t="str">
        <f>HYPERLINK("https://esbl.nhlbi.nih.gov/Databases/mpkFractions/proteomic_fractions_log_files/Yang_log_img/255003757.jpg","show blot")</f>
        <v>show blot</v>
      </c>
      <c r="H1958" s="8" t="str">
        <f>HYPERLINK("https://esbl.nhlbi.nih.gov/Databases/mpkFractions/proteomic_fractions_linear_files/Yang_linear_img/255003757.jpg","show blot")</f>
        <v>show blot</v>
      </c>
      <c r="J1958" s="5" t="s">
        <v>3899</v>
      </c>
      <c r="L1958" s="11">
        <v>3.7399987520549658</v>
      </c>
      <c r="N1958" s="12"/>
    </row>
    <row r="1959" spans="1:14" s="5" customFormat="1" ht="15" customHeight="1" x14ac:dyDescent="0.25">
      <c r="A1959" s="9" t="s">
        <v>3900</v>
      </c>
      <c r="C1959" s="9" t="str">
        <f>HYPERLINK("http://www.ncbi.nlm.nih.gov/protein/226246654","Dpy30")</f>
        <v>Dpy30</v>
      </c>
      <c r="D1959" s="10">
        <f t="shared" si="30"/>
        <v>5.4253031905500029</v>
      </c>
      <c r="F1959" s="8" t="str">
        <f>HYPERLINK("https://esbl.nhlbi.nih.gov/Databases/mpkFractions/proteomic_fractions_log_files/Yang_log_img/226246654.jpg","show blot")</f>
        <v>show blot</v>
      </c>
      <c r="H1959" s="8" t="str">
        <f>HYPERLINK("https://esbl.nhlbi.nih.gov/Databases/mpkFractions/proteomic_fractions_linear_files/Yang_linear_img/226246654.jpg","show blot")</f>
        <v>show blot</v>
      </c>
      <c r="J1959" s="5" t="s">
        <v>3901</v>
      </c>
      <c r="L1959" s="11">
        <v>5.4253031905500029</v>
      </c>
      <c r="N1959" s="12"/>
    </row>
    <row r="1960" spans="1:14" s="5" customFormat="1" ht="15" customHeight="1" x14ac:dyDescent="0.25">
      <c r="A1960" s="9" t="s">
        <v>3902</v>
      </c>
      <c r="C1960" s="9" t="str">
        <f>HYPERLINK("http://www.ncbi.nlm.nih.gov/protein/40254595","Dpysl2")</f>
        <v>Dpysl2</v>
      </c>
      <c r="D1960" s="10">
        <f t="shared" si="30"/>
        <v>6.0980988020776818</v>
      </c>
      <c r="F1960" s="8" t="str">
        <f>HYPERLINK("https://esbl.nhlbi.nih.gov/Databases/mpkFractions/proteomic_fractions_log_files/Yang_log_img/40254595.jpg","show blot")</f>
        <v>show blot</v>
      </c>
      <c r="H1960" s="8" t="str">
        <f>HYPERLINK("https://esbl.nhlbi.nih.gov/Databases/mpkFractions/proteomic_fractions_linear_files/Yang_linear_img/40254595.jpg","show blot")</f>
        <v>show blot</v>
      </c>
      <c r="J1960" s="5" t="s">
        <v>3903</v>
      </c>
      <c r="L1960" s="11">
        <v>6.0980988020776818</v>
      </c>
      <c r="N1960" s="12"/>
    </row>
    <row r="1961" spans="1:14" s="5" customFormat="1" ht="15" customHeight="1" x14ac:dyDescent="0.25">
      <c r="A1961" s="9" t="s">
        <v>3904</v>
      </c>
      <c r="C1961" s="9" t="str">
        <f>HYPERLINK("http://www.ncbi.nlm.nih.gov/protein/209862992","Dpysl3")</f>
        <v>Dpysl3</v>
      </c>
      <c r="D1961" s="10">
        <f t="shared" si="30"/>
        <v>4.9501617014356274</v>
      </c>
      <c r="F1961" s="8" t="str">
        <f>HYPERLINK("https://esbl.nhlbi.nih.gov/Databases/mpkFractions/proteomic_fractions_log_files/Yang_log_img/209862992.jpg","show blot")</f>
        <v>show blot</v>
      </c>
      <c r="H1961" s="8" t="str">
        <f>HYPERLINK("https://esbl.nhlbi.nih.gov/Databases/mpkFractions/proteomic_fractions_linear_files/Yang_linear_img/209862992.jpg","show blot")</f>
        <v>show blot</v>
      </c>
      <c r="J1961" s="5" t="s">
        <v>3905</v>
      </c>
      <c r="L1961" s="11">
        <v>4.9501617014356274</v>
      </c>
      <c r="N1961" s="12"/>
    </row>
    <row r="1962" spans="1:14" s="5" customFormat="1" ht="15" customHeight="1" x14ac:dyDescent="0.25">
      <c r="A1962" s="9" t="s">
        <v>3906</v>
      </c>
      <c r="C1962" s="9" t="str">
        <f>HYPERLINK("http://www.ncbi.nlm.nih.gov/protein/6681219","Dpysl3")</f>
        <v>Dpysl3</v>
      </c>
      <c r="D1962" s="10">
        <f t="shared" si="30"/>
        <v>4.9501617014356274</v>
      </c>
      <c r="F1962" s="8" t="str">
        <f>HYPERLINK("https://esbl.nhlbi.nih.gov/Databases/mpkFractions/proteomic_fractions_log_files/Yang_log_img/6681219.jpg","show blot")</f>
        <v>show blot</v>
      </c>
      <c r="H1962" s="8" t="str">
        <f>HYPERLINK("https://esbl.nhlbi.nih.gov/Databases/mpkFractions/proteomic_fractions_linear_files/Yang_linear_img/6681219.jpg","show blot")</f>
        <v>show blot</v>
      </c>
      <c r="J1962" s="5" t="s">
        <v>3907</v>
      </c>
      <c r="L1962" s="11">
        <v>4.9501617014356274</v>
      </c>
      <c r="N1962" s="12"/>
    </row>
    <row r="1963" spans="1:14" s="5" customFormat="1" ht="15" customHeight="1" x14ac:dyDescent="0.25">
      <c r="A1963" s="9" t="s">
        <v>3908</v>
      </c>
      <c r="C1963" s="9" t="str">
        <f>HYPERLINK("http://www.ncbi.nlm.nih.gov/protein/12746424","Dpysl5")</f>
        <v>Dpysl5</v>
      </c>
      <c r="D1963" s="10">
        <f t="shared" si="30"/>
        <v>4.895823511284398</v>
      </c>
      <c r="F1963" s="8" t="str">
        <f>HYPERLINK("https://esbl.nhlbi.nih.gov/Databases/mpkFractions/proteomic_fractions_log_files/Yang_log_img/12746424.jpg","show blot")</f>
        <v>show blot</v>
      </c>
      <c r="H1963" s="8" t="str">
        <f>HYPERLINK("https://esbl.nhlbi.nih.gov/Databases/mpkFractions/proteomic_fractions_linear_files/Yang_linear_img/12746424.jpg","show blot")</f>
        <v>show blot</v>
      </c>
      <c r="J1963" s="5" t="s">
        <v>3909</v>
      </c>
      <c r="L1963" s="11">
        <v>4.895823511284398</v>
      </c>
      <c r="N1963" s="12"/>
    </row>
    <row r="1964" spans="1:14" s="5" customFormat="1" ht="15" customHeight="1" x14ac:dyDescent="0.25">
      <c r="A1964" s="9" t="s">
        <v>3910</v>
      </c>
      <c r="C1964" s="9" t="str">
        <f>HYPERLINK("http://www.ncbi.nlm.nih.gov/protein/27754097","Dr1")</f>
        <v>Dr1</v>
      </c>
      <c r="D1964" s="10">
        <f t="shared" si="30"/>
        <v>4.2807435453880291</v>
      </c>
      <c r="F1964" s="8" t="str">
        <f>HYPERLINK("https://esbl.nhlbi.nih.gov/Databases/mpkFractions/proteomic_fractions_log_files/Yang_log_img/27754097.jpg","show blot")</f>
        <v>show blot</v>
      </c>
      <c r="H1964" s="8" t="str">
        <f>HYPERLINK("https://esbl.nhlbi.nih.gov/Databases/mpkFractions/proteomic_fractions_linear_files/Yang_linear_img/27754097.jpg","show blot")</f>
        <v>show blot</v>
      </c>
      <c r="J1964" s="5" t="s">
        <v>3911</v>
      </c>
      <c r="L1964" s="11">
        <v>4.2807435453880291</v>
      </c>
      <c r="N1964" s="12"/>
    </row>
    <row r="1965" spans="1:14" s="5" customFormat="1" ht="15" customHeight="1" x14ac:dyDescent="0.25">
      <c r="A1965" s="9" t="s">
        <v>3912</v>
      </c>
      <c r="C1965" s="9" t="str">
        <f>HYPERLINK("http://www.ncbi.nlm.nih.gov/protein/21313106","Dram2")</f>
        <v>Dram2</v>
      </c>
      <c r="D1965" s="10">
        <f t="shared" si="30"/>
        <v>4.3500080339122587</v>
      </c>
      <c r="F1965" s="8" t="str">
        <f>HYPERLINK("https://esbl.nhlbi.nih.gov/Databases/mpkFractions/proteomic_fractions_log_files/Yang_log_img/21313106.jpg","show blot")</f>
        <v>show blot</v>
      </c>
      <c r="H1965" s="8" t="str">
        <f>HYPERLINK("https://esbl.nhlbi.nih.gov/Databases/mpkFractions/proteomic_fractions_linear_files/Yang_linear_img/21313106.jpg","show blot")</f>
        <v>show blot</v>
      </c>
      <c r="J1965" s="5" t="s">
        <v>3913</v>
      </c>
      <c r="L1965" s="11">
        <v>4.3500080339122587</v>
      </c>
      <c r="N1965" s="12"/>
    </row>
    <row r="1966" spans="1:14" s="5" customFormat="1" ht="15" customHeight="1" x14ac:dyDescent="0.25">
      <c r="A1966" s="9" t="s">
        <v>3914</v>
      </c>
      <c r="C1966" s="9" t="str">
        <f>HYPERLINK("http://www.ncbi.nlm.nih.gov/protein/70980526","Dram2")</f>
        <v>Dram2</v>
      </c>
      <c r="D1966" s="10">
        <f t="shared" si="30"/>
        <v>4.3500080339122587</v>
      </c>
      <c r="F1966" s="8" t="str">
        <f>HYPERLINK("https://esbl.nhlbi.nih.gov/Databases/mpkFractions/proteomic_fractions_log_files/Yang_log_img/70980526.jpg","show blot")</f>
        <v>show blot</v>
      </c>
      <c r="H1966" s="8" t="str">
        <f>HYPERLINK("https://esbl.nhlbi.nih.gov/Databases/mpkFractions/proteomic_fractions_linear_files/Yang_linear_img/70980526.jpg","show blot")</f>
        <v>show blot</v>
      </c>
      <c r="J1966" s="5" t="s">
        <v>3915</v>
      </c>
      <c r="L1966" s="11">
        <v>4.3500080339122587</v>
      </c>
      <c r="N1966" s="12"/>
    </row>
    <row r="1967" spans="1:14" s="5" customFormat="1" ht="15" customHeight="1" x14ac:dyDescent="0.25">
      <c r="A1967" s="9" t="s">
        <v>3916</v>
      </c>
      <c r="C1967" s="9" t="str">
        <f>HYPERLINK("http://www.ncbi.nlm.nih.gov/protein/21313424","Drap1")</f>
        <v>Drap1</v>
      </c>
      <c r="D1967" s="10">
        <f t="shared" si="30"/>
        <v>5.0049762549603836</v>
      </c>
      <c r="F1967" s="8" t="str">
        <f>HYPERLINK("https://esbl.nhlbi.nih.gov/Databases/mpkFractions/proteomic_fractions_log_files/Yang_log_img/21313424.jpg","show blot")</f>
        <v>show blot</v>
      </c>
      <c r="H1967" s="8" t="str">
        <f>HYPERLINK("https://esbl.nhlbi.nih.gov/Databases/mpkFractions/proteomic_fractions_linear_files/Yang_linear_img/21313424.jpg","show blot")</f>
        <v>show blot</v>
      </c>
      <c r="J1967" s="5" t="s">
        <v>3917</v>
      </c>
      <c r="L1967" s="11">
        <v>5.0049762549603836</v>
      </c>
      <c r="N1967" s="12"/>
    </row>
    <row r="1968" spans="1:14" s="5" customFormat="1" ht="15" customHeight="1" x14ac:dyDescent="0.25">
      <c r="A1968" s="9" t="s">
        <v>3918</v>
      </c>
      <c r="C1968" s="9" t="str">
        <f>HYPERLINK("http://www.ncbi.nlm.nih.gov/protein/6681225","Drg1")</f>
        <v>Drg1</v>
      </c>
      <c r="D1968" s="10">
        <f t="shared" si="30"/>
        <v>5.7277379030702447</v>
      </c>
      <c r="F1968" s="8" t="str">
        <f>HYPERLINK("https://esbl.nhlbi.nih.gov/Databases/mpkFractions/proteomic_fractions_log_files/Yang_log_img/6681225.jpg","show blot")</f>
        <v>show blot</v>
      </c>
      <c r="H1968" s="8" t="str">
        <f>HYPERLINK("https://esbl.nhlbi.nih.gov/Databases/mpkFractions/proteomic_fractions_linear_files/Yang_linear_img/6681225.jpg","show blot")</f>
        <v>show blot</v>
      </c>
      <c r="J1968" s="5" t="s">
        <v>3919</v>
      </c>
      <c r="L1968" s="11">
        <v>5.7277379030702447</v>
      </c>
      <c r="N1968" s="12"/>
    </row>
    <row r="1969" spans="1:14" s="5" customFormat="1" ht="15" customHeight="1" x14ac:dyDescent="0.25">
      <c r="A1969" s="9" t="s">
        <v>3920</v>
      </c>
      <c r="C1969" s="9" t="str">
        <f>HYPERLINK("http://www.ncbi.nlm.nih.gov/protein/10946678","Drg2")</f>
        <v>Drg2</v>
      </c>
      <c r="D1969" s="10">
        <f t="shared" si="30"/>
        <v>5.6898455689552474</v>
      </c>
      <c r="F1969" s="8" t="str">
        <f>HYPERLINK("https://esbl.nhlbi.nih.gov/Databases/mpkFractions/proteomic_fractions_log_files/Yang_log_img/10946678.jpg","show blot")</f>
        <v>show blot</v>
      </c>
      <c r="H1969" s="8" t="str">
        <f>HYPERLINK("https://esbl.nhlbi.nih.gov/Databases/mpkFractions/proteomic_fractions_linear_files/Yang_linear_img/10946678.jpg","show blot")</f>
        <v>show blot</v>
      </c>
      <c r="J1969" s="5" t="s">
        <v>3921</v>
      </c>
      <c r="L1969" s="11">
        <v>5.6898455689552474</v>
      </c>
      <c r="N1969" s="12"/>
    </row>
    <row r="1970" spans="1:14" s="5" customFormat="1" ht="15" customHeight="1" x14ac:dyDescent="0.25">
      <c r="A1970" s="9" t="s">
        <v>3922</v>
      </c>
      <c r="C1970" s="9" t="str">
        <f>HYPERLINK("http://www.ncbi.nlm.nih.gov/protein/194328670","Drosha")</f>
        <v>Drosha</v>
      </c>
      <c r="D1970" s="10">
        <f t="shared" si="30"/>
        <v>1.055320621657035</v>
      </c>
      <c r="F1970" s="8" t="str">
        <f>HYPERLINK("https://esbl.nhlbi.nih.gov/Databases/mpkFractions/proteomic_fractions_log_files/Yang_log_img/194328670.jpg","show blot")</f>
        <v>show blot</v>
      </c>
      <c r="H1970" s="8" t="str">
        <f>HYPERLINK("https://esbl.nhlbi.nih.gov/Databases/mpkFractions/proteomic_fractions_linear_files/Yang_linear_img/194328670.jpg","show blot")</f>
        <v>show blot</v>
      </c>
      <c r="J1970" s="5" t="s">
        <v>3923</v>
      </c>
      <c r="L1970" s="11">
        <v>1.055320621657035</v>
      </c>
      <c r="N1970" s="12"/>
    </row>
    <row r="1971" spans="1:14" s="5" customFormat="1" ht="15" customHeight="1" x14ac:dyDescent="0.25">
      <c r="A1971" s="9" t="s">
        <v>3924</v>
      </c>
      <c r="C1971" s="9" t="str">
        <f>HYPERLINK("http://www.ncbi.nlm.nih.gov/protein/62821774","Dscc1")</f>
        <v>Dscc1</v>
      </c>
      <c r="D1971" s="10">
        <f t="shared" si="30"/>
        <v>4.5940188508186166</v>
      </c>
      <c r="F1971" s="8" t="str">
        <f>HYPERLINK("https://esbl.nhlbi.nih.gov/Databases/mpkFractions/proteomic_fractions_log_files/Yang_log_img/62821774.jpg","show blot")</f>
        <v>show blot</v>
      </c>
      <c r="H1971" s="8" t="str">
        <f>HYPERLINK("https://esbl.nhlbi.nih.gov/Databases/mpkFractions/proteomic_fractions_linear_files/Yang_linear_img/62821774.jpg","show blot")</f>
        <v>show blot</v>
      </c>
      <c r="J1971" s="5" t="s">
        <v>3925</v>
      </c>
      <c r="L1971" s="11">
        <v>4.5940188508186166</v>
      </c>
      <c r="N1971" s="12"/>
    </row>
    <row r="1972" spans="1:14" s="5" customFormat="1" ht="15" customHeight="1" x14ac:dyDescent="0.25">
      <c r="A1972" s="9" t="s">
        <v>3926</v>
      </c>
      <c r="C1972" s="9" t="str">
        <f>HYPERLINK("http://www.ncbi.nlm.nih.gov/protein/6681145","Dscr3")</f>
        <v>Dscr3</v>
      </c>
      <c r="D1972" s="10">
        <f t="shared" si="30"/>
        <v>5.1206212259177066</v>
      </c>
      <c r="F1972" s="8" t="str">
        <f>HYPERLINK("https://esbl.nhlbi.nih.gov/Databases/mpkFractions/proteomic_fractions_log_files/Yang_log_img/6681145.jpg","show blot")</f>
        <v>show blot</v>
      </c>
      <c r="H1972" s="8" t="str">
        <f>HYPERLINK("https://esbl.nhlbi.nih.gov/Databases/mpkFractions/proteomic_fractions_linear_files/Yang_linear_img/6681145.jpg","show blot")</f>
        <v>show blot</v>
      </c>
      <c r="J1972" s="5" t="s">
        <v>3927</v>
      </c>
      <c r="L1972" s="11">
        <v>5.1206212259177066</v>
      </c>
      <c r="N1972" s="12"/>
    </row>
    <row r="1973" spans="1:14" s="5" customFormat="1" ht="15" customHeight="1" x14ac:dyDescent="0.25">
      <c r="A1973" s="9" t="s">
        <v>3928</v>
      </c>
      <c r="C1973" s="9" t="str">
        <f>HYPERLINK("http://www.ncbi.nlm.nih.gov/protein/169234958","Dsg1a")</f>
        <v>Dsg1a</v>
      </c>
      <c r="D1973" s="10">
        <f t="shared" si="30"/>
        <v>2.383492543176478</v>
      </c>
      <c r="F1973" s="8" t="str">
        <f>HYPERLINK("https://esbl.nhlbi.nih.gov/Databases/mpkFractions/proteomic_fractions_log_files/Yang_log_img/169234958.jpg","show blot")</f>
        <v>show blot</v>
      </c>
      <c r="H1973" s="8" t="str">
        <f>HYPERLINK("https://esbl.nhlbi.nih.gov/Databases/mpkFractions/proteomic_fractions_linear_files/Yang_linear_img/169234958.jpg","show blot")</f>
        <v>show blot</v>
      </c>
      <c r="J1973" s="5" t="s">
        <v>3929</v>
      </c>
      <c r="L1973" s="11">
        <v>2.383492543176478</v>
      </c>
      <c r="N1973" s="12"/>
    </row>
    <row r="1974" spans="1:14" s="5" customFormat="1" ht="15" customHeight="1" x14ac:dyDescent="0.25">
      <c r="A1974" s="9" t="s">
        <v>3930</v>
      </c>
      <c r="C1974" s="9" t="str">
        <f>HYPERLINK("http://www.ncbi.nlm.nih.gov/protein/32129201","Dsg1b")</f>
        <v>Dsg1b</v>
      </c>
      <c r="D1974" s="10">
        <f t="shared" si="30"/>
        <v>2.383492543176478</v>
      </c>
      <c r="F1974" s="8" t="str">
        <f>HYPERLINK("https://esbl.nhlbi.nih.gov/Databases/mpkFractions/proteomic_fractions_log_files/Yang_log_img/32129201.jpg","show blot")</f>
        <v>show blot</v>
      </c>
      <c r="H1974" s="8" t="str">
        <f>HYPERLINK("https://esbl.nhlbi.nih.gov/Databases/mpkFractions/proteomic_fractions_linear_files/Yang_linear_img/32129201.jpg","show blot")</f>
        <v>show blot</v>
      </c>
      <c r="J1974" s="5" t="s">
        <v>3931</v>
      </c>
      <c r="L1974" s="11">
        <v>2.383492543176478</v>
      </c>
      <c r="N1974" s="12"/>
    </row>
    <row r="1975" spans="1:14" s="5" customFormat="1" ht="15" customHeight="1" x14ac:dyDescent="0.25">
      <c r="A1975" s="9" t="s">
        <v>3932</v>
      </c>
      <c r="C1975" s="9" t="str">
        <f>HYPERLINK("http://www.ncbi.nlm.nih.gov/protein/161016843","Dsg2")</f>
        <v>Dsg2</v>
      </c>
      <c r="D1975" s="10">
        <f t="shared" si="30"/>
        <v>2.8206214746459248</v>
      </c>
      <c r="F1975" s="8" t="str">
        <f>HYPERLINK("https://esbl.nhlbi.nih.gov/Databases/mpkFractions/proteomic_fractions_log_files/Yang_log_img/161016843.jpg","show blot")</f>
        <v>show blot</v>
      </c>
      <c r="H1975" s="8" t="str">
        <f>HYPERLINK("https://esbl.nhlbi.nih.gov/Databases/mpkFractions/proteomic_fractions_linear_files/Yang_linear_img/161016843.jpg","show blot")</f>
        <v>show blot</v>
      </c>
      <c r="J1975" s="5" t="s">
        <v>3933</v>
      </c>
      <c r="L1975" s="11">
        <v>2.8206214746459248</v>
      </c>
      <c r="N1975" s="12"/>
    </row>
    <row r="1976" spans="1:14" s="5" customFormat="1" ht="15" customHeight="1" x14ac:dyDescent="0.25">
      <c r="A1976" s="9" t="s">
        <v>3934</v>
      </c>
      <c r="C1976" s="9" t="str">
        <f>HYPERLINK("http://www.ncbi.nlm.nih.gov/protein/254540034","Dsn1")</f>
        <v>Dsn1</v>
      </c>
      <c r="D1976" s="10">
        <f t="shared" si="30"/>
        <v>3.8938039023172348</v>
      </c>
      <c r="F1976" s="8" t="str">
        <f>HYPERLINK("https://esbl.nhlbi.nih.gov/Databases/mpkFractions/proteomic_fractions_log_files/Yang_log_img/254540034.jpg","show blot")</f>
        <v>show blot</v>
      </c>
      <c r="H1976" s="8" t="str">
        <f>HYPERLINK("https://esbl.nhlbi.nih.gov/Databases/mpkFractions/proteomic_fractions_linear_files/Yang_linear_img/254540034.jpg","show blot")</f>
        <v>show blot</v>
      </c>
      <c r="J1976" s="5" t="s">
        <v>3935</v>
      </c>
      <c r="L1976" s="11">
        <v>3.8938039023172348</v>
      </c>
      <c r="N1976" s="12"/>
    </row>
    <row r="1977" spans="1:14" s="5" customFormat="1" ht="15" customHeight="1" x14ac:dyDescent="0.25">
      <c r="A1977" s="9" t="s">
        <v>3936</v>
      </c>
      <c r="C1977" s="9" t="str">
        <f>HYPERLINK("http://www.ncbi.nlm.nih.gov/protein/190194418","Dsp")</f>
        <v>Dsp</v>
      </c>
      <c r="D1977" s="10">
        <f t="shared" si="30"/>
        <v>4.9176090834643276</v>
      </c>
      <c r="F1977" s="8" t="str">
        <f>HYPERLINK("https://esbl.nhlbi.nih.gov/Databases/mpkFractions/proteomic_fractions_log_files/Yang_log_img/190194418.jpg","show blot")</f>
        <v>show blot</v>
      </c>
      <c r="H1977" s="8" t="str">
        <f>HYPERLINK("https://esbl.nhlbi.nih.gov/Databases/mpkFractions/proteomic_fractions_linear_files/Yang_linear_img/190194418.jpg","show blot")</f>
        <v>show blot</v>
      </c>
      <c r="J1977" s="5" t="s">
        <v>3937</v>
      </c>
      <c r="L1977" s="11">
        <v>4.9176090834643276</v>
      </c>
      <c r="N1977" s="12"/>
    </row>
    <row r="1978" spans="1:14" s="5" customFormat="1" ht="15" customHeight="1" x14ac:dyDescent="0.25">
      <c r="A1978" s="9" t="s">
        <v>3938</v>
      </c>
      <c r="C1978" s="9" t="str">
        <f>HYPERLINK("http://www.ncbi.nlm.nih.gov/protein/454525117","Dst")</f>
        <v>Dst</v>
      </c>
      <c r="D1978" s="10">
        <f t="shared" si="30"/>
        <v>3.072109777494652</v>
      </c>
      <c r="F1978" s="8" t="str">
        <f>HYPERLINK("https://esbl.nhlbi.nih.gov/Databases/mpkFractions/proteomic_fractions_log_files/Yang_log_img/454525117.jpg","show blot")</f>
        <v>show blot</v>
      </c>
      <c r="H1978" s="8" t="str">
        <f>HYPERLINK("https://esbl.nhlbi.nih.gov/Databases/mpkFractions/proteomic_fractions_linear_files/Yang_linear_img/454525117.jpg","show blot")</f>
        <v>show blot</v>
      </c>
      <c r="J1978" s="5" t="s">
        <v>3939</v>
      </c>
      <c r="L1978" s="11">
        <v>3.072109777494652</v>
      </c>
      <c r="N1978" s="12"/>
    </row>
    <row r="1979" spans="1:14" s="5" customFormat="1" ht="15" customHeight="1" x14ac:dyDescent="0.25">
      <c r="A1979" s="9" t="s">
        <v>3940</v>
      </c>
      <c r="C1979" s="9" t="str">
        <f>HYPERLINK("http://www.ncbi.nlm.nih.gov/protein/111154076","Dst")</f>
        <v>Dst</v>
      </c>
      <c r="D1979" s="10">
        <f t="shared" si="30"/>
        <v>3.072109777494652</v>
      </c>
      <c r="F1979" s="8" t="str">
        <f>HYPERLINK("https://esbl.nhlbi.nih.gov/Databases/mpkFractions/proteomic_fractions_log_files/Yang_log_img/111154076.jpg","show blot")</f>
        <v>show blot</v>
      </c>
      <c r="H1979" s="8" t="str">
        <f>HYPERLINK("https://esbl.nhlbi.nih.gov/Databases/mpkFractions/proteomic_fractions_linear_files/Yang_linear_img/111154076.jpg","show blot")</f>
        <v>show blot</v>
      </c>
      <c r="J1979" s="5" t="s">
        <v>3941</v>
      </c>
      <c r="L1979" s="11">
        <v>3.072109777494652</v>
      </c>
      <c r="N1979" s="12"/>
    </row>
    <row r="1980" spans="1:14" s="5" customFormat="1" ht="15" customHeight="1" x14ac:dyDescent="0.25">
      <c r="A1980" s="9" t="s">
        <v>3942</v>
      </c>
      <c r="C1980" s="9" t="str">
        <f>HYPERLINK("http://www.ncbi.nlm.nih.gov/protein/111154082","Dst")</f>
        <v>Dst</v>
      </c>
      <c r="D1980" s="10">
        <f t="shared" si="30"/>
        <v>3.072109777494652</v>
      </c>
      <c r="F1980" s="8" t="str">
        <f>HYPERLINK("https://esbl.nhlbi.nih.gov/Databases/mpkFractions/proteomic_fractions_log_files/Yang_log_img/111154082.jpg","show blot")</f>
        <v>show blot</v>
      </c>
      <c r="H1980" s="8" t="str">
        <f>HYPERLINK("https://esbl.nhlbi.nih.gov/Databases/mpkFractions/proteomic_fractions_linear_files/Yang_linear_img/111154082.jpg","show blot")</f>
        <v>show blot</v>
      </c>
      <c r="J1980" s="5" t="s">
        <v>3943</v>
      </c>
      <c r="L1980" s="11">
        <v>3.072109777494652</v>
      </c>
      <c r="N1980" s="12"/>
    </row>
    <row r="1981" spans="1:14" s="5" customFormat="1" ht="15" customHeight="1" x14ac:dyDescent="0.25">
      <c r="A1981" s="9" t="s">
        <v>3944</v>
      </c>
      <c r="C1981" s="9" t="str">
        <f>HYPERLINK("http://www.ncbi.nlm.nih.gov/protein/9790219","Dstn")</f>
        <v>Dstn</v>
      </c>
      <c r="D1981" s="10">
        <f t="shared" si="30"/>
        <v>6.7027143795174133</v>
      </c>
      <c r="F1981" s="8" t="str">
        <f>HYPERLINK("https://esbl.nhlbi.nih.gov/Databases/mpkFractions/proteomic_fractions_log_files/Yang_log_img/9790219.jpg","show blot")</f>
        <v>show blot</v>
      </c>
      <c r="H1981" s="8" t="str">
        <f>HYPERLINK("https://esbl.nhlbi.nih.gov/Databases/mpkFractions/proteomic_fractions_linear_files/Yang_linear_img/9790219.jpg","show blot")</f>
        <v>show blot</v>
      </c>
      <c r="J1981" s="5" t="s">
        <v>3945</v>
      </c>
      <c r="L1981" s="11">
        <v>6.7027143795174133</v>
      </c>
      <c r="N1981" s="12"/>
    </row>
    <row r="1982" spans="1:14" s="5" customFormat="1" ht="15" customHeight="1" x14ac:dyDescent="0.25">
      <c r="A1982" s="9" t="s">
        <v>3946</v>
      </c>
      <c r="C1982" s="9" t="str">
        <f>HYPERLINK("http://www.ncbi.nlm.nih.gov/protein/13384676","Dtd1")</f>
        <v>Dtd1</v>
      </c>
      <c r="D1982" s="10">
        <f t="shared" si="30"/>
        <v>4.9962451576594527</v>
      </c>
      <c r="F1982" s="8" t="str">
        <f>HYPERLINK("https://esbl.nhlbi.nih.gov/Databases/mpkFractions/proteomic_fractions_log_files/Yang_log_img/13384676.jpg","show blot")</f>
        <v>show blot</v>
      </c>
      <c r="H1982" s="8" t="str">
        <f>HYPERLINK("https://esbl.nhlbi.nih.gov/Databases/mpkFractions/proteomic_fractions_linear_files/Yang_linear_img/13384676.jpg","show blot")</f>
        <v>show blot</v>
      </c>
      <c r="J1982" s="5" t="s">
        <v>3947</v>
      </c>
      <c r="L1982" s="11">
        <v>4.9962451576594527</v>
      </c>
      <c r="N1982" s="12"/>
    </row>
    <row r="1983" spans="1:14" s="5" customFormat="1" ht="15" customHeight="1" x14ac:dyDescent="0.25">
      <c r="A1983" s="9" t="s">
        <v>3948</v>
      </c>
      <c r="C1983" s="9" t="str">
        <f>HYPERLINK("http://www.ncbi.nlm.nih.gov/protein/31324532","Dtd2")</f>
        <v>Dtd2</v>
      </c>
      <c r="D1983" s="10">
        <f t="shared" si="30"/>
        <v>5.4191271984358416</v>
      </c>
      <c r="F1983" s="8" t="str">
        <f>HYPERLINK("https://esbl.nhlbi.nih.gov/Databases/mpkFractions/proteomic_fractions_log_files/Yang_log_img/31324532.jpg","show blot")</f>
        <v>show blot</v>
      </c>
      <c r="H1983" s="8" t="str">
        <f>HYPERLINK("https://esbl.nhlbi.nih.gov/Databases/mpkFractions/proteomic_fractions_linear_files/Yang_linear_img/31324532.jpg","show blot")</f>
        <v>show blot</v>
      </c>
      <c r="J1983" s="5" t="s">
        <v>3949</v>
      </c>
      <c r="L1983" s="11">
        <v>5.4191271984358416</v>
      </c>
      <c r="N1983" s="12"/>
    </row>
    <row r="1984" spans="1:14" s="5" customFormat="1" ht="15" customHeight="1" x14ac:dyDescent="0.25">
      <c r="A1984" s="9" t="s">
        <v>3950</v>
      </c>
      <c r="C1984" s="9" t="str">
        <f>HYPERLINK("http://www.ncbi.nlm.nih.gov/protein/46519164","Dtna")</f>
        <v>Dtna</v>
      </c>
      <c r="D1984" s="10">
        <f t="shared" si="30"/>
        <v>3.548724349626565</v>
      </c>
      <c r="F1984" s="8" t="str">
        <f>HYPERLINK("https://esbl.nhlbi.nih.gov/Databases/mpkFractions/proteomic_fractions_log_files/Yang_log_img/46519164.jpg","show blot")</f>
        <v>show blot</v>
      </c>
      <c r="H1984" s="8" t="str">
        <f>HYPERLINK("https://esbl.nhlbi.nih.gov/Databases/mpkFractions/proteomic_fractions_linear_files/Yang_linear_img/46519164.jpg","show blot")</f>
        <v>show blot</v>
      </c>
      <c r="J1984" s="5" t="s">
        <v>3951</v>
      </c>
      <c r="L1984" s="11">
        <v>3.548724349626565</v>
      </c>
      <c r="N1984" s="12"/>
    </row>
    <row r="1985" spans="1:14" s="5" customFormat="1" ht="15" customHeight="1" x14ac:dyDescent="0.25">
      <c r="A1985" s="9" t="s">
        <v>3952</v>
      </c>
      <c r="C1985" s="9" t="str">
        <f>HYPERLINK("http://www.ncbi.nlm.nih.gov/protein/247269547","Dtnb")</f>
        <v>Dtnb</v>
      </c>
      <c r="D1985" s="10">
        <f t="shared" si="30"/>
        <v>4.3410158296064454</v>
      </c>
      <c r="F1985" s="8" t="str">
        <f>HYPERLINK("https://esbl.nhlbi.nih.gov/Databases/mpkFractions/proteomic_fractions_log_files/Yang_log_img/247269547.jpg","show blot")</f>
        <v>show blot</v>
      </c>
      <c r="H1985" s="8" t="str">
        <f>HYPERLINK("https://esbl.nhlbi.nih.gov/Databases/mpkFractions/proteomic_fractions_linear_files/Yang_linear_img/247269547.jpg","show blot")</f>
        <v>show blot</v>
      </c>
      <c r="J1985" s="5" t="s">
        <v>3953</v>
      </c>
      <c r="L1985" s="11">
        <v>4.3410158296064454</v>
      </c>
      <c r="N1985" s="12"/>
    </row>
    <row r="1986" spans="1:14" s="5" customFormat="1" ht="15" customHeight="1" x14ac:dyDescent="0.25">
      <c r="A1986" s="9" t="s">
        <v>3954</v>
      </c>
      <c r="C1986" s="9" t="str">
        <f>HYPERLINK("http://www.ncbi.nlm.nih.gov/protein/247269964","Dtnb")</f>
        <v>Dtnb</v>
      </c>
      <c r="D1986" s="10">
        <f t="shared" si="30"/>
        <v>4.3410158296064454</v>
      </c>
      <c r="F1986" s="8" t="str">
        <f>HYPERLINK("https://esbl.nhlbi.nih.gov/Databases/mpkFractions/proteomic_fractions_log_files/Yang_log_img/247269964.jpg","show blot")</f>
        <v>show blot</v>
      </c>
      <c r="H1986" s="8" t="str">
        <f>HYPERLINK("https://esbl.nhlbi.nih.gov/Databases/mpkFractions/proteomic_fractions_linear_files/Yang_linear_img/247269964.jpg","show blot")</f>
        <v>show blot</v>
      </c>
      <c r="J1986" s="5" t="s">
        <v>3955</v>
      </c>
      <c r="L1986" s="11">
        <v>4.3410158296064454</v>
      </c>
      <c r="N1986" s="12"/>
    </row>
    <row r="1987" spans="1:14" s="5" customFormat="1" ht="15" customHeight="1" x14ac:dyDescent="0.25">
      <c r="A1987" s="9" t="s">
        <v>3956</v>
      </c>
      <c r="C1987" s="9" t="str">
        <f>HYPERLINK("http://www.ncbi.nlm.nih.gov/protein/133930784","Dtx3l")</f>
        <v>Dtx3l</v>
      </c>
      <c r="D1987" s="10">
        <f t="shared" si="30"/>
        <v>4.038385998394932</v>
      </c>
      <c r="F1987" s="8" t="str">
        <f>HYPERLINK("https://esbl.nhlbi.nih.gov/Databases/mpkFractions/proteomic_fractions_log_files/Yang_log_img/133930784.jpg","show blot")</f>
        <v>show blot</v>
      </c>
      <c r="H1987" s="8" t="str">
        <f>HYPERLINK("https://esbl.nhlbi.nih.gov/Databases/mpkFractions/proteomic_fractions_linear_files/Yang_linear_img/133930784.jpg","show blot")</f>
        <v>show blot</v>
      </c>
      <c r="J1987" s="5" t="s">
        <v>3957</v>
      </c>
      <c r="L1987" s="11">
        <v>4.038385998394932</v>
      </c>
      <c r="N1987" s="12"/>
    </row>
    <row r="1988" spans="1:14" s="5" customFormat="1" ht="15" customHeight="1" x14ac:dyDescent="0.25">
      <c r="A1988" s="9" t="s">
        <v>3958</v>
      </c>
      <c r="C1988" s="9" t="str">
        <f>HYPERLINK("http://www.ncbi.nlm.nih.gov/protein/12963517","Dtymk")</f>
        <v>Dtymk</v>
      </c>
      <c r="D1988" s="10">
        <f t="shared" si="30"/>
        <v>6.2048291692166702</v>
      </c>
      <c r="F1988" s="8" t="str">
        <f>HYPERLINK("https://esbl.nhlbi.nih.gov/Databases/mpkFractions/proteomic_fractions_log_files/Yang_log_img/12963517.jpg","show blot")</f>
        <v>show blot</v>
      </c>
      <c r="H1988" s="8" t="str">
        <f>HYPERLINK("https://esbl.nhlbi.nih.gov/Databases/mpkFractions/proteomic_fractions_linear_files/Yang_linear_img/12963517.jpg","show blot")</f>
        <v>show blot</v>
      </c>
      <c r="J1988" s="5" t="s">
        <v>3959</v>
      </c>
      <c r="L1988" s="11">
        <v>6.2048291692166702</v>
      </c>
      <c r="N1988" s="12"/>
    </row>
    <row r="1989" spans="1:14" s="5" customFormat="1" ht="15" customHeight="1" x14ac:dyDescent="0.25">
      <c r="A1989" s="9" t="s">
        <v>3960</v>
      </c>
      <c r="C1989" s="9" t="str">
        <f>HYPERLINK("http://www.ncbi.nlm.nih.gov/protein/157785665","Dtymk")</f>
        <v>Dtymk</v>
      </c>
      <c r="D1989" s="10">
        <f t="shared" ref="D1989:D2052" si="31">L1989</f>
        <v>6.2048291692166702</v>
      </c>
      <c r="F1989" s="8" t="str">
        <f>HYPERLINK("https://esbl.nhlbi.nih.gov/Databases/mpkFractions/proteomic_fractions_log_files/Yang_log_img/157785665.jpg","show blot")</f>
        <v>show blot</v>
      </c>
      <c r="H1989" s="8" t="str">
        <f>HYPERLINK("https://esbl.nhlbi.nih.gov/Databases/mpkFractions/proteomic_fractions_linear_files/Yang_linear_img/157785665.jpg","show blot")</f>
        <v>show blot</v>
      </c>
      <c r="J1989" s="5" t="s">
        <v>3961</v>
      </c>
      <c r="L1989" s="11">
        <v>6.2048291692166702</v>
      </c>
      <c r="N1989" s="12"/>
    </row>
    <row r="1990" spans="1:14" s="5" customFormat="1" ht="15" customHeight="1" x14ac:dyDescent="0.25">
      <c r="A1990" s="9" t="s">
        <v>3962</v>
      </c>
      <c r="C1990" s="9" t="str">
        <f>HYPERLINK("http://www.ncbi.nlm.nih.gov/protein/31980834","Dus1l")</f>
        <v>Dus1l</v>
      </c>
      <c r="D1990" s="10">
        <f t="shared" si="31"/>
        <v>2.998931916707047</v>
      </c>
      <c r="F1990" s="8" t="str">
        <f>HYPERLINK("https://esbl.nhlbi.nih.gov/Databases/mpkFractions/proteomic_fractions_log_files/Yang_log_img/31980834.jpg","show blot")</f>
        <v>show blot</v>
      </c>
      <c r="H1990" s="8" t="str">
        <f>HYPERLINK("https://esbl.nhlbi.nih.gov/Databases/mpkFractions/proteomic_fractions_linear_files/Yang_linear_img/31980834.jpg","show blot")</f>
        <v>show blot</v>
      </c>
      <c r="J1990" s="5" t="s">
        <v>3963</v>
      </c>
      <c r="L1990" s="11">
        <v>2.998931916707047</v>
      </c>
      <c r="N1990" s="12"/>
    </row>
    <row r="1991" spans="1:14" s="5" customFormat="1" ht="15" customHeight="1" x14ac:dyDescent="0.25">
      <c r="A1991" s="9" t="s">
        <v>3964</v>
      </c>
      <c r="C1991" s="9" t="str">
        <f>HYPERLINK("http://www.ncbi.nlm.nih.gov/protein/255003775","Dus3l")</f>
        <v>Dus3l</v>
      </c>
      <c r="D1991" s="10">
        <f t="shared" si="31"/>
        <v>4.1441668510568253</v>
      </c>
      <c r="F1991" s="8" t="str">
        <f>HYPERLINK("https://esbl.nhlbi.nih.gov/Databases/mpkFractions/proteomic_fractions_log_files/Yang_log_img/255003775.jpg","show blot")</f>
        <v>show blot</v>
      </c>
      <c r="H1991" s="8" t="str">
        <f>HYPERLINK("https://esbl.nhlbi.nih.gov/Databases/mpkFractions/proteomic_fractions_linear_files/Yang_linear_img/255003775.jpg","show blot")</f>
        <v>show blot</v>
      </c>
      <c r="J1991" s="5" t="s">
        <v>3965</v>
      </c>
      <c r="L1991" s="11">
        <v>4.1441668510568253</v>
      </c>
      <c r="N1991" s="12"/>
    </row>
    <row r="1992" spans="1:14" s="5" customFormat="1" ht="15" customHeight="1" x14ac:dyDescent="0.25">
      <c r="A1992" s="9" t="s">
        <v>3966</v>
      </c>
      <c r="C1992" s="9" t="str">
        <f>HYPERLINK("http://www.ncbi.nlm.nih.gov/protein/19527288","Dusp22")</f>
        <v>Dusp22</v>
      </c>
      <c r="D1992" s="10">
        <f t="shared" si="31"/>
        <v>4.0074136552386719</v>
      </c>
      <c r="F1992" s="8" t="str">
        <f>HYPERLINK("https://esbl.nhlbi.nih.gov/Databases/mpkFractions/proteomic_fractions_log_files/Yang_log_img/19527288.jpg","show blot")</f>
        <v>show blot</v>
      </c>
      <c r="H1992" s="8" t="str">
        <f>HYPERLINK("https://esbl.nhlbi.nih.gov/Databases/mpkFractions/proteomic_fractions_linear_files/Yang_linear_img/19527288.jpg","show blot")</f>
        <v>show blot</v>
      </c>
      <c r="J1992" s="5" t="s">
        <v>3967</v>
      </c>
      <c r="L1992" s="11">
        <v>4.0074136552386719</v>
      </c>
      <c r="N1992" s="12"/>
    </row>
    <row r="1993" spans="1:14" s="5" customFormat="1" ht="15" customHeight="1" x14ac:dyDescent="0.25">
      <c r="A1993" s="9" t="s">
        <v>3968</v>
      </c>
      <c r="C1993" s="9" t="str">
        <f>HYPERLINK("http://www.ncbi.nlm.nih.gov/protein/83816915","Dusp22")</f>
        <v>Dusp22</v>
      </c>
      <c r="D1993" s="10">
        <f t="shared" si="31"/>
        <v>4.0074136552386719</v>
      </c>
      <c r="F1993" s="8" t="str">
        <f>HYPERLINK("https://esbl.nhlbi.nih.gov/Databases/mpkFractions/proteomic_fractions_log_files/Yang_log_img/83816915.jpg","show blot")</f>
        <v>show blot</v>
      </c>
      <c r="H1993" s="8" t="str">
        <f>HYPERLINK("https://esbl.nhlbi.nih.gov/Databases/mpkFractions/proteomic_fractions_linear_files/Yang_linear_img/83816915.jpg","show blot")</f>
        <v>show blot</v>
      </c>
      <c r="J1993" s="5" t="s">
        <v>3969</v>
      </c>
      <c r="L1993" s="11">
        <v>4.0074136552386719</v>
      </c>
      <c r="N1993" s="12"/>
    </row>
    <row r="1994" spans="1:14" s="5" customFormat="1" ht="15" customHeight="1" x14ac:dyDescent="0.25">
      <c r="A1994" s="9" t="s">
        <v>3970</v>
      </c>
      <c r="C1994" s="9" t="str">
        <f>HYPERLINK("http://www.ncbi.nlm.nih.gov/protein/29171320","Dusp28")</f>
        <v>Dusp28</v>
      </c>
      <c r="D1994" s="10">
        <f t="shared" si="31"/>
        <v>4.4025822345804739</v>
      </c>
      <c r="F1994" s="8" t="str">
        <f>HYPERLINK("https://esbl.nhlbi.nih.gov/Databases/mpkFractions/proteomic_fractions_log_files/Yang_log_img/29171320.jpg","show blot")</f>
        <v>show blot</v>
      </c>
      <c r="H1994" s="8" t="str">
        <f>HYPERLINK("https://esbl.nhlbi.nih.gov/Databases/mpkFractions/proteomic_fractions_linear_files/Yang_linear_img/29171320.jpg","show blot")</f>
        <v>show blot</v>
      </c>
      <c r="J1994" s="5" t="s">
        <v>3971</v>
      </c>
      <c r="L1994" s="11">
        <v>4.4025822345804739</v>
      </c>
      <c r="N1994" s="12"/>
    </row>
    <row r="1995" spans="1:14" s="5" customFormat="1" ht="15" customHeight="1" x14ac:dyDescent="0.25">
      <c r="A1995" s="9" t="s">
        <v>3972</v>
      </c>
      <c r="C1995" s="9" t="str">
        <f>HYPERLINK("http://www.ncbi.nlm.nih.gov/protein/21312314","Dusp3")</f>
        <v>Dusp3</v>
      </c>
      <c r="D1995" s="10">
        <f t="shared" si="31"/>
        <v>5.1911328930886924</v>
      </c>
      <c r="F1995" s="8" t="str">
        <f>HYPERLINK("https://esbl.nhlbi.nih.gov/Databases/mpkFractions/proteomic_fractions_log_files/Yang_log_img/21312314.jpg","show blot")</f>
        <v>show blot</v>
      </c>
      <c r="H1995" s="8" t="str">
        <f>HYPERLINK("https://esbl.nhlbi.nih.gov/Databases/mpkFractions/proteomic_fractions_linear_files/Yang_linear_img/21312314.jpg","show blot")</f>
        <v>show blot</v>
      </c>
      <c r="J1995" s="5" t="s">
        <v>3973</v>
      </c>
      <c r="L1995" s="11">
        <v>5.1911328930886924</v>
      </c>
      <c r="N1995" s="12"/>
    </row>
    <row r="1996" spans="1:14" s="5" customFormat="1" ht="15" customHeight="1" x14ac:dyDescent="0.25">
      <c r="A1996" s="9" t="s">
        <v>3974</v>
      </c>
      <c r="C1996" s="9" t="str">
        <f>HYPERLINK("http://www.ncbi.nlm.nih.gov/protein/21281687","Dut")</f>
        <v>Dut</v>
      </c>
      <c r="D1996" s="10">
        <f t="shared" si="31"/>
        <v>5.3281523836545039</v>
      </c>
      <c r="F1996" s="8" t="str">
        <f>HYPERLINK("https://esbl.nhlbi.nih.gov/Databases/mpkFractions/proteomic_fractions_log_files/Yang_log_img/21281687.jpg","show blot")</f>
        <v>show blot</v>
      </c>
      <c r="H1996" s="8" t="str">
        <f>HYPERLINK("https://esbl.nhlbi.nih.gov/Databases/mpkFractions/proteomic_fractions_linear_files/Yang_linear_img/21281687.jpg","show blot")</f>
        <v>show blot</v>
      </c>
      <c r="J1996" s="5" t="s">
        <v>3975</v>
      </c>
      <c r="L1996" s="11">
        <v>5.3281523836545039</v>
      </c>
      <c r="N1996" s="12"/>
    </row>
    <row r="1997" spans="1:14" s="5" customFormat="1" ht="15" customHeight="1" x14ac:dyDescent="0.25">
      <c r="A1997" s="9" t="s">
        <v>3976</v>
      </c>
      <c r="C1997" s="9" t="str">
        <f>HYPERLINK("http://www.ncbi.nlm.nih.gov/protein/227497222","Dut")</f>
        <v>Dut</v>
      </c>
      <c r="D1997" s="10">
        <f t="shared" si="31"/>
        <v>5.3281523836545039</v>
      </c>
      <c r="F1997" s="8" t="str">
        <f>HYPERLINK("https://esbl.nhlbi.nih.gov/Databases/mpkFractions/proteomic_fractions_log_files/Yang_log_img/227497222.jpg","show blot")</f>
        <v>show blot</v>
      </c>
      <c r="H1997" s="8" t="str">
        <f>HYPERLINK("https://esbl.nhlbi.nih.gov/Databases/mpkFractions/proteomic_fractions_linear_files/Yang_linear_img/227497222.jpg","show blot")</f>
        <v>show blot</v>
      </c>
      <c r="J1997" s="5" t="s">
        <v>3977</v>
      </c>
      <c r="L1997" s="11">
        <v>5.3281523836545039</v>
      </c>
      <c r="N1997" s="12"/>
    </row>
    <row r="1998" spans="1:14" s="5" customFormat="1" ht="15" customHeight="1" x14ac:dyDescent="0.25">
      <c r="A1998" s="9" t="s">
        <v>3978</v>
      </c>
      <c r="C1998" s="9" t="str">
        <f>HYPERLINK("http://www.ncbi.nlm.nih.gov/protein/87299588","Dvl2")</f>
        <v>Dvl2</v>
      </c>
      <c r="D1998" s="10">
        <f t="shared" si="31"/>
        <v>1.6223320894616271</v>
      </c>
      <c r="F1998" s="8" t="str">
        <f>HYPERLINK("https://esbl.nhlbi.nih.gov/Databases/mpkFractions/proteomic_fractions_log_files/Yang_log_img/87299588.jpg","show blot")</f>
        <v>show blot</v>
      </c>
      <c r="H1998" s="8" t="str">
        <f>HYPERLINK("https://esbl.nhlbi.nih.gov/Databases/mpkFractions/proteomic_fractions_linear_files/Yang_linear_img/87299588.jpg","show blot")</f>
        <v>show blot</v>
      </c>
      <c r="J1998" s="5" t="s">
        <v>3979</v>
      </c>
      <c r="L1998" s="11">
        <v>1.6223320894616271</v>
      </c>
      <c r="N1998" s="12"/>
    </row>
    <row r="1999" spans="1:14" s="5" customFormat="1" ht="15" customHeight="1" x14ac:dyDescent="0.25">
      <c r="A1999" s="9" t="s">
        <v>3980</v>
      </c>
      <c r="C1999" s="9" t="str">
        <f>HYPERLINK("http://www.ncbi.nlm.nih.gov/protein/117168287","Dvl3")</f>
        <v>Dvl3</v>
      </c>
      <c r="D1999" s="10">
        <f t="shared" si="31"/>
        <v>1.6278645780615879</v>
      </c>
      <c r="F1999" s="8" t="str">
        <f>HYPERLINK("https://esbl.nhlbi.nih.gov/Databases/mpkFractions/proteomic_fractions_log_files/Yang_log_img/117168287.jpg","show blot")</f>
        <v>show blot</v>
      </c>
      <c r="H1999" s="8" t="str">
        <f>HYPERLINK("https://esbl.nhlbi.nih.gov/Databases/mpkFractions/proteomic_fractions_linear_files/Yang_linear_img/117168287.jpg","show blot")</f>
        <v>show blot</v>
      </c>
      <c r="J1999" s="5" t="s">
        <v>3981</v>
      </c>
      <c r="L1999" s="11">
        <v>1.6278645780615879</v>
      </c>
      <c r="N1999" s="12"/>
    </row>
    <row r="2000" spans="1:14" s="5" customFormat="1" ht="15" customHeight="1" x14ac:dyDescent="0.25">
      <c r="A2000" s="9" t="s">
        <v>3982</v>
      </c>
      <c r="C2000" s="9" t="str">
        <f>HYPERLINK("http://www.ncbi.nlm.nih.gov/protein/254939704","Dxo")</f>
        <v>Dxo</v>
      </c>
      <c r="D2000" s="10">
        <f t="shared" si="31"/>
        <v>2.8121257160847439</v>
      </c>
      <c r="F2000" s="8" t="str">
        <f>HYPERLINK("https://esbl.nhlbi.nih.gov/Databases/mpkFractions/proteomic_fractions_log_files/Yang_log_img/254939704.jpg","show blot")</f>
        <v>show blot</v>
      </c>
      <c r="H2000" s="8" t="str">
        <f>HYPERLINK("https://esbl.nhlbi.nih.gov/Databases/mpkFractions/proteomic_fractions_linear_files/Yang_linear_img/254939704.jpg","show blot")</f>
        <v>show blot</v>
      </c>
      <c r="J2000" s="5" t="s">
        <v>3983</v>
      </c>
      <c r="L2000" s="11">
        <v>2.8121257160847439</v>
      </c>
      <c r="N2000" s="12"/>
    </row>
    <row r="2001" spans="1:14" s="5" customFormat="1" ht="15" customHeight="1" x14ac:dyDescent="0.25">
      <c r="A2001" s="9" t="s">
        <v>3984</v>
      </c>
      <c r="C2001" s="9" t="str">
        <f>HYPERLINK("http://www.ncbi.nlm.nih.gov/protein/25282389","Dym")</f>
        <v>Dym</v>
      </c>
      <c r="D2001" s="10">
        <f t="shared" si="31"/>
        <v>3.345636662571398</v>
      </c>
      <c r="F2001" s="8" t="str">
        <f>HYPERLINK("https://esbl.nhlbi.nih.gov/Databases/mpkFractions/proteomic_fractions_log_files/Yang_log_img/25282389.jpg","show blot")</f>
        <v>show blot</v>
      </c>
      <c r="H2001" s="8" t="str">
        <f>HYPERLINK("https://esbl.nhlbi.nih.gov/Databases/mpkFractions/proteomic_fractions_linear_files/Yang_linear_img/25282389.jpg","show blot")</f>
        <v>show blot</v>
      </c>
      <c r="J2001" s="5" t="s">
        <v>3985</v>
      </c>
      <c r="L2001" s="11">
        <v>3.345636662571398</v>
      </c>
      <c r="N2001" s="12"/>
    </row>
    <row r="2002" spans="1:14" s="5" customFormat="1" ht="15" customHeight="1" x14ac:dyDescent="0.25">
      <c r="A2002" s="9" t="s">
        <v>3986</v>
      </c>
      <c r="C2002" s="9" t="str">
        <f>HYPERLINK("http://www.ncbi.nlm.nih.gov/protein/134288917","Dync1h1")</f>
        <v>Dync1h1</v>
      </c>
      <c r="D2002" s="10">
        <f t="shared" si="31"/>
        <v>6.0132818238831982</v>
      </c>
      <c r="F2002" s="8" t="str">
        <f>HYPERLINK("https://esbl.nhlbi.nih.gov/Databases/mpkFractions/proteomic_fractions_log_files/Yang_log_img/134288917.jpg","show blot")</f>
        <v>show blot</v>
      </c>
      <c r="H2002" s="8" t="str">
        <f>HYPERLINK("https://esbl.nhlbi.nih.gov/Databases/mpkFractions/proteomic_fractions_linear_files/Yang_linear_img/134288917.jpg","show blot")</f>
        <v>show blot</v>
      </c>
      <c r="J2002" s="5" t="s">
        <v>3987</v>
      </c>
      <c r="L2002" s="11">
        <v>6.0132818238831982</v>
      </c>
      <c r="N2002" s="12"/>
    </row>
    <row r="2003" spans="1:14" s="5" customFormat="1" ht="15" customHeight="1" x14ac:dyDescent="0.25">
      <c r="A2003" s="9" t="s">
        <v>3988</v>
      </c>
      <c r="C2003" s="9" t="str">
        <f>HYPERLINK("http://www.ncbi.nlm.nih.gov/protein/311893374","Dync1i2")</f>
        <v>Dync1i2</v>
      </c>
      <c r="D2003" s="10">
        <f t="shared" si="31"/>
        <v>5.3484371113626752</v>
      </c>
      <c r="F2003" s="8" t="str">
        <f>HYPERLINK("https://esbl.nhlbi.nih.gov/Databases/mpkFractions/proteomic_fractions_log_files/Yang_log_img/311893374.jpg","show blot")</f>
        <v>show blot</v>
      </c>
      <c r="H2003" s="8" t="str">
        <f>HYPERLINK("https://esbl.nhlbi.nih.gov/Databases/mpkFractions/proteomic_fractions_linear_files/Yang_linear_img/311893374.jpg","show blot")</f>
        <v>show blot</v>
      </c>
      <c r="J2003" s="5" t="s">
        <v>3989</v>
      </c>
      <c r="L2003" s="11">
        <v>5.3484371113626752</v>
      </c>
      <c r="N2003" s="12"/>
    </row>
    <row r="2004" spans="1:14" s="5" customFormat="1" ht="15" customHeight="1" x14ac:dyDescent="0.25">
      <c r="A2004" s="9" t="s">
        <v>3990</v>
      </c>
      <c r="C2004" s="9" t="str">
        <f>HYPERLINK("http://www.ncbi.nlm.nih.gov/protein/311893376","Dync1i2")</f>
        <v>Dync1i2</v>
      </c>
      <c r="D2004" s="10">
        <f t="shared" si="31"/>
        <v>5.3484371113626752</v>
      </c>
      <c r="F2004" s="8" t="str">
        <f>HYPERLINK("https://esbl.nhlbi.nih.gov/Databases/mpkFractions/proteomic_fractions_log_files/Yang_log_img/311893376.jpg","show blot")</f>
        <v>show blot</v>
      </c>
      <c r="H2004" s="8" t="str">
        <f>HYPERLINK("https://esbl.nhlbi.nih.gov/Databases/mpkFractions/proteomic_fractions_linear_files/Yang_linear_img/311893376.jpg","show blot")</f>
        <v>show blot</v>
      </c>
      <c r="J2004" s="5" t="s">
        <v>3991</v>
      </c>
      <c r="L2004" s="11">
        <v>5.3484371113626752</v>
      </c>
      <c r="N2004" s="12"/>
    </row>
    <row r="2005" spans="1:14" s="5" customFormat="1" ht="15" customHeight="1" x14ac:dyDescent="0.25">
      <c r="A2005" s="9" t="s">
        <v>3992</v>
      </c>
      <c r="C2005" s="9" t="str">
        <f>HYPERLINK("http://www.ncbi.nlm.nih.gov/protein/311893378","Dync1i2")</f>
        <v>Dync1i2</v>
      </c>
      <c r="D2005" s="10">
        <f t="shared" si="31"/>
        <v>5.3484371113626752</v>
      </c>
      <c r="F2005" s="8" t="str">
        <f>HYPERLINK("https://esbl.nhlbi.nih.gov/Databases/mpkFractions/proteomic_fractions_log_files/Yang_log_img/311893378.jpg","show blot")</f>
        <v>show blot</v>
      </c>
      <c r="H2005" s="8" t="str">
        <f>HYPERLINK("https://esbl.nhlbi.nih.gov/Databases/mpkFractions/proteomic_fractions_linear_files/Yang_linear_img/311893378.jpg","show blot")</f>
        <v>show blot</v>
      </c>
      <c r="J2005" s="5" t="s">
        <v>3993</v>
      </c>
      <c r="L2005" s="11">
        <v>5.3484371113626752</v>
      </c>
      <c r="N2005" s="12"/>
    </row>
    <row r="2006" spans="1:14" s="5" customFormat="1" ht="15" customHeight="1" x14ac:dyDescent="0.25">
      <c r="A2006" s="9" t="s">
        <v>3994</v>
      </c>
      <c r="C2006" s="9" t="str">
        <f>HYPERLINK("http://www.ncbi.nlm.nih.gov/protein/311893380","Dync1i2")</f>
        <v>Dync1i2</v>
      </c>
      <c r="D2006" s="10">
        <f t="shared" si="31"/>
        <v>5.3484371113626752</v>
      </c>
      <c r="F2006" s="8" t="str">
        <f>HYPERLINK("https://esbl.nhlbi.nih.gov/Databases/mpkFractions/proteomic_fractions_log_files/Yang_log_img/311893380.jpg","show blot")</f>
        <v>show blot</v>
      </c>
      <c r="H2006" s="8" t="str">
        <f>HYPERLINK("https://esbl.nhlbi.nih.gov/Databases/mpkFractions/proteomic_fractions_linear_files/Yang_linear_img/311893380.jpg","show blot")</f>
        <v>show blot</v>
      </c>
      <c r="J2006" s="5" t="s">
        <v>3995</v>
      </c>
      <c r="L2006" s="11">
        <v>5.3484371113626752</v>
      </c>
      <c r="N2006" s="12"/>
    </row>
    <row r="2007" spans="1:14" s="5" customFormat="1" ht="15" customHeight="1" x14ac:dyDescent="0.25">
      <c r="A2007" s="9" t="s">
        <v>3996</v>
      </c>
      <c r="C2007" s="9" t="str">
        <f>HYPERLINK("http://www.ncbi.nlm.nih.gov/protein/6753658","Dync1i2")</f>
        <v>Dync1i2</v>
      </c>
      <c r="D2007" s="10">
        <f t="shared" si="31"/>
        <v>5.3484371113626752</v>
      </c>
      <c r="F2007" s="8" t="str">
        <f>HYPERLINK("https://esbl.nhlbi.nih.gov/Databases/mpkFractions/proteomic_fractions_log_files/Yang_log_img/6753658.jpg","show blot")</f>
        <v>show blot</v>
      </c>
      <c r="H2007" s="8" t="str">
        <f>HYPERLINK("https://esbl.nhlbi.nih.gov/Databases/mpkFractions/proteomic_fractions_linear_files/Yang_linear_img/6753658.jpg","show blot")</f>
        <v>show blot</v>
      </c>
      <c r="J2007" s="5" t="s">
        <v>3997</v>
      </c>
      <c r="L2007" s="11">
        <v>5.3484371113626752</v>
      </c>
      <c r="N2007" s="12"/>
    </row>
    <row r="2008" spans="1:14" s="5" customFormat="1" ht="15" customHeight="1" x14ac:dyDescent="0.25">
      <c r="A2008" s="9" t="s">
        <v>3998</v>
      </c>
      <c r="C2008" s="9" t="str">
        <f>HYPERLINK("http://www.ncbi.nlm.nih.gov/protein/22122795","Dync1li1")</f>
        <v>Dync1li1</v>
      </c>
      <c r="D2008" s="10">
        <f t="shared" si="31"/>
        <v>5.4482097108259202</v>
      </c>
      <c r="F2008" s="8" t="str">
        <f>HYPERLINK("https://esbl.nhlbi.nih.gov/Databases/mpkFractions/proteomic_fractions_log_files/Yang_log_img/22122795.jpg","show blot")</f>
        <v>show blot</v>
      </c>
      <c r="H2008" s="8" t="str">
        <f>HYPERLINK("https://esbl.nhlbi.nih.gov/Databases/mpkFractions/proteomic_fractions_linear_files/Yang_linear_img/22122795.jpg","show blot")</f>
        <v>show blot</v>
      </c>
      <c r="J2008" s="5" t="s">
        <v>3999</v>
      </c>
      <c r="L2008" s="11">
        <v>5.4482097108259202</v>
      </c>
      <c r="N2008" s="12"/>
    </row>
    <row r="2009" spans="1:14" s="5" customFormat="1" ht="15" customHeight="1" x14ac:dyDescent="0.25">
      <c r="A2009" s="9" t="s">
        <v>4000</v>
      </c>
      <c r="C2009" s="9" t="str">
        <f>HYPERLINK("http://www.ncbi.nlm.nih.gov/protein/225543181","Dync1li2")</f>
        <v>Dync1li2</v>
      </c>
      <c r="D2009" s="10">
        <f t="shared" si="31"/>
        <v>5.4921199732384904</v>
      </c>
      <c r="F2009" s="8" t="str">
        <f>HYPERLINK("https://esbl.nhlbi.nih.gov/Databases/mpkFractions/proteomic_fractions_log_files/Yang_log_img/225543181.jpg","show blot")</f>
        <v>show blot</v>
      </c>
      <c r="H2009" s="8" t="str">
        <f>HYPERLINK("https://esbl.nhlbi.nih.gov/Databases/mpkFractions/proteomic_fractions_linear_files/Yang_linear_img/225543181.jpg","show blot")</f>
        <v>show blot</v>
      </c>
      <c r="J2009" s="5" t="s">
        <v>4001</v>
      </c>
      <c r="L2009" s="11">
        <v>5.4921199732384904</v>
      </c>
      <c r="N2009" s="12"/>
    </row>
    <row r="2010" spans="1:14" s="5" customFormat="1" ht="15" customHeight="1" x14ac:dyDescent="0.25">
      <c r="A2010" s="9" t="s">
        <v>4002</v>
      </c>
      <c r="C2010" s="9" t="str">
        <f>HYPERLINK("http://www.ncbi.nlm.nih.gov/protein/72534792","Dync2h1")</f>
        <v>Dync2h1</v>
      </c>
      <c r="D2010" s="10">
        <f t="shared" si="31"/>
        <v>2.6920115511936391</v>
      </c>
      <c r="F2010" s="8" t="str">
        <f>HYPERLINK("https://esbl.nhlbi.nih.gov/Databases/mpkFractions/proteomic_fractions_log_files/Yang_log_img/72534792.jpg","show blot")</f>
        <v>show blot</v>
      </c>
      <c r="H2010" s="8" t="str">
        <f>HYPERLINK("https://esbl.nhlbi.nih.gov/Databases/mpkFractions/proteomic_fractions_linear_files/Yang_linear_img/72534792.jpg","show blot")</f>
        <v>show blot</v>
      </c>
      <c r="J2010" s="5" t="s">
        <v>4003</v>
      </c>
      <c r="L2010" s="11">
        <v>2.6920115511936391</v>
      </c>
      <c r="N2010" s="12"/>
    </row>
    <row r="2011" spans="1:14" s="5" customFormat="1" ht="15" customHeight="1" x14ac:dyDescent="0.25">
      <c r="A2011" s="9" t="s">
        <v>4004</v>
      </c>
      <c r="C2011" s="9" t="str">
        <f>HYPERLINK("http://www.ncbi.nlm.nih.gov/protein/26986541","Dync2li1")</f>
        <v>Dync2li1</v>
      </c>
      <c r="D2011" s="10">
        <f t="shared" si="31"/>
        <v>2.8904836406806611</v>
      </c>
      <c r="F2011" s="8" t="str">
        <f>HYPERLINK("https://esbl.nhlbi.nih.gov/Databases/mpkFractions/proteomic_fractions_log_files/Yang_log_img/26986541.jpg","show blot")</f>
        <v>show blot</v>
      </c>
      <c r="H2011" s="8" t="str">
        <f>HYPERLINK("https://esbl.nhlbi.nih.gov/Databases/mpkFractions/proteomic_fractions_linear_files/Yang_linear_img/26986541.jpg","show blot")</f>
        <v>show blot</v>
      </c>
      <c r="J2011" s="5" t="s">
        <v>4005</v>
      </c>
      <c r="L2011" s="11">
        <v>2.8904836406806611</v>
      </c>
      <c r="N2011" s="12"/>
    </row>
    <row r="2012" spans="1:14" s="5" customFormat="1" ht="15" customHeight="1" x14ac:dyDescent="0.25">
      <c r="A2012" s="9" t="s">
        <v>4006</v>
      </c>
      <c r="C2012" s="9" t="str">
        <f>HYPERLINK("http://www.ncbi.nlm.nih.gov/protein/213688406","Dynll1")</f>
        <v>Dynll1</v>
      </c>
      <c r="D2012" s="10">
        <f t="shared" si="31"/>
        <v>6.1612277101185784</v>
      </c>
      <c r="F2012" s="8" t="str">
        <f>HYPERLINK("https://esbl.nhlbi.nih.gov/Databases/mpkFractions/proteomic_fractions_log_files/Yang_log_img/213688406.jpg","show blot")</f>
        <v>show blot</v>
      </c>
      <c r="H2012" s="8" t="str">
        <f>HYPERLINK("https://esbl.nhlbi.nih.gov/Databases/mpkFractions/proteomic_fractions_linear_files/Yang_linear_img/213688406.jpg","show blot")</f>
        <v>show blot</v>
      </c>
      <c r="J2012" s="5" t="s">
        <v>4007</v>
      </c>
      <c r="L2012" s="11">
        <v>6.1612277101185784</v>
      </c>
      <c r="N2012" s="12"/>
    </row>
    <row r="2013" spans="1:14" s="5" customFormat="1" ht="15" customHeight="1" x14ac:dyDescent="0.25">
      <c r="A2013" s="9" t="s">
        <v>4008</v>
      </c>
      <c r="C2013" s="9" t="str">
        <f>HYPERLINK("http://www.ncbi.nlm.nih.gov/protein/281182473;18087731","Dynll2")</f>
        <v>Dynll2</v>
      </c>
      <c r="D2013" s="10">
        <f t="shared" si="31"/>
        <v>5.9226699206726723</v>
      </c>
      <c r="F2013" s="8" t="str">
        <f>HYPERLINK("https://esbl.nhlbi.nih.gov/Databases/mpkFractions/proteomic_fractions_log_files/Yang_log_img/281182473;18087731.jpg","show blot")</f>
        <v>show blot</v>
      </c>
      <c r="H2013" s="8" t="str">
        <f>HYPERLINK("https://esbl.nhlbi.nih.gov/Databases/mpkFractions/proteomic_fractions_linear_files/Yang_linear_img/281182473;18087731.jpg","show blot")</f>
        <v>show blot</v>
      </c>
      <c r="J2013" s="5" t="s">
        <v>4009</v>
      </c>
      <c r="L2013" s="11">
        <v>5.9226699206726723</v>
      </c>
      <c r="N2013" s="12"/>
    </row>
    <row r="2014" spans="1:14" s="5" customFormat="1" ht="15" customHeight="1" x14ac:dyDescent="0.25">
      <c r="A2014" s="9" t="s">
        <v>4010</v>
      </c>
      <c r="C2014" s="9" t="str">
        <f>HYPERLINK("http://www.ncbi.nlm.nih.gov/protein/18087731","Dynll2")</f>
        <v>Dynll2</v>
      </c>
      <c r="D2014" s="10">
        <f t="shared" si="31"/>
        <v>5.9226699206726723</v>
      </c>
      <c r="F2014" s="8" t="str">
        <f>HYPERLINK("https://esbl.nhlbi.nih.gov/Databases/mpkFractions/proteomic_fractions_log_files/Yang_log_img/18087731.jpg","show blot")</f>
        <v>show blot</v>
      </c>
      <c r="H2014" s="8" t="str">
        <f>HYPERLINK("https://esbl.nhlbi.nih.gov/Databases/mpkFractions/proteomic_fractions_linear_files/Yang_linear_img/18087731.jpg","show blot")</f>
        <v>show blot</v>
      </c>
      <c r="J2014" s="5" t="s">
        <v>4009</v>
      </c>
      <c r="L2014" s="11">
        <v>5.9226699206726723</v>
      </c>
      <c r="N2014" s="12"/>
    </row>
    <row r="2015" spans="1:14" s="5" customFormat="1" ht="15" customHeight="1" x14ac:dyDescent="0.25">
      <c r="A2015" s="9" t="s">
        <v>4011</v>
      </c>
      <c r="C2015" s="9" t="str">
        <f>HYPERLINK("http://www.ncbi.nlm.nih.gov/protein/254540041","Dynlrb1")</f>
        <v>Dynlrb1</v>
      </c>
      <c r="D2015" s="10">
        <f t="shared" si="31"/>
        <v>5.037534905374538</v>
      </c>
      <c r="F2015" s="8" t="str">
        <f>HYPERLINK("https://esbl.nhlbi.nih.gov/Databases/mpkFractions/proteomic_fractions_log_files/Yang_log_img/254540041.jpg","show blot")</f>
        <v>show blot</v>
      </c>
      <c r="H2015" s="8" t="str">
        <f>HYPERLINK("https://esbl.nhlbi.nih.gov/Databases/mpkFractions/proteomic_fractions_linear_files/Yang_linear_img/254540041.jpg","show blot")</f>
        <v>show blot</v>
      </c>
      <c r="J2015" s="5" t="s">
        <v>4012</v>
      </c>
      <c r="L2015" s="11">
        <v>5.037534905374538</v>
      </c>
      <c r="N2015" s="12"/>
    </row>
    <row r="2016" spans="1:14" s="5" customFormat="1" ht="15" customHeight="1" x14ac:dyDescent="0.25">
      <c r="A2016" s="9" t="s">
        <v>4013</v>
      </c>
      <c r="C2016" s="9" t="str">
        <f>HYPERLINK("http://www.ncbi.nlm.nih.gov/protein/262231815","Dynlt1a")</f>
        <v>Dynlt1a</v>
      </c>
      <c r="D2016" s="10">
        <f t="shared" si="31"/>
        <v>5.9118051988323916</v>
      </c>
      <c r="F2016" s="8" t="str">
        <f>HYPERLINK("https://esbl.nhlbi.nih.gov/Databases/mpkFractions/proteomic_fractions_log_files/Yang_log_img/262231815.jpg","show blot")</f>
        <v>show blot</v>
      </c>
      <c r="H2016" s="8" t="str">
        <f>HYPERLINK("https://esbl.nhlbi.nih.gov/Databases/mpkFractions/proteomic_fractions_linear_files/Yang_linear_img/262231815.jpg","show blot")</f>
        <v>show blot</v>
      </c>
      <c r="J2016" s="5" t="s">
        <v>4014</v>
      </c>
      <c r="L2016" s="11">
        <v>5.9118051988323916</v>
      </c>
      <c r="N2016" s="12"/>
    </row>
    <row r="2017" spans="1:14" s="5" customFormat="1" ht="15" customHeight="1" x14ac:dyDescent="0.25">
      <c r="A2017" s="9" t="s">
        <v>4015</v>
      </c>
      <c r="C2017" s="9" t="str">
        <f>HYPERLINK("http://www.ncbi.nlm.nih.gov/protein/6678265;262231815","Dynlt1b")</f>
        <v>Dynlt1b</v>
      </c>
      <c r="D2017" s="10">
        <f t="shared" si="31"/>
        <v>4.7976725549036194</v>
      </c>
      <c r="F2017" s="8" t="str">
        <f>HYPERLINK("https://esbl.nhlbi.nih.gov/Databases/mpkFractions/proteomic_fractions_log_files/Yang_log_img/6678265;262231815.jpg","show blot")</f>
        <v>show blot</v>
      </c>
      <c r="H2017" s="8" t="str">
        <f>HYPERLINK("https://esbl.nhlbi.nih.gov/Databases/mpkFractions/proteomic_fractions_linear_files/Yang_linear_img/6678265;262231815.jpg","show blot")</f>
        <v>show blot</v>
      </c>
      <c r="J2017" s="5" t="s">
        <v>4016</v>
      </c>
      <c r="L2017" s="11">
        <v>4.7976725549036194</v>
      </c>
      <c r="N2017" s="12"/>
    </row>
    <row r="2018" spans="1:14" s="5" customFormat="1" ht="15" customHeight="1" x14ac:dyDescent="0.25">
      <c r="A2018" s="9" t="s">
        <v>4017</v>
      </c>
      <c r="C2018" s="9" t="str">
        <f>HYPERLINK("http://www.ncbi.nlm.nih.gov/protein/315711043","Dynlt1f")</f>
        <v>Dynlt1f</v>
      </c>
      <c r="D2018" s="10">
        <f t="shared" si="31"/>
        <v>5.9764575940029792</v>
      </c>
      <c r="F2018" s="8" t="str">
        <f>HYPERLINK("https://esbl.nhlbi.nih.gov/Databases/mpkFractions/proteomic_fractions_log_files/Yang_log_img/315711043.jpg","show blot")</f>
        <v>show blot</v>
      </c>
      <c r="H2018" s="8" t="str">
        <f>HYPERLINK("https://esbl.nhlbi.nih.gov/Databases/mpkFractions/proteomic_fractions_linear_files/Yang_linear_img/315711043.jpg","show blot")</f>
        <v>show blot</v>
      </c>
      <c r="J2018" s="5" t="s">
        <v>4018</v>
      </c>
      <c r="L2018" s="11">
        <v>5.9764575940029792</v>
      </c>
      <c r="N2018" s="12"/>
    </row>
    <row r="2019" spans="1:14" s="5" customFormat="1" ht="15" customHeight="1" x14ac:dyDescent="0.25">
      <c r="A2019" s="9" t="s">
        <v>4019</v>
      </c>
      <c r="C2019" s="9" t="str">
        <f>HYPERLINK("http://www.ncbi.nlm.nih.gov/protein/31543851","Dynlt3")</f>
        <v>Dynlt3</v>
      </c>
      <c r="D2019" s="10">
        <f t="shared" si="31"/>
        <v>3.9416539051361652</v>
      </c>
      <c r="F2019" s="8" t="str">
        <f>HYPERLINK("https://esbl.nhlbi.nih.gov/Databases/mpkFractions/proteomic_fractions_log_files/Yang_log_img/31543851.jpg","show blot")</f>
        <v>show blot</v>
      </c>
      <c r="H2019" s="8" t="str">
        <f>HYPERLINK("https://esbl.nhlbi.nih.gov/Databases/mpkFractions/proteomic_fractions_linear_files/Yang_linear_img/31543851.jpg","show blot")</f>
        <v>show blot</v>
      </c>
      <c r="J2019" s="5" t="s">
        <v>4020</v>
      </c>
      <c r="L2019" s="11">
        <v>3.9416539051361652</v>
      </c>
      <c r="N2019" s="12"/>
    </row>
    <row r="2020" spans="1:14" s="5" customFormat="1" ht="15" customHeight="1" x14ac:dyDescent="0.25">
      <c r="A2020" s="9" t="s">
        <v>4021</v>
      </c>
      <c r="C2020" s="9" t="str">
        <f>HYPERLINK("http://www.ncbi.nlm.nih.gov/protein/164607150","Dyrk1a")</f>
        <v>Dyrk1a</v>
      </c>
      <c r="D2020" s="10">
        <f t="shared" si="31"/>
        <v>2.105450070646838</v>
      </c>
      <c r="F2020" s="8" t="str">
        <f>HYPERLINK("https://esbl.nhlbi.nih.gov/Databases/mpkFractions/proteomic_fractions_log_files/Yang_log_img/164607150.jpg","show blot")</f>
        <v>show blot</v>
      </c>
      <c r="H2020" s="8" t="str">
        <f>HYPERLINK("https://esbl.nhlbi.nih.gov/Databases/mpkFractions/proteomic_fractions_linear_files/Yang_linear_img/164607150.jpg","show blot")</f>
        <v>show blot</v>
      </c>
      <c r="J2020" s="5" t="s">
        <v>4022</v>
      </c>
      <c r="L2020" s="11">
        <v>2.105450070646838</v>
      </c>
      <c r="N2020" s="12"/>
    </row>
    <row r="2021" spans="1:14" s="5" customFormat="1" ht="15" customHeight="1" x14ac:dyDescent="0.25">
      <c r="A2021" s="9" t="s">
        <v>4023</v>
      </c>
      <c r="C2021" s="9" t="str">
        <f>HYPERLINK("http://www.ncbi.nlm.nih.gov/protein/406035327","Dyrk1b")</f>
        <v>Dyrk1b</v>
      </c>
      <c r="D2021" s="10">
        <f t="shared" si="31"/>
        <v>2.2219556397182751</v>
      </c>
      <c r="F2021" s="8" t="str">
        <f>HYPERLINK("https://esbl.nhlbi.nih.gov/Databases/mpkFractions/proteomic_fractions_log_files/Yang_log_img/406035327.jpg","show blot")</f>
        <v>show blot</v>
      </c>
      <c r="H2021" s="8" t="str">
        <f>HYPERLINK("https://esbl.nhlbi.nih.gov/Databases/mpkFractions/proteomic_fractions_linear_files/Yang_linear_img/406035327.jpg","show blot")</f>
        <v>show blot</v>
      </c>
      <c r="J2021" s="5" t="s">
        <v>4024</v>
      </c>
      <c r="L2021" s="11">
        <v>2.2219556397182751</v>
      </c>
      <c r="N2021" s="12"/>
    </row>
    <row r="2022" spans="1:14" s="5" customFormat="1" ht="15" customHeight="1" x14ac:dyDescent="0.25">
      <c r="A2022" s="9" t="s">
        <v>4025</v>
      </c>
      <c r="C2022" s="9" t="str">
        <f>HYPERLINK("http://www.ncbi.nlm.nih.gov/protein/6753698","Dyrk1b")</f>
        <v>Dyrk1b</v>
      </c>
      <c r="D2022" s="10">
        <f t="shared" si="31"/>
        <v>2.2219556397182751</v>
      </c>
      <c r="F2022" s="8" t="str">
        <f>HYPERLINK("https://esbl.nhlbi.nih.gov/Databases/mpkFractions/proteomic_fractions_log_files/Yang_log_img/6753698.jpg","show blot")</f>
        <v>show blot</v>
      </c>
      <c r="H2022" s="8" t="str">
        <f>HYPERLINK("https://esbl.nhlbi.nih.gov/Databases/mpkFractions/proteomic_fractions_linear_files/Yang_linear_img/6753698.jpg","show blot")</f>
        <v>show blot</v>
      </c>
      <c r="J2022" s="5" t="s">
        <v>4026</v>
      </c>
      <c r="L2022" s="11">
        <v>2.2219556397182751</v>
      </c>
      <c r="N2022" s="12"/>
    </row>
    <row r="2023" spans="1:14" s="5" customFormat="1" ht="15" customHeight="1" x14ac:dyDescent="0.25">
      <c r="A2023" s="9" t="s">
        <v>4027</v>
      </c>
      <c r="C2023" s="9" t="str">
        <f>HYPERLINK("http://www.ncbi.nlm.nih.gov/protein/83816922","Dyrk1b")</f>
        <v>Dyrk1b</v>
      </c>
      <c r="D2023" s="10">
        <f t="shared" si="31"/>
        <v>2.2219556397182751</v>
      </c>
      <c r="F2023" s="8" t="str">
        <f>HYPERLINK("https://esbl.nhlbi.nih.gov/Databases/mpkFractions/proteomic_fractions_log_files/Yang_log_img/83816922.jpg","show blot")</f>
        <v>show blot</v>
      </c>
      <c r="H2023" s="8" t="str">
        <f>HYPERLINK("https://esbl.nhlbi.nih.gov/Databases/mpkFractions/proteomic_fractions_linear_files/Yang_linear_img/83816922.jpg","show blot")</f>
        <v>show blot</v>
      </c>
      <c r="J2023" s="5" t="s">
        <v>4028</v>
      </c>
      <c r="L2023" s="11">
        <v>2.2219556397182751</v>
      </c>
      <c r="N2023" s="12"/>
    </row>
    <row r="2024" spans="1:14" s="5" customFormat="1" ht="15" customHeight="1" x14ac:dyDescent="0.25">
      <c r="A2024" s="9" t="s">
        <v>4029</v>
      </c>
      <c r="C2024" s="9" t="str">
        <f>HYPERLINK("http://www.ncbi.nlm.nih.gov/protein/116174791","Dysf")</f>
        <v>Dysf</v>
      </c>
      <c r="D2024" s="10">
        <f t="shared" si="31"/>
        <v>3.7782046237677971</v>
      </c>
      <c r="F2024" s="8" t="str">
        <f>HYPERLINK("https://esbl.nhlbi.nih.gov/Databases/mpkFractions/proteomic_fractions_log_files/Yang_log_img/116174791.jpg","show blot")</f>
        <v>show blot</v>
      </c>
      <c r="H2024" s="8" t="str">
        <f>HYPERLINK("https://esbl.nhlbi.nih.gov/Databases/mpkFractions/proteomic_fractions_linear_files/Yang_linear_img/116174791.jpg","show blot")</f>
        <v>show blot</v>
      </c>
      <c r="J2024" s="5" t="s">
        <v>4030</v>
      </c>
      <c r="L2024" s="11">
        <v>3.7782046237677971</v>
      </c>
      <c r="N2024" s="12"/>
    </row>
    <row r="2025" spans="1:14" s="5" customFormat="1" ht="15" customHeight="1" x14ac:dyDescent="0.25">
      <c r="A2025" s="9" t="s">
        <v>4031</v>
      </c>
      <c r="C2025" s="9" t="str">
        <f>HYPERLINK("http://www.ncbi.nlm.nih.gov/protein/118026931","Dysf")</f>
        <v>Dysf</v>
      </c>
      <c r="D2025" s="10">
        <f t="shared" si="31"/>
        <v>3.7782046237677971</v>
      </c>
      <c r="F2025" s="8" t="str">
        <f>HYPERLINK("https://esbl.nhlbi.nih.gov/Databases/mpkFractions/proteomic_fractions_log_files/Yang_log_img/118026931.jpg","show blot")</f>
        <v>show blot</v>
      </c>
      <c r="H2025" s="8" t="str">
        <f>HYPERLINK("https://esbl.nhlbi.nih.gov/Databases/mpkFractions/proteomic_fractions_linear_files/Yang_linear_img/118026931.jpg","show blot")</f>
        <v>show blot</v>
      </c>
      <c r="J2025" s="5" t="s">
        <v>4032</v>
      </c>
      <c r="L2025" s="11">
        <v>3.7782046237677971</v>
      </c>
      <c r="N2025" s="12"/>
    </row>
    <row r="2026" spans="1:14" s="5" customFormat="1" ht="15" customHeight="1" x14ac:dyDescent="0.25">
      <c r="A2026" s="9" t="s">
        <v>4033</v>
      </c>
      <c r="C2026" s="9" t="str">
        <f>HYPERLINK("http://www.ncbi.nlm.nih.gov/protein/124249054","Dzip3")</f>
        <v>Dzip3</v>
      </c>
      <c r="D2026" s="10">
        <f t="shared" si="31"/>
        <v>3.1704329938286619</v>
      </c>
      <c r="F2026" s="8" t="str">
        <f>HYPERLINK("https://esbl.nhlbi.nih.gov/Databases/mpkFractions/proteomic_fractions_log_files/Yang_log_img/124249054.jpg","show blot")</f>
        <v>show blot</v>
      </c>
      <c r="H2026" s="8" t="str">
        <f>HYPERLINK("https://esbl.nhlbi.nih.gov/Databases/mpkFractions/proteomic_fractions_linear_files/Yang_linear_img/124249054.jpg","show blot")</f>
        <v>show blot</v>
      </c>
      <c r="J2026" s="5" t="s">
        <v>4034</v>
      </c>
      <c r="L2026" s="11">
        <v>3.1704329938286619</v>
      </c>
      <c r="N2026" s="12"/>
    </row>
    <row r="2027" spans="1:14" s="5" customFormat="1" ht="15" customHeight="1" x14ac:dyDescent="0.25">
      <c r="A2027" s="9" t="s">
        <v>4035</v>
      </c>
      <c r="C2027" s="9" t="str">
        <f>HYPERLINK("http://www.ncbi.nlm.nih.gov/protein/158517947","Dzip3")</f>
        <v>Dzip3</v>
      </c>
      <c r="D2027" s="10">
        <f t="shared" si="31"/>
        <v>3.1704329938286619</v>
      </c>
      <c r="F2027" s="8" t="str">
        <f>HYPERLINK("https://esbl.nhlbi.nih.gov/Databases/mpkFractions/proteomic_fractions_log_files/Yang_log_img/158517947.jpg","show blot")</f>
        <v>show blot</v>
      </c>
      <c r="H2027" s="8" t="str">
        <f>HYPERLINK("https://esbl.nhlbi.nih.gov/Databases/mpkFractions/proteomic_fractions_linear_files/Yang_linear_img/158517947.jpg","show blot")</f>
        <v>show blot</v>
      </c>
      <c r="J2027" s="5" t="s">
        <v>4036</v>
      </c>
      <c r="L2027" s="11">
        <v>3.1704329938286619</v>
      </c>
      <c r="N2027" s="12"/>
    </row>
    <row r="2028" spans="1:14" s="5" customFormat="1" ht="15" customHeight="1" x14ac:dyDescent="0.25">
      <c r="A2028" s="9" t="s">
        <v>4037</v>
      </c>
      <c r="C2028" s="9" t="str">
        <f>HYPERLINK("http://www.ncbi.nlm.nih.gov/protein/149234198","E030010N08Rik")</f>
        <v>E030010N08Rik</v>
      </c>
      <c r="D2028" s="10">
        <f t="shared" si="31"/>
        <v>3.3876332745816091</v>
      </c>
      <c r="F2028" s="8" t="str">
        <f>HYPERLINK("https://esbl.nhlbi.nih.gov/Databases/mpkFractions/proteomic_fractions_log_files/Yang_log_img/149234198.jpg","show blot")</f>
        <v>show blot</v>
      </c>
      <c r="H2028" s="8" t="str">
        <f>HYPERLINK("https://esbl.nhlbi.nih.gov/Databases/mpkFractions/proteomic_fractions_linear_files/Yang_linear_img/149234198.jpg","show blot")</f>
        <v>show blot</v>
      </c>
      <c r="J2028" s="5" t="s">
        <v>4038</v>
      </c>
      <c r="L2028" s="11">
        <v>3.3876332745816091</v>
      </c>
      <c r="N2028" s="12"/>
    </row>
    <row r="2029" spans="1:14" s="5" customFormat="1" ht="15" customHeight="1" x14ac:dyDescent="0.25">
      <c r="A2029" s="9" t="s">
        <v>4039</v>
      </c>
      <c r="C2029" s="9" t="str">
        <f>HYPERLINK("http://www.ncbi.nlm.nih.gov/protein/309264118","E030010N08Rik")</f>
        <v>E030010N08Rik</v>
      </c>
      <c r="D2029" s="10">
        <f t="shared" si="31"/>
        <v>3.3876332745816091</v>
      </c>
      <c r="F2029" s="8" t="str">
        <f>HYPERLINK("https://esbl.nhlbi.nih.gov/Databases/mpkFractions/proteomic_fractions_log_files/Yang_log_img/309264118.jpg","show blot")</f>
        <v>show blot</v>
      </c>
      <c r="H2029" s="8" t="str">
        <f>HYPERLINK("https://esbl.nhlbi.nih.gov/Databases/mpkFractions/proteomic_fractions_linear_files/Yang_linear_img/309264118.jpg","show blot")</f>
        <v>show blot</v>
      </c>
      <c r="J2029" s="5" t="s">
        <v>4038</v>
      </c>
      <c r="L2029" s="11">
        <v>3.3876332745816091</v>
      </c>
      <c r="N2029" s="12"/>
    </row>
    <row r="2030" spans="1:14" s="5" customFormat="1" ht="15" customHeight="1" x14ac:dyDescent="0.25">
      <c r="A2030" s="9" t="s">
        <v>4040</v>
      </c>
      <c r="C2030" s="9" t="str">
        <f>HYPERLINK("http://www.ncbi.nlm.nih.gov/protein/170650679","E130309D02Rik")</f>
        <v>E130309D02Rik</v>
      </c>
      <c r="D2030" s="10">
        <f t="shared" si="31"/>
        <v>1.73383900069715</v>
      </c>
      <c r="F2030" s="8" t="str">
        <f>HYPERLINK("https://esbl.nhlbi.nih.gov/Databases/mpkFractions/proteomic_fractions_log_files/Yang_log_img/170650679.jpg","show blot")</f>
        <v>show blot</v>
      </c>
      <c r="H2030" s="8" t="str">
        <f>HYPERLINK("https://esbl.nhlbi.nih.gov/Databases/mpkFractions/proteomic_fractions_linear_files/Yang_linear_img/170650679.jpg","show blot")</f>
        <v>show blot</v>
      </c>
      <c r="J2030" s="5" t="s">
        <v>4041</v>
      </c>
      <c r="L2030" s="11">
        <v>1.73383900069715</v>
      </c>
      <c r="N2030" s="12"/>
    </row>
    <row r="2031" spans="1:14" s="5" customFormat="1" ht="15" customHeight="1" x14ac:dyDescent="0.25">
      <c r="A2031" s="9" t="s">
        <v>4042</v>
      </c>
      <c r="C2031" s="9" t="str">
        <f>HYPERLINK("http://www.ncbi.nlm.nih.gov/protein/29244450","E130311K13Rik")</f>
        <v>E130311K13Rik</v>
      </c>
      <c r="D2031" s="10">
        <f t="shared" si="31"/>
        <v>2.5637756648507568</v>
      </c>
      <c r="F2031" s="8" t="str">
        <f>HYPERLINK("https://esbl.nhlbi.nih.gov/Databases/mpkFractions/proteomic_fractions_log_files/Yang_log_img/29244450.jpg","show blot")</f>
        <v>show blot</v>
      </c>
      <c r="H2031" s="8" t="str">
        <f>HYPERLINK("https://esbl.nhlbi.nih.gov/Databases/mpkFractions/proteomic_fractions_linear_files/Yang_linear_img/29244450.jpg","show blot")</f>
        <v>show blot</v>
      </c>
      <c r="J2031" s="5" t="s">
        <v>4043</v>
      </c>
      <c r="L2031" s="11">
        <v>2.5637756648507568</v>
      </c>
      <c r="N2031" s="12"/>
    </row>
    <row r="2032" spans="1:14" s="5" customFormat="1" ht="15" customHeight="1" x14ac:dyDescent="0.25">
      <c r="A2032" s="9" t="s">
        <v>4044</v>
      </c>
      <c r="C2032" s="9" t="str">
        <f>HYPERLINK("http://www.ncbi.nlm.nih.gov/protein/319402141","E330021D16Rik")</f>
        <v>E330021D16Rik</v>
      </c>
      <c r="D2032" s="10">
        <f t="shared" si="31"/>
        <v>4.0944956002084334</v>
      </c>
      <c r="F2032" s="8" t="str">
        <f>HYPERLINK("https://esbl.nhlbi.nih.gov/Databases/mpkFractions/proteomic_fractions_log_files/Yang_log_img/319402141.jpg","show blot")</f>
        <v>show blot</v>
      </c>
      <c r="H2032" s="8" t="str">
        <f>HYPERLINK("https://esbl.nhlbi.nih.gov/Databases/mpkFractions/proteomic_fractions_linear_files/Yang_linear_img/319402141.jpg","show blot")</f>
        <v>show blot</v>
      </c>
      <c r="J2032" s="5" t="s">
        <v>4045</v>
      </c>
      <c r="L2032" s="11">
        <v>4.0944956002084334</v>
      </c>
      <c r="N2032" s="12"/>
    </row>
    <row r="2033" spans="1:14" s="5" customFormat="1" ht="15" customHeight="1" x14ac:dyDescent="0.25">
      <c r="A2033" s="9" t="s">
        <v>4046</v>
      </c>
      <c r="C2033" s="9" t="str">
        <f>HYPERLINK("http://www.ncbi.nlm.nih.gov/protein/46048300","E430025E21Rik")</f>
        <v>E430025E21Rik</v>
      </c>
      <c r="D2033" s="10">
        <f t="shared" si="31"/>
        <v>4.5181369081425524</v>
      </c>
      <c r="F2033" s="8" t="str">
        <f>HYPERLINK("https://esbl.nhlbi.nih.gov/Databases/mpkFractions/proteomic_fractions_log_files/Yang_log_img/46048300.jpg","show blot")</f>
        <v>show blot</v>
      </c>
      <c r="H2033" s="8" t="str">
        <f>HYPERLINK("https://esbl.nhlbi.nih.gov/Databases/mpkFractions/proteomic_fractions_linear_files/Yang_linear_img/46048300.jpg","show blot")</f>
        <v>show blot</v>
      </c>
      <c r="J2033" s="5" t="s">
        <v>4047</v>
      </c>
      <c r="L2033" s="11">
        <v>4.5181369081425524</v>
      </c>
      <c r="N2033" s="12"/>
    </row>
    <row r="2034" spans="1:14" s="5" customFormat="1" ht="15" customHeight="1" x14ac:dyDescent="0.25">
      <c r="A2034" s="9" t="s">
        <v>4048</v>
      </c>
      <c r="C2034" s="9" t="str">
        <f>HYPERLINK("http://www.ncbi.nlm.nih.gov/protein/21312986","Ears2")</f>
        <v>Ears2</v>
      </c>
      <c r="D2034" s="10">
        <f t="shared" si="31"/>
        <v>4.6892479025234328</v>
      </c>
      <c r="F2034" s="8" t="str">
        <f>HYPERLINK("https://esbl.nhlbi.nih.gov/Databases/mpkFractions/proteomic_fractions_log_files/Yang_log_img/21312986.jpg","show blot")</f>
        <v>show blot</v>
      </c>
      <c r="H2034" s="8" t="str">
        <f>HYPERLINK("https://esbl.nhlbi.nih.gov/Databases/mpkFractions/proteomic_fractions_linear_files/Yang_linear_img/21312986.jpg","show blot")</f>
        <v>show blot</v>
      </c>
      <c r="J2034" s="5" t="s">
        <v>4049</v>
      </c>
      <c r="L2034" s="11">
        <v>4.6892479025234328</v>
      </c>
      <c r="N2034" s="12"/>
    </row>
    <row r="2035" spans="1:14" s="5" customFormat="1" ht="15" customHeight="1" x14ac:dyDescent="0.25">
      <c r="A2035" s="9" t="s">
        <v>4050</v>
      </c>
      <c r="C2035" s="9" t="str">
        <f>HYPERLINK("http://www.ncbi.nlm.nih.gov/protein/31982524","Ebag9")</f>
        <v>Ebag9</v>
      </c>
      <c r="D2035" s="10">
        <f t="shared" si="31"/>
        <v>3.1971280144326188</v>
      </c>
      <c r="F2035" s="8" t="str">
        <f>HYPERLINK("https://esbl.nhlbi.nih.gov/Databases/mpkFractions/proteomic_fractions_log_files/Yang_log_img/31982524.jpg","show blot")</f>
        <v>show blot</v>
      </c>
      <c r="H2035" s="8" t="str">
        <f>HYPERLINK("https://esbl.nhlbi.nih.gov/Databases/mpkFractions/proteomic_fractions_linear_files/Yang_linear_img/31982524.jpg","show blot")</f>
        <v>show blot</v>
      </c>
      <c r="J2035" s="5" t="s">
        <v>4051</v>
      </c>
      <c r="L2035" s="11">
        <v>3.1971280144326188</v>
      </c>
      <c r="N2035" s="12"/>
    </row>
    <row r="2036" spans="1:14" s="5" customFormat="1" ht="15" customHeight="1" x14ac:dyDescent="0.25">
      <c r="A2036" s="9" t="s">
        <v>4052</v>
      </c>
      <c r="C2036" s="9" t="str">
        <f>HYPERLINK("http://www.ncbi.nlm.nih.gov/protein/6681255","Ebp")</f>
        <v>Ebp</v>
      </c>
      <c r="D2036" s="10">
        <f t="shared" si="31"/>
        <v>4.2095935897821084</v>
      </c>
      <c r="F2036" s="8" t="str">
        <f>HYPERLINK("https://esbl.nhlbi.nih.gov/Databases/mpkFractions/proteomic_fractions_log_files/Yang_log_img/6681255.jpg","show blot")</f>
        <v>show blot</v>
      </c>
      <c r="H2036" s="8" t="str">
        <f>HYPERLINK("https://esbl.nhlbi.nih.gov/Databases/mpkFractions/proteomic_fractions_linear_files/Yang_linear_img/6681255.jpg","show blot")</f>
        <v>show blot</v>
      </c>
      <c r="J2036" s="5" t="s">
        <v>4053</v>
      </c>
      <c r="L2036" s="11">
        <v>4.2095935897821084</v>
      </c>
      <c r="N2036" s="12"/>
    </row>
    <row r="2037" spans="1:14" s="5" customFormat="1" ht="15" customHeight="1" x14ac:dyDescent="0.25">
      <c r="A2037" s="9" t="s">
        <v>4054</v>
      </c>
      <c r="C2037" s="9" t="str">
        <f>HYPERLINK("http://www.ncbi.nlm.nih.gov/protein/7949037","Ech1")</f>
        <v>Ech1</v>
      </c>
      <c r="D2037" s="10">
        <f t="shared" si="31"/>
        <v>4.8207797043797864</v>
      </c>
      <c r="F2037" s="8" t="str">
        <f>HYPERLINK("https://esbl.nhlbi.nih.gov/Databases/mpkFractions/proteomic_fractions_log_files/Yang_log_img/7949037.jpg","show blot")</f>
        <v>show blot</v>
      </c>
      <c r="H2037" s="8" t="str">
        <f>HYPERLINK("https://esbl.nhlbi.nih.gov/Databases/mpkFractions/proteomic_fractions_linear_files/Yang_linear_img/7949037.jpg","show blot")</f>
        <v>show blot</v>
      </c>
      <c r="J2037" s="5" t="s">
        <v>4055</v>
      </c>
      <c r="L2037" s="11">
        <v>4.8207797043797864</v>
      </c>
      <c r="N2037" s="12"/>
    </row>
    <row r="2038" spans="1:14" s="5" customFormat="1" ht="15" customHeight="1" x14ac:dyDescent="0.25">
      <c r="A2038" s="9" t="s">
        <v>4056</v>
      </c>
      <c r="C2038" s="9" t="str">
        <f>HYPERLINK("http://www.ncbi.nlm.nih.gov/protein/158854020","Echdc1")</f>
        <v>Echdc1</v>
      </c>
      <c r="D2038" s="10">
        <f t="shared" si="31"/>
        <v>5.2183560643935376</v>
      </c>
      <c r="F2038" s="8" t="str">
        <f>HYPERLINK("https://esbl.nhlbi.nih.gov/Databases/mpkFractions/proteomic_fractions_log_files/Yang_log_img/158854020.jpg","show blot")</f>
        <v>show blot</v>
      </c>
      <c r="H2038" s="8" t="str">
        <f>HYPERLINK("https://esbl.nhlbi.nih.gov/Databases/mpkFractions/proteomic_fractions_linear_files/Yang_linear_img/158854020.jpg","show blot")</f>
        <v>show blot</v>
      </c>
      <c r="J2038" s="5" t="s">
        <v>4057</v>
      </c>
      <c r="L2038" s="11">
        <v>5.2183560643935376</v>
      </c>
      <c r="N2038" s="12"/>
    </row>
    <row r="2039" spans="1:14" s="5" customFormat="1" ht="15" customHeight="1" x14ac:dyDescent="0.25">
      <c r="A2039" s="9" t="s">
        <v>4058</v>
      </c>
      <c r="C2039" s="9" t="str">
        <f>HYPERLINK("http://www.ncbi.nlm.nih.gov/protein/158854022","Echdc1")</f>
        <v>Echdc1</v>
      </c>
      <c r="D2039" s="10">
        <f t="shared" si="31"/>
        <v>5.2183560643935376</v>
      </c>
      <c r="F2039" s="8" t="str">
        <f>HYPERLINK("https://esbl.nhlbi.nih.gov/Databases/mpkFractions/proteomic_fractions_log_files/Yang_log_img/158854022.jpg","show blot")</f>
        <v>show blot</v>
      </c>
      <c r="H2039" s="8" t="str">
        <f>HYPERLINK("https://esbl.nhlbi.nih.gov/Databases/mpkFractions/proteomic_fractions_linear_files/Yang_linear_img/158854022.jpg","show blot")</f>
        <v>show blot</v>
      </c>
      <c r="J2039" s="5" t="s">
        <v>4059</v>
      </c>
      <c r="L2039" s="11">
        <v>5.2183560643935376</v>
      </c>
      <c r="N2039" s="12"/>
    </row>
    <row r="2040" spans="1:14" s="5" customFormat="1" ht="15" customHeight="1" x14ac:dyDescent="0.25">
      <c r="A2040" s="9" t="s">
        <v>4060</v>
      </c>
      <c r="C2040" s="9" t="str">
        <f>HYPERLINK("http://www.ncbi.nlm.nih.gov/protein/225543400","Echdc2")</f>
        <v>Echdc2</v>
      </c>
      <c r="D2040" s="10">
        <f t="shared" si="31"/>
        <v>4.3464135461495834</v>
      </c>
      <c r="F2040" s="8" t="str">
        <f>HYPERLINK("https://esbl.nhlbi.nih.gov/Databases/mpkFractions/proteomic_fractions_log_files/Yang_log_img/225543400.jpg","show blot")</f>
        <v>show blot</v>
      </c>
      <c r="H2040" s="8" t="str">
        <f>HYPERLINK("https://esbl.nhlbi.nih.gov/Databases/mpkFractions/proteomic_fractions_linear_files/Yang_linear_img/225543400.jpg","show blot")</f>
        <v>show blot</v>
      </c>
      <c r="J2040" s="5" t="s">
        <v>4061</v>
      </c>
      <c r="L2040" s="11">
        <v>4.3464135461495834</v>
      </c>
      <c r="N2040" s="12"/>
    </row>
    <row r="2041" spans="1:14" s="5" customFormat="1" ht="15" customHeight="1" x14ac:dyDescent="0.25">
      <c r="A2041" s="9" t="s">
        <v>4062</v>
      </c>
      <c r="C2041" s="9" t="str">
        <f>HYPERLINK("http://www.ncbi.nlm.nih.gov/protein/363543337","Echdc2")</f>
        <v>Echdc2</v>
      </c>
      <c r="D2041" s="10">
        <f t="shared" si="31"/>
        <v>4.3464135461495834</v>
      </c>
      <c r="F2041" s="8" t="str">
        <f>HYPERLINK("https://esbl.nhlbi.nih.gov/Databases/mpkFractions/proteomic_fractions_log_files/Yang_log_img/363543337.jpg","show blot")</f>
        <v>show blot</v>
      </c>
      <c r="H2041" s="8" t="str">
        <f>HYPERLINK("https://esbl.nhlbi.nih.gov/Databases/mpkFractions/proteomic_fractions_linear_files/Yang_linear_img/363543337.jpg","show blot")</f>
        <v>show blot</v>
      </c>
      <c r="J2041" s="5" t="s">
        <v>4063</v>
      </c>
      <c r="L2041" s="11">
        <v>4.3464135461495834</v>
      </c>
      <c r="N2041" s="12"/>
    </row>
    <row r="2042" spans="1:14" s="5" customFormat="1" ht="15" customHeight="1" x14ac:dyDescent="0.25">
      <c r="A2042" s="9" t="s">
        <v>4064</v>
      </c>
      <c r="C2042" s="9" t="str">
        <f>HYPERLINK("http://www.ncbi.nlm.nih.gov/protein/31980955","Echdc3")</f>
        <v>Echdc3</v>
      </c>
      <c r="D2042" s="10">
        <f t="shared" si="31"/>
        <v>4.0498625740379763</v>
      </c>
      <c r="F2042" s="8" t="str">
        <f>HYPERLINK("https://esbl.nhlbi.nih.gov/Databases/mpkFractions/proteomic_fractions_log_files/Yang_log_img/31980955.jpg","show blot")</f>
        <v>show blot</v>
      </c>
      <c r="H2042" s="8" t="str">
        <f>HYPERLINK("https://esbl.nhlbi.nih.gov/Databases/mpkFractions/proteomic_fractions_linear_files/Yang_linear_img/31980955.jpg","show blot")</f>
        <v>show blot</v>
      </c>
      <c r="J2042" s="5" t="s">
        <v>4065</v>
      </c>
      <c r="L2042" s="11">
        <v>4.0498625740379763</v>
      </c>
      <c r="N2042" s="12"/>
    </row>
    <row r="2043" spans="1:14" s="5" customFormat="1" ht="15" customHeight="1" x14ac:dyDescent="0.25">
      <c r="A2043" s="9" t="s">
        <v>4066</v>
      </c>
      <c r="C2043" s="9" t="str">
        <f>HYPERLINK("http://www.ncbi.nlm.nih.gov/protein/29789289","Echs1")</f>
        <v>Echs1</v>
      </c>
      <c r="D2043" s="10">
        <f t="shared" si="31"/>
        <v>5.8794420726860084</v>
      </c>
      <c r="F2043" s="8" t="str">
        <f>HYPERLINK("https://esbl.nhlbi.nih.gov/Databases/mpkFractions/proteomic_fractions_log_files/Yang_log_img/29789289.jpg","show blot")</f>
        <v>show blot</v>
      </c>
      <c r="H2043" s="8" t="str">
        <f>HYPERLINK("https://esbl.nhlbi.nih.gov/Databases/mpkFractions/proteomic_fractions_linear_files/Yang_linear_img/29789289.jpg","show blot")</f>
        <v>show blot</v>
      </c>
      <c r="J2043" s="5" t="s">
        <v>4067</v>
      </c>
      <c r="L2043" s="11">
        <v>5.8794420726860084</v>
      </c>
      <c r="N2043" s="12"/>
    </row>
    <row r="2044" spans="1:14" s="5" customFormat="1" ht="15" customHeight="1" x14ac:dyDescent="0.25">
      <c r="A2044" s="9" t="s">
        <v>4068</v>
      </c>
      <c r="C2044" s="9" t="str">
        <f>HYPERLINK("http://www.ncbi.nlm.nih.gov/protein/31981810","Eci1")</f>
        <v>Eci1</v>
      </c>
      <c r="D2044" s="10">
        <f t="shared" si="31"/>
        <v>6.1392203060645949</v>
      </c>
      <c r="F2044" s="8" t="str">
        <f>HYPERLINK("https://esbl.nhlbi.nih.gov/Databases/mpkFractions/proteomic_fractions_log_files/Yang_log_img/31981810.jpg","show blot")</f>
        <v>show blot</v>
      </c>
      <c r="H2044" s="8" t="str">
        <f>HYPERLINK("https://esbl.nhlbi.nih.gov/Databases/mpkFractions/proteomic_fractions_linear_files/Yang_linear_img/31981810.jpg","show blot")</f>
        <v>show blot</v>
      </c>
      <c r="J2044" s="5" t="s">
        <v>4069</v>
      </c>
      <c r="L2044" s="11">
        <v>6.1392203060645949</v>
      </c>
      <c r="N2044" s="12"/>
    </row>
    <row r="2045" spans="1:14" s="5" customFormat="1" ht="15" customHeight="1" x14ac:dyDescent="0.25">
      <c r="A2045" s="9" t="s">
        <v>4070</v>
      </c>
      <c r="C2045" s="9" t="str">
        <f>HYPERLINK("http://www.ncbi.nlm.nih.gov/protein/160333193","Eci2")</f>
        <v>Eci2</v>
      </c>
      <c r="D2045" s="10">
        <f t="shared" si="31"/>
        <v>4.2584893889949402</v>
      </c>
      <c r="F2045" s="8" t="str">
        <f>HYPERLINK("https://esbl.nhlbi.nih.gov/Databases/mpkFractions/proteomic_fractions_log_files/Yang_log_img/160333193.jpg","show blot")</f>
        <v>show blot</v>
      </c>
      <c r="H2045" s="8" t="str">
        <f>HYPERLINK("https://esbl.nhlbi.nih.gov/Databases/mpkFractions/proteomic_fractions_linear_files/Yang_linear_img/160333193.jpg","show blot")</f>
        <v>show blot</v>
      </c>
      <c r="J2045" s="5" t="s">
        <v>4071</v>
      </c>
      <c r="L2045" s="11">
        <v>4.2584893889949402</v>
      </c>
      <c r="N2045" s="12"/>
    </row>
    <row r="2046" spans="1:14" s="5" customFormat="1" ht="15" customHeight="1" x14ac:dyDescent="0.25">
      <c r="A2046" s="9" t="s">
        <v>4072</v>
      </c>
      <c r="C2046" s="9" t="str">
        <f>HYPERLINK("http://www.ncbi.nlm.nih.gov/protein/160333195","Eci2")</f>
        <v>Eci2</v>
      </c>
      <c r="D2046" s="10">
        <f t="shared" si="31"/>
        <v>4.2584893889949402</v>
      </c>
      <c r="F2046" s="8" t="str">
        <f>HYPERLINK("https://esbl.nhlbi.nih.gov/Databases/mpkFractions/proteomic_fractions_log_files/Yang_log_img/160333195.jpg","show blot")</f>
        <v>show blot</v>
      </c>
      <c r="H2046" s="8" t="str">
        <f>HYPERLINK("https://esbl.nhlbi.nih.gov/Databases/mpkFractions/proteomic_fractions_linear_files/Yang_linear_img/160333195.jpg","show blot")</f>
        <v>show blot</v>
      </c>
      <c r="J2046" s="5" t="s">
        <v>4073</v>
      </c>
      <c r="L2046" s="11">
        <v>4.2584893889949402</v>
      </c>
      <c r="N2046" s="12"/>
    </row>
    <row r="2047" spans="1:14" s="5" customFormat="1" ht="15" customHeight="1" x14ac:dyDescent="0.25">
      <c r="A2047" s="9" t="s">
        <v>4074</v>
      </c>
      <c r="C2047" s="9" t="str">
        <f>HYPERLINK("http://www.ncbi.nlm.nih.gov/protein/21312210","Eci3")</f>
        <v>Eci3</v>
      </c>
      <c r="D2047" s="10">
        <f t="shared" si="31"/>
        <v>3.772637796911638</v>
      </c>
      <c r="F2047" s="8" t="str">
        <f>HYPERLINK("https://esbl.nhlbi.nih.gov/Databases/mpkFractions/proteomic_fractions_log_files/Yang_log_img/21312210.jpg","show blot")</f>
        <v>show blot</v>
      </c>
      <c r="H2047" s="8" t="str">
        <f>HYPERLINK("https://esbl.nhlbi.nih.gov/Databases/mpkFractions/proteomic_fractions_linear_files/Yang_linear_img/21312210.jpg","show blot")</f>
        <v>show blot</v>
      </c>
      <c r="J2047" s="5" t="s">
        <v>4075</v>
      </c>
      <c r="L2047" s="11">
        <v>3.772637796911638</v>
      </c>
      <c r="N2047" s="12"/>
    </row>
    <row r="2048" spans="1:14" s="5" customFormat="1" ht="15" customHeight="1" x14ac:dyDescent="0.25">
      <c r="A2048" s="9" t="s">
        <v>4076</v>
      </c>
      <c r="C2048" s="9" t="str">
        <f>HYPERLINK("http://www.ncbi.nlm.nih.gov/protein/6755522","Ecsit")</f>
        <v>Ecsit</v>
      </c>
      <c r="D2048" s="10">
        <f t="shared" si="31"/>
        <v>1.5817040615466751</v>
      </c>
      <c r="F2048" s="8" t="str">
        <f>HYPERLINK("https://esbl.nhlbi.nih.gov/Databases/mpkFractions/proteomic_fractions_log_files/Yang_log_img/6755522.jpg","show blot")</f>
        <v>show blot</v>
      </c>
      <c r="H2048" s="8" t="str">
        <f>HYPERLINK("https://esbl.nhlbi.nih.gov/Databases/mpkFractions/proteomic_fractions_linear_files/Yang_linear_img/6755522.jpg","show blot")</f>
        <v>show blot</v>
      </c>
      <c r="J2048" s="5" t="s">
        <v>4077</v>
      </c>
      <c r="L2048" s="11">
        <v>1.5817040615466751</v>
      </c>
      <c r="N2048" s="12"/>
    </row>
    <row r="2049" spans="1:14" s="5" customFormat="1" ht="15" customHeight="1" x14ac:dyDescent="0.25">
      <c r="A2049" s="9" t="s">
        <v>4078</v>
      </c>
      <c r="C2049" s="9" t="str">
        <f>HYPERLINK("http://www.ncbi.nlm.nih.gov/protein/24418913","Edc3")</f>
        <v>Edc3</v>
      </c>
      <c r="D2049" s="10">
        <f t="shared" si="31"/>
        <v>3.7523039918414658</v>
      </c>
      <c r="F2049" s="8" t="str">
        <f>HYPERLINK("https://esbl.nhlbi.nih.gov/Databases/mpkFractions/proteomic_fractions_log_files/Yang_log_img/24418913.jpg","show blot")</f>
        <v>show blot</v>
      </c>
      <c r="H2049" s="8" t="str">
        <f>HYPERLINK("https://esbl.nhlbi.nih.gov/Databases/mpkFractions/proteomic_fractions_linear_files/Yang_linear_img/24418913.jpg","show blot")</f>
        <v>show blot</v>
      </c>
      <c r="J2049" s="5" t="s">
        <v>4079</v>
      </c>
      <c r="L2049" s="11">
        <v>3.7523039918414658</v>
      </c>
      <c r="N2049" s="12"/>
    </row>
    <row r="2050" spans="1:14" s="5" customFormat="1" ht="15" customHeight="1" x14ac:dyDescent="0.25">
      <c r="A2050" s="9" t="s">
        <v>4080</v>
      </c>
      <c r="C2050" s="9" t="str">
        <f>HYPERLINK("http://www.ncbi.nlm.nih.gov/protein/31712002","Edc4")</f>
        <v>Edc4</v>
      </c>
      <c r="D2050" s="10">
        <f t="shared" si="31"/>
        <v>4.6174154648322387</v>
      </c>
      <c r="F2050" s="8" t="str">
        <f>HYPERLINK("https://esbl.nhlbi.nih.gov/Databases/mpkFractions/proteomic_fractions_log_files/Yang_log_img/31712002.jpg","show blot")</f>
        <v>show blot</v>
      </c>
      <c r="H2050" s="8" t="str">
        <f>HYPERLINK("https://esbl.nhlbi.nih.gov/Databases/mpkFractions/proteomic_fractions_linear_files/Yang_linear_img/31712002.jpg","show blot")</f>
        <v>show blot</v>
      </c>
      <c r="J2050" s="5" t="s">
        <v>4081</v>
      </c>
      <c r="L2050" s="11">
        <v>4.6174154648322387</v>
      </c>
      <c r="N2050" s="12"/>
    </row>
    <row r="2051" spans="1:14" s="5" customFormat="1" ht="15" customHeight="1" x14ac:dyDescent="0.25">
      <c r="A2051" s="9" t="s">
        <v>4082</v>
      </c>
      <c r="C2051" s="9" t="str">
        <f>HYPERLINK("http://www.ncbi.nlm.nih.gov/protein/10946942","Edf1")</f>
        <v>Edf1</v>
      </c>
      <c r="D2051" s="10">
        <f t="shared" si="31"/>
        <v>5.2817978229378806</v>
      </c>
      <c r="F2051" s="8" t="str">
        <f>HYPERLINK("https://esbl.nhlbi.nih.gov/Databases/mpkFractions/proteomic_fractions_log_files/Yang_log_img/10946942.jpg","show blot")</f>
        <v>show blot</v>
      </c>
      <c r="H2051" s="8" t="str">
        <f>HYPERLINK("https://esbl.nhlbi.nih.gov/Databases/mpkFractions/proteomic_fractions_linear_files/Yang_linear_img/10946942.jpg","show blot")</f>
        <v>show blot</v>
      </c>
      <c r="J2051" s="5" t="s">
        <v>4083</v>
      </c>
      <c r="L2051" s="11">
        <v>5.2817978229378806</v>
      </c>
      <c r="N2051" s="12"/>
    </row>
    <row r="2052" spans="1:14" s="5" customFormat="1" ht="15" customHeight="1" x14ac:dyDescent="0.25">
      <c r="A2052" s="9" t="s">
        <v>4084</v>
      </c>
      <c r="C2052" s="9" t="str">
        <f>HYPERLINK("http://www.ncbi.nlm.nih.gov/protein/50053824","Eea1")</f>
        <v>Eea1</v>
      </c>
      <c r="D2052" s="10">
        <f t="shared" si="31"/>
        <v>4.3903684812591903</v>
      </c>
      <c r="F2052" s="8" t="str">
        <f>HYPERLINK("https://esbl.nhlbi.nih.gov/Databases/mpkFractions/proteomic_fractions_log_files/Yang_log_img/50053824.jpg","show blot")</f>
        <v>show blot</v>
      </c>
      <c r="H2052" s="8" t="str">
        <f>HYPERLINK("https://esbl.nhlbi.nih.gov/Databases/mpkFractions/proteomic_fractions_linear_files/Yang_linear_img/50053824.jpg","show blot")</f>
        <v>show blot</v>
      </c>
      <c r="J2052" s="5" t="s">
        <v>4085</v>
      </c>
      <c r="L2052" s="11">
        <v>4.3903684812591903</v>
      </c>
      <c r="N2052" s="12"/>
    </row>
    <row r="2053" spans="1:14" s="5" customFormat="1" ht="15" customHeight="1" x14ac:dyDescent="0.25">
      <c r="A2053" s="9" t="s">
        <v>4086</v>
      </c>
      <c r="C2053" s="9" t="str">
        <f>HYPERLINK("http://www.ncbi.nlm.nih.gov/protein/6681273","Eef1a2")</f>
        <v>Eef1a2</v>
      </c>
      <c r="D2053" s="10">
        <f t="shared" ref="D2053:D2116" si="32">L2053</f>
        <v>7.3660378493547114</v>
      </c>
      <c r="F2053" s="8" t="str">
        <f>HYPERLINK("https://esbl.nhlbi.nih.gov/Databases/mpkFractions/proteomic_fractions_log_files/Yang_log_img/6681273.jpg","show blot")</f>
        <v>show blot</v>
      </c>
      <c r="H2053" s="8" t="str">
        <f>HYPERLINK("https://esbl.nhlbi.nih.gov/Databases/mpkFractions/proteomic_fractions_linear_files/Yang_linear_img/6681273.jpg","show blot")</f>
        <v>show blot</v>
      </c>
      <c r="J2053" s="5" t="s">
        <v>4087</v>
      </c>
      <c r="L2053" s="11">
        <v>7.3660378493547114</v>
      </c>
      <c r="N2053" s="12"/>
    </row>
    <row r="2054" spans="1:14" s="5" customFormat="1" ht="15" customHeight="1" x14ac:dyDescent="0.25">
      <c r="A2054" s="9" t="s">
        <v>4088</v>
      </c>
      <c r="C2054" s="9" t="str">
        <f>HYPERLINK("http://www.ncbi.nlm.nih.gov/protein/31980922","Eef1b2")</f>
        <v>Eef1b2</v>
      </c>
      <c r="D2054" s="10">
        <f t="shared" si="32"/>
        <v>6.2814537620489244</v>
      </c>
      <c r="F2054" s="8" t="str">
        <f>HYPERLINK("https://esbl.nhlbi.nih.gov/Databases/mpkFractions/proteomic_fractions_log_files/Yang_log_img/31980922.jpg","show blot")</f>
        <v>show blot</v>
      </c>
      <c r="H2054" s="8" t="str">
        <f>HYPERLINK("https://esbl.nhlbi.nih.gov/Databases/mpkFractions/proteomic_fractions_linear_files/Yang_linear_img/31980922.jpg","show blot")</f>
        <v>show blot</v>
      </c>
      <c r="J2054" s="5" t="s">
        <v>4089</v>
      </c>
      <c r="L2054" s="11">
        <v>6.2814537620489244</v>
      </c>
      <c r="N2054" s="12"/>
    </row>
    <row r="2055" spans="1:14" s="5" customFormat="1" ht="15" customHeight="1" x14ac:dyDescent="0.25">
      <c r="A2055" s="9" t="s">
        <v>4090</v>
      </c>
      <c r="C2055" s="9" t="str">
        <f>HYPERLINK("http://www.ncbi.nlm.nih.gov/protein/549806736","Eef1d")</f>
        <v>Eef1d</v>
      </c>
      <c r="D2055" s="10">
        <f t="shared" si="32"/>
        <v>6.9064741593564678</v>
      </c>
      <c r="F2055" s="8" t="str">
        <f>HYPERLINK("https://esbl.nhlbi.nih.gov/Databases/mpkFractions/proteomic_fractions_log_files/Yang_log_img/549806736.jpg","show blot")</f>
        <v>show blot</v>
      </c>
      <c r="H2055" s="8" t="str">
        <f>HYPERLINK("https://esbl.nhlbi.nih.gov/Databases/mpkFractions/proteomic_fractions_linear_files/Yang_linear_img/549806736.jpg","show blot")</f>
        <v>show blot</v>
      </c>
      <c r="J2055" s="5" t="s">
        <v>4091</v>
      </c>
      <c r="L2055" s="11">
        <v>6.9064741593564678</v>
      </c>
      <c r="N2055" s="12"/>
    </row>
    <row r="2056" spans="1:14" s="5" customFormat="1" ht="15" customHeight="1" x14ac:dyDescent="0.25">
      <c r="A2056" s="9" t="s">
        <v>4092</v>
      </c>
      <c r="C2056" s="9" t="str">
        <f>HYPERLINK("http://www.ncbi.nlm.nih.gov/protein/549806774","Eef1d")</f>
        <v>Eef1d</v>
      </c>
      <c r="D2056" s="10">
        <f t="shared" si="32"/>
        <v>6.9064741593564678</v>
      </c>
      <c r="F2056" s="8" t="str">
        <f>HYPERLINK("https://esbl.nhlbi.nih.gov/Databases/mpkFractions/proteomic_fractions_log_files/Yang_log_img/549806774.jpg","show blot")</f>
        <v>show blot</v>
      </c>
      <c r="H2056" s="8" t="str">
        <f>HYPERLINK("https://esbl.nhlbi.nih.gov/Databases/mpkFractions/proteomic_fractions_linear_files/Yang_linear_img/549806774.jpg","show blot")</f>
        <v>show blot</v>
      </c>
      <c r="J2056" s="5" t="s">
        <v>4093</v>
      </c>
      <c r="L2056" s="11">
        <v>6.9064741593564678</v>
      </c>
      <c r="N2056" s="12"/>
    </row>
    <row r="2057" spans="1:14" s="5" customFormat="1" ht="15" customHeight="1" x14ac:dyDescent="0.25">
      <c r="A2057" s="9" t="s">
        <v>4094</v>
      </c>
      <c r="C2057" s="9" t="str">
        <f>HYPERLINK("http://www.ncbi.nlm.nih.gov/protein/54287684","Eef1d")</f>
        <v>Eef1d</v>
      </c>
      <c r="D2057" s="10">
        <f t="shared" si="32"/>
        <v>6.9064741593564678</v>
      </c>
      <c r="F2057" s="8" t="str">
        <f>HYPERLINK("https://esbl.nhlbi.nih.gov/Databases/mpkFractions/proteomic_fractions_log_files/Yang_log_img/54287684.jpg","show blot")</f>
        <v>show blot</v>
      </c>
      <c r="H2057" s="8" t="str">
        <f>HYPERLINK("https://esbl.nhlbi.nih.gov/Databases/mpkFractions/proteomic_fractions_linear_files/Yang_linear_img/54287684.jpg","show blot")</f>
        <v>show blot</v>
      </c>
      <c r="J2057" s="5" t="s">
        <v>4095</v>
      </c>
      <c r="L2057" s="11">
        <v>6.9064741593564678</v>
      </c>
      <c r="N2057" s="12"/>
    </row>
    <row r="2058" spans="1:14" s="5" customFormat="1" ht="15" customHeight="1" x14ac:dyDescent="0.25">
      <c r="A2058" s="9" t="s">
        <v>4096</v>
      </c>
      <c r="C2058" s="9" t="str">
        <f>HYPERLINK("http://www.ncbi.nlm.nih.gov/protein/56699438","Eef1d")</f>
        <v>Eef1d</v>
      </c>
      <c r="D2058" s="10">
        <f t="shared" si="32"/>
        <v>6.9064741593564678</v>
      </c>
      <c r="F2058" s="8" t="str">
        <f>HYPERLINK("https://esbl.nhlbi.nih.gov/Databases/mpkFractions/proteomic_fractions_log_files/Yang_log_img/56699438.jpg","show blot")</f>
        <v>show blot</v>
      </c>
      <c r="H2058" s="8" t="str">
        <f>HYPERLINK("https://esbl.nhlbi.nih.gov/Databases/mpkFractions/proteomic_fractions_linear_files/Yang_linear_img/56699438.jpg","show blot")</f>
        <v>show blot</v>
      </c>
      <c r="J2058" s="5" t="s">
        <v>4097</v>
      </c>
      <c r="L2058" s="11">
        <v>6.9064741593564678</v>
      </c>
      <c r="N2058" s="12"/>
    </row>
    <row r="2059" spans="1:14" s="5" customFormat="1" ht="15" customHeight="1" x14ac:dyDescent="0.25">
      <c r="A2059" s="9" t="s">
        <v>4098</v>
      </c>
      <c r="C2059" s="9" t="str">
        <f>HYPERLINK("http://www.ncbi.nlm.nih.gov/protein/13384756","Eef1e1")</f>
        <v>Eef1e1</v>
      </c>
      <c r="D2059" s="10">
        <f t="shared" si="32"/>
        <v>5.6165430542979413</v>
      </c>
      <c r="F2059" s="8" t="str">
        <f>HYPERLINK("https://esbl.nhlbi.nih.gov/Databases/mpkFractions/proteomic_fractions_log_files/Yang_log_img/13384756.jpg","show blot")</f>
        <v>show blot</v>
      </c>
      <c r="H2059" s="8" t="str">
        <f>HYPERLINK("https://esbl.nhlbi.nih.gov/Databases/mpkFractions/proteomic_fractions_linear_files/Yang_linear_img/13384756.jpg","show blot")</f>
        <v>show blot</v>
      </c>
      <c r="J2059" s="5" t="s">
        <v>4099</v>
      </c>
      <c r="L2059" s="11">
        <v>5.6165430542979413</v>
      </c>
      <c r="N2059" s="12"/>
    </row>
    <row r="2060" spans="1:14" s="5" customFormat="1" ht="15" customHeight="1" x14ac:dyDescent="0.25">
      <c r="A2060" s="9" t="s">
        <v>4100</v>
      </c>
      <c r="C2060" s="9" t="str">
        <f>HYPERLINK("http://www.ncbi.nlm.nih.gov/protein/110625979","Eef1g")</f>
        <v>Eef1g</v>
      </c>
      <c r="D2060" s="10">
        <f t="shared" si="32"/>
        <v>6.7279250521092973</v>
      </c>
      <c r="F2060" s="8" t="str">
        <f>HYPERLINK("https://esbl.nhlbi.nih.gov/Databases/mpkFractions/proteomic_fractions_log_files/Yang_log_img/110625979.jpg","show blot")</f>
        <v>show blot</v>
      </c>
      <c r="H2060" s="8" t="str">
        <f>HYPERLINK("https://esbl.nhlbi.nih.gov/Databases/mpkFractions/proteomic_fractions_linear_files/Yang_linear_img/110625979.jpg","show blot")</f>
        <v>show blot</v>
      </c>
      <c r="J2060" s="5" t="s">
        <v>4101</v>
      </c>
      <c r="L2060" s="11">
        <v>6.7279250521092973</v>
      </c>
      <c r="N2060" s="12"/>
    </row>
    <row r="2061" spans="1:14" s="5" customFormat="1" ht="15" customHeight="1" x14ac:dyDescent="0.25">
      <c r="A2061" s="9" t="s">
        <v>4102</v>
      </c>
      <c r="C2061" s="9" t="str">
        <f>HYPERLINK("http://www.ncbi.nlm.nih.gov/protein/33859482","Eef2")</f>
        <v>Eef2</v>
      </c>
      <c r="D2061" s="10">
        <f t="shared" si="32"/>
        <v>6.9472163934529627</v>
      </c>
      <c r="F2061" s="8" t="str">
        <f>HYPERLINK("https://esbl.nhlbi.nih.gov/Databases/mpkFractions/proteomic_fractions_log_files/Yang_log_img/33859482.jpg","show blot")</f>
        <v>show blot</v>
      </c>
      <c r="H2061" s="8" t="str">
        <f>HYPERLINK("https://esbl.nhlbi.nih.gov/Databases/mpkFractions/proteomic_fractions_linear_files/Yang_linear_img/33859482.jpg","show blot")</f>
        <v>show blot</v>
      </c>
      <c r="J2061" s="5" t="s">
        <v>4103</v>
      </c>
      <c r="L2061" s="11">
        <v>6.9472163934529627</v>
      </c>
      <c r="N2061" s="12"/>
    </row>
    <row r="2062" spans="1:14" s="5" customFormat="1" ht="15" customHeight="1" x14ac:dyDescent="0.25">
      <c r="A2062" s="9" t="s">
        <v>4104</v>
      </c>
      <c r="C2062" s="9" t="str">
        <f>HYPERLINK("http://www.ncbi.nlm.nih.gov/protein/6681275","Eef2k")</f>
        <v>Eef2k</v>
      </c>
      <c r="D2062" s="10">
        <f t="shared" si="32"/>
        <v>3.9818509083247058</v>
      </c>
      <c r="F2062" s="8" t="str">
        <f>HYPERLINK("https://esbl.nhlbi.nih.gov/Databases/mpkFractions/proteomic_fractions_log_files/Yang_log_img/6681275.jpg","show blot")</f>
        <v>show blot</v>
      </c>
      <c r="H2062" s="8" t="str">
        <f>HYPERLINK("https://esbl.nhlbi.nih.gov/Databases/mpkFractions/proteomic_fractions_linear_files/Yang_linear_img/6681275.jpg","show blot")</f>
        <v>show blot</v>
      </c>
      <c r="J2062" s="5" t="s">
        <v>4105</v>
      </c>
      <c r="L2062" s="11">
        <v>3.9818509083247058</v>
      </c>
      <c r="N2062" s="12"/>
    </row>
    <row r="2063" spans="1:14" s="5" customFormat="1" ht="15" customHeight="1" x14ac:dyDescent="0.25">
      <c r="A2063" s="9" t="s">
        <v>4106</v>
      </c>
      <c r="C2063" s="9" t="str">
        <f>HYPERLINK("http://www.ncbi.nlm.nih.gov/protein/12746442","Eefsec")</f>
        <v>Eefsec</v>
      </c>
      <c r="D2063" s="10">
        <f t="shared" si="32"/>
        <v>5.3209939791221137</v>
      </c>
      <c r="F2063" s="8" t="str">
        <f>HYPERLINK("https://esbl.nhlbi.nih.gov/Databases/mpkFractions/proteomic_fractions_log_files/Yang_log_img/12746442.jpg","show blot")</f>
        <v>show blot</v>
      </c>
      <c r="H2063" s="8" t="str">
        <f>HYPERLINK("https://esbl.nhlbi.nih.gov/Databases/mpkFractions/proteomic_fractions_linear_files/Yang_linear_img/12746442.jpg","show blot")</f>
        <v>show blot</v>
      </c>
      <c r="J2063" s="5" t="s">
        <v>4107</v>
      </c>
      <c r="L2063" s="11">
        <v>5.3209939791221137</v>
      </c>
      <c r="N2063" s="12"/>
    </row>
    <row r="2064" spans="1:14" s="5" customFormat="1" ht="15" customHeight="1" x14ac:dyDescent="0.25">
      <c r="A2064" s="9" t="s">
        <v>4108</v>
      </c>
      <c r="C2064" s="9" t="str">
        <f>HYPERLINK("http://www.ncbi.nlm.nih.gov/protein/13386360","Efhd1")</f>
        <v>Efhd1</v>
      </c>
      <c r="D2064" s="10">
        <f t="shared" si="32"/>
        <v>4.4086415733493496</v>
      </c>
      <c r="F2064" s="8" t="str">
        <f>HYPERLINK("https://esbl.nhlbi.nih.gov/Databases/mpkFractions/proteomic_fractions_log_files/Yang_log_img/13386360.jpg","show blot")</f>
        <v>show blot</v>
      </c>
      <c r="H2064" s="8" t="str">
        <f>HYPERLINK("https://esbl.nhlbi.nih.gov/Databases/mpkFractions/proteomic_fractions_linear_files/Yang_linear_img/13386360.jpg","show blot")</f>
        <v>show blot</v>
      </c>
      <c r="J2064" s="5" t="s">
        <v>4109</v>
      </c>
      <c r="L2064" s="11">
        <v>4.4086415733493496</v>
      </c>
      <c r="N2064" s="12"/>
    </row>
    <row r="2065" spans="1:14" s="5" customFormat="1" ht="15" customHeight="1" x14ac:dyDescent="0.25">
      <c r="A2065" s="9" t="s">
        <v>4110</v>
      </c>
      <c r="C2065" s="9" t="str">
        <f>HYPERLINK("http://www.ncbi.nlm.nih.gov/protein/31981086","Efhd2")</f>
        <v>Efhd2</v>
      </c>
      <c r="D2065" s="10">
        <f t="shared" si="32"/>
        <v>5.7355700642354961</v>
      </c>
      <c r="F2065" s="8" t="str">
        <f>HYPERLINK("https://esbl.nhlbi.nih.gov/Databases/mpkFractions/proteomic_fractions_log_files/Yang_log_img/31981086.jpg","show blot")</f>
        <v>show blot</v>
      </c>
      <c r="H2065" s="8" t="str">
        <f>HYPERLINK("https://esbl.nhlbi.nih.gov/Databases/mpkFractions/proteomic_fractions_linear_files/Yang_linear_img/31981086.jpg","show blot")</f>
        <v>show blot</v>
      </c>
      <c r="J2065" s="5" t="s">
        <v>4111</v>
      </c>
      <c r="L2065" s="11">
        <v>5.7355700642354961</v>
      </c>
      <c r="N2065" s="12"/>
    </row>
    <row r="2066" spans="1:14" s="5" customFormat="1" ht="15" customHeight="1" x14ac:dyDescent="0.25">
      <c r="A2066" s="9" t="s">
        <v>4112</v>
      </c>
      <c r="C2066" s="9" t="str">
        <f>HYPERLINK("http://www.ncbi.nlm.nih.gov/protein/31542597","Efnb2")</f>
        <v>Efnb2</v>
      </c>
      <c r="D2066" s="10">
        <f t="shared" si="32"/>
        <v>3.737221395206745</v>
      </c>
      <c r="F2066" s="8" t="str">
        <f>HYPERLINK("https://esbl.nhlbi.nih.gov/Databases/mpkFractions/proteomic_fractions_log_files/Yang_log_img/31542597.jpg","show blot")</f>
        <v>show blot</v>
      </c>
      <c r="H2066" s="8" t="str">
        <f>HYPERLINK("https://esbl.nhlbi.nih.gov/Databases/mpkFractions/proteomic_fractions_linear_files/Yang_linear_img/31542597.jpg","show blot")</f>
        <v>show blot</v>
      </c>
      <c r="J2066" s="5" t="s">
        <v>4113</v>
      </c>
      <c r="L2066" s="11">
        <v>3.737221395206745</v>
      </c>
      <c r="N2066" s="12"/>
    </row>
    <row r="2067" spans="1:14" s="5" customFormat="1" ht="15" customHeight="1" x14ac:dyDescent="0.25">
      <c r="A2067" s="9" t="s">
        <v>4114</v>
      </c>
      <c r="C2067" s="9" t="str">
        <f>HYPERLINK("http://www.ncbi.nlm.nih.gov/protein/54020730","Efr3a")</f>
        <v>Efr3a</v>
      </c>
      <c r="D2067" s="10">
        <f t="shared" si="32"/>
        <v>1.5721587436404449</v>
      </c>
      <c r="F2067" s="8" t="str">
        <f>HYPERLINK("https://esbl.nhlbi.nih.gov/Databases/mpkFractions/proteomic_fractions_log_files/Yang_log_img/54020730.jpg","show blot")</f>
        <v>show blot</v>
      </c>
      <c r="H2067" s="8" t="str">
        <f>HYPERLINK("https://esbl.nhlbi.nih.gov/Databases/mpkFractions/proteomic_fractions_linear_files/Yang_linear_img/54020730.jpg","show blot")</f>
        <v>show blot</v>
      </c>
      <c r="J2067" s="5" t="s">
        <v>4115</v>
      </c>
      <c r="L2067" s="11">
        <v>1.5721587436404449</v>
      </c>
      <c r="N2067" s="12"/>
    </row>
    <row r="2068" spans="1:14" s="5" customFormat="1" ht="15" customHeight="1" x14ac:dyDescent="0.25">
      <c r="A2068" s="9" t="s">
        <v>4116</v>
      </c>
      <c r="C2068" s="9" t="str">
        <f>HYPERLINK("http://www.ncbi.nlm.nih.gov/protein/227908782","Eftud1")</f>
        <v>Eftud1</v>
      </c>
      <c r="D2068" s="10">
        <f t="shared" si="32"/>
        <v>4.3185330471368921</v>
      </c>
      <c r="F2068" s="8" t="str">
        <f>HYPERLINK("https://esbl.nhlbi.nih.gov/Databases/mpkFractions/proteomic_fractions_log_files/Yang_log_img/227908782.jpg","show blot")</f>
        <v>show blot</v>
      </c>
      <c r="H2068" s="8" t="str">
        <f>HYPERLINK("https://esbl.nhlbi.nih.gov/Databases/mpkFractions/proteomic_fractions_linear_files/Yang_linear_img/227908782.jpg","show blot")</f>
        <v>show blot</v>
      </c>
      <c r="J2068" s="5" t="s">
        <v>4117</v>
      </c>
      <c r="L2068" s="11">
        <v>4.3185330471368921</v>
      </c>
      <c r="N2068" s="12"/>
    </row>
    <row r="2069" spans="1:14" s="5" customFormat="1" ht="15" customHeight="1" x14ac:dyDescent="0.25">
      <c r="A2069" s="9" t="s">
        <v>4118</v>
      </c>
      <c r="C2069" s="9" t="str">
        <f>HYPERLINK("http://www.ncbi.nlm.nih.gov/protein/158508674","Eftud2")</f>
        <v>Eftud2</v>
      </c>
      <c r="D2069" s="10">
        <f t="shared" si="32"/>
        <v>5.8947863728766841</v>
      </c>
      <c r="F2069" s="8" t="str">
        <f>HYPERLINK("https://esbl.nhlbi.nih.gov/Databases/mpkFractions/proteomic_fractions_log_files/Yang_log_img/158508674.jpg","show blot")</f>
        <v>show blot</v>
      </c>
      <c r="H2069" s="8" t="str">
        <f>HYPERLINK("https://esbl.nhlbi.nih.gov/Databases/mpkFractions/proteomic_fractions_linear_files/Yang_linear_img/158508674.jpg","show blot")</f>
        <v>show blot</v>
      </c>
      <c r="J2069" s="5" t="s">
        <v>4119</v>
      </c>
      <c r="L2069" s="11">
        <v>5.8947863728766841</v>
      </c>
      <c r="N2069" s="12"/>
    </row>
    <row r="2070" spans="1:14" s="5" customFormat="1" ht="15" customHeight="1" x14ac:dyDescent="0.25">
      <c r="A2070" s="9" t="s">
        <v>4120</v>
      </c>
      <c r="C2070" s="9" t="str">
        <f>HYPERLINK("http://www.ncbi.nlm.nih.gov/protein/6755594","Eftud2")</f>
        <v>Eftud2</v>
      </c>
      <c r="D2070" s="10">
        <f t="shared" si="32"/>
        <v>5.8947863728766841</v>
      </c>
      <c r="F2070" s="8" t="str">
        <f>HYPERLINK("https://esbl.nhlbi.nih.gov/Databases/mpkFractions/proteomic_fractions_log_files/Yang_log_img/6755594.jpg","show blot")</f>
        <v>show blot</v>
      </c>
      <c r="H2070" s="8" t="str">
        <f>HYPERLINK("https://esbl.nhlbi.nih.gov/Databases/mpkFractions/proteomic_fractions_linear_files/Yang_linear_img/6755594.jpg","show blot")</f>
        <v>show blot</v>
      </c>
      <c r="J2070" s="5" t="s">
        <v>4121</v>
      </c>
      <c r="L2070" s="11">
        <v>5.8947863728766841</v>
      </c>
      <c r="N2070" s="12"/>
    </row>
    <row r="2071" spans="1:14" s="5" customFormat="1" ht="15" customHeight="1" x14ac:dyDescent="0.25">
      <c r="A2071" s="9" t="s">
        <v>4122</v>
      </c>
      <c r="C2071" s="9" t="str">
        <f>HYPERLINK("http://www.ncbi.nlm.nih.gov/protein/46560582","Egfr")</f>
        <v>Egfr</v>
      </c>
      <c r="D2071" s="10">
        <f t="shared" si="32"/>
        <v>4.7342843201073102</v>
      </c>
      <c r="F2071" s="8" t="str">
        <f>HYPERLINK("https://esbl.nhlbi.nih.gov/Databases/mpkFractions/proteomic_fractions_log_files/Yang_log_img/46560582.jpg","show blot")</f>
        <v>show blot</v>
      </c>
      <c r="H2071" s="8" t="str">
        <f>HYPERLINK("https://esbl.nhlbi.nih.gov/Databases/mpkFractions/proteomic_fractions_linear_files/Yang_linear_img/46560582.jpg","show blot")</f>
        <v>show blot</v>
      </c>
      <c r="J2071" s="5" t="s">
        <v>4123</v>
      </c>
      <c r="L2071" s="11">
        <v>4.7342843201073102</v>
      </c>
      <c r="N2071" s="12"/>
    </row>
    <row r="2072" spans="1:14" s="5" customFormat="1" ht="15" customHeight="1" x14ac:dyDescent="0.25">
      <c r="A2072" s="9" t="s">
        <v>4124</v>
      </c>
      <c r="C2072" s="9" t="str">
        <f>HYPERLINK("http://www.ncbi.nlm.nih.gov/protein/6681283","Egfr")</f>
        <v>Egfr</v>
      </c>
      <c r="D2072" s="10">
        <f t="shared" si="32"/>
        <v>4.7342843201073102</v>
      </c>
      <c r="F2072" s="8" t="str">
        <f>HYPERLINK("https://esbl.nhlbi.nih.gov/Databases/mpkFractions/proteomic_fractions_log_files/Yang_log_img/6681283.jpg","show blot")</f>
        <v>show blot</v>
      </c>
      <c r="H2072" s="8" t="str">
        <f>HYPERLINK("https://esbl.nhlbi.nih.gov/Databases/mpkFractions/proteomic_fractions_linear_files/Yang_linear_img/6681283.jpg","show blot")</f>
        <v>show blot</v>
      </c>
      <c r="J2072" s="5" t="s">
        <v>4125</v>
      </c>
      <c r="L2072" s="11">
        <v>4.7342843201073102</v>
      </c>
      <c r="N2072" s="12"/>
    </row>
    <row r="2073" spans="1:14" s="5" customFormat="1" ht="15" customHeight="1" x14ac:dyDescent="0.25">
      <c r="A2073" s="9" t="s">
        <v>4126</v>
      </c>
      <c r="C2073" s="9" t="str">
        <f>HYPERLINK("http://www.ncbi.nlm.nih.gov/protein/158303306","Egln1")</f>
        <v>Egln1</v>
      </c>
      <c r="D2073" s="10">
        <f t="shared" si="32"/>
        <v>4.1585133557422553</v>
      </c>
      <c r="F2073" s="8" t="str">
        <f>HYPERLINK("https://esbl.nhlbi.nih.gov/Databases/mpkFractions/proteomic_fractions_log_files/Yang_log_img/158303306.jpg","show blot")</f>
        <v>show blot</v>
      </c>
      <c r="H2073" s="8" t="str">
        <f>HYPERLINK("https://esbl.nhlbi.nih.gov/Databases/mpkFractions/proteomic_fractions_linear_files/Yang_linear_img/158303306.jpg","show blot")</f>
        <v>show blot</v>
      </c>
      <c r="J2073" s="5" t="s">
        <v>4127</v>
      </c>
      <c r="L2073" s="11">
        <v>4.1585133557422553</v>
      </c>
      <c r="N2073" s="12"/>
    </row>
    <row r="2074" spans="1:14" s="5" customFormat="1" ht="15" customHeight="1" x14ac:dyDescent="0.25">
      <c r="A2074" s="9" t="s">
        <v>4128</v>
      </c>
      <c r="C2074" s="9" t="str">
        <f>HYPERLINK("http://www.ncbi.nlm.nih.gov/protein/167736351","Ehbp1l1")</f>
        <v>Ehbp1l1</v>
      </c>
      <c r="D2074" s="10" t="str">
        <f t="shared" si="32"/>
        <v>-</v>
      </c>
      <c r="F2074" s="8" t="str">
        <f>HYPERLINK("https://esbl.nhlbi.nih.gov/Databases/mpkFractions/proteomic_fractions_log_files/Yang_log_img/167736351.jpg","show blot")</f>
        <v>show blot</v>
      </c>
      <c r="H2074" s="8" t="str">
        <f>HYPERLINK("https://esbl.nhlbi.nih.gov/Databases/mpkFractions/proteomic_fractions_linear_files/Yang_linear_img/167736351.jpg","show blot")</f>
        <v>show blot</v>
      </c>
      <c r="J2074" s="5" t="s">
        <v>4129</v>
      </c>
      <c r="L2074" s="13" t="s">
        <v>389</v>
      </c>
      <c r="N2074" s="12"/>
    </row>
    <row r="2075" spans="1:14" s="5" customFormat="1" ht="15" customHeight="1" x14ac:dyDescent="0.25">
      <c r="A2075" s="9" t="s">
        <v>4130</v>
      </c>
      <c r="C2075" s="9" t="str">
        <f>HYPERLINK("http://www.ncbi.nlm.nih.gov/protein/7106303","Ehd1")</f>
        <v>Ehd1</v>
      </c>
      <c r="D2075" s="10">
        <f t="shared" si="32"/>
        <v>5.7972879117911278</v>
      </c>
      <c r="F2075" s="8" t="str">
        <f>HYPERLINK("https://esbl.nhlbi.nih.gov/Databases/mpkFractions/proteomic_fractions_log_files/Yang_log_img/7106303.jpg","show blot")</f>
        <v>show blot</v>
      </c>
      <c r="H2075" s="8" t="str">
        <f>HYPERLINK("https://esbl.nhlbi.nih.gov/Databases/mpkFractions/proteomic_fractions_linear_files/Yang_linear_img/7106303.jpg","show blot")</f>
        <v>show blot</v>
      </c>
      <c r="J2075" s="5" t="s">
        <v>4131</v>
      </c>
      <c r="L2075" s="11">
        <v>5.7972879117911278</v>
      </c>
      <c r="N2075" s="12"/>
    </row>
    <row r="2076" spans="1:14" s="5" customFormat="1" ht="15" customHeight="1" x14ac:dyDescent="0.25">
      <c r="A2076" s="9" t="s">
        <v>4132</v>
      </c>
      <c r="C2076" s="9" t="str">
        <f>HYPERLINK("http://www.ncbi.nlm.nih.gov/protein/55742711","Ehd2")</f>
        <v>Ehd2</v>
      </c>
      <c r="D2076" s="10">
        <f t="shared" si="32"/>
        <v>3.952829268571961</v>
      </c>
      <c r="F2076" s="8" t="str">
        <f>HYPERLINK("https://esbl.nhlbi.nih.gov/Databases/mpkFractions/proteomic_fractions_log_files/Yang_log_img/55742711.jpg","show blot")</f>
        <v>show blot</v>
      </c>
      <c r="H2076" s="8" t="str">
        <f>HYPERLINK("https://esbl.nhlbi.nih.gov/Databases/mpkFractions/proteomic_fractions_linear_files/Yang_linear_img/55742711.jpg","show blot")</f>
        <v>show blot</v>
      </c>
      <c r="J2076" s="5" t="s">
        <v>4133</v>
      </c>
      <c r="L2076" s="11">
        <v>3.952829268571961</v>
      </c>
      <c r="N2076" s="12"/>
    </row>
    <row r="2077" spans="1:14" s="5" customFormat="1" ht="15" customHeight="1" x14ac:dyDescent="0.25">
      <c r="A2077" s="9" t="s">
        <v>4134</v>
      </c>
      <c r="C2077" s="9" t="str">
        <f>HYPERLINK("http://www.ncbi.nlm.nih.gov/protein/215983062","Ehd3")</f>
        <v>Ehd3</v>
      </c>
      <c r="D2077" s="10">
        <f t="shared" si="32"/>
        <v>5.3896543670042956</v>
      </c>
      <c r="F2077" s="8" t="str">
        <f>HYPERLINK("https://esbl.nhlbi.nih.gov/Databases/mpkFractions/proteomic_fractions_log_files/Yang_log_img/215983062.jpg","show blot")</f>
        <v>show blot</v>
      </c>
      <c r="H2077" s="8" t="str">
        <f>HYPERLINK("https://esbl.nhlbi.nih.gov/Databases/mpkFractions/proteomic_fractions_linear_files/Yang_linear_img/215983062.jpg","show blot")</f>
        <v>show blot</v>
      </c>
      <c r="J2077" s="5" t="s">
        <v>4135</v>
      </c>
      <c r="L2077" s="11">
        <v>5.3896543670042956</v>
      </c>
      <c r="N2077" s="12"/>
    </row>
    <row r="2078" spans="1:14" s="5" customFormat="1" ht="15" customHeight="1" x14ac:dyDescent="0.25">
      <c r="A2078" s="9" t="s">
        <v>4136</v>
      </c>
      <c r="C2078" s="9" t="str">
        <f>HYPERLINK("http://www.ncbi.nlm.nih.gov/protein/31981592","Ehd4")</f>
        <v>Ehd4</v>
      </c>
      <c r="D2078" s="10">
        <f t="shared" si="32"/>
        <v>5.925255144811973</v>
      </c>
      <c r="F2078" s="8" t="str">
        <f>HYPERLINK("https://esbl.nhlbi.nih.gov/Databases/mpkFractions/proteomic_fractions_log_files/Yang_log_img/31981592.jpg","show blot")</f>
        <v>show blot</v>
      </c>
      <c r="H2078" s="8" t="str">
        <f>HYPERLINK("https://esbl.nhlbi.nih.gov/Databases/mpkFractions/proteomic_fractions_linear_files/Yang_linear_img/31981592.jpg","show blot")</f>
        <v>show blot</v>
      </c>
      <c r="J2078" s="5" t="s">
        <v>4137</v>
      </c>
      <c r="L2078" s="11">
        <v>5.925255144811973</v>
      </c>
      <c r="N2078" s="12"/>
    </row>
    <row r="2079" spans="1:14" s="5" customFormat="1" ht="15" customHeight="1" x14ac:dyDescent="0.25">
      <c r="A2079" s="9" t="s">
        <v>4138</v>
      </c>
      <c r="C2079" s="9" t="str">
        <f>HYPERLINK("http://www.ncbi.nlm.nih.gov/protein/31541815","Ehhadh")</f>
        <v>Ehhadh</v>
      </c>
      <c r="D2079" s="10">
        <f t="shared" si="32"/>
        <v>2.5297416240044091</v>
      </c>
      <c r="F2079" s="8" t="str">
        <f>HYPERLINK("https://esbl.nhlbi.nih.gov/Databases/mpkFractions/proteomic_fractions_log_files/Yang_log_img/31541815.jpg","show blot")</f>
        <v>show blot</v>
      </c>
      <c r="H2079" s="8" t="str">
        <f>HYPERLINK("https://esbl.nhlbi.nih.gov/Databases/mpkFractions/proteomic_fractions_linear_files/Yang_linear_img/31541815.jpg","show blot")</f>
        <v>show blot</v>
      </c>
      <c r="J2079" s="5" t="s">
        <v>4139</v>
      </c>
      <c r="L2079" s="11">
        <v>2.5297416240044091</v>
      </c>
      <c r="N2079" s="12"/>
    </row>
    <row r="2080" spans="1:14" s="5" customFormat="1" ht="15" customHeight="1" x14ac:dyDescent="0.25">
      <c r="A2080" s="9" t="s">
        <v>4140</v>
      </c>
      <c r="C2080" s="9" t="str">
        <f>HYPERLINK("http://www.ncbi.nlm.nih.gov/protein/313747488","Ei24")</f>
        <v>Ei24</v>
      </c>
      <c r="D2080" s="10">
        <f t="shared" si="32"/>
        <v>3.566803264549391</v>
      </c>
      <c r="F2080" s="8" t="str">
        <f>HYPERLINK("https://esbl.nhlbi.nih.gov/Databases/mpkFractions/proteomic_fractions_log_files/Yang_log_img/313747488.jpg","show blot")</f>
        <v>show blot</v>
      </c>
      <c r="H2080" s="8" t="str">
        <f>HYPERLINK("https://esbl.nhlbi.nih.gov/Databases/mpkFractions/proteomic_fractions_linear_files/Yang_linear_img/313747488.jpg","show blot")</f>
        <v>show blot</v>
      </c>
      <c r="J2080" s="5" t="s">
        <v>4141</v>
      </c>
      <c r="L2080" s="11">
        <v>3.566803264549391</v>
      </c>
      <c r="N2080" s="12"/>
    </row>
    <row r="2081" spans="1:14" s="5" customFormat="1" ht="15" customHeight="1" x14ac:dyDescent="0.25">
      <c r="A2081" s="9" t="s">
        <v>4142</v>
      </c>
      <c r="C2081" s="9" t="str">
        <f>HYPERLINK("http://www.ncbi.nlm.nih.gov/protein/22165347","Eif1")</f>
        <v>Eif1</v>
      </c>
      <c r="D2081" s="10">
        <f t="shared" si="32"/>
        <v>5.4661893587593813</v>
      </c>
      <c r="F2081" s="8" t="str">
        <f>HYPERLINK("https://esbl.nhlbi.nih.gov/Databases/mpkFractions/proteomic_fractions_log_files/Yang_log_img/22165347.jpg","show blot")</f>
        <v>show blot</v>
      </c>
      <c r="H2081" s="8" t="str">
        <f>HYPERLINK("https://esbl.nhlbi.nih.gov/Databases/mpkFractions/proteomic_fractions_linear_files/Yang_linear_img/22165347.jpg","show blot")</f>
        <v>show blot</v>
      </c>
      <c r="J2081" s="5" t="s">
        <v>4143</v>
      </c>
      <c r="L2081" s="11">
        <v>5.4661893587593813</v>
      </c>
      <c r="N2081" s="12"/>
    </row>
    <row r="2082" spans="1:14" s="5" customFormat="1" ht="15" customHeight="1" x14ac:dyDescent="0.25">
      <c r="A2082" s="9" t="s">
        <v>4144</v>
      </c>
      <c r="C2082" s="9" t="str">
        <f>HYPERLINK("http://www.ncbi.nlm.nih.gov/protein/158631225","Eif1a")</f>
        <v>Eif1a</v>
      </c>
      <c r="D2082" s="10">
        <f t="shared" si="32"/>
        <v>6.0186545498557376</v>
      </c>
      <c r="F2082" s="8" t="str">
        <f>HYPERLINK("https://esbl.nhlbi.nih.gov/Databases/mpkFractions/proteomic_fractions_log_files/Yang_log_img/158631225.jpg","show blot")</f>
        <v>show blot</v>
      </c>
      <c r="H2082" s="8" t="str">
        <f>HYPERLINK("https://esbl.nhlbi.nih.gov/Databases/mpkFractions/proteomic_fractions_linear_files/Yang_linear_img/158631225.jpg","show blot")</f>
        <v>show blot</v>
      </c>
      <c r="J2082" s="5" t="s">
        <v>4145</v>
      </c>
      <c r="L2082" s="11">
        <v>6.0186545498557376</v>
      </c>
      <c r="N2082" s="12"/>
    </row>
    <row r="2083" spans="1:14" s="5" customFormat="1" ht="15" customHeight="1" x14ac:dyDescent="0.25">
      <c r="A2083" s="9" t="s">
        <v>4146</v>
      </c>
      <c r="C2083" s="9" t="str">
        <f>HYPERLINK("http://www.ncbi.nlm.nih.gov/protein/58037183","Eif1ad")</f>
        <v>Eif1ad</v>
      </c>
      <c r="D2083" s="10">
        <f t="shared" si="32"/>
        <v>4.4338840378924456</v>
      </c>
      <c r="F2083" s="8" t="str">
        <f>HYPERLINK("https://esbl.nhlbi.nih.gov/Databases/mpkFractions/proteomic_fractions_log_files/Yang_log_img/58037183.jpg","show blot")</f>
        <v>show blot</v>
      </c>
      <c r="H2083" s="8" t="str">
        <f>HYPERLINK("https://esbl.nhlbi.nih.gov/Databases/mpkFractions/proteomic_fractions_linear_files/Yang_linear_img/58037183.jpg","show blot")</f>
        <v>show blot</v>
      </c>
      <c r="J2083" s="5" t="s">
        <v>4147</v>
      </c>
      <c r="L2083" s="11">
        <v>4.4338840378924456</v>
      </c>
      <c r="N2083" s="12"/>
    </row>
    <row r="2084" spans="1:14" s="5" customFormat="1" ht="15" customHeight="1" x14ac:dyDescent="0.25">
      <c r="A2084" s="9" t="s">
        <v>4148</v>
      </c>
      <c r="C2084" s="9" t="str">
        <f>HYPERLINK("http://www.ncbi.nlm.nih.gov/protein/31541824","Eif1ax")</f>
        <v>Eif1ax</v>
      </c>
      <c r="D2084" s="10">
        <f t="shared" si="32"/>
        <v>6.052812303492149</v>
      </c>
      <c r="F2084" s="8" t="str">
        <f>HYPERLINK("https://esbl.nhlbi.nih.gov/Databases/mpkFractions/proteomic_fractions_log_files/Yang_log_img/31541824.jpg","show blot")</f>
        <v>show blot</v>
      </c>
      <c r="H2084" s="8" t="str">
        <f>HYPERLINK("https://esbl.nhlbi.nih.gov/Databases/mpkFractions/proteomic_fractions_linear_files/Yang_linear_img/31541824.jpg","show blot")</f>
        <v>show blot</v>
      </c>
      <c r="J2084" s="5" t="s">
        <v>4149</v>
      </c>
      <c r="L2084" s="11">
        <v>6.052812303492149</v>
      </c>
      <c r="N2084" s="12"/>
    </row>
    <row r="2085" spans="1:14" s="5" customFormat="1" ht="15" customHeight="1" x14ac:dyDescent="0.25">
      <c r="A2085" s="9" t="s">
        <v>4150</v>
      </c>
      <c r="C2085" s="9" t="str">
        <f>HYPERLINK("http://www.ncbi.nlm.nih.gov/protein/21312159","Eif1b")</f>
        <v>Eif1b</v>
      </c>
      <c r="D2085" s="10">
        <f t="shared" si="32"/>
        <v>5.4661893587593813</v>
      </c>
      <c r="F2085" s="8" t="str">
        <f>HYPERLINK("https://esbl.nhlbi.nih.gov/Databases/mpkFractions/proteomic_fractions_log_files/Yang_log_img/21312159.jpg","show blot")</f>
        <v>show blot</v>
      </c>
      <c r="H2085" s="8" t="str">
        <f>HYPERLINK("https://esbl.nhlbi.nih.gov/Databases/mpkFractions/proteomic_fractions_linear_files/Yang_linear_img/21312159.jpg","show blot")</f>
        <v>show blot</v>
      </c>
      <c r="J2085" s="5" t="s">
        <v>4151</v>
      </c>
      <c r="L2085" s="11">
        <v>5.4661893587593813</v>
      </c>
      <c r="N2085" s="12"/>
    </row>
    <row r="2086" spans="1:14" s="5" customFormat="1" ht="15" customHeight="1" x14ac:dyDescent="0.25">
      <c r="A2086" s="9" t="s">
        <v>4152</v>
      </c>
      <c r="C2086" s="9" t="str">
        <f>HYPERLINK("http://www.ncbi.nlm.nih.gov/protein/54020676","Eif2a")</f>
        <v>Eif2a</v>
      </c>
      <c r="D2086" s="10">
        <f t="shared" si="32"/>
        <v>5.879740703487963</v>
      </c>
      <c r="F2086" s="8" t="str">
        <f>HYPERLINK("https://esbl.nhlbi.nih.gov/Databases/mpkFractions/proteomic_fractions_log_files/Yang_log_img/54020676.jpg","show blot")</f>
        <v>show blot</v>
      </c>
      <c r="H2086" s="8" t="str">
        <f>HYPERLINK("https://esbl.nhlbi.nih.gov/Databases/mpkFractions/proteomic_fractions_linear_files/Yang_linear_img/54020676.jpg","show blot")</f>
        <v>show blot</v>
      </c>
      <c r="J2086" s="5" t="s">
        <v>4153</v>
      </c>
      <c r="L2086" s="11">
        <v>5.879740703487963</v>
      </c>
      <c r="N2086" s="12"/>
    </row>
    <row r="2087" spans="1:14" s="5" customFormat="1" ht="15" customHeight="1" x14ac:dyDescent="0.25">
      <c r="A2087" s="9" t="s">
        <v>4154</v>
      </c>
      <c r="C2087" s="9" t="str">
        <f>HYPERLINK("http://www.ncbi.nlm.nih.gov/protein/6755160","Eif2ak2")</f>
        <v>Eif2ak2</v>
      </c>
      <c r="D2087" s="10">
        <f t="shared" si="32"/>
        <v>4.9783220834558648</v>
      </c>
      <c r="F2087" s="8" t="str">
        <f>HYPERLINK("https://esbl.nhlbi.nih.gov/Databases/mpkFractions/proteomic_fractions_log_files/Yang_log_img/6755160.jpg","show blot")</f>
        <v>show blot</v>
      </c>
      <c r="H2087" s="8" t="str">
        <f>HYPERLINK("https://esbl.nhlbi.nih.gov/Databases/mpkFractions/proteomic_fractions_linear_files/Yang_linear_img/6755160.jpg","show blot")</f>
        <v>show blot</v>
      </c>
      <c r="J2087" s="5" t="s">
        <v>4155</v>
      </c>
      <c r="L2087" s="11">
        <v>4.9783220834558648</v>
      </c>
      <c r="N2087" s="12"/>
    </row>
    <row r="2088" spans="1:14" s="5" customFormat="1" ht="15" customHeight="1" x14ac:dyDescent="0.25">
      <c r="A2088" s="9" t="s">
        <v>4156</v>
      </c>
      <c r="C2088" s="9" t="str">
        <f>HYPERLINK("http://www.ncbi.nlm.nih.gov/protein/166851838","Eif2ak4")</f>
        <v>Eif2ak4</v>
      </c>
      <c r="D2088" s="10">
        <f t="shared" si="32"/>
        <v>2.4311418456657048</v>
      </c>
      <c r="F2088" s="8" t="str">
        <f>HYPERLINK("https://esbl.nhlbi.nih.gov/Databases/mpkFractions/proteomic_fractions_log_files/Yang_log_img/166851838.jpg","show blot")</f>
        <v>show blot</v>
      </c>
      <c r="H2088" s="8" t="str">
        <f>HYPERLINK("https://esbl.nhlbi.nih.gov/Databases/mpkFractions/proteomic_fractions_linear_files/Yang_linear_img/166851838.jpg","show blot")</f>
        <v>show blot</v>
      </c>
      <c r="J2088" s="5" t="s">
        <v>4157</v>
      </c>
      <c r="L2088" s="11">
        <v>2.4311418456657048</v>
      </c>
      <c r="N2088" s="12"/>
    </row>
    <row r="2089" spans="1:14" s="5" customFormat="1" ht="15" customHeight="1" x14ac:dyDescent="0.25">
      <c r="A2089" s="9" t="s">
        <v>4158</v>
      </c>
      <c r="C2089" s="9" t="str">
        <f>HYPERLINK("http://www.ncbi.nlm.nih.gov/protein/295317391","Eif2ak4")</f>
        <v>Eif2ak4</v>
      </c>
      <c r="D2089" s="10">
        <f t="shared" si="32"/>
        <v>2.4311418456657048</v>
      </c>
      <c r="F2089" s="8" t="str">
        <f>HYPERLINK("https://esbl.nhlbi.nih.gov/Databases/mpkFractions/proteomic_fractions_log_files/Yang_log_img/295317391.jpg","show blot")</f>
        <v>show blot</v>
      </c>
      <c r="H2089" s="8" t="str">
        <f>HYPERLINK("https://esbl.nhlbi.nih.gov/Databases/mpkFractions/proteomic_fractions_linear_files/Yang_linear_img/295317391.jpg","show blot")</f>
        <v>show blot</v>
      </c>
      <c r="J2089" s="5" t="s">
        <v>4159</v>
      </c>
      <c r="L2089" s="11">
        <v>2.4311418456657048</v>
      </c>
      <c r="N2089" s="12"/>
    </row>
    <row r="2090" spans="1:14" s="5" customFormat="1" ht="15" customHeight="1" x14ac:dyDescent="0.25">
      <c r="A2090" s="9" t="s">
        <v>4160</v>
      </c>
      <c r="C2090" s="9" t="str">
        <f>HYPERLINK("http://www.ncbi.nlm.nih.gov/protein/21703744","Eif2b1")</f>
        <v>Eif2b1</v>
      </c>
      <c r="D2090" s="10">
        <f t="shared" si="32"/>
        <v>5.2040788590238796</v>
      </c>
      <c r="F2090" s="8" t="str">
        <f>HYPERLINK("https://esbl.nhlbi.nih.gov/Databases/mpkFractions/proteomic_fractions_log_files/Yang_log_img/21703744.jpg","show blot")</f>
        <v>show blot</v>
      </c>
      <c r="H2090" s="8" t="str">
        <f>HYPERLINK("https://esbl.nhlbi.nih.gov/Databases/mpkFractions/proteomic_fractions_linear_files/Yang_linear_img/21703744.jpg","show blot")</f>
        <v>show blot</v>
      </c>
      <c r="J2090" s="5" t="s">
        <v>4161</v>
      </c>
      <c r="L2090" s="11">
        <v>5.2040788590238796</v>
      </c>
      <c r="N2090" s="12"/>
    </row>
    <row r="2091" spans="1:14" s="5" customFormat="1" ht="15" customHeight="1" x14ac:dyDescent="0.25">
      <c r="A2091" s="9" t="s">
        <v>4162</v>
      </c>
      <c r="C2091" s="9" t="str">
        <f>HYPERLINK("http://www.ncbi.nlm.nih.gov/protein/21703888","Eif2b2")</f>
        <v>Eif2b2</v>
      </c>
      <c r="D2091" s="10">
        <f t="shared" si="32"/>
        <v>5.2806268524901512</v>
      </c>
      <c r="F2091" s="8" t="str">
        <f>HYPERLINK("https://esbl.nhlbi.nih.gov/Databases/mpkFractions/proteomic_fractions_log_files/Yang_log_img/21703888.jpg","show blot")</f>
        <v>show blot</v>
      </c>
      <c r="H2091" s="8" t="str">
        <f>HYPERLINK("https://esbl.nhlbi.nih.gov/Databases/mpkFractions/proteomic_fractions_linear_files/Yang_linear_img/21703888.jpg","show blot")</f>
        <v>show blot</v>
      </c>
      <c r="J2091" s="5" t="s">
        <v>4163</v>
      </c>
      <c r="L2091" s="11">
        <v>5.2806268524901512</v>
      </c>
      <c r="N2091" s="12"/>
    </row>
    <row r="2092" spans="1:14" s="5" customFormat="1" ht="15" customHeight="1" x14ac:dyDescent="0.25">
      <c r="A2092" s="9" t="s">
        <v>4164</v>
      </c>
      <c r="C2092" s="9" t="str">
        <f>HYPERLINK("http://www.ncbi.nlm.nih.gov/protein/110626005","Eif2b3")</f>
        <v>Eif2b3</v>
      </c>
      <c r="D2092" s="10">
        <f t="shared" si="32"/>
        <v>4.7259628252222576</v>
      </c>
      <c r="F2092" s="8" t="str">
        <f>HYPERLINK("https://esbl.nhlbi.nih.gov/Databases/mpkFractions/proteomic_fractions_log_files/Yang_log_img/110626005.jpg","show blot")</f>
        <v>show blot</v>
      </c>
      <c r="H2092" s="8" t="str">
        <f>HYPERLINK("https://esbl.nhlbi.nih.gov/Databases/mpkFractions/proteomic_fractions_linear_files/Yang_linear_img/110626005.jpg","show blot")</f>
        <v>show blot</v>
      </c>
      <c r="J2092" s="5" t="s">
        <v>4165</v>
      </c>
      <c r="L2092" s="11">
        <v>4.7259628252222576</v>
      </c>
      <c r="N2092" s="12"/>
    </row>
    <row r="2093" spans="1:14" s="5" customFormat="1" ht="15" customHeight="1" x14ac:dyDescent="0.25">
      <c r="A2093" s="9" t="s">
        <v>4166</v>
      </c>
      <c r="C2093" s="9" t="str">
        <f>HYPERLINK("http://www.ncbi.nlm.nih.gov/protein/162287102","Eif2b3")</f>
        <v>Eif2b3</v>
      </c>
      <c r="D2093" s="10">
        <f t="shared" si="32"/>
        <v>4.7259628252222576</v>
      </c>
      <c r="F2093" s="8" t="str">
        <f>HYPERLINK("https://esbl.nhlbi.nih.gov/Databases/mpkFractions/proteomic_fractions_log_files/Yang_log_img/162287102.jpg","show blot")</f>
        <v>show blot</v>
      </c>
      <c r="H2093" s="8" t="str">
        <f>HYPERLINK("https://esbl.nhlbi.nih.gov/Databases/mpkFractions/proteomic_fractions_linear_files/Yang_linear_img/162287102.jpg","show blot")</f>
        <v>show blot</v>
      </c>
      <c r="J2093" s="5" t="s">
        <v>4167</v>
      </c>
      <c r="L2093" s="11">
        <v>4.7259628252222576</v>
      </c>
      <c r="N2093" s="12"/>
    </row>
    <row r="2094" spans="1:14" s="5" customFormat="1" ht="15" customHeight="1" x14ac:dyDescent="0.25">
      <c r="A2094" s="9" t="s">
        <v>4168</v>
      </c>
      <c r="C2094" s="9" t="str">
        <f>HYPERLINK("http://www.ncbi.nlm.nih.gov/protein/188219551","Eif2b4")</f>
        <v>Eif2b4</v>
      </c>
      <c r="D2094" s="10">
        <f t="shared" si="32"/>
        <v>5.1499476910987871</v>
      </c>
      <c r="F2094" s="8" t="str">
        <f>HYPERLINK("https://esbl.nhlbi.nih.gov/Databases/mpkFractions/proteomic_fractions_log_files/Yang_log_img/188219551.jpg","show blot")</f>
        <v>show blot</v>
      </c>
      <c r="H2094" s="8" t="str">
        <f>HYPERLINK("https://esbl.nhlbi.nih.gov/Databases/mpkFractions/proteomic_fractions_linear_files/Yang_linear_img/188219551.jpg","show blot")</f>
        <v>show blot</v>
      </c>
      <c r="J2094" s="5" t="s">
        <v>4169</v>
      </c>
      <c r="L2094" s="11">
        <v>5.1499476910987871</v>
      </c>
      <c r="N2094" s="12"/>
    </row>
    <row r="2095" spans="1:14" s="5" customFormat="1" ht="15" customHeight="1" x14ac:dyDescent="0.25">
      <c r="A2095" s="9" t="s">
        <v>4170</v>
      </c>
      <c r="C2095" s="9" t="str">
        <f>HYPERLINK("http://www.ncbi.nlm.nih.gov/protein/188219553","Eif2b4")</f>
        <v>Eif2b4</v>
      </c>
      <c r="D2095" s="10">
        <f t="shared" si="32"/>
        <v>5.1499476910987871</v>
      </c>
      <c r="F2095" s="8" t="str">
        <f>HYPERLINK("https://esbl.nhlbi.nih.gov/Databases/mpkFractions/proteomic_fractions_log_files/Yang_log_img/188219553.jpg","show blot")</f>
        <v>show blot</v>
      </c>
      <c r="H2095" s="8" t="str">
        <f>HYPERLINK("https://esbl.nhlbi.nih.gov/Databases/mpkFractions/proteomic_fractions_linear_files/Yang_linear_img/188219553.jpg","show blot")</f>
        <v>show blot</v>
      </c>
      <c r="J2095" s="5" t="s">
        <v>4171</v>
      </c>
      <c r="L2095" s="11">
        <v>5.1499476910987871</v>
      </c>
      <c r="N2095" s="12"/>
    </row>
    <row r="2096" spans="1:14" s="5" customFormat="1" ht="15" customHeight="1" x14ac:dyDescent="0.25">
      <c r="A2096" s="9" t="s">
        <v>4172</v>
      </c>
      <c r="C2096" s="9" t="str">
        <f>HYPERLINK("http://www.ncbi.nlm.nih.gov/protein/26986557","Eif2b5")</f>
        <v>Eif2b5</v>
      </c>
      <c r="D2096" s="10">
        <f t="shared" si="32"/>
        <v>4.7484233254175026</v>
      </c>
      <c r="F2096" s="8" t="str">
        <f>HYPERLINK("https://esbl.nhlbi.nih.gov/Databases/mpkFractions/proteomic_fractions_log_files/Yang_log_img/26986557.jpg","show blot")</f>
        <v>show blot</v>
      </c>
      <c r="H2096" s="8" t="str">
        <f>HYPERLINK("https://esbl.nhlbi.nih.gov/Databases/mpkFractions/proteomic_fractions_linear_files/Yang_linear_img/26986557.jpg","show blot")</f>
        <v>show blot</v>
      </c>
      <c r="J2096" s="5" t="s">
        <v>4173</v>
      </c>
      <c r="L2096" s="11">
        <v>4.7484233254175026</v>
      </c>
      <c r="N2096" s="12"/>
    </row>
    <row r="2097" spans="1:14" s="5" customFormat="1" ht="15" customHeight="1" x14ac:dyDescent="0.25">
      <c r="A2097" s="9" t="s">
        <v>4174</v>
      </c>
      <c r="C2097" s="9" t="str">
        <f>HYPERLINK("http://www.ncbi.nlm.nih.gov/protein/209862947","Eif2d")</f>
        <v>Eif2d</v>
      </c>
      <c r="D2097" s="10">
        <f t="shared" si="32"/>
        <v>5.0652807660672687</v>
      </c>
      <c r="F2097" s="8" t="str">
        <f>HYPERLINK("https://esbl.nhlbi.nih.gov/Databases/mpkFractions/proteomic_fractions_log_files/Yang_log_img/209862947.jpg","show blot")</f>
        <v>show blot</v>
      </c>
      <c r="H2097" s="8" t="str">
        <f>HYPERLINK("https://esbl.nhlbi.nih.gov/Databases/mpkFractions/proteomic_fractions_linear_files/Yang_linear_img/209862947.jpg","show blot")</f>
        <v>show blot</v>
      </c>
      <c r="J2097" s="5" t="s">
        <v>4175</v>
      </c>
      <c r="L2097" s="11">
        <v>5.0652807660672687</v>
      </c>
      <c r="N2097" s="12"/>
    </row>
    <row r="2098" spans="1:14" s="5" customFormat="1" ht="15" customHeight="1" x14ac:dyDescent="0.25">
      <c r="A2098" s="9" t="s">
        <v>4176</v>
      </c>
      <c r="C2098" s="9" t="str">
        <f>HYPERLINK("http://www.ncbi.nlm.nih.gov/protein/229577222","Eif2d")</f>
        <v>Eif2d</v>
      </c>
      <c r="D2098" s="10">
        <f t="shared" si="32"/>
        <v>5.0652807660672687</v>
      </c>
      <c r="F2098" s="8" t="str">
        <f>HYPERLINK("https://esbl.nhlbi.nih.gov/Databases/mpkFractions/proteomic_fractions_log_files/Yang_log_img/229577222.jpg","show blot")</f>
        <v>show blot</v>
      </c>
      <c r="H2098" s="8" t="str">
        <f>HYPERLINK("https://esbl.nhlbi.nih.gov/Databases/mpkFractions/proteomic_fractions_linear_files/Yang_linear_img/229577222.jpg","show blot")</f>
        <v>show blot</v>
      </c>
      <c r="J2098" s="5" t="s">
        <v>4177</v>
      </c>
      <c r="L2098" s="11">
        <v>5.0652807660672687</v>
      </c>
      <c r="N2098" s="12"/>
    </row>
    <row r="2099" spans="1:14" s="5" customFormat="1" ht="15" customHeight="1" x14ac:dyDescent="0.25">
      <c r="A2099" s="9" t="s">
        <v>4178</v>
      </c>
      <c r="C2099" s="9" t="str">
        <f>HYPERLINK("http://www.ncbi.nlm.nih.gov/protein/13385624","Eif2s1")</f>
        <v>Eif2s1</v>
      </c>
      <c r="D2099" s="10">
        <f t="shared" si="32"/>
        <v>6.5145754848948387</v>
      </c>
      <c r="F2099" s="8" t="str">
        <f>HYPERLINK("https://esbl.nhlbi.nih.gov/Databases/mpkFractions/proteomic_fractions_log_files/Yang_log_img/13385624.jpg","show blot")</f>
        <v>show blot</v>
      </c>
      <c r="H2099" s="8" t="str">
        <f>HYPERLINK("https://esbl.nhlbi.nih.gov/Databases/mpkFractions/proteomic_fractions_linear_files/Yang_linear_img/13385624.jpg","show blot")</f>
        <v>show blot</v>
      </c>
      <c r="J2099" s="5" t="s">
        <v>4179</v>
      </c>
      <c r="L2099" s="11">
        <v>6.5145754848948387</v>
      </c>
      <c r="N2099" s="12"/>
    </row>
    <row r="2100" spans="1:14" s="5" customFormat="1" ht="15" customHeight="1" x14ac:dyDescent="0.25">
      <c r="A2100" s="9" t="s">
        <v>4180</v>
      </c>
      <c r="C2100" s="9" t="str">
        <f>HYPERLINK("http://www.ncbi.nlm.nih.gov/protein/14149756","Eif2s2")</f>
        <v>Eif2s2</v>
      </c>
      <c r="D2100" s="10">
        <f t="shared" si="32"/>
        <v>6.1649501919200418</v>
      </c>
      <c r="F2100" s="8" t="str">
        <f>HYPERLINK("https://esbl.nhlbi.nih.gov/Databases/mpkFractions/proteomic_fractions_log_files/Yang_log_img/14149756.jpg","show blot")</f>
        <v>show blot</v>
      </c>
      <c r="H2100" s="8" t="str">
        <f>HYPERLINK("https://esbl.nhlbi.nih.gov/Databases/mpkFractions/proteomic_fractions_linear_files/Yang_linear_img/14149756.jpg","show blot")</f>
        <v>show blot</v>
      </c>
      <c r="J2100" s="5" t="s">
        <v>4181</v>
      </c>
      <c r="L2100" s="11">
        <v>6.1649501919200418</v>
      </c>
      <c r="N2100" s="12"/>
    </row>
    <row r="2101" spans="1:14" s="5" customFormat="1" ht="15" customHeight="1" x14ac:dyDescent="0.25">
      <c r="A2101" s="9" t="s">
        <v>4182</v>
      </c>
      <c r="C2101" s="9" t="str">
        <f>HYPERLINK("http://www.ncbi.nlm.nih.gov/protein/6753738","Eif2s3x")</f>
        <v>Eif2s3x</v>
      </c>
      <c r="D2101" s="10">
        <f t="shared" si="32"/>
        <v>6.1759361620862157</v>
      </c>
      <c r="F2101" s="8" t="str">
        <f>HYPERLINK("https://esbl.nhlbi.nih.gov/Databases/mpkFractions/proteomic_fractions_log_files/Yang_log_img/6753738.jpg","show blot")</f>
        <v>show blot</v>
      </c>
      <c r="H2101" s="8" t="str">
        <f>HYPERLINK("https://esbl.nhlbi.nih.gov/Databases/mpkFractions/proteomic_fractions_linear_files/Yang_linear_img/6753738.jpg","show blot")</f>
        <v>show blot</v>
      </c>
      <c r="J2101" s="5" t="s">
        <v>4183</v>
      </c>
      <c r="L2101" s="11">
        <v>6.1759361620862157</v>
      </c>
      <c r="N2101" s="12"/>
    </row>
    <row r="2102" spans="1:14" s="5" customFormat="1" ht="15" customHeight="1" x14ac:dyDescent="0.25">
      <c r="A2102" s="9" t="s">
        <v>4184</v>
      </c>
      <c r="C2102" s="9" t="str">
        <f>HYPERLINK("http://www.ncbi.nlm.nih.gov/protein/7242148","Eif2s3y")</f>
        <v>Eif2s3y</v>
      </c>
      <c r="D2102" s="10">
        <f t="shared" si="32"/>
        <v>6.0851994238177536</v>
      </c>
      <c r="F2102" s="8" t="str">
        <f>HYPERLINK("https://esbl.nhlbi.nih.gov/Databases/mpkFractions/proteomic_fractions_log_files/Yang_log_img/7242148.jpg","show blot")</f>
        <v>show blot</v>
      </c>
      <c r="H2102" s="8" t="str">
        <f>HYPERLINK("https://esbl.nhlbi.nih.gov/Databases/mpkFractions/proteomic_fractions_linear_files/Yang_linear_img/7242148.jpg","show blot")</f>
        <v>show blot</v>
      </c>
      <c r="J2102" s="5" t="s">
        <v>4185</v>
      </c>
      <c r="L2102" s="11">
        <v>6.0851994238177536</v>
      </c>
      <c r="N2102" s="12"/>
    </row>
    <row r="2103" spans="1:14" s="5" customFormat="1" ht="15" customHeight="1" x14ac:dyDescent="0.25">
      <c r="A2103" s="9" t="s">
        <v>4186</v>
      </c>
      <c r="C2103" s="9" t="str">
        <f>HYPERLINK("http://www.ncbi.nlm.nih.gov/protein/146219837","Eif3a")</f>
        <v>Eif3a</v>
      </c>
      <c r="D2103" s="10">
        <f t="shared" si="32"/>
        <v>6.0241047853869976</v>
      </c>
      <c r="F2103" s="8" t="str">
        <f>HYPERLINK("https://esbl.nhlbi.nih.gov/Databases/mpkFractions/proteomic_fractions_log_files/Yang_log_img/146219837.jpg","show blot")</f>
        <v>show blot</v>
      </c>
      <c r="H2103" s="8" t="str">
        <f>HYPERLINK("https://esbl.nhlbi.nih.gov/Databases/mpkFractions/proteomic_fractions_linear_files/Yang_linear_img/146219837.jpg","show blot")</f>
        <v>show blot</v>
      </c>
      <c r="J2103" s="5" t="s">
        <v>4187</v>
      </c>
      <c r="L2103" s="11">
        <v>6.0241047853869976</v>
      </c>
      <c r="N2103" s="12"/>
    </row>
    <row r="2104" spans="1:14" s="5" customFormat="1" ht="15" customHeight="1" x14ac:dyDescent="0.25">
      <c r="A2104" s="9" t="s">
        <v>4188</v>
      </c>
      <c r="C2104" s="9" t="str">
        <f>HYPERLINK("http://www.ncbi.nlm.nih.gov/protein/29789343","Eif3b")</f>
        <v>Eif3b</v>
      </c>
      <c r="D2104" s="10">
        <f t="shared" si="32"/>
        <v>6.1408633136682624</v>
      </c>
      <c r="F2104" s="8" t="str">
        <f>HYPERLINK("https://esbl.nhlbi.nih.gov/Databases/mpkFractions/proteomic_fractions_log_files/Yang_log_img/29789343.jpg","show blot")</f>
        <v>show blot</v>
      </c>
      <c r="H2104" s="8" t="str">
        <f>HYPERLINK("https://esbl.nhlbi.nih.gov/Databases/mpkFractions/proteomic_fractions_linear_files/Yang_linear_img/29789343.jpg","show blot")</f>
        <v>show blot</v>
      </c>
      <c r="J2104" s="5" t="s">
        <v>4189</v>
      </c>
      <c r="L2104" s="11">
        <v>6.1408633136682624</v>
      </c>
      <c r="N2104" s="12"/>
    </row>
    <row r="2105" spans="1:14" s="5" customFormat="1" ht="15" customHeight="1" x14ac:dyDescent="0.25">
      <c r="A2105" s="9" t="s">
        <v>4190</v>
      </c>
      <c r="C2105" s="9" t="str">
        <f>HYPERLINK("http://www.ncbi.nlm.nih.gov/protein/22203755","Eif3c")</f>
        <v>Eif3c</v>
      </c>
      <c r="D2105" s="10">
        <f t="shared" si="32"/>
        <v>6.1092133356473051</v>
      </c>
      <c r="F2105" s="8" t="str">
        <f>HYPERLINK("https://esbl.nhlbi.nih.gov/Databases/mpkFractions/proteomic_fractions_log_files/Yang_log_img/22203755.jpg","show blot")</f>
        <v>show blot</v>
      </c>
      <c r="H2105" s="8" t="str">
        <f>HYPERLINK("https://esbl.nhlbi.nih.gov/Databases/mpkFractions/proteomic_fractions_linear_files/Yang_linear_img/22203755.jpg","show blot")</f>
        <v>show blot</v>
      </c>
      <c r="J2105" s="5" t="s">
        <v>4191</v>
      </c>
      <c r="L2105" s="11">
        <v>6.1092133356473051</v>
      </c>
      <c r="N2105" s="12"/>
    </row>
    <row r="2106" spans="1:14" s="5" customFormat="1" ht="15" customHeight="1" x14ac:dyDescent="0.25">
      <c r="A2106" s="9" t="s">
        <v>4192</v>
      </c>
      <c r="C2106" s="9" t="str">
        <f>HYPERLINK("http://www.ncbi.nlm.nih.gov/protein/125628629","Eif3d")</f>
        <v>Eif3d</v>
      </c>
      <c r="D2106" s="10">
        <f t="shared" si="32"/>
        <v>5.9638912992739428</v>
      </c>
      <c r="F2106" s="8" t="str">
        <f>HYPERLINK("https://esbl.nhlbi.nih.gov/Databases/mpkFractions/proteomic_fractions_log_files/Yang_log_img/125628629.jpg","show blot")</f>
        <v>show blot</v>
      </c>
      <c r="H2106" s="8" t="str">
        <f>HYPERLINK("https://esbl.nhlbi.nih.gov/Databases/mpkFractions/proteomic_fractions_linear_files/Yang_linear_img/125628629.jpg","show blot")</f>
        <v>show blot</v>
      </c>
      <c r="J2106" s="5" t="s">
        <v>4193</v>
      </c>
      <c r="L2106" s="11">
        <v>5.9638912992739428</v>
      </c>
      <c r="N2106" s="12"/>
    </row>
    <row r="2107" spans="1:14" s="5" customFormat="1" ht="15" customHeight="1" x14ac:dyDescent="0.25">
      <c r="A2107" s="9" t="s">
        <v>4194</v>
      </c>
      <c r="C2107" s="9" t="str">
        <f>HYPERLINK("http://www.ncbi.nlm.nih.gov/protein/45476573","Eif3e")</f>
        <v>Eif3e</v>
      </c>
      <c r="D2107" s="10">
        <f t="shared" si="32"/>
        <v>6.0086175789665601</v>
      </c>
      <c r="F2107" s="8" t="str">
        <f>HYPERLINK("https://esbl.nhlbi.nih.gov/Databases/mpkFractions/proteomic_fractions_log_files/Yang_log_img/45476573.jpg","show blot")</f>
        <v>show blot</v>
      </c>
      <c r="H2107" s="8" t="str">
        <f>HYPERLINK("https://esbl.nhlbi.nih.gov/Databases/mpkFractions/proteomic_fractions_linear_files/Yang_linear_img/45476573.jpg","show blot")</f>
        <v>show blot</v>
      </c>
      <c r="J2107" s="5" t="s">
        <v>4195</v>
      </c>
      <c r="L2107" s="11">
        <v>6.0086175789665601</v>
      </c>
      <c r="N2107" s="12"/>
    </row>
    <row r="2108" spans="1:14" s="5" customFormat="1" ht="15" customHeight="1" x14ac:dyDescent="0.25">
      <c r="A2108" s="9" t="s">
        <v>4196</v>
      </c>
      <c r="C2108" s="9" t="str">
        <f>HYPERLINK("http://www.ncbi.nlm.nih.gov/protein/225637531","Eif3f")</f>
        <v>Eif3f</v>
      </c>
      <c r="D2108" s="10">
        <f t="shared" si="32"/>
        <v>6.2992877316877607</v>
      </c>
      <c r="F2108" s="8" t="str">
        <f>HYPERLINK("https://esbl.nhlbi.nih.gov/Databases/mpkFractions/proteomic_fractions_log_files/Yang_log_img/225637531.jpg","show blot")</f>
        <v>show blot</v>
      </c>
      <c r="H2108" s="8" t="str">
        <f>HYPERLINK("https://esbl.nhlbi.nih.gov/Databases/mpkFractions/proteomic_fractions_linear_files/Yang_linear_img/225637531.jpg","show blot")</f>
        <v>show blot</v>
      </c>
      <c r="J2108" s="5" t="s">
        <v>4197</v>
      </c>
      <c r="L2108" s="11">
        <v>6.2992877316877607</v>
      </c>
      <c r="N2108" s="12"/>
    </row>
    <row r="2109" spans="1:14" s="5" customFormat="1" ht="15" customHeight="1" x14ac:dyDescent="0.25">
      <c r="A2109" s="9" t="s">
        <v>4198</v>
      </c>
      <c r="C2109" s="9" t="str">
        <f>HYPERLINK("http://www.ncbi.nlm.nih.gov/protein/31980808","Eif3g")</f>
        <v>Eif3g</v>
      </c>
      <c r="D2109" s="10">
        <f t="shared" si="32"/>
        <v>6.0650971855448619</v>
      </c>
      <c r="F2109" s="8" t="str">
        <f>HYPERLINK("https://esbl.nhlbi.nih.gov/Databases/mpkFractions/proteomic_fractions_log_files/Yang_log_img/31980808.jpg","show blot")</f>
        <v>show blot</v>
      </c>
      <c r="H2109" s="8" t="str">
        <f>HYPERLINK("https://esbl.nhlbi.nih.gov/Databases/mpkFractions/proteomic_fractions_linear_files/Yang_linear_img/31980808.jpg","show blot")</f>
        <v>show blot</v>
      </c>
      <c r="J2109" s="5" t="s">
        <v>4199</v>
      </c>
      <c r="L2109" s="11">
        <v>6.0650971855448619</v>
      </c>
      <c r="N2109" s="12"/>
    </row>
    <row r="2110" spans="1:14" s="5" customFormat="1" ht="15" customHeight="1" x14ac:dyDescent="0.25">
      <c r="A2110" s="9" t="s">
        <v>4200</v>
      </c>
      <c r="C2110" s="9" t="str">
        <f>HYPERLINK("http://www.ncbi.nlm.nih.gov/protein/18079341","Eif3h")</f>
        <v>Eif3h</v>
      </c>
      <c r="D2110" s="10">
        <f t="shared" si="32"/>
        <v>6.1938596159125598</v>
      </c>
      <c r="F2110" s="8" t="str">
        <f>HYPERLINK("https://esbl.nhlbi.nih.gov/Databases/mpkFractions/proteomic_fractions_log_files/Yang_log_img/18079341.jpg","show blot")</f>
        <v>show blot</v>
      </c>
      <c r="H2110" s="8" t="str">
        <f>HYPERLINK("https://esbl.nhlbi.nih.gov/Databases/mpkFractions/proteomic_fractions_linear_files/Yang_linear_img/18079341.jpg","show blot")</f>
        <v>show blot</v>
      </c>
      <c r="J2110" s="5" t="s">
        <v>4201</v>
      </c>
      <c r="L2110" s="11">
        <v>6.1938596159125598</v>
      </c>
      <c r="N2110" s="12"/>
    </row>
    <row r="2111" spans="1:14" s="5" customFormat="1" ht="15" customHeight="1" x14ac:dyDescent="0.25">
      <c r="A2111" s="9" t="s">
        <v>4202</v>
      </c>
      <c r="C2111" s="9" t="str">
        <f>HYPERLINK("http://www.ncbi.nlm.nih.gov/protein/9055370","Eif3i")</f>
        <v>Eif3i</v>
      </c>
      <c r="D2111" s="10">
        <f t="shared" si="32"/>
        <v>6.195656969901326</v>
      </c>
      <c r="F2111" s="8" t="str">
        <f>HYPERLINK("https://esbl.nhlbi.nih.gov/Databases/mpkFractions/proteomic_fractions_log_files/Yang_log_img/9055370.jpg","show blot")</f>
        <v>show blot</v>
      </c>
      <c r="H2111" s="8" t="str">
        <f>HYPERLINK("https://esbl.nhlbi.nih.gov/Databases/mpkFractions/proteomic_fractions_linear_files/Yang_linear_img/9055370.jpg","show blot")</f>
        <v>show blot</v>
      </c>
      <c r="J2111" s="5" t="s">
        <v>4203</v>
      </c>
      <c r="L2111" s="11">
        <v>6.195656969901326</v>
      </c>
      <c r="N2111" s="12"/>
    </row>
    <row r="2112" spans="1:14" s="5" customFormat="1" ht="15" customHeight="1" x14ac:dyDescent="0.25">
      <c r="A2112" s="9" t="s">
        <v>4204</v>
      </c>
      <c r="C2112" s="9" t="str">
        <f>HYPERLINK("http://www.ncbi.nlm.nih.gov/protein/124244040","Eif3j1")</f>
        <v>Eif3j1</v>
      </c>
      <c r="D2112" s="10">
        <f t="shared" si="32"/>
        <v>5.9015481219887223</v>
      </c>
      <c r="F2112" s="8" t="str">
        <f>HYPERLINK("https://esbl.nhlbi.nih.gov/Databases/mpkFractions/proteomic_fractions_log_files/Yang_log_img/124244040.jpg","show blot")</f>
        <v>show blot</v>
      </c>
      <c r="H2112" s="8" t="str">
        <f>HYPERLINK("https://esbl.nhlbi.nih.gov/Databases/mpkFractions/proteomic_fractions_linear_files/Yang_linear_img/124244040.jpg","show blot")</f>
        <v>show blot</v>
      </c>
      <c r="J2112" s="5" t="s">
        <v>4205</v>
      </c>
      <c r="L2112" s="11">
        <v>5.9015481219887223</v>
      </c>
      <c r="N2112" s="12"/>
    </row>
    <row r="2113" spans="1:14" s="5" customFormat="1" ht="15" customHeight="1" x14ac:dyDescent="0.25">
      <c r="A2113" s="9" t="s">
        <v>4206</v>
      </c>
      <c r="C2113" s="9" t="str">
        <f>HYPERLINK("http://www.ncbi.nlm.nih.gov/protein/365906249","Eif3j2")</f>
        <v>Eif3j2</v>
      </c>
      <c r="D2113" s="10">
        <f t="shared" si="32"/>
        <v>5.9015481219887223</v>
      </c>
      <c r="F2113" s="8" t="str">
        <f>HYPERLINK("https://esbl.nhlbi.nih.gov/Databases/mpkFractions/proteomic_fractions_log_files/Yang_log_img/365906249.jpg","show blot")</f>
        <v>show blot</v>
      </c>
      <c r="H2113" s="8" t="str">
        <f>HYPERLINK("https://esbl.nhlbi.nih.gov/Databases/mpkFractions/proteomic_fractions_linear_files/Yang_linear_img/365906249.jpg","show blot")</f>
        <v>show blot</v>
      </c>
      <c r="J2113" s="5" t="s">
        <v>4207</v>
      </c>
      <c r="L2113" s="11">
        <v>5.9015481219887223</v>
      </c>
      <c r="N2113" s="12"/>
    </row>
    <row r="2114" spans="1:14" s="5" customFormat="1" ht="15" customHeight="1" x14ac:dyDescent="0.25">
      <c r="A2114" s="9" t="s">
        <v>4208</v>
      </c>
      <c r="C2114" s="9" t="str">
        <f>HYPERLINK("http://www.ncbi.nlm.nih.gov/protein/552953694","Eif3k")</f>
        <v>Eif3k</v>
      </c>
      <c r="D2114" s="10">
        <f t="shared" si="32"/>
        <v>5.9498937000539511</v>
      </c>
      <c r="F2114" s="8" t="str">
        <f>HYPERLINK("https://esbl.nhlbi.nih.gov/Databases/mpkFractions/proteomic_fractions_log_files/Yang_log_img/552953694.jpg","show blot")</f>
        <v>show blot</v>
      </c>
      <c r="H2114" s="8" t="str">
        <f>HYPERLINK("https://esbl.nhlbi.nih.gov/Databases/mpkFractions/proteomic_fractions_linear_files/Yang_linear_img/552953694.jpg","show blot")</f>
        <v>show blot</v>
      </c>
      <c r="J2114" s="5" t="s">
        <v>4209</v>
      </c>
      <c r="L2114" s="11">
        <v>5.9498937000539511</v>
      </c>
      <c r="N2114" s="12"/>
    </row>
    <row r="2115" spans="1:14" s="5" customFormat="1" ht="15" customHeight="1" x14ac:dyDescent="0.25">
      <c r="A2115" s="9" t="s">
        <v>4210</v>
      </c>
      <c r="C2115" s="9" t="str">
        <f>HYPERLINK("http://www.ncbi.nlm.nih.gov/protein/553727155","Eif3k")</f>
        <v>Eif3k</v>
      </c>
      <c r="D2115" s="10">
        <f t="shared" si="32"/>
        <v>5.9498937000539511</v>
      </c>
      <c r="F2115" s="8" t="str">
        <f>HYPERLINK("https://esbl.nhlbi.nih.gov/Databases/mpkFractions/proteomic_fractions_log_files/Yang_log_img/553727155.jpg","show blot")</f>
        <v>show blot</v>
      </c>
      <c r="H2115" s="8" t="str">
        <f>HYPERLINK("https://esbl.nhlbi.nih.gov/Databases/mpkFractions/proteomic_fractions_linear_files/Yang_linear_img/553727155.jpg","show blot")</f>
        <v>show blot</v>
      </c>
      <c r="J2115" s="5" t="s">
        <v>4211</v>
      </c>
      <c r="L2115" s="11">
        <v>5.9498937000539511</v>
      </c>
      <c r="N2115" s="12"/>
    </row>
    <row r="2116" spans="1:14" s="5" customFormat="1" ht="15" customHeight="1" x14ac:dyDescent="0.25">
      <c r="A2116" s="9" t="s">
        <v>4212</v>
      </c>
      <c r="C2116" s="9" t="str">
        <f>HYPERLINK("http://www.ncbi.nlm.nih.gov/protein/21312044","Eif3k")</f>
        <v>Eif3k</v>
      </c>
      <c r="D2116" s="10">
        <f t="shared" si="32"/>
        <v>5.9498937000539511</v>
      </c>
      <c r="F2116" s="8" t="str">
        <f>HYPERLINK("https://esbl.nhlbi.nih.gov/Databases/mpkFractions/proteomic_fractions_log_files/Yang_log_img/21312044.jpg","show blot")</f>
        <v>show blot</v>
      </c>
      <c r="H2116" s="8" t="str">
        <f>HYPERLINK("https://esbl.nhlbi.nih.gov/Databases/mpkFractions/proteomic_fractions_linear_files/Yang_linear_img/21312044.jpg","show blot")</f>
        <v>show blot</v>
      </c>
      <c r="J2116" s="5" t="s">
        <v>4213</v>
      </c>
      <c r="L2116" s="11">
        <v>5.9498937000539511</v>
      </c>
      <c r="N2116" s="12"/>
    </row>
    <row r="2117" spans="1:14" s="5" customFormat="1" ht="15" customHeight="1" x14ac:dyDescent="0.25">
      <c r="A2117" s="9" t="s">
        <v>4214</v>
      </c>
      <c r="C2117" s="9" t="str">
        <f>HYPERLINK("http://www.ncbi.nlm.nih.gov/protein/51093840","Eif3l")</f>
        <v>Eif3l</v>
      </c>
      <c r="D2117" s="10">
        <f t="shared" ref="D2117:D2180" si="33">L2117</f>
        <v>6.1923598592735392</v>
      </c>
      <c r="F2117" s="8" t="str">
        <f>HYPERLINK("https://esbl.nhlbi.nih.gov/Databases/mpkFractions/proteomic_fractions_log_files/Yang_log_img/51093840.jpg","show blot")</f>
        <v>show blot</v>
      </c>
      <c r="H2117" s="8" t="str">
        <f>HYPERLINK("https://esbl.nhlbi.nih.gov/Databases/mpkFractions/proteomic_fractions_linear_files/Yang_linear_img/51093840.jpg","show blot")</f>
        <v>show blot</v>
      </c>
      <c r="J2117" s="5" t="s">
        <v>4215</v>
      </c>
      <c r="L2117" s="11">
        <v>6.1923598592735392</v>
      </c>
      <c r="N2117" s="12"/>
    </row>
    <row r="2118" spans="1:14" s="5" customFormat="1" ht="15" customHeight="1" x14ac:dyDescent="0.25">
      <c r="A2118" s="9" t="s">
        <v>4216</v>
      </c>
      <c r="C2118" s="9" t="str">
        <f>HYPERLINK("http://www.ncbi.nlm.nih.gov/protein/21703762","Eif3m")</f>
        <v>Eif3m</v>
      </c>
      <c r="D2118" s="10">
        <f t="shared" si="33"/>
        <v>6.0526062569797023</v>
      </c>
      <c r="F2118" s="8" t="str">
        <f>HYPERLINK("https://esbl.nhlbi.nih.gov/Databases/mpkFractions/proteomic_fractions_log_files/Yang_log_img/21703762.jpg","show blot")</f>
        <v>show blot</v>
      </c>
      <c r="H2118" s="8" t="str">
        <f>HYPERLINK("https://esbl.nhlbi.nih.gov/Databases/mpkFractions/proteomic_fractions_linear_files/Yang_linear_img/21703762.jpg","show blot")</f>
        <v>show blot</v>
      </c>
      <c r="J2118" s="5" t="s">
        <v>4217</v>
      </c>
      <c r="L2118" s="11">
        <v>6.0526062569797023</v>
      </c>
      <c r="N2118" s="12"/>
    </row>
    <row r="2119" spans="1:14" s="5" customFormat="1" ht="15" customHeight="1" x14ac:dyDescent="0.25">
      <c r="A2119" s="9" t="s">
        <v>4218</v>
      </c>
      <c r="C2119" s="9" t="str">
        <f>HYPERLINK("http://www.ncbi.nlm.nih.gov/protein/21450625","Eif4a1")</f>
        <v>Eif4a1</v>
      </c>
      <c r="D2119" s="10">
        <f t="shared" si="33"/>
        <v>7.0193621922948353</v>
      </c>
      <c r="F2119" s="8" t="str">
        <f>HYPERLINK("https://esbl.nhlbi.nih.gov/Databases/mpkFractions/proteomic_fractions_log_files/Yang_log_img/21450625.jpg","show blot")</f>
        <v>show blot</v>
      </c>
      <c r="H2119" s="8" t="str">
        <f>HYPERLINK("https://esbl.nhlbi.nih.gov/Databases/mpkFractions/proteomic_fractions_linear_files/Yang_linear_img/21450625.jpg","show blot")</f>
        <v>show blot</v>
      </c>
      <c r="J2119" s="5" t="s">
        <v>4219</v>
      </c>
      <c r="L2119" s="11">
        <v>7.0193621922948353</v>
      </c>
      <c r="N2119" s="12"/>
    </row>
    <row r="2120" spans="1:14" s="5" customFormat="1" ht="15" customHeight="1" x14ac:dyDescent="0.25">
      <c r="A2120" s="9" t="s">
        <v>4220</v>
      </c>
      <c r="C2120" s="9" t="str">
        <f>HYPERLINK("http://www.ncbi.nlm.nih.gov/protein/226823309","Eif4a1")</f>
        <v>Eif4a1</v>
      </c>
      <c r="D2120" s="10">
        <f t="shared" si="33"/>
        <v>7.0193621922948353</v>
      </c>
      <c r="F2120" s="8" t="str">
        <f>HYPERLINK("https://esbl.nhlbi.nih.gov/Databases/mpkFractions/proteomic_fractions_log_files/Yang_log_img/226823309.jpg","show blot")</f>
        <v>show blot</v>
      </c>
      <c r="H2120" s="8" t="str">
        <f>HYPERLINK("https://esbl.nhlbi.nih.gov/Databases/mpkFractions/proteomic_fractions_linear_files/Yang_linear_img/226823309.jpg","show blot")</f>
        <v>show blot</v>
      </c>
      <c r="J2120" s="5" t="s">
        <v>4221</v>
      </c>
      <c r="L2120" s="11">
        <v>7.0193621922948353</v>
      </c>
      <c r="N2120" s="12"/>
    </row>
    <row r="2121" spans="1:14" s="5" customFormat="1" ht="15" customHeight="1" x14ac:dyDescent="0.25">
      <c r="A2121" s="9" t="s">
        <v>4222</v>
      </c>
      <c r="C2121" s="9" t="str">
        <f>HYPERLINK("http://www.ncbi.nlm.nih.gov/protein/176865892","Eif4a2")</f>
        <v>Eif4a2</v>
      </c>
      <c r="D2121" s="10">
        <f t="shared" si="33"/>
        <v>6.8734597835934057</v>
      </c>
      <c r="F2121" s="8" t="str">
        <f>HYPERLINK("https://esbl.nhlbi.nih.gov/Databases/mpkFractions/proteomic_fractions_log_files/Yang_log_img/176865892.jpg","show blot")</f>
        <v>show blot</v>
      </c>
      <c r="H2121" s="8" t="str">
        <f>HYPERLINK("https://esbl.nhlbi.nih.gov/Databases/mpkFractions/proteomic_fractions_linear_files/Yang_linear_img/176865892.jpg","show blot")</f>
        <v>show blot</v>
      </c>
      <c r="J2121" s="5" t="s">
        <v>4223</v>
      </c>
      <c r="L2121" s="11">
        <v>6.8734597835934057</v>
      </c>
      <c r="N2121" s="12"/>
    </row>
    <row r="2122" spans="1:14" s="5" customFormat="1" ht="15" customHeight="1" x14ac:dyDescent="0.25">
      <c r="A2122" s="9" t="s">
        <v>4224</v>
      </c>
      <c r="C2122" s="9" t="str">
        <f>HYPERLINK("http://www.ncbi.nlm.nih.gov/protein/176865998","Eif4a2")</f>
        <v>Eif4a2</v>
      </c>
      <c r="D2122" s="10">
        <f t="shared" si="33"/>
        <v>6.8734597835934057</v>
      </c>
      <c r="F2122" s="8" t="str">
        <f>HYPERLINK("https://esbl.nhlbi.nih.gov/Databases/mpkFractions/proteomic_fractions_log_files/Yang_log_img/176865998.jpg","show blot")</f>
        <v>show blot</v>
      </c>
      <c r="H2122" s="8" t="str">
        <f>HYPERLINK("https://esbl.nhlbi.nih.gov/Databases/mpkFractions/proteomic_fractions_linear_files/Yang_linear_img/176865998.jpg","show blot")</f>
        <v>show blot</v>
      </c>
      <c r="J2122" s="5" t="s">
        <v>4225</v>
      </c>
      <c r="L2122" s="11">
        <v>6.8734597835934057</v>
      </c>
      <c r="N2122" s="12"/>
    </row>
    <row r="2123" spans="1:14" s="5" customFormat="1" ht="15" customHeight="1" x14ac:dyDescent="0.25">
      <c r="A2123" s="9" t="s">
        <v>4226</v>
      </c>
      <c r="C2123" s="9" t="str">
        <f>HYPERLINK("http://www.ncbi.nlm.nih.gov/protein/176866061","Eif4a2")</f>
        <v>Eif4a2</v>
      </c>
      <c r="D2123" s="10">
        <f t="shared" si="33"/>
        <v>6.8734597835934057</v>
      </c>
      <c r="F2123" s="8" t="str">
        <f>HYPERLINK("https://esbl.nhlbi.nih.gov/Databases/mpkFractions/proteomic_fractions_log_files/Yang_log_img/176866061.jpg","show blot")</f>
        <v>show blot</v>
      </c>
      <c r="H2123" s="8" t="str">
        <f>HYPERLINK("https://esbl.nhlbi.nih.gov/Databases/mpkFractions/proteomic_fractions_linear_files/Yang_linear_img/176866061.jpg","show blot")</f>
        <v>show blot</v>
      </c>
      <c r="J2123" s="5" t="s">
        <v>4227</v>
      </c>
      <c r="L2123" s="11">
        <v>6.8734597835934057</v>
      </c>
      <c r="N2123" s="12"/>
    </row>
    <row r="2124" spans="1:14" s="5" customFormat="1" ht="15" customHeight="1" x14ac:dyDescent="0.25">
      <c r="A2124" s="9" t="s">
        <v>4228</v>
      </c>
      <c r="C2124" s="9" t="str">
        <f>HYPERLINK("http://www.ncbi.nlm.nih.gov/protein/20149756","Eif4a3")</f>
        <v>Eif4a3</v>
      </c>
      <c r="D2124" s="10">
        <f t="shared" si="33"/>
        <v>6.2838993104514804</v>
      </c>
      <c r="F2124" s="8" t="str">
        <f>HYPERLINK("https://esbl.nhlbi.nih.gov/Databases/mpkFractions/proteomic_fractions_log_files/Yang_log_img/20149756.jpg","show blot")</f>
        <v>show blot</v>
      </c>
      <c r="H2124" s="8" t="str">
        <f>HYPERLINK("https://esbl.nhlbi.nih.gov/Databases/mpkFractions/proteomic_fractions_linear_files/Yang_linear_img/20149756.jpg","show blot")</f>
        <v>show blot</v>
      </c>
      <c r="J2124" s="5" t="s">
        <v>4229</v>
      </c>
      <c r="L2124" s="11">
        <v>6.2838993104514804</v>
      </c>
      <c r="N2124" s="12"/>
    </row>
    <row r="2125" spans="1:14" s="5" customFormat="1" ht="15" customHeight="1" x14ac:dyDescent="0.25">
      <c r="A2125" s="9" t="s">
        <v>4230</v>
      </c>
      <c r="C2125" s="9" t="str">
        <f>HYPERLINK("http://www.ncbi.nlm.nih.gov/protein/167234372","Eif4b")</f>
        <v>Eif4b</v>
      </c>
      <c r="D2125" s="10">
        <f t="shared" si="33"/>
        <v>5.5565631287708923</v>
      </c>
      <c r="F2125" s="8" t="str">
        <f>HYPERLINK("https://esbl.nhlbi.nih.gov/Databases/mpkFractions/proteomic_fractions_log_files/Yang_log_img/167234372.jpg","show blot")</f>
        <v>show blot</v>
      </c>
      <c r="H2125" s="8" t="str">
        <f>HYPERLINK("https://esbl.nhlbi.nih.gov/Databases/mpkFractions/proteomic_fractions_linear_files/Yang_linear_img/167234372.jpg","show blot")</f>
        <v>show blot</v>
      </c>
      <c r="J2125" s="5" t="s">
        <v>4231</v>
      </c>
      <c r="L2125" s="11">
        <v>5.5565631287708923</v>
      </c>
      <c r="N2125" s="12"/>
    </row>
    <row r="2126" spans="1:14" s="5" customFormat="1" ht="15" customHeight="1" x14ac:dyDescent="0.25">
      <c r="A2126" s="9" t="s">
        <v>4232</v>
      </c>
      <c r="C2126" s="9" t="str">
        <f>HYPERLINK("http://www.ncbi.nlm.nih.gov/protein/83627717","Eif4e")</f>
        <v>Eif4e</v>
      </c>
      <c r="D2126" s="10">
        <f t="shared" si="33"/>
        <v>5.936632265018674</v>
      </c>
      <c r="F2126" s="8" t="str">
        <f>HYPERLINK("https://esbl.nhlbi.nih.gov/Databases/mpkFractions/proteomic_fractions_log_files/Yang_log_img/83627717.jpg","show blot")</f>
        <v>show blot</v>
      </c>
      <c r="H2126" s="8" t="str">
        <f>HYPERLINK("https://esbl.nhlbi.nih.gov/Databases/mpkFractions/proteomic_fractions_linear_files/Yang_linear_img/83627717.jpg","show blot")</f>
        <v>show blot</v>
      </c>
      <c r="J2126" s="5" t="s">
        <v>4233</v>
      </c>
      <c r="L2126" s="11">
        <v>5.936632265018674</v>
      </c>
      <c r="N2126" s="12"/>
    </row>
    <row r="2127" spans="1:14" s="5" customFormat="1" ht="15" customHeight="1" x14ac:dyDescent="0.25">
      <c r="A2127" s="9" t="s">
        <v>4234</v>
      </c>
      <c r="C2127" s="9" t="str">
        <f>HYPERLINK("http://www.ncbi.nlm.nih.gov/protein/85677506","Eif4e2")</f>
        <v>Eif4e2</v>
      </c>
      <c r="D2127" s="10">
        <f t="shared" si="33"/>
        <v>5.0588629440214081</v>
      </c>
      <c r="F2127" s="8" t="str">
        <f>HYPERLINK("https://esbl.nhlbi.nih.gov/Databases/mpkFractions/proteomic_fractions_log_files/Yang_log_img/85677506.jpg","show blot")</f>
        <v>show blot</v>
      </c>
      <c r="H2127" s="8" t="str">
        <f>HYPERLINK("https://esbl.nhlbi.nih.gov/Databases/mpkFractions/proteomic_fractions_linear_files/Yang_linear_img/85677506.jpg","show blot")</f>
        <v>show blot</v>
      </c>
      <c r="J2127" s="5" t="s">
        <v>4235</v>
      </c>
      <c r="L2127" s="11">
        <v>5.0588629440214081</v>
      </c>
      <c r="N2127" s="12"/>
    </row>
    <row r="2128" spans="1:14" s="5" customFormat="1" ht="15" customHeight="1" x14ac:dyDescent="0.25">
      <c r="A2128" s="9" t="s">
        <v>4236</v>
      </c>
      <c r="C2128" s="9" t="str">
        <f>HYPERLINK("http://www.ncbi.nlm.nih.gov/protein/85677508","Eif4e2")</f>
        <v>Eif4e2</v>
      </c>
      <c r="D2128" s="10">
        <f t="shared" si="33"/>
        <v>5.0588629440214081</v>
      </c>
      <c r="F2128" s="8" t="str">
        <f>HYPERLINK("https://esbl.nhlbi.nih.gov/Databases/mpkFractions/proteomic_fractions_log_files/Yang_log_img/85677508.jpg","show blot")</f>
        <v>show blot</v>
      </c>
      <c r="H2128" s="8" t="str">
        <f>HYPERLINK("https://esbl.nhlbi.nih.gov/Databases/mpkFractions/proteomic_fractions_linear_files/Yang_linear_img/85677508.jpg","show blot")</f>
        <v>show blot</v>
      </c>
      <c r="J2128" s="5" t="s">
        <v>4237</v>
      </c>
      <c r="L2128" s="11">
        <v>5.0588629440214081</v>
      </c>
      <c r="N2128" s="12"/>
    </row>
    <row r="2129" spans="1:14" s="5" customFormat="1" ht="15" customHeight="1" x14ac:dyDescent="0.25">
      <c r="A2129" s="9" t="s">
        <v>4238</v>
      </c>
      <c r="C2129" s="9" t="str">
        <f>HYPERLINK("http://www.ncbi.nlm.nih.gov/protein/85677510","Eif4e2")</f>
        <v>Eif4e2</v>
      </c>
      <c r="D2129" s="10">
        <f t="shared" si="33"/>
        <v>5.0588629440214081</v>
      </c>
      <c r="F2129" s="8" t="str">
        <f>HYPERLINK("https://esbl.nhlbi.nih.gov/Databases/mpkFractions/proteomic_fractions_log_files/Yang_log_img/85677510.jpg","show blot")</f>
        <v>show blot</v>
      </c>
      <c r="H2129" s="8" t="str">
        <f>HYPERLINK("https://esbl.nhlbi.nih.gov/Databases/mpkFractions/proteomic_fractions_linear_files/Yang_linear_img/85677510.jpg","show blot")</f>
        <v>show blot</v>
      </c>
      <c r="J2129" s="5" t="s">
        <v>4239</v>
      </c>
      <c r="L2129" s="11">
        <v>5.0588629440214081</v>
      </c>
      <c r="N2129" s="12"/>
    </row>
    <row r="2130" spans="1:14" s="5" customFormat="1" ht="15" customHeight="1" x14ac:dyDescent="0.25">
      <c r="A2130" s="9" t="s">
        <v>4240</v>
      </c>
      <c r="C2130" s="9" t="str">
        <f>HYPERLINK("http://www.ncbi.nlm.nih.gov/protein/6753742","Eif4ebp2")</f>
        <v>Eif4ebp2</v>
      </c>
      <c r="D2130" s="10">
        <f t="shared" si="33"/>
        <v>4.9425437353833352</v>
      </c>
      <c r="F2130" s="8" t="str">
        <f>HYPERLINK("https://esbl.nhlbi.nih.gov/Databases/mpkFractions/proteomic_fractions_log_files/Yang_log_img/6753742.jpg","show blot")</f>
        <v>show blot</v>
      </c>
      <c r="H2130" s="8" t="str">
        <f>HYPERLINK("https://esbl.nhlbi.nih.gov/Databases/mpkFractions/proteomic_fractions_linear_files/Yang_linear_img/6753742.jpg","show blot")</f>
        <v>show blot</v>
      </c>
      <c r="J2130" s="5" t="s">
        <v>4241</v>
      </c>
      <c r="L2130" s="11">
        <v>4.9425437353833352</v>
      </c>
      <c r="N2130" s="12"/>
    </row>
    <row r="2131" spans="1:14" s="5" customFormat="1" ht="15" customHeight="1" x14ac:dyDescent="0.25">
      <c r="A2131" s="9" t="s">
        <v>4242</v>
      </c>
      <c r="C2131" s="9" t="str">
        <f>HYPERLINK("http://www.ncbi.nlm.nih.gov/protein/56699432","Eif4g1")</f>
        <v>Eif4g1</v>
      </c>
      <c r="D2131" s="10">
        <f t="shared" si="33"/>
        <v>5.5089571613277597</v>
      </c>
      <c r="F2131" s="8" t="str">
        <f>HYPERLINK("https://esbl.nhlbi.nih.gov/Databases/mpkFractions/proteomic_fractions_log_files/Yang_log_img/56699432.jpg","show blot")</f>
        <v>show blot</v>
      </c>
      <c r="H2131" s="8" t="str">
        <f>HYPERLINK("https://esbl.nhlbi.nih.gov/Databases/mpkFractions/proteomic_fractions_linear_files/Yang_linear_img/56699432.jpg","show blot")</f>
        <v>show blot</v>
      </c>
      <c r="J2131" s="5" t="s">
        <v>4243</v>
      </c>
      <c r="L2131" s="11">
        <v>5.5089571613277597</v>
      </c>
      <c r="N2131" s="12"/>
    </row>
    <row r="2132" spans="1:14" s="5" customFormat="1" ht="15" customHeight="1" x14ac:dyDescent="0.25">
      <c r="A2132" s="9" t="s">
        <v>4244</v>
      </c>
      <c r="C2132" s="9" t="str">
        <f>HYPERLINK("http://www.ncbi.nlm.nih.gov/protein/56699434","Eif4g1")</f>
        <v>Eif4g1</v>
      </c>
      <c r="D2132" s="10">
        <f t="shared" si="33"/>
        <v>5.5089571613277597</v>
      </c>
      <c r="F2132" s="8" t="str">
        <f>HYPERLINK("https://esbl.nhlbi.nih.gov/Databases/mpkFractions/proteomic_fractions_log_files/Yang_log_img/56699434.jpg","show blot")</f>
        <v>show blot</v>
      </c>
      <c r="H2132" s="8" t="str">
        <f>HYPERLINK("https://esbl.nhlbi.nih.gov/Databases/mpkFractions/proteomic_fractions_linear_files/Yang_linear_img/56699434.jpg","show blot")</f>
        <v>show blot</v>
      </c>
      <c r="J2132" s="5" t="s">
        <v>4245</v>
      </c>
      <c r="L2132" s="11">
        <v>5.5089571613277597</v>
      </c>
      <c r="N2132" s="12"/>
    </row>
    <row r="2133" spans="1:14" s="5" customFormat="1" ht="15" customHeight="1" x14ac:dyDescent="0.25">
      <c r="A2133" s="9" t="s">
        <v>4246</v>
      </c>
      <c r="C2133" s="9" t="str">
        <f>HYPERLINK("http://www.ncbi.nlm.nih.gov/protein/110630015","Eif4g2")</f>
        <v>Eif4g2</v>
      </c>
      <c r="D2133" s="10">
        <f t="shared" si="33"/>
        <v>4.9774685767069133</v>
      </c>
      <c r="F2133" s="8" t="str">
        <f>HYPERLINK("https://esbl.nhlbi.nih.gov/Databases/mpkFractions/proteomic_fractions_log_files/Yang_log_img/110630015.jpg","show blot")</f>
        <v>show blot</v>
      </c>
      <c r="H2133" s="8" t="str">
        <f>HYPERLINK("https://esbl.nhlbi.nih.gov/Databases/mpkFractions/proteomic_fractions_linear_files/Yang_linear_img/110630015.jpg","show blot")</f>
        <v>show blot</v>
      </c>
      <c r="J2133" s="5" t="s">
        <v>4247</v>
      </c>
      <c r="L2133" s="11">
        <v>4.9774685767069133</v>
      </c>
      <c r="N2133" s="12"/>
    </row>
    <row r="2134" spans="1:14" s="5" customFormat="1" ht="15" customHeight="1" x14ac:dyDescent="0.25">
      <c r="A2134" s="9" t="s">
        <v>4248</v>
      </c>
      <c r="C2134" s="9" t="str">
        <f>HYPERLINK("http://www.ncbi.nlm.nih.gov/protein/34486094","Eif4g2")</f>
        <v>Eif4g2</v>
      </c>
      <c r="D2134" s="10">
        <f t="shared" si="33"/>
        <v>4.9774685767069133</v>
      </c>
      <c r="F2134" s="8" t="str">
        <f>HYPERLINK("https://esbl.nhlbi.nih.gov/Databases/mpkFractions/proteomic_fractions_log_files/Yang_log_img/34486094.jpg","show blot")</f>
        <v>show blot</v>
      </c>
      <c r="H2134" s="8" t="str">
        <f>HYPERLINK("https://esbl.nhlbi.nih.gov/Databases/mpkFractions/proteomic_fractions_linear_files/Yang_linear_img/34486094.jpg","show blot")</f>
        <v>show blot</v>
      </c>
      <c r="J2134" s="5" t="s">
        <v>4249</v>
      </c>
      <c r="L2134" s="11">
        <v>4.9774685767069133</v>
      </c>
      <c r="N2134" s="12"/>
    </row>
    <row r="2135" spans="1:14" s="5" customFormat="1" ht="15" customHeight="1" x14ac:dyDescent="0.25">
      <c r="A2135" s="9" t="s">
        <v>4250</v>
      </c>
      <c r="C2135" s="9" t="str">
        <f>HYPERLINK("http://www.ncbi.nlm.nih.gov/protein/371875676","Eif4g3")</f>
        <v>Eif4g3</v>
      </c>
      <c r="D2135" s="10">
        <f t="shared" si="33"/>
        <v>4.6054781345169529</v>
      </c>
      <c r="F2135" s="8" t="str">
        <f>HYPERLINK("https://esbl.nhlbi.nih.gov/Databases/mpkFractions/proteomic_fractions_log_files/Yang_log_img/371875676.jpg","show blot")</f>
        <v>show blot</v>
      </c>
      <c r="H2135" s="8" t="str">
        <f>HYPERLINK("https://esbl.nhlbi.nih.gov/Databases/mpkFractions/proteomic_fractions_linear_files/Yang_linear_img/371875676.jpg","show blot")</f>
        <v>show blot</v>
      </c>
      <c r="J2135" s="5" t="s">
        <v>4251</v>
      </c>
      <c r="L2135" s="11">
        <v>4.6054781345169529</v>
      </c>
      <c r="N2135" s="12"/>
    </row>
    <row r="2136" spans="1:14" s="5" customFormat="1" ht="15" customHeight="1" x14ac:dyDescent="0.25">
      <c r="A2136" s="9" t="s">
        <v>4252</v>
      </c>
      <c r="C2136" s="9" t="str">
        <f>HYPERLINK("http://www.ncbi.nlm.nih.gov/protein/371876057","Eif4g3")</f>
        <v>Eif4g3</v>
      </c>
      <c r="D2136" s="10">
        <f t="shared" si="33"/>
        <v>4.6054781345169529</v>
      </c>
      <c r="F2136" s="8" t="str">
        <f>HYPERLINK("https://esbl.nhlbi.nih.gov/Databases/mpkFractions/proteomic_fractions_log_files/Yang_log_img/371876057.jpg","show blot")</f>
        <v>show blot</v>
      </c>
      <c r="H2136" s="8" t="str">
        <f>HYPERLINK("https://esbl.nhlbi.nih.gov/Databases/mpkFractions/proteomic_fractions_linear_files/Yang_linear_img/371876057.jpg","show blot")</f>
        <v>show blot</v>
      </c>
      <c r="J2136" s="5" t="s">
        <v>4253</v>
      </c>
      <c r="L2136" s="11">
        <v>4.6054781345169529</v>
      </c>
      <c r="N2136" s="12"/>
    </row>
    <row r="2137" spans="1:14" s="5" customFormat="1" ht="15" customHeight="1" x14ac:dyDescent="0.25">
      <c r="A2137" s="9" t="s">
        <v>4254</v>
      </c>
      <c r="C2137" s="9" t="str">
        <f>HYPERLINK("http://www.ncbi.nlm.nih.gov/protein/50838806","Eif4g3")</f>
        <v>Eif4g3</v>
      </c>
      <c r="D2137" s="10">
        <f t="shared" si="33"/>
        <v>4.6054781345169529</v>
      </c>
      <c r="F2137" s="8" t="str">
        <f>HYPERLINK("https://esbl.nhlbi.nih.gov/Databases/mpkFractions/proteomic_fractions_log_files/Yang_log_img/50838806.jpg","show blot")</f>
        <v>show blot</v>
      </c>
      <c r="H2137" s="8" t="str">
        <f>HYPERLINK("https://esbl.nhlbi.nih.gov/Databases/mpkFractions/proteomic_fractions_linear_files/Yang_linear_img/50838806.jpg","show blot")</f>
        <v>show blot</v>
      </c>
      <c r="J2137" s="5" t="s">
        <v>4255</v>
      </c>
      <c r="L2137" s="11">
        <v>4.6054781345169529</v>
      </c>
      <c r="N2137" s="12"/>
    </row>
    <row r="2138" spans="1:14" s="5" customFormat="1" ht="15" customHeight="1" x14ac:dyDescent="0.25">
      <c r="A2138" s="9" t="s">
        <v>4256</v>
      </c>
      <c r="C2138" s="9" t="str">
        <f>HYPERLINK("http://www.ncbi.nlm.nih.gov/protein/15808988","Eif4h")</f>
        <v>Eif4h</v>
      </c>
      <c r="D2138" s="10">
        <f t="shared" si="33"/>
        <v>5.6871412125368126</v>
      </c>
      <c r="F2138" s="8" t="str">
        <f>HYPERLINK("https://esbl.nhlbi.nih.gov/Databases/mpkFractions/proteomic_fractions_log_files/Yang_log_img/15808988.jpg","show blot")</f>
        <v>show blot</v>
      </c>
      <c r="H2138" s="8" t="str">
        <f>HYPERLINK("https://esbl.nhlbi.nih.gov/Databases/mpkFractions/proteomic_fractions_linear_files/Yang_linear_img/15808988.jpg","show blot")</f>
        <v>show blot</v>
      </c>
      <c r="J2138" s="5" t="s">
        <v>4257</v>
      </c>
      <c r="L2138" s="11">
        <v>5.6871412125368126</v>
      </c>
      <c r="N2138" s="12"/>
    </row>
    <row r="2139" spans="1:14" s="5" customFormat="1" ht="15" customHeight="1" x14ac:dyDescent="0.25">
      <c r="A2139" s="9" t="s">
        <v>4258</v>
      </c>
      <c r="C2139" s="9" t="str">
        <f>HYPERLINK("http://www.ncbi.nlm.nih.gov/protein/262359891","Eif5a")</f>
        <v>Eif5a</v>
      </c>
      <c r="D2139" s="10">
        <f t="shared" si="33"/>
        <v>6.5165441838037026</v>
      </c>
      <c r="F2139" s="8" t="str">
        <f>HYPERLINK("https://esbl.nhlbi.nih.gov/Databases/mpkFractions/proteomic_fractions_log_files/Yang_log_img/262359891.jpg","show blot")</f>
        <v>show blot</v>
      </c>
      <c r="H2139" s="8" t="str">
        <f>HYPERLINK("https://esbl.nhlbi.nih.gov/Databases/mpkFractions/proteomic_fractions_linear_files/Yang_linear_img/262359891.jpg","show blot")</f>
        <v>show blot</v>
      </c>
      <c r="J2139" s="5" t="s">
        <v>4259</v>
      </c>
      <c r="L2139" s="11">
        <v>6.5165441838037026</v>
      </c>
      <c r="N2139" s="12"/>
    </row>
    <row r="2140" spans="1:14" s="5" customFormat="1" ht="15" customHeight="1" x14ac:dyDescent="0.25">
      <c r="A2140" s="9" t="s">
        <v>4260</v>
      </c>
      <c r="C2140" s="9" t="str">
        <f>HYPERLINK("http://www.ncbi.nlm.nih.gov/protein/262359891;31712036","Eif5a")</f>
        <v>Eif5a</v>
      </c>
      <c r="D2140" s="10">
        <f t="shared" si="33"/>
        <v>6.5165441838037026</v>
      </c>
      <c r="F2140" s="8" t="str">
        <f>HYPERLINK("https://esbl.nhlbi.nih.gov/Databases/mpkFractions/proteomic_fractions_log_files/Yang_log_img/262359891;31712036.jpg","show blot")</f>
        <v>show blot</v>
      </c>
      <c r="H2140" s="8" t="str">
        <f>HYPERLINK("https://esbl.nhlbi.nih.gov/Databases/mpkFractions/proteomic_fractions_linear_files/Yang_linear_img/262359891;31712036.jpg","show blot")</f>
        <v>show blot</v>
      </c>
      <c r="J2140" s="5" t="s">
        <v>4259</v>
      </c>
      <c r="L2140" s="11">
        <v>6.5165441838037026</v>
      </c>
      <c r="N2140" s="12"/>
    </row>
    <row r="2141" spans="1:14" s="5" customFormat="1" ht="15" customHeight="1" x14ac:dyDescent="0.25">
      <c r="A2141" s="9" t="s">
        <v>4261</v>
      </c>
      <c r="C2141" s="9" t="str">
        <f>HYPERLINK("http://www.ncbi.nlm.nih.gov/protein/31712036;262359891","Eif5a")</f>
        <v>Eif5a</v>
      </c>
      <c r="D2141" s="10">
        <f t="shared" si="33"/>
        <v>6.5165441838037026</v>
      </c>
      <c r="F2141" s="8" t="str">
        <f>HYPERLINK("https://esbl.nhlbi.nih.gov/Databases/mpkFractions/proteomic_fractions_log_files/Yang_log_img/31712036;262359891.jpg","show blot")</f>
        <v>show blot</v>
      </c>
      <c r="H2141" s="8" t="str">
        <f>HYPERLINK("https://esbl.nhlbi.nih.gov/Databases/mpkFractions/proteomic_fractions_linear_files/Yang_linear_img/31712036;262359891.jpg","show blot")</f>
        <v>show blot</v>
      </c>
      <c r="J2141" s="5" t="s">
        <v>4259</v>
      </c>
      <c r="L2141" s="11">
        <v>6.5165441838037026</v>
      </c>
      <c r="N2141" s="12"/>
    </row>
    <row r="2142" spans="1:14" s="5" customFormat="1" ht="15" customHeight="1" x14ac:dyDescent="0.25">
      <c r="A2142" s="9" t="s">
        <v>4262</v>
      </c>
      <c r="C2142" s="9" t="str">
        <f>HYPERLINK("http://www.ncbi.nlm.nih.gov/protein/29243942","Eif5a2")</f>
        <v>Eif5a2</v>
      </c>
      <c r="D2142" s="10">
        <f t="shared" si="33"/>
        <v>6.2707830367605668</v>
      </c>
      <c r="F2142" s="8" t="str">
        <f>HYPERLINK("https://esbl.nhlbi.nih.gov/Databases/mpkFractions/proteomic_fractions_log_files/Yang_log_img/29243942.jpg","show blot")</f>
        <v>show blot</v>
      </c>
      <c r="H2142" s="8" t="str">
        <f>HYPERLINK("https://esbl.nhlbi.nih.gov/Databases/mpkFractions/proteomic_fractions_linear_files/Yang_linear_img/29243942.jpg","show blot")</f>
        <v>show blot</v>
      </c>
      <c r="J2142" s="5" t="s">
        <v>4263</v>
      </c>
      <c r="L2142" s="11">
        <v>6.2707830367605668</v>
      </c>
      <c r="N2142" s="12"/>
    </row>
    <row r="2143" spans="1:14" s="5" customFormat="1" ht="15" customHeight="1" x14ac:dyDescent="0.25">
      <c r="A2143" s="9" t="s">
        <v>4264</v>
      </c>
      <c r="C2143" s="9" t="str">
        <f>HYPERLINK("http://www.ncbi.nlm.nih.gov/protein/84043961","Eif5b")</f>
        <v>Eif5b</v>
      </c>
      <c r="D2143" s="10">
        <f t="shared" si="33"/>
        <v>5.308605445914238</v>
      </c>
      <c r="F2143" s="8" t="str">
        <f>HYPERLINK("https://esbl.nhlbi.nih.gov/Databases/mpkFractions/proteomic_fractions_log_files/Yang_log_img/84043961.jpg","show blot")</f>
        <v>show blot</v>
      </c>
      <c r="H2143" s="8" t="str">
        <f>HYPERLINK("https://esbl.nhlbi.nih.gov/Databases/mpkFractions/proteomic_fractions_linear_files/Yang_linear_img/84043961.jpg","show blot")</f>
        <v>show blot</v>
      </c>
      <c r="J2143" s="5" t="s">
        <v>4265</v>
      </c>
      <c r="L2143" s="11">
        <v>5.308605445914238</v>
      </c>
      <c r="N2143" s="12"/>
    </row>
    <row r="2144" spans="1:14" s="5" customFormat="1" ht="15" customHeight="1" x14ac:dyDescent="0.25">
      <c r="A2144" s="9" t="s">
        <v>4266</v>
      </c>
      <c r="C2144" s="9" t="str">
        <f>HYPERLINK("http://www.ncbi.nlm.nih.gov/protein/27501448","Eif6")</f>
        <v>Eif6</v>
      </c>
      <c r="D2144" s="10">
        <f t="shared" si="33"/>
        <v>5.9663445033289104</v>
      </c>
      <c r="F2144" s="8" t="str">
        <f>HYPERLINK("https://esbl.nhlbi.nih.gov/Databases/mpkFractions/proteomic_fractions_log_files/Yang_log_img/27501448.jpg","show blot")</f>
        <v>show blot</v>
      </c>
      <c r="H2144" s="8" t="str">
        <f>HYPERLINK("https://esbl.nhlbi.nih.gov/Databases/mpkFractions/proteomic_fractions_linear_files/Yang_linear_img/27501448.jpg","show blot")</f>
        <v>show blot</v>
      </c>
      <c r="J2144" s="5" t="s">
        <v>4267</v>
      </c>
      <c r="L2144" s="11">
        <v>5.9663445033289104</v>
      </c>
      <c r="N2144" s="12"/>
    </row>
    <row r="2145" spans="1:14" s="5" customFormat="1" ht="15" customHeight="1" x14ac:dyDescent="0.25">
      <c r="A2145" s="9" t="s">
        <v>4268</v>
      </c>
      <c r="C2145" s="9" t="str">
        <f>HYPERLINK("http://www.ncbi.nlm.nih.gov/protein/257153445","Elac2")</f>
        <v>Elac2</v>
      </c>
      <c r="D2145" s="10">
        <f t="shared" si="33"/>
        <v>3.8770850706126958</v>
      </c>
      <c r="F2145" s="8" t="str">
        <f>HYPERLINK("https://esbl.nhlbi.nih.gov/Databases/mpkFractions/proteomic_fractions_log_files/Yang_log_img/257153445.jpg","show blot")</f>
        <v>show blot</v>
      </c>
      <c r="H2145" s="8" t="str">
        <f>HYPERLINK("https://esbl.nhlbi.nih.gov/Databases/mpkFractions/proteomic_fractions_linear_files/Yang_linear_img/257153445.jpg","show blot")</f>
        <v>show blot</v>
      </c>
      <c r="J2145" s="5" t="s">
        <v>4269</v>
      </c>
      <c r="L2145" s="11">
        <v>3.8770850706126958</v>
      </c>
      <c r="N2145" s="12"/>
    </row>
    <row r="2146" spans="1:14" s="5" customFormat="1" ht="15" customHeight="1" x14ac:dyDescent="0.25">
      <c r="A2146" s="9" t="s">
        <v>4270</v>
      </c>
      <c r="C2146" s="9" t="str">
        <f>HYPERLINK("http://www.ncbi.nlm.nih.gov/protein/31542602","Elavl1")</f>
        <v>Elavl1</v>
      </c>
      <c r="D2146" s="10">
        <f t="shared" si="33"/>
        <v>6.4121532364324016</v>
      </c>
      <c r="F2146" s="8" t="str">
        <f>HYPERLINK("https://esbl.nhlbi.nih.gov/Databases/mpkFractions/proteomic_fractions_log_files/Yang_log_img/31542602.jpg","show blot")</f>
        <v>show blot</v>
      </c>
      <c r="H2146" s="8" t="str">
        <f>HYPERLINK("https://esbl.nhlbi.nih.gov/Databases/mpkFractions/proteomic_fractions_linear_files/Yang_linear_img/31542602.jpg","show blot")</f>
        <v>show blot</v>
      </c>
      <c r="J2146" s="5" t="s">
        <v>4271</v>
      </c>
      <c r="L2146" s="11">
        <v>6.4121532364324016</v>
      </c>
      <c r="N2146" s="12"/>
    </row>
    <row r="2147" spans="1:14" s="5" customFormat="1" ht="15" customHeight="1" x14ac:dyDescent="0.25">
      <c r="A2147" s="9" t="s">
        <v>4272</v>
      </c>
      <c r="C2147" s="9" t="str">
        <f>HYPERLINK("http://www.ncbi.nlm.nih.gov/protein/124358953","Ell")</f>
        <v>Ell</v>
      </c>
      <c r="D2147" s="10">
        <f t="shared" si="33"/>
        <v>3.1174808506655962</v>
      </c>
      <c r="F2147" s="8" t="str">
        <f>HYPERLINK("https://esbl.nhlbi.nih.gov/Databases/mpkFractions/proteomic_fractions_log_files/Yang_log_img/124358953.jpg","show blot")</f>
        <v>show blot</v>
      </c>
      <c r="H2147" s="8" t="str">
        <f>HYPERLINK("https://esbl.nhlbi.nih.gov/Databases/mpkFractions/proteomic_fractions_linear_files/Yang_linear_img/124358953.jpg","show blot")</f>
        <v>show blot</v>
      </c>
      <c r="J2147" s="5" t="s">
        <v>4273</v>
      </c>
      <c r="L2147" s="11">
        <v>3.1174808506655962</v>
      </c>
      <c r="N2147" s="12"/>
    </row>
    <row r="2148" spans="1:14" s="5" customFormat="1" ht="15" customHeight="1" x14ac:dyDescent="0.25">
      <c r="A2148" s="9" t="s">
        <v>4274</v>
      </c>
      <c r="C2148" s="9" t="str">
        <f>HYPERLINK("http://www.ncbi.nlm.nih.gov/protein/46877043","Elmo2")</f>
        <v>Elmo2</v>
      </c>
      <c r="D2148" s="10">
        <f t="shared" si="33"/>
        <v>4.0920583814779619</v>
      </c>
      <c r="F2148" s="8" t="str">
        <f>HYPERLINK("https://esbl.nhlbi.nih.gov/Databases/mpkFractions/proteomic_fractions_log_files/Yang_log_img/46877043.jpg","show blot")</f>
        <v>show blot</v>
      </c>
      <c r="H2148" s="8" t="str">
        <f>HYPERLINK("https://esbl.nhlbi.nih.gov/Databases/mpkFractions/proteomic_fractions_linear_files/Yang_linear_img/46877043.jpg","show blot")</f>
        <v>show blot</v>
      </c>
      <c r="J2148" s="5" t="s">
        <v>4275</v>
      </c>
      <c r="L2148" s="11">
        <v>4.0920583814779619</v>
      </c>
      <c r="N2148" s="12"/>
    </row>
    <row r="2149" spans="1:14" s="5" customFormat="1" ht="15" customHeight="1" x14ac:dyDescent="0.25">
      <c r="A2149" s="9" t="s">
        <v>4276</v>
      </c>
      <c r="C2149" s="9" t="str">
        <f>HYPERLINK("http://www.ncbi.nlm.nih.gov/protein/46877050","Elmo2")</f>
        <v>Elmo2</v>
      </c>
      <c r="D2149" s="10">
        <f t="shared" si="33"/>
        <v>4.0920583814779619</v>
      </c>
      <c r="F2149" s="8" t="str">
        <f>HYPERLINK("https://esbl.nhlbi.nih.gov/Databases/mpkFractions/proteomic_fractions_log_files/Yang_log_img/46877050.jpg","show blot")</f>
        <v>show blot</v>
      </c>
      <c r="H2149" s="8" t="str">
        <f>HYPERLINK("https://esbl.nhlbi.nih.gov/Databases/mpkFractions/proteomic_fractions_linear_files/Yang_linear_img/46877050.jpg","show blot")</f>
        <v>show blot</v>
      </c>
      <c r="J2149" s="5" t="s">
        <v>4277</v>
      </c>
      <c r="L2149" s="11">
        <v>4.0920583814779619</v>
      </c>
      <c r="N2149" s="12"/>
    </row>
    <row r="2150" spans="1:14" s="5" customFormat="1" ht="15" customHeight="1" x14ac:dyDescent="0.25">
      <c r="A2150" s="9" t="s">
        <v>4278</v>
      </c>
      <c r="C2150" s="9" t="str">
        <f>HYPERLINK("http://www.ncbi.nlm.nih.gov/protein/46877052","Elmo2")</f>
        <v>Elmo2</v>
      </c>
      <c r="D2150" s="10">
        <f t="shared" si="33"/>
        <v>4.0920583814779619</v>
      </c>
      <c r="F2150" s="8" t="str">
        <f>HYPERLINK("https://esbl.nhlbi.nih.gov/Databases/mpkFractions/proteomic_fractions_log_files/Yang_log_img/46877052.jpg","show blot")</f>
        <v>show blot</v>
      </c>
      <c r="H2150" s="8" t="str">
        <f>HYPERLINK("https://esbl.nhlbi.nih.gov/Databases/mpkFractions/proteomic_fractions_linear_files/Yang_linear_img/46877052.jpg","show blot")</f>
        <v>show blot</v>
      </c>
      <c r="J2150" s="5" t="s">
        <v>4279</v>
      </c>
      <c r="L2150" s="11">
        <v>4.0920583814779619</v>
      </c>
      <c r="N2150" s="12"/>
    </row>
    <row r="2151" spans="1:14" s="5" customFormat="1" ht="15" customHeight="1" x14ac:dyDescent="0.25">
      <c r="A2151" s="9" t="s">
        <v>4280</v>
      </c>
      <c r="C2151" s="9" t="str">
        <f>HYPERLINK("http://www.ncbi.nlm.nih.gov/protein/255683297","Elmo3")</f>
        <v>Elmo3</v>
      </c>
      <c r="D2151" s="10">
        <f t="shared" si="33"/>
        <v>4.9555150383709874</v>
      </c>
      <c r="F2151" s="8" t="str">
        <f>HYPERLINK("https://esbl.nhlbi.nih.gov/Databases/mpkFractions/proteomic_fractions_log_files/Yang_log_img/255683297.jpg","show blot")</f>
        <v>show blot</v>
      </c>
      <c r="H2151" s="8" t="str">
        <f>HYPERLINK("https://esbl.nhlbi.nih.gov/Databases/mpkFractions/proteomic_fractions_linear_files/Yang_linear_img/255683297.jpg","show blot")</f>
        <v>show blot</v>
      </c>
      <c r="J2151" s="5" t="s">
        <v>4281</v>
      </c>
      <c r="L2151" s="11">
        <v>4.9555150383709874</v>
      </c>
      <c r="N2151" s="12"/>
    </row>
    <row r="2152" spans="1:14" s="5" customFormat="1" ht="15" customHeight="1" x14ac:dyDescent="0.25">
      <c r="A2152" s="9" t="s">
        <v>4282</v>
      </c>
      <c r="C2152" s="9" t="str">
        <f>HYPERLINK("http://www.ncbi.nlm.nih.gov/protein/283436077","Elmod2")</f>
        <v>Elmod2</v>
      </c>
      <c r="D2152" s="10">
        <f t="shared" si="33"/>
        <v>3.8554530333755079</v>
      </c>
      <c r="F2152" s="8" t="str">
        <f>HYPERLINK("https://esbl.nhlbi.nih.gov/Databases/mpkFractions/proteomic_fractions_log_files/Yang_log_img/283436077.jpg","show blot")</f>
        <v>show blot</v>
      </c>
      <c r="H2152" s="8" t="str">
        <f>HYPERLINK("https://esbl.nhlbi.nih.gov/Databases/mpkFractions/proteomic_fractions_linear_files/Yang_linear_img/283436077.jpg","show blot")</f>
        <v>show blot</v>
      </c>
      <c r="J2152" s="5" t="s">
        <v>4283</v>
      </c>
      <c r="L2152" s="11">
        <v>3.8554530333755079</v>
      </c>
      <c r="N2152" s="12"/>
    </row>
    <row r="2153" spans="1:14" s="5" customFormat="1" ht="15" customHeight="1" x14ac:dyDescent="0.25">
      <c r="A2153" s="9" t="s">
        <v>4284</v>
      </c>
      <c r="C2153" s="9" t="str">
        <f>HYPERLINK("http://www.ncbi.nlm.nih.gov/protein/25140989","Elof1")</f>
        <v>Elof1</v>
      </c>
      <c r="D2153" s="10">
        <f t="shared" si="33"/>
        <v>4.3180742201856264</v>
      </c>
      <c r="F2153" s="8" t="str">
        <f>HYPERLINK("https://esbl.nhlbi.nih.gov/Databases/mpkFractions/proteomic_fractions_log_files/Yang_log_img/25140989.jpg","show blot")</f>
        <v>show blot</v>
      </c>
      <c r="H2153" s="8" t="str">
        <f>HYPERLINK("https://esbl.nhlbi.nih.gov/Databases/mpkFractions/proteomic_fractions_linear_files/Yang_linear_img/25140989.jpg","show blot")</f>
        <v>show blot</v>
      </c>
      <c r="J2153" s="5" t="s">
        <v>4285</v>
      </c>
      <c r="L2153" s="11">
        <v>4.3180742201856264</v>
      </c>
      <c r="N2153" s="12"/>
    </row>
    <row r="2154" spans="1:14" s="5" customFormat="1" ht="15" customHeight="1" x14ac:dyDescent="0.25">
      <c r="A2154" s="9" t="s">
        <v>4286</v>
      </c>
      <c r="C2154" s="9" t="str">
        <f>HYPERLINK("http://www.ncbi.nlm.nih.gov/protein/85702351","Elovl1")</f>
        <v>Elovl1</v>
      </c>
      <c r="D2154" s="10">
        <f t="shared" si="33"/>
        <v>3.7106979420626098</v>
      </c>
      <c r="F2154" s="8" t="str">
        <f>HYPERLINK("https://esbl.nhlbi.nih.gov/Databases/mpkFractions/proteomic_fractions_log_files/Yang_log_img/85702351.jpg","show blot")</f>
        <v>show blot</v>
      </c>
      <c r="H2154" s="8" t="str">
        <f>HYPERLINK("https://esbl.nhlbi.nih.gov/Databases/mpkFractions/proteomic_fractions_linear_files/Yang_linear_img/85702351.jpg","show blot")</f>
        <v>show blot</v>
      </c>
      <c r="J2154" s="5" t="s">
        <v>4287</v>
      </c>
      <c r="L2154" s="11">
        <v>3.7106979420626098</v>
      </c>
      <c r="N2154" s="12"/>
    </row>
    <row r="2155" spans="1:14" s="5" customFormat="1" ht="15" customHeight="1" x14ac:dyDescent="0.25">
      <c r="A2155" s="9" t="s">
        <v>4288</v>
      </c>
      <c r="C2155" s="9" t="str">
        <f>HYPERLINK("http://www.ncbi.nlm.nih.gov/protein/9507145","Elovl1")</f>
        <v>Elovl1</v>
      </c>
      <c r="D2155" s="10">
        <f t="shared" si="33"/>
        <v>3.7106979420626098</v>
      </c>
      <c r="F2155" s="8" t="str">
        <f>HYPERLINK("https://esbl.nhlbi.nih.gov/Databases/mpkFractions/proteomic_fractions_log_files/Yang_log_img/9507145.jpg","show blot")</f>
        <v>show blot</v>
      </c>
      <c r="H2155" s="8" t="str">
        <f>HYPERLINK("https://esbl.nhlbi.nih.gov/Databases/mpkFractions/proteomic_fractions_linear_files/Yang_linear_img/9507145.jpg","show blot")</f>
        <v>show blot</v>
      </c>
      <c r="J2155" s="5" t="s">
        <v>4289</v>
      </c>
      <c r="L2155" s="11">
        <v>3.7106979420626098</v>
      </c>
      <c r="N2155" s="12"/>
    </row>
    <row r="2156" spans="1:14" s="5" customFormat="1" ht="15" customHeight="1" x14ac:dyDescent="0.25">
      <c r="A2156" s="9" t="s">
        <v>4290</v>
      </c>
      <c r="C2156" s="9" t="str">
        <f>HYPERLINK("http://www.ncbi.nlm.nih.gov/protein/148540000","Elovl7")</f>
        <v>Elovl7</v>
      </c>
      <c r="D2156" s="10">
        <f t="shared" si="33"/>
        <v>3.5293159920869872</v>
      </c>
      <c r="F2156" s="8" t="str">
        <f>HYPERLINK("https://esbl.nhlbi.nih.gov/Databases/mpkFractions/proteomic_fractions_log_files/Yang_log_img/148540000.jpg","show blot")</f>
        <v>show blot</v>
      </c>
      <c r="H2156" s="8" t="str">
        <f>HYPERLINK("https://esbl.nhlbi.nih.gov/Databases/mpkFractions/proteomic_fractions_linear_files/Yang_linear_img/148540000.jpg","show blot")</f>
        <v>show blot</v>
      </c>
      <c r="J2156" s="5" t="s">
        <v>4291</v>
      </c>
      <c r="L2156" s="11">
        <v>3.5293159920869872</v>
      </c>
      <c r="N2156" s="12"/>
    </row>
    <row r="2157" spans="1:14" s="5" customFormat="1" ht="15" customHeight="1" x14ac:dyDescent="0.25">
      <c r="A2157" s="9" t="s">
        <v>4292</v>
      </c>
      <c r="C2157" s="9" t="str">
        <f>HYPERLINK("http://www.ncbi.nlm.nih.gov/protein/134032030","Elp2")</f>
        <v>Elp2</v>
      </c>
      <c r="D2157" s="10">
        <f t="shared" si="33"/>
        <v>4.5434515172338772</v>
      </c>
      <c r="F2157" s="8" t="str">
        <f>HYPERLINK("https://esbl.nhlbi.nih.gov/Databases/mpkFractions/proteomic_fractions_log_files/Yang_log_img/134032030.jpg","show blot")</f>
        <v>show blot</v>
      </c>
      <c r="H2157" s="8" t="str">
        <f>HYPERLINK("https://esbl.nhlbi.nih.gov/Databases/mpkFractions/proteomic_fractions_linear_files/Yang_linear_img/134032030.jpg","show blot")</f>
        <v>show blot</v>
      </c>
      <c r="J2157" s="5" t="s">
        <v>4293</v>
      </c>
      <c r="L2157" s="11">
        <v>4.5434515172338772</v>
      </c>
      <c r="N2157" s="12"/>
    </row>
    <row r="2158" spans="1:14" s="5" customFormat="1" ht="15" customHeight="1" x14ac:dyDescent="0.25">
      <c r="A2158" s="9" t="s">
        <v>4294</v>
      </c>
      <c r="C2158" s="9" t="str">
        <f>HYPERLINK("http://www.ncbi.nlm.nih.gov/protein/33469023","Elp3")</f>
        <v>Elp3</v>
      </c>
      <c r="D2158" s="10">
        <f t="shared" si="33"/>
        <v>5.1509018281975196</v>
      </c>
      <c r="F2158" s="8" t="str">
        <f>HYPERLINK("https://esbl.nhlbi.nih.gov/Databases/mpkFractions/proteomic_fractions_log_files/Yang_log_img/33469023.jpg","show blot")</f>
        <v>show blot</v>
      </c>
      <c r="H2158" s="8" t="str">
        <f>HYPERLINK("https://esbl.nhlbi.nih.gov/Databases/mpkFractions/proteomic_fractions_linear_files/Yang_linear_img/33469023.jpg","show blot")</f>
        <v>show blot</v>
      </c>
      <c r="J2158" s="5" t="s">
        <v>4295</v>
      </c>
      <c r="L2158" s="11">
        <v>5.1509018281975196</v>
      </c>
      <c r="N2158" s="12"/>
    </row>
    <row r="2159" spans="1:14" s="5" customFormat="1" ht="15" customHeight="1" x14ac:dyDescent="0.25">
      <c r="A2159" s="9" t="s">
        <v>4296</v>
      </c>
      <c r="C2159" s="9" t="str">
        <f>HYPERLINK("http://www.ncbi.nlm.nih.gov/protein/359465533","Elp3")</f>
        <v>Elp3</v>
      </c>
      <c r="D2159" s="10">
        <f t="shared" si="33"/>
        <v>5.1509018281975196</v>
      </c>
      <c r="F2159" s="8" t="str">
        <f>HYPERLINK("https://esbl.nhlbi.nih.gov/Databases/mpkFractions/proteomic_fractions_log_files/Yang_log_img/359465533.jpg","show blot")</f>
        <v>show blot</v>
      </c>
      <c r="H2159" s="8" t="str">
        <f>HYPERLINK("https://esbl.nhlbi.nih.gov/Databases/mpkFractions/proteomic_fractions_linear_files/Yang_linear_img/359465533.jpg","show blot")</f>
        <v>show blot</v>
      </c>
      <c r="J2159" s="5" t="s">
        <v>4297</v>
      </c>
      <c r="L2159" s="11">
        <v>5.1509018281975196</v>
      </c>
      <c r="N2159" s="12"/>
    </row>
    <row r="2160" spans="1:14" s="5" customFormat="1" ht="15" customHeight="1" x14ac:dyDescent="0.25">
      <c r="A2160" s="9" t="s">
        <v>4298</v>
      </c>
      <c r="C2160" s="9" t="str">
        <f>HYPERLINK("http://www.ncbi.nlm.nih.gov/protein/31542608","Elp4")</f>
        <v>Elp4</v>
      </c>
      <c r="D2160" s="10">
        <f t="shared" si="33"/>
        <v>4.8641086591928477</v>
      </c>
      <c r="F2160" s="8" t="str">
        <f>HYPERLINK("https://esbl.nhlbi.nih.gov/Databases/mpkFractions/proteomic_fractions_log_files/Yang_log_img/31542608.jpg","show blot")</f>
        <v>show blot</v>
      </c>
      <c r="H2160" s="8" t="str">
        <f>HYPERLINK("https://esbl.nhlbi.nih.gov/Databases/mpkFractions/proteomic_fractions_linear_files/Yang_linear_img/31542608.jpg","show blot")</f>
        <v>show blot</v>
      </c>
      <c r="J2160" s="5" t="s">
        <v>4299</v>
      </c>
      <c r="L2160" s="11">
        <v>4.8641086591928477</v>
      </c>
      <c r="N2160" s="12"/>
    </row>
    <row r="2161" spans="1:14" s="5" customFormat="1" ht="15" customHeight="1" x14ac:dyDescent="0.25">
      <c r="A2161" s="9" t="s">
        <v>4300</v>
      </c>
      <c r="C2161" s="9" t="str">
        <f>HYPERLINK("http://www.ncbi.nlm.nih.gov/protein/244790025","Elp5")</f>
        <v>Elp5</v>
      </c>
      <c r="D2161" s="10">
        <f t="shared" si="33"/>
        <v>5.1469968788965614</v>
      </c>
      <c r="F2161" s="8" t="str">
        <f>HYPERLINK("https://esbl.nhlbi.nih.gov/Databases/mpkFractions/proteomic_fractions_log_files/Yang_log_img/244790025.jpg","show blot")</f>
        <v>show blot</v>
      </c>
      <c r="H2161" s="8" t="str">
        <f>HYPERLINK("https://esbl.nhlbi.nih.gov/Databases/mpkFractions/proteomic_fractions_linear_files/Yang_linear_img/244790025.jpg","show blot")</f>
        <v>show blot</v>
      </c>
      <c r="J2161" s="5" t="s">
        <v>4301</v>
      </c>
      <c r="L2161" s="11">
        <v>5.1469968788965614</v>
      </c>
      <c r="N2161" s="12"/>
    </row>
    <row r="2162" spans="1:14" s="5" customFormat="1" ht="15" customHeight="1" x14ac:dyDescent="0.25">
      <c r="A2162" s="9" t="s">
        <v>4302</v>
      </c>
      <c r="C2162" s="9" t="str">
        <f>HYPERLINK("http://www.ncbi.nlm.nih.gov/protein/358498583","Elp5")</f>
        <v>Elp5</v>
      </c>
      <c r="D2162" s="10">
        <f t="shared" si="33"/>
        <v>5.1469968788965614</v>
      </c>
      <c r="F2162" s="8" t="str">
        <f>HYPERLINK("https://esbl.nhlbi.nih.gov/Databases/mpkFractions/proteomic_fractions_log_files/Yang_log_img/358498583.jpg","show blot")</f>
        <v>show blot</v>
      </c>
      <c r="H2162" s="8" t="str">
        <f>HYPERLINK("https://esbl.nhlbi.nih.gov/Databases/mpkFractions/proteomic_fractions_linear_files/Yang_linear_img/358498583.jpg","show blot")</f>
        <v>show blot</v>
      </c>
      <c r="J2162" s="5" t="s">
        <v>4303</v>
      </c>
      <c r="L2162" s="11">
        <v>5.1469968788965614</v>
      </c>
      <c r="N2162" s="12"/>
    </row>
    <row r="2163" spans="1:14" s="5" customFormat="1" ht="15" customHeight="1" x14ac:dyDescent="0.25">
      <c r="A2163" s="9" t="s">
        <v>4304</v>
      </c>
      <c r="C2163" s="9" t="str">
        <f>HYPERLINK("http://www.ncbi.nlm.nih.gov/protein/145587074","Elp6")</f>
        <v>Elp6</v>
      </c>
      <c r="D2163" s="10">
        <f t="shared" si="33"/>
        <v>4.8278962552724529</v>
      </c>
      <c r="F2163" s="8" t="str">
        <f>HYPERLINK("https://esbl.nhlbi.nih.gov/Databases/mpkFractions/proteomic_fractions_log_files/Yang_log_img/145587074.jpg","show blot")</f>
        <v>show blot</v>
      </c>
      <c r="H2163" s="8" t="str">
        <f>HYPERLINK("https://esbl.nhlbi.nih.gov/Databases/mpkFractions/proteomic_fractions_linear_files/Yang_linear_img/145587074.jpg","show blot")</f>
        <v>show blot</v>
      </c>
      <c r="J2163" s="5" t="s">
        <v>4305</v>
      </c>
      <c r="L2163" s="11">
        <v>4.8278962552724529</v>
      </c>
      <c r="N2163" s="12"/>
    </row>
    <row r="2164" spans="1:14" s="5" customFormat="1" ht="15" customHeight="1" x14ac:dyDescent="0.25">
      <c r="A2164" s="9" t="s">
        <v>4306</v>
      </c>
      <c r="C2164" s="9" t="str">
        <f>HYPERLINK("http://www.ncbi.nlm.nih.gov/protein/31542273","Emc1")</f>
        <v>Emc1</v>
      </c>
      <c r="D2164" s="10">
        <f t="shared" si="33"/>
        <v>4.8085798930266481</v>
      </c>
      <c r="F2164" s="8" t="str">
        <f>HYPERLINK("https://esbl.nhlbi.nih.gov/Databases/mpkFractions/proteomic_fractions_log_files/Yang_log_img/31542273.jpg","show blot")</f>
        <v>show blot</v>
      </c>
      <c r="H2164" s="8" t="str">
        <f>HYPERLINK("https://esbl.nhlbi.nih.gov/Databases/mpkFractions/proteomic_fractions_linear_files/Yang_linear_img/31542273.jpg","show blot")</f>
        <v>show blot</v>
      </c>
      <c r="J2164" s="5" t="s">
        <v>4307</v>
      </c>
      <c r="L2164" s="11">
        <v>4.8085798930266481</v>
      </c>
      <c r="N2164" s="12"/>
    </row>
    <row r="2165" spans="1:14" s="5" customFormat="1" ht="15" customHeight="1" x14ac:dyDescent="0.25">
      <c r="A2165" s="9" t="s">
        <v>4308</v>
      </c>
      <c r="C2165" s="9" t="str">
        <f>HYPERLINK("http://www.ncbi.nlm.nih.gov/protein/85861260","Emc1")</f>
        <v>Emc1</v>
      </c>
      <c r="D2165" s="10">
        <f t="shared" si="33"/>
        <v>4.8085798930266481</v>
      </c>
      <c r="F2165" s="8" t="str">
        <f>HYPERLINK("https://esbl.nhlbi.nih.gov/Databases/mpkFractions/proteomic_fractions_log_files/Yang_log_img/85861260.jpg","show blot")</f>
        <v>show blot</v>
      </c>
      <c r="H2165" s="8" t="str">
        <f>HYPERLINK("https://esbl.nhlbi.nih.gov/Databases/mpkFractions/proteomic_fractions_linear_files/Yang_linear_img/85861260.jpg","show blot")</f>
        <v>show blot</v>
      </c>
      <c r="J2165" s="5" t="s">
        <v>4309</v>
      </c>
      <c r="L2165" s="11">
        <v>4.8085798930266481</v>
      </c>
      <c r="N2165" s="12"/>
    </row>
    <row r="2166" spans="1:14" s="5" customFormat="1" ht="15" customHeight="1" x14ac:dyDescent="0.25">
      <c r="A2166" s="9" t="s">
        <v>4310</v>
      </c>
      <c r="C2166" s="9" t="str">
        <f>HYPERLINK("http://www.ncbi.nlm.nih.gov/protein/13385196","Emc2")</f>
        <v>Emc2</v>
      </c>
      <c r="D2166" s="10">
        <f t="shared" si="33"/>
        <v>5.4536028753773493</v>
      </c>
      <c r="F2166" s="8" t="str">
        <f>HYPERLINK("https://esbl.nhlbi.nih.gov/Databases/mpkFractions/proteomic_fractions_log_files/Yang_log_img/13385196.jpg","show blot")</f>
        <v>show blot</v>
      </c>
      <c r="H2166" s="8" t="str">
        <f>HYPERLINK("https://esbl.nhlbi.nih.gov/Databases/mpkFractions/proteomic_fractions_linear_files/Yang_linear_img/13385196.jpg","show blot")</f>
        <v>show blot</v>
      </c>
      <c r="J2166" s="5" t="s">
        <v>4311</v>
      </c>
      <c r="L2166" s="11">
        <v>5.4536028753773493</v>
      </c>
      <c r="N2166" s="12"/>
    </row>
    <row r="2167" spans="1:14" s="5" customFormat="1" ht="15" customHeight="1" x14ac:dyDescent="0.25">
      <c r="A2167" s="9" t="s">
        <v>4312</v>
      </c>
      <c r="C2167" s="9" t="str">
        <f>HYPERLINK("http://www.ncbi.nlm.nih.gov/protein/28827824","Emc3")</f>
        <v>Emc3</v>
      </c>
      <c r="D2167" s="10">
        <f t="shared" si="33"/>
        <v>4.9846282720394059</v>
      </c>
      <c r="F2167" s="8" t="str">
        <f>HYPERLINK("https://esbl.nhlbi.nih.gov/Databases/mpkFractions/proteomic_fractions_log_files/Yang_log_img/28827824.jpg","show blot")</f>
        <v>show blot</v>
      </c>
      <c r="H2167" s="8" t="str">
        <f>HYPERLINK("https://esbl.nhlbi.nih.gov/Databases/mpkFractions/proteomic_fractions_linear_files/Yang_linear_img/28827824.jpg","show blot")</f>
        <v>show blot</v>
      </c>
      <c r="J2167" s="5" t="s">
        <v>4313</v>
      </c>
      <c r="L2167" s="11">
        <v>4.9846282720394059</v>
      </c>
      <c r="N2167" s="12"/>
    </row>
    <row r="2168" spans="1:14" s="5" customFormat="1" ht="15" customHeight="1" x14ac:dyDescent="0.25">
      <c r="A2168" s="9" t="s">
        <v>4314</v>
      </c>
      <c r="C2168" s="9" t="str">
        <f>HYPERLINK("http://www.ncbi.nlm.nih.gov/protein/13386014","Emc4")</f>
        <v>Emc4</v>
      </c>
      <c r="D2168" s="10">
        <f t="shared" si="33"/>
        <v>5.0144350628672631</v>
      </c>
      <c r="F2168" s="8" t="str">
        <f>HYPERLINK("https://esbl.nhlbi.nih.gov/Databases/mpkFractions/proteomic_fractions_log_files/Yang_log_img/13386014.jpg","show blot")</f>
        <v>show blot</v>
      </c>
      <c r="H2168" s="8" t="str">
        <f>HYPERLINK("https://esbl.nhlbi.nih.gov/Databases/mpkFractions/proteomic_fractions_linear_files/Yang_linear_img/13386014.jpg","show blot")</f>
        <v>show blot</v>
      </c>
      <c r="J2168" s="5" t="s">
        <v>4315</v>
      </c>
      <c r="L2168" s="11">
        <v>5.0144350628672631</v>
      </c>
      <c r="N2168" s="12"/>
    </row>
    <row r="2169" spans="1:14" s="5" customFormat="1" ht="15" customHeight="1" x14ac:dyDescent="0.25">
      <c r="A2169" s="9" t="s">
        <v>4316</v>
      </c>
      <c r="C2169" s="9" t="str">
        <f>HYPERLINK("http://www.ncbi.nlm.nih.gov/protein/13384684","Emc6")</f>
        <v>Emc6</v>
      </c>
      <c r="D2169" s="10">
        <f t="shared" si="33"/>
        <v>5.1954657251808882</v>
      </c>
      <c r="F2169" s="8" t="str">
        <f>HYPERLINK("https://esbl.nhlbi.nih.gov/Databases/mpkFractions/proteomic_fractions_log_files/Yang_log_img/13384684.jpg","show blot")</f>
        <v>show blot</v>
      </c>
      <c r="H2169" s="8" t="str">
        <f>HYPERLINK("https://esbl.nhlbi.nih.gov/Databases/mpkFractions/proteomic_fractions_linear_files/Yang_linear_img/13384684.jpg","show blot")</f>
        <v>show blot</v>
      </c>
      <c r="J2169" s="5" t="s">
        <v>4317</v>
      </c>
      <c r="L2169" s="11">
        <v>5.1954657251808882</v>
      </c>
      <c r="N2169" s="12"/>
    </row>
    <row r="2170" spans="1:14" s="5" customFormat="1" ht="15" customHeight="1" x14ac:dyDescent="0.25">
      <c r="A2170" s="9" t="s">
        <v>4318</v>
      </c>
      <c r="C2170" s="9" t="str">
        <f>HYPERLINK("http://www.ncbi.nlm.nih.gov/protein/19526956","Emc7")</f>
        <v>Emc7</v>
      </c>
      <c r="D2170" s="10">
        <f t="shared" si="33"/>
        <v>4.2544156957896044</v>
      </c>
      <c r="F2170" s="8" t="str">
        <f>HYPERLINK("https://esbl.nhlbi.nih.gov/Databases/mpkFractions/proteomic_fractions_log_files/Yang_log_img/19526956.jpg","show blot")</f>
        <v>show blot</v>
      </c>
      <c r="H2170" s="8" t="str">
        <f>HYPERLINK("https://esbl.nhlbi.nih.gov/Databases/mpkFractions/proteomic_fractions_linear_files/Yang_linear_img/19526956.jpg","show blot")</f>
        <v>show blot</v>
      </c>
      <c r="J2170" s="5" t="s">
        <v>4319</v>
      </c>
      <c r="L2170" s="11">
        <v>4.2544156957896044</v>
      </c>
      <c r="N2170" s="12"/>
    </row>
    <row r="2171" spans="1:14" s="5" customFormat="1" ht="15" customHeight="1" x14ac:dyDescent="0.25">
      <c r="A2171" s="9" t="s">
        <v>4320</v>
      </c>
      <c r="C2171" s="9" t="str">
        <f>HYPERLINK("http://www.ncbi.nlm.nih.gov/protein/6754870","Emc8")</f>
        <v>Emc8</v>
      </c>
      <c r="D2171" s="10">
        <f t="shared" si="33"/>
        <v>4.8480910451623318</v>
      </c>
      <c r="F2171" s="8" t="str">
        <f>HYPERLINK("https://esbl.nhlbi.nih.gov/Databases/mpkFractions/proteomic_fractions_log_files/Yang_log_img/6754870.jpg","show blot")</f>
        <v>show blot</v>
      </c>
      <c r="H2171" s="8" t="str">
        <f>HYPERLINK("https://esbl.nhlbi.nih.gov/Databases/mpkFractions/proteomic_fractions_linear_files/Yang_linear_img/6754870.jpg","show blot")</f>
        <v>show blot</v>
      </c>
      <c r="J2171" s="5" t="s">
        <v>4321</v>
      </c>
      <c r="L2171" s="11">
        <v>4.8480910451623318</v>
      </c>
      <c r="N2171" s="12"/>
    </row>
    <row r="2172" spans="1:14" s="5" customFormat="1" ht="15" customHeight="1" x14ac:dyDescent="0.25">
      <c r="A2172" s="9" t="s">
        <v>4322</v>
      </c>
      <c r="C2172" s="9" t="str">
        <f>HYPERLINK("http://www.ncbi.nlm.nih.gov/protein/6679641","Emd")</f>
        <v>Emd</v>
      </c>
      <c r="D2172" s="10">
        <f t="shared" si="33"/>
        <v>5.0724798945686782</v>
      </c>
      <c r="F2172" s="8" t="str">
        <f>HYPERLINK("https://esbl.nhlbi.nih.gov/Databases/mpkFractions/proteomic_fractions_log_files/Yang_log_img/6679641.jpg","show blot")</f>
        <v>show blot</v>
      </c>
      <c r="H2172" s="8" t="str">
        <f>HYPERLINK("https://esbl.nhlbi.nih.gov/Databases/mpkFractions/proteomic_fractions_linear_files/Yang_linear_img/6679641.jpg","show blot")</f>
        <v>show blot</v>
      </c>
      <c r="J2172" s="5" t="s">
        <v>4323</v>
      </c>
      <c r="L2172" s="11">
        <v>5.0724798945686782</v>
      </c>
      <c r="N2172" s="12"/>
    </row>
    <row r="2173" spans="1:14" s="5" customFormat="1" ht="15" customHeight="1" x14ac:dyDescent="0.25">
      <c r="A2173" s="9" t="s">
        <v>4324</v>
      </c>
      <c r="C2173" s="9" t="str">
        <f>HYPERLINK("http://www.ncbi.nlm.nih.gov/protein/7305109","Emg1")</f>
        <v>Emg1</v>
      </c>
      <c r="D2173" s="10">
        <f t="shared" si="33"/>
        <v>3.2101616100567858</v>
      </c>
      <c r="F2173" s="8" t="str">
        <f>HYPERLINK("https://esbl.nhlbi.nih.gov/Databases/mpkFractions/proteomic_fractions_log_files/Yang_log_img/7305109.jpg","show blot")</f>
        <v>show blot</v>
      </c>
      <c r="H2173" s="8" t="str">
        <f>HYPERLINK("https://esbl.nhlbi.nih.gov/Databases/mpkFractions/proteomic_fractions_linear_files/Yang_linear_img/7305109.jpg","show blot")</f>
        <v>show blot</v>
      </c>
      <c r="J2173" s="5" t="s">
        <v>4325</v>
      </c>
      <c r="L2173" s="11">
        <v>3.2101616100567858</v>
      </c>
      <c r="N2173" s="12"/>
    </row>
    <row r="2174" spans="1:14" s="5" customFormat="1" ht="15" customHeight="1" x14ac:dyDescent="0.25">
      <c r="A2174" s="9" t="s">
        <v>4326</v>
      </c>
      <c r="C2174" s="9" t="str">
        <f>HYPERLINK("http://www.ncbi.nlm.nih.gov/protein/244790233","Eml2")</f>
        <v>Eml2</v>
      </c>
      <c r="D2174" s="10">
        <f t="shared" si="33"/>
        <v>5.1728744081719773</v>
      </c>
      <c r="F2174" s="8" t="str">
        <f>HYPERLINK("https://esbl.nhlbi.nih.gov/Databases/mpkFractions/proteomic_fractions_log_files/Yang_log_img/244790233.jpg","show blot")</f>
        <v>show blot</v>
      </c>
      <c r="H2174" s="8" t="str">
        <f>HYPERLINK("https://esbl.nhlbi.nih.gov/Databases/mpkFractions/proteomic_fractions_linear_files/Yang_linear_img/244790233.jpg","show blot")</f>
        <v>show blot</v>
      </c>
      <c r="J2174" s="5" t="s">
        <v>4327</v>
      </c>
      <c r="L2174" s="11">
        <v>5.1728744081719773</v>
      </c>
      <c r="N2174" s="12"/>
    </row>
    <row r="2175" spans="1:14" s="5" customFormat="1" ht="15" customHeight="1" x14ac:dyDescent="0.25">
      <c r="A2175" s="9" t="s">
        <v>4328</v>
      </c>
      <c r="C2175" s="9" t="str">
        <f>HYPERLINK("http://www.ncbi.nlm.nih.gov/protein/244790299","Eml2")</f>
        <v>Eml2</v>
      </c>
      <c r="D2175" s="10">
        <f t="shared" si="33"/>
        <v>5.1728744081719773</v>
      </c>
      <c r="F2175" s="8" t="str">
        <f>HYPERLINK("https://esbl.nhlbi.nih.gov/Databases/mpkFractions/proteomic_fractions_log_files/Yang_log_img/244790299.jpg","show blot")</f>
        <v>show blot</v>
      </c>
      <c r="H2175" s="8" t="str">
        <f>HYPERLINK("https://esbl.nhlbi.nih.gov/Databases/mpkFractions/proteomic_fractions_linear_files/Yang_linear_img/244790299.jpg","show blot")</f>
        <v>show blot</v>
      </c>
      <c r="J2175" s="5" t="s">
        <v>4329</v>
      </c>
      <c r="L2175" s="11">
        <v>5.1728744081719773</v>
      </c>
      <c r="N2175" s="12"/>
    </row>
    <row r="2176" spans="1:14" s="5" customFormat="1" ht="15" customHeight="1" x14ac:dyDescent="0.25">
      <c r="A2176" s="9" t="s">
        <v>4330</v>
      </c>
      <c r="C2176" s="9" t="str">
        <f>HYPERLINK("http://www.ncbi.nlm.nih.gov/protein/21450111","Eml3")</f>
        <v>Eml3</v>
      </c>
      <c r="D2176" s="10">
        <f t="shared" si="33"/>
        <v>4.2496139549245662</v>
      </c>
      <c r="F2176" s="8" t="str">
        <f>HYPERLINK("https://esbl.nhlbi.nih.gov/Databases/mpkFractions/proteomic_fractions_log_files/Yang_log_img/21450111.jpg","show blot")</f>
        <v>show blot</v>
      </c>
      <c r="H2176" s="8" t="str">
        <f>HYPERLINK("https://esbl.nhlbi.nih.gov/Databases/mpkFractions/proteomic_fractions_linear_files/Yang_linear_img/21450111.jpg","show blot")</f>
        <v>show blot</v>
      </c>
      <c r="J2176" s="5" t="s">
        <v>4331</v>
      </c>
      <c r="L2176" s="11">
        <v>4.2496139549245662</v>
      </c>
      <c r="N2176" s="12"/>
    </row>
    <row r="2177" spans="1:14" s="5" customFormat="1" ht="15" customHeight="1" x14ac:dyDescent="0.25">
      <c r="A2177" s="9" t="s">
        <v>4332</v>
      </c>
      <c r="C2177" s="9" t="str">
        <f>HYPERLINK("http://www.ncbi.nlm.nih.gov/protein/167234433","Eml4")</f>
        <v>Eml4</v>
      </c>
      <c r="D2177" s="10">
        <f t="shared" si="33"/>
        <v>5.5332003047417651</v>
      </c>
      <c r="F2177" s="8" t="str">
        <f>HYPERLINK("https://esbl.nhlbi.nih.gov/Databases/mpkFractions/proteomic_fractions_log_files/Yang_log_img/167234433.jpg","show blot")</f>
        <v>show blot</v>
      </c>
      <c r="H2177" s="8" t="str">
        <f>HYPERLINK("https://esbl.nhlbi.nih.gov/Databases/mpkFractions/proteomic_fractions_linear_files/Yang_linear_img/167234433.jpg","show blot")</f>
        <v>show blot</v>
      </c>
      <c r="J2177" s="5" t="s">
        <v>4333</v>
      </c>
      <c r="L2177" s="11">
        <v>5.5332003047417651</v>
      </c>
      <c r="N2177" s="12"/>
    </row>
    <row r="2178" spans="1:14" s="5" customFormat="1" ht="15" customHeight="1" x14ac:dyDescent="0.25">
      <c r="A2178" s="9" t="s">
        <v>4334</v>
      </c>
      <c r="C2178" s="9" t="str">
        <f>HYPERLINK("http://www.ncbi.nlm.nih.gov/protein/167234435","Eml4")</f>
        <v>Eml4</v>
      </c>
      <c r="D2178" s="10">
        <f t="shared" si="33"/>
        <v>5.5332003047417651</v>
      </c>
      <c r="F2178" s="8" t="str">
        <f>HYPERLINK("https://esbl.nhlbi.nih.gov/Databases/mpkFractions/proteomic_fractions_log_files/Yang_log_img/167234435.jpg","show blot")</f>
        <v>show blot</v>
      </c>
      <c r="H2178" s="8" t="str">
        <f>HYPERLINK("https://esbl.nhlbi.nih.gov/Databases/mpkFractions/proteomic_fractions_linear_files/Yang_linear_img/167234435.jpg","show blot")</f>
        <v>show blot</v>
      </c>
      <c r="J2178" s="5" t="s">
        <v>4335</v>
      </c>
      <c r="L2178" s="11">
        <v>5.5332003047417651</v>
      </c>
      <c r="N2178" s="12"/>
    </row>
    <row r="2179" spans="1:14" s="5" customFormat="1" ht="15" customHeight="1" x14ac:dyDescent="0.25">
      <c r="A2179" s="9" t="s">
        <v>4336</v>
      </c>
      <c r="C2179" s="9" t="str">
        <f>HYPERLINK("http://www.ncbi.nlm.nih.gov/protein/167234437","Eml4")</f>
        <v>Eml4</v>
      </c>
      <c r="D2179" s="10">
        <f t="shared" si="33"/>
        <v>5.5332003047417651</v>
      </c>
      <c r="F2179" s="8" t="str">
        <f>HYPERLINK("https://esbl.nhlbi.nih.gov/Databases/mpkFractions/proteomic_fractions_log_files/Yang_log_img/167234437.jpg","show blot")</f>
        <v>show blot</v>
      </c>
      <c r="H2179" s="8" t="str">
        <f>HYPERLINK("https://esbl.nhlbi.nih.gov/Databases/mpkFractions/proteomic_fractions_linear_files/Yang_linear_img/167234437.jpg","show blot")</f>
        <v>show blot</v>
      </c>
      <c r="J2179" s="5" t="s">
        <v>4337</v>
      </c>
      <c r="L2179" s="11">
        <v>5.5332003047417651</v>
      </c>
      <c r="N2179" s="12"/>
    </row>
    <row r="2180" spans="1:14" s="5" customFormat="1" ht="15" customHeight="1" x14ac:dyDescent="0.25">
      <c r="A2180" s="9" t="s">
        <v>4338</v>
      </c>
      <c r="C2180" s="9" t="str">
        <f>HYPERLINK("http://www.ncbi.nlm.nih.gov/protein/133778926","Enah")</f>
        <v>Enah</v>
      </c>
      <c r="D2180" s="10">
        <f t="shared" si="33"/>
        <v>3.275133694319103</v>
      </c>
      <c r="F2180" s="8" t="str">
        <f>HYPERLINK("https://esbl.nhlbi.nih.gov/Databases/mpkFractions/proteomic_fractions_log_files/Yang_log_img/133778926.jpg","show blot")</f>
        <v>show blot</v>
      </c>
      <c r="H2180" s="8" t="str">
        <f>HYPERLINK("https://esbl.nhlbi.nih.gov/Databases/mpkFractions/proteomic_fractions_linear_files/Yang_linear_img/133778926.jpg","show blot")</f>
        <v>show blot</v>
      </c>
      <c r="J2180" s="5" t="s">
        <v>4339</v>
      </c>
      <c r="L2180" s="11">
        <v>3.275133694319103</v>
      </c>
      <c r="N2180" s="12"/>
    </row>
    <row r="2181" spans="1:14" s="5" customFormat="1" ht="15" customHeight="1" x14ac:dyDescent="0.25">
      <c r="A2181" s="9" t="s">
        <v>4340</v>
      </c>
      <c r="C2181" s="9" t="str">
        <f>HYPERLINK("http://www.ncbi.nlm.nih.gov/protein/133778939","Enah")</f>
        <v>Enah</v>
      </c>
      <c r="D2181" s="10">
        <f t="shared" ref="D2181:D2244" si="34">L2181</f>
        <v>3.275133694319103</v>
      </c>
      <c r="F2181" s="8" t="str">
        <f>HYPERLINK("https://esbl.nhlbi.nih.gov/Databases/mpkFractions/proteomic_fractions_log_files/Yang_log_img/133778939.jpg","show blot")</f>
        <v>show blot</v>
      </c>
      <c r="H2181" s="8" t="str">
        <f>HYPERLINK("https://esbl.nhlbi.nih.gov/Databases/mpkFractions/proteomic_fractions_linear_files/Yang_linear_img/133778939.jpg","show blot")</f>
        <v>show blot</v>
      </c>
      <c r="J2181" s="5" t="s">
        <v>4341</v>
      </c>
      <c r="L2181" s="11">
        <v>3.275133694319103</v>
      </c>
      <c r="N2181" s="12"/>
    </row>
    <row r="2182" spans="1:14" s="5" customFormat="1" ht="15" customHeight="1" x14ac:dyDescent="0.25">
      <c r="A2182" s="9" t="s">
        <v>4342</v>
      </c>
      <c r="C2182" s="9" t="str">
        <f>HYPERLINK("http://www.ncbi.nlm.nih.gov/protein/133778997","Enah")</f>
        <v>Enah</v>
      </c>
      <c r="D2182" s="10">
        <f t="shared" si="34"/>
        <v>3.275133694319103</v>
      </c>
      <c r="F2182" s="8" t="str">
        <f>HYPERLINK("https://esbl.nhlbi.nih.gov/Databases/mpkFractions/proteomic_fractions_log_files/Yang_log_img/133778997.jpg","show blot")</f>
        <v>show blot</v>
      </c>
      <c r="H2182" s="8" t="str">
        <f>HYPERLINK("https://esbl.nhlbi.nih.gov/Databases/mpkFractions/proteomic_fractions_linear_files/Yang_linear_img/133778997.jpg","show blot")</f>
        <v>show blot</v>
      </c>
      <c r="J2182" s="5" t="s">
        <v>4343</v>
      </c>
      <c r="L2182" s="11">
        <v>3.275133694319103</v>
      </c>
      <c r="N2182" s="12"/>
    </row>
    <row r="2183" spans="1:14" s="5" customFormat="1" ht="15" customHeight="1" x14ac:dyDescent="0.25">
      <c r="A2183" s="9" t="s">
        <v>4344</v>
      </c>
      <c r="C2183" s="9" t="str">
        <f>HYPERLINK("http://www.ncbi.nlm.nih.gov/protein/133779002","Enah")</f>
        <v>Enah</v>
      </c>
      <c r="D2183" s="10">
        <f t="shared" si="34"/>
        <v>3.275133694319103</v>
      </c>
      <c r="F2183" s="8" t="str">
        <f>HYPERLINK("https://esbl.nhlbi.nih.gov/Databases/mpkFractions/proteomic_fractions_log_files/Yang_log_img/133779002.jpg","show blot")</f>
        <v>show blot</v>
      </c>
      <c r="H2183" s="8" t="str">
        <f>HYPERLINK("https://esbl.nhlbi.nih.gov/Databases/mpkFractions/proteomic_fractions_linear_files/Yang_linear_img/133779002.jpg","show blot")</f>
        <v>show blot</v>
      </c>
      <c r="J2183" s="5" t="s">
        <v>4345</v>
      </c>
      <c r="L2183" s="11">
        <v>3.275133694319103</v>
      </c>
      <c r="N2183" s="12"/>
    </row>
    <row r="2184" spans="1:14" s="5" customFormat="1" ht="15" customHeight="1" x14ac:dyDescent="0.25">
      <c r="A2184" s="9" t="s">
        <v>4346</v>
      </c>
      <c r="C2184" s="9" t="str">
        <f>HYPERLINK("http://www.ncbi.nlm.nih.gov/protein/160333729","Endod1")</f>
        <v>Endod1</v>
      </c>
      <c r="D2184" s="10">
        <f t="shared" si="34"/>
        <v>4.2344800691050324</v>
      </c>
      <c r="F2184" s="8" t="str">
        <f>HYPERLINK("https://esbl.nhlbi.nih.gov/Databases/mpkFractions/proteomic_fractions_log_files/Yang_log_img/160333729.jpg","show blot")</f>
        <v>show blot</v>
      </c>
      <c r="H2184" s="8" t="str">
        <f>HYPERLINK("https://esbl.nhlbi.nih.gov/Databases/mpkFractions/proteomic_fractions_linear_files/Yang_linear_img/160333729.jpg","show blot")</f>
        <v>show blot</v>
      </c>
      <c r="J2184" s="5" t="s">
        <v>4347</v>
      </c>
      <c r="L2184" s="11">
        <v>4.2344800691050324</v>
      </c>
      <c r="N2184" s="12"/>
    </row>
    <row r="2185" spans="1:14" s="5" customFormat="1" ht="15" customHeight="1" x14ac:dyDescent="0.25">
      <c r="A2185" s="9" t="s">
        <v>4348</v>
      </c>
      <c r="C2185" s="9" t="str">
        <f>HYPERLINK("http://www.ncbi.nlm.nih.gov/protein/27369816","Engase")</f>
        <v>Engase</v>
      </c>
      <c r="D2185" s="10">
        <f t="shared" si="34"/>
        <v>2.3376396536014128</v>
      </c>
      <c r="F2185" s="8" t="str">
        <f>HYPERLINK("https://esbl.nhlbi.nih.gov/Databases/mpkFractions/proteomic_fractions_log_files/Yang_log_img/27369816.jpg","show blot")</f>
        <v>show blot</v>
      </c>
      <c r="H2185" s="8" t="str">
        <f>HYPERLINK("https://esbl.nhlbi.nih.gov/Databases/mpkFractions/proteomic_fractions_linear_files/Yang_linear_img/27369816.jpg","show blot")</f>
        <v>show blot</v>
      </c>
      <c r="J2185" s="5" t="s">
        <v>4349</v>
      </c>
      <c r="L2185" s="11">
        <v>2.3376396536014128</v>
      </c>
      <c r="N2185" s="12"/>
    </row>
    <row r="2186" spans="1:14" s="5" customFormat="1" ht="15" customHeight="1" x14ac:dyDescent="0.25">
      <c r="A2186" s="9" t="s">
        <v>4350</v>
      </c>
      <c r="C2186" s="9" t="str">
        <f>HYPERLINK("http://www.ncbi.nlm.nih.gov/protein/158853992;70794816","Eno1")</f>
        <v>Eno1</v>
      </c>
      <c r="D2186" s="10">
        <f t="shared" si="34"/>
        <v>6.1848847095433559</v>
      </c>
      <c r="F2186" s="8" t="str">
        <f>HYPERLINK("https://esbl.nhlbi.nih.gov/Databases/mpkFractions/proteomic_fractions_log_files/Yang_log_img/158853992;70794816.jpg","show blot")</f>
        <v>show blot</v>
      </c>
      <c r="H2186" s="8" t="str">
        <f>HYPERLINK("https://esbl.nhlbi.nih.gov/Databases/mpkFractions/proteomic_fractions_linear_files/Yang_linear_img/158853992;70794816.jpg","show blot")</f>
        <v>show blot</v>
      </c>
      <c r="J2186" s="5" t="s">
        <v>4351</v>
      </c>
      <c r="L2186" s="11">
        <v>6.1848847095433559</v>
      </c>
      <c r="N2186" s="12"/>
    </row>
    <row r="2187" spans="1:14" s="5" customFormat="1" ht="15" customHeight="1" x14ac:dyDescent="0.25">
      <c r="A2187" s="9" t="s">
        <v>4352</v>
      </c>
      <c r="C2187" s="9" t="str">
        <f>HYPERLINK("http://www.ncbi.nlm.nih.gov/protein/7305027","Eno2")</f>
        <v>Eno2</v>
      </c>
      <c r="D2187" s="10">
        <f t="shared" si="34"/>
        <v>6.1476067537382724</v>
      </c>
      <c r="F2187" s="8" t="str">
        <f>HYPERLINK("https://esbl.nhlbi.nih.gov/Databases/mpkFractions/proteomic_fractions_log_files/Yang_log_img/7305027.jpg","show blot")</f>
        <v>show blot</v>
      </c>
      <c r="H2187" s="8" t="str">
        <f>HYPERLINK("https://esbl.nhlbi.nih.gov/Databases/mpkFractions/proteomic_fractions_linear_files/Yang_linear_img/7305027.jpg","show blot")</f>
        <v>show blot</v>
      </c>
      <c r="J2187" s="5" t="s">
        <v>4353</v>
      </c>
      <c r="L2187" s="11">
        <v>6.1476067537382724</v>
      </c>
      <c r="N2187" s="12"/>
    </row>
    <row r="2188" spans="1:14" s="5" customFormat="1" ht="15" customHeight="1" x14ac:dyDescent="0.25">
      <c r="A2188" s="9" t="s">
        <v>4354</v>
      </c>
      <c r="C2188" s="9" t="str">
        <f>HYPERLINK("http://www.ncbi.nlm.nih.gov/protein/6679651","Eno3")</f>
        <v>Eno3</v>
      </c>
      <c r="D2188" s="10">
        <f t="shared" si="34"/>
        <v>6.503548870815969</v>
      </c>
      <c r="F2188" s="8" t="str">
        <f>HYPERLINK("https://esbl.nhlbi.nih.gov/Databases/mpkFractions/proteomic_fractions_log_files/Yang_log_img/6679651.jpg","show blot")</f>
        <v>show blot</v>
      </c>
      <c r="H2188" s="8" t="str">
        <f>HYPERLINK("https://esbl.nhlbi.nih.gov/Databases/mpkFractions/proteomic_fractions_linear_files/Yang_linear_img/6679651.jpg","show blot")</f>
        <v>show blot</v>
      </c>
      <c r="J2188" s="5" t="s">
        <v>4355</v>
      </c>
      <c r="L2188" s="11">
        <v>6.503548870815969</v>
      </c>
      <c r="N2188" s="12"/>
    </row>
    <row r="2189" spans="1:14" s="5" customFormat="1" ht="15" customHeight="1" x14ac:dyDescent="0.25">
      <c r="A2189" s="9" t="s">
        <v>4356</v>
      </c>
      <c r="C2189" s="9" t="str">
        <f>HYPERLINK("http://www.ncbi.nlm.nih.gov/protein/6679651;209862931","Eno3")</f>
        <v>Eno3</v>
      </c>
      <c r="D2189" s="10">
        <f t="shared" si="34"/>
        <v>6.503548870815969</v>
      </c>
      <c r="F2189" s="8" t="str">
        <f>HYPERLINK("https://esbl.nhlbi.nih.gov/Databases/mpkFractions/proteomic_fractions_log_files/Yang_log_img/6679651;209862931.jpg","show blot")</f>
        <v>show blot</v>
      </c>
      <c r="H2189" s="8" t="str">
        <f>HYPERLINK("https://esbl.nhlbi.nih.gov/Databases/mpkFractions/proteomic_fractions_linear_files/Yang_linear_img/6679651;209862931.jpg","show blot")</f>
        <v>show blot</v>
      </c>
      <c r="J2189" s="5" t="s">
        <v>4355</v>
      </c>
      <c r="L2189" s="11">
        <v>6.503548870815969</v>
      </c>
      <c r="N2189" s="12"/>
    </row>
    <row r="2190" spans="1:14" s="5" customFormat="1" ht="15" customHeight="1" x14ac:dyDescent="0.25">
      <c r="A2190" s="9" t="s">
        <v>4357</v>
      </c>
      <c r="C2190" s="9" t="str">
        <f>HYPERLINK("http://www.ncbi.nlm.nih.gov/protein/209862931;6679651","Eno3")</f>
        <v>Eno3</v>
      </c>
      <c r="D2190" s="10">
        <f t="shared" si="34"/>
        <v>6.503548870815969</v>
      </c>
      <c r="F2190" s="8" t="str">
        <f>HYPERLINK("https://esbl.nhlbi.nih.gov/Databases/mpkFractions/proteomic_fractions_log_files/Yang_log_img/209862931;6679651.jpg","show blot")</f>
        <v>show blot</v>
      </c>
      <c r="H2190" s="8" t="str">
        <f>HYPERLINK("https://esbl.nhlbi.nih.gov/Databases/mpkFractions/proteomic_fractions_linear_files/Yang_linear_img/209862931;6679651.jpg","show blot")</f>
        <v>show blot</v>
      </c>
      <c r="J2190" s="5" t="s">
        <v>4358</v>
      </c>
      <c r="L2190" s="11">
        <v>6.503548870815969</v>
      </c>
      <c r="N2190" s="12"/>
    </row>
    <row r="2191" spans="1:14" s="5" customFormat="1" ht="15" customHeight="1" x14ac:dyDescent="0.25">
      <c r="A2191" s="9" t="s">
        <v>4359</v>
      </c>
      <c r="C2191" s="9" t="str">
        <f>HYPERLINK("http://www.ncbi.nlm.nih.gov/protein/251823872","Enoph1")</f>
        <v>Enoph1</v>
      </c>
      <c r="D2191" s="10">
        <f t="shared" si="34"/>
        <v>4.5511075289267211</v>
      </c>
      <c r="F2191" s="8" t="str">
        <f>HYPERLINK("https://esbl.nhlbi.nih.gov/Databases/mpkFractions/proteomic_fractions_log_files/Yang_log_img/251823872.jpg","show blot")</f>
        <v>show blot</v>
      </c>
      <c r="H2191" s="8" t="str">
        <f>HYPERLINK("https://esbl.nhlbi.nih.gov/Databases/mpkFractions/proteomic_fractions_linear_files/Yang_linear_img/251823872.jpg","show blot")</f>
        <v>show blot</v>
      </c>
      <c r="J2191" s="5" t="s">
        <v>4360</v>
      </c>
      <c r="L2191" s="11">
        <v>4.5511075289267211</v>
      </c>
      <c r="N2191" s="12"/>
    </row>
    <row r="2192" spans="1:14" s="5" customFormat="1" ht="15" customHeight="1" x14ac:dyDescent="0.25">
      <c r="A2192" s="9" t="s">
        <v>4361</v>
      </c>
      <c r="C2192" s="9" t="str">
        <f>HYPERLINK("http://www.ncbi.nlm.nih.gov/protein/84872231","Enpp4")</f>
        <v>Enpp4</v>
      </c>
      <c r="D2192" s="10">
        <f t="shared" si="34"/>
        <v>3.2763871829386919</v>
      </c>
      <c r="F2192" s="8" t="str">
        <f>HYPERLINK("https://esbl.nhlbi.nih.gov/Databases/mpkFractions/proteomic_fractions_log_files/Yang_log_img/84872231.jpg","show blot")</f>
        <v>show blot</v>
      </c>
      <c r="H2192" s="8" t="str">
        <f>HYPERLINK("https://esbl.nhlbi.nih.gov/Databases/mpkFractions/proteomic_fractions_linear_files/Yang_linear_img/84872231.jpg","show blot")</f>
        <v>show blot</v>
      </c>
      <c r="J2192" s="5" t="s">
        <v>4362</v>
      </c>
      <c r="L2192" s="11">
        <v>3.2763871829386919</v>
      </c>
      <c r="N2192" s="12"/>
    </row>
    <row r="2193" spans="1:14" s="5" customFormat="1" ht="15" customHeight="1" x14ac:dyDescent="0.25">
      <c r="A2193" s="9" t="s">
        <v>4363</v>
      </c>
      <c r="C2193" s="9" t="str">
        <f>HYPERLINK("http://www.ncbi.nlm.nih.gov/protein/14030779","Enpp5")</f>
        <v>Enpp5</v>
      </c>
      <c r="D2193" s="10">
        <f t="shared" si="34"/>
        <v>4.6861794594696118</v>
      </c>
      <c r="F2193" s="8" t="str">
        <f>HYPERLINK("https://esbl.nhlbi.nih.gov/Databases/mpkFractions/proteomic_fractions_log_files/Yang_log_img/14030779.jpg","show blot")</f>
        <v>show blot</v>
      </c>
      <c r="H2193" s="8" t="str">
        <f>HYPERLINK("https://esbl.nhlbi.nih.gov/Databases/mpkFractions/proteomic_fractions_linear_files/Yang_linear_img/14030779.jpg","show blot")</f>
        <v>show blot</v>
      </c>
      <c r="J2193" s="5" t="s">
        <v>4364</v>
      </c>
      <c r="L2193" s="11">
        <v>4.6861794594696118</v>
      </c>
      <c r="N2193" s="12"/>
    </row>
    <row r="2194" spans="1:14" s="5" customFormat="1" ht="15" customHeight="1" x14ac:dyDescent="0.25">
      <c r="A2194" s="9" t="s">
        <v>4365</v>
      </c>
      <c r="C2194" s="9" t="str">
        <f>HYPERLINK("http://www.ncbi.nlm.nih.gov/protein/71892414","Enpp7")</f>
        <v>Enpp7</v>
      </c>
      <c r="D2194" s="10">
        <f t="shared" si="34"/>
        <v>3.0554190675744262</v>
      </c>
      <c r="F2194" s="8" t="str">
        <f>HYPERLINK("https://esbl.nhlbi.nih.gov/Databases/mpkFractions/proteomic_fractions_log_files/Yang_log_img/71892414.jpg","show blot")</f>
        <v>show blot</v>
      </c>
      <c r="H2194" s="8" t="str">
        <f>HYPERLINK("https://esbl.nhlbi.nih.gov/Databases/mpkFractions/proteomic_fractions_linear_files/Yang_linear_img/71892414.jpg","show blot")</f>
        <v>show blot</v>
      </c>
      <c r="J2194" s="5" t="s">
        <v>4366</v>
      </c>
      <c r="L2194" s="11">
        <v>3.0554190675744262</v>
      </c>
      <c r="N2194" s="12"/>
    </row>
    <row r="2195" spans="1:14" s="5" customFormat="1" ht="15" customHeight="1" x14ac:dyDescent="0.25">
      <c r="A2195" s="9" t="s">
        <v>4367</v>
      </c>
      <c r="C2195" s="9" t="str">
        <f>HYPERLINK("http://www.ncbi.nlm.nih.gov/protein/71061466","Ensa")</f>
        <v>Ensa</v>
      </c>
      <c r="D2195" s="10">
        <f t="shared" si="34"/>
        <v>4.732809304893852</v>
      </c>
      <c r="F2195" s="8" t="str">
        <f>HYPERLINK("https://esbl.nhlbi.nih.gov/Databases/mpkFractions/proteomic_fractions_log_files/Yang_log_img/71061466.jpg","show blot")</f>
        <v>show blot</v>
      </c>
      <c r="H2195" s="8" t="str">
        <f>HYPERLINK("https://esbl.nhlbi.nih.gov/Databases/mpkFractions/proteomic_fractions_linear_files/Yang_linear_img/71061466.jpg","show blot")</f>
        <v>show blot</v>
      </c>
      <c r="J2195" s="5" t="s">
        <v>4368</v>
      </c>
      <c r="L2195" s="11">
        <v>4.732809304893852</v>
      </c>
      <c r="N2195" s="12"/>
    </row>
    <row r="2196" spans="1:14" s="5" customFormat="1" ht="15" customHeight="1" x14ac:dyDescent="0.25">
      <c r="A2196" s="9" t="s">
        <v>4369</v>
      </c>
      <c r="C2196" s="9" t="str">
        <f>HYPERLINK("http://www.ncbi.nlm.nih.gov/protein/9624979","Ensa")</f>
        <v>Ensa</v>
      </c>
      <c r="D2196" s="10">
        <f t="shared" si="34"/>
        <v>4.732809304893852</v>
      </c>
      <c r="F2196" s="8" t="str">
        <f>HYPERLINK("https://esbl.nhlbi.nih.gov/Databases/mpkFractions/proteomic_fractions_log_files/Yang_log_img/9624979.jpg","show blot")</f>
        <v>show blot</v>
      </c>
      <c r="H2196" s="8" t="str">
        <f>HYPERLINK("https://esbl.nhlbi.nih.gov/Databases/mpkFractions/proteomic_fractions_linear_files/Yang_linear_img/9624979.jpg","show blot")</f>
        <v>show blot</v>
      </c>
      <c r="J2196" s="5" t="s">
        <v>4370</v>
      </c>
      <c r="L2196" s="11">
        <v>4.732809304893852</v>
      </c>
      <c r="N2196" s="12"/>
    </row>
    <row r="2197" spans="1:14" s="5" customFormat="1" ht="15" customHeight="1" x14ac:dyDescent="0.25">
      <c r="A2197" s="9" t="s">
        <v>4371</v>
      </c>
      <c r="C2197" s="9" t="str">
        <f>HYPERLINK("http://www.ncbi.nlm.nih.gov/protein/161484610","Entpd2")</f>
        <v>Entpd2</v>
      </c>
      <c r="D2197" s="10">
        <f t="shared" si="34"/>
        <v>4.2288489432108136</v>
      </c>
      <c r="F2197" s="8" t="str">
        <f>HYPERLINK("https://esbl.nhlbi.nih.gov/Databases/mpkFractions/proteomic_fractions_log_files/Yang_log_img/161484610.jpg","show blot")</f>
        <v>show blot</v>
      </c>
      <c r="H2197" s="8" t="str">
        <f>HYPERLINK("https://esbl.nhlbi.nih.gov/Databases/mpkFractions/proteomic_fractions_linear_files/Yang_linear_img/161484610.jpg","show blot")</f>
        <v>show blot</v>
      </c>
      <c r="J2197" s="5" t="s">
        <v>4372</v>
      </c>
      <c r="L2197" s="11">
        <v>4.2288489432108136</v>
      </c>
      <c r="N2197" s="12"/>
    </row>
    <row r="2198" spans="1:14" s="5" customFormat="1" ht="15" customHeight="1" x14ac:dyDescent="0.25">
      <c r="A2198" s="9" t="s">
        <v>4373</v>
      </c>
      <c r="C2198" s="9" t="str">
        <f>HYPERLINK("http://www.ncbi.nlm.nih.gov/protein/71061460","Entpd5")</f>
        <v>Entpd5</v>
      </c>
      <c r="D2198" s="10">
        <f t="shared" si="34"/>
        <v>3.4724580370269269</v>
      </c>
      <c r="F2198" s="8" t="str">
        <f>HYPERLINK("https://esbl.nhlbi.nih.gov/Databases/mpkFractions/proteomic_fractions_log_files/Yang_log_img/71061460.jpg","show blot")</f>
        <v>show blot</v>
      </c>
      <c r="H2198" s="8" t="str">
        <f>HYPERLINK("https://esbl.nhlbi.nih.gov/Databases/mpkFractions/proteomic_fractions_linear_files/Yang_linear_img/71061460.jpg","show blot")</f>
        <v>show blot</v>
      </c>
      <c r="J2198" s="5" t="s">
        <v>4374</v>
      </c>
      <c r="L2198" s="11">
        <v>3.4724580370269269</v>
      </c>
      <c r="N2198" s="12"/>
    </row>
    <row r="2199" spans="1:14" s="5" customFormat="1" ht="15" customHeight="1" x14ac:dyDescent="0.25">
      <c r="A2199" s="9" t="s">
        <v>4375</v>
      </c>
      <c r="C2199" s="9" t="str">
        <f>HYPERLINK("http://www.ncbi.nlm.nih.gov/protein/71061462","Entpd5")</f>
        <v>Entpd5</v>
      </c>
      <c r="D2199" s="10">
        <f t="shared" si="34"/>
        <v>3.4724580370269269</v>
      </c>
      <c r="F2199" s="8" t="str">
        <f>HYPERLINK("https://esbl.nhlbi.nih.gov/Databases/mpkFractions/proteomic_fractions_log_files/Yang_log_img/71061462.jpg","show blot")</f>
        <v>show blot</v>
      </c>
      <c r="H2199" s="8" t="str">
        <f>HYPERLINK("https://esbl.nhlbi.nih.gov/Databases/mpkFractions/proteomic_fractions_linear_files/Yang_linear_img/71061462.jpg","show blot")</f>
        <v>show blot</v>
      </c>
      <c r="J2199" s="5" t="s">
        <v>4376</v>
      </c>
      <c r="L2199" s="11">
        <v>3.4724580370269269</v>
      </c>
      <c r="N2199" s="12"/>
    </row>
    <row r="2200" spans="1:14" s="5" customFormat="1" ht="15" customHeight="1" x14ac:dyDescent="0.25">
      <c r="A2200" s="9" t="s">
        <v>4377</v>
      </c>
      <c r="C2200" s="9" t="str">
        <f>HYPERLINK("http://www.ncbi.nlm.nih.gov/protein/30023855","Eny2")</f>
        <v>Eny2</v>
      </c>
      <c r="D2200" s="10">
        <f t="shared" si="34"/>
        <v>2.7795964912578239</v>
      </c>
      <c r="F2200" s="8" t="str">
        <f>HYPERLINK("https://esbl.nhlbi.nih.gov/Databases/mpkFractions/proteomic_fractions_log_files/Yang_log_img/30023855.jpg","show blot")</f>
        <v>show blot</v>
      </c>
      <c r="H2200" s="8" t="str">
        <f>HYPERLINK("https://esbl.nhlbi.nih.gov/Databases/mpkFractions/proteomic_fractions_linear_files/Yang_linear_img/30023855.jpg","show blot")</f>
        <v>show blot</v>
      </c>
      <c r="J2200" s="5" t="s">
        <v>4378</v>
      </c>
      <c r="L2200" s="11">
        <v>2.7795964912578239</v>
      </c>
      <c r="N2200" s="12"/>
    </row>
    <row r="2201" spans="1:14" s="5" customFormat="1" ht="15" customHeight="1" x14ac:dyDescent="0.25">
      <c r="A2201" s="9" t="s">
        <v>4379</v>
      </c>
      <c r="C2201" s="9" t="str">
        <f>HYPERLINK("http://www.ncbi.nlm.nih.gov/protein/94421034","Ep300")</f>
        <v>Ep300</v>
      </c>
      <c r="D2201" s="10">
        <f t="shared" si="34"/>
        <v>3.1742609220497808</v>
      </c>
      <c r="F2201" s="8" t="str">
        <f>HYPERLINK("https://esbl.nhlbi.nih.gov/Databases/mpkFractions/proteomic_fractions_log_files/Yang_log_img/94421034.jpg","show blot")</f>
        <v>show blot</v>
      </c>
      <c r="H2201" s="8" t="str">
        <f>HYPERLINK("https://esbl.nhlbi.nih.gov/Databases/mpkFractions/proteomic_fractions_linear_files/Yang_linear_img/94421034.jpg","show blot")</f>
        <v>show blot</v>
      </c>
      <c r="J2201" s="5" t="s">
        <v>4380</v>
      </c>
      <c r="L2201" s="11">
        <v>3.1742609220497808</v>
      </c>
      <c r="N2201" s="12"/>
    </row>
    <row r="2202" spans="1:14" s="5" customFormat="1" ht="15" customHeight="1" x14ac:dyDescent="0.25">
      <c r="A2202" s="9" t="s">
        <v>4381</v>
      </c>
      <c r="C2202" s="9" t="str">
        <f>HYPERLINK("http://www.ncbi.nlm.nih.gov/protein/190684669","Epb4.1")</f>
        <v>Epb4.1</v>
      </c>
      <c r="D2202" s="10">
        <f t="shared" si="34"/>
        <v>3.991999937243448</v>
      </c>
      <c r="F2202" s="8" t="str">
        <f>HYPERLINK("https://esbl.nhlbi.nih.gov/Databases/mpkFractions/proteomic_fractions_log_files/Yang_log_img/190684669.jpg","show blot")</f>
        <v>show blot</v>
      </c>
      <c r="H2202" s="8" t="str">
        <f>HYPERLINK("https://esbl.nhlbi.nih.gov/Databases/mpkFractions/proteomic_fractions_linear_files/Yang_linear_img/190684669.jpg","show blot")</f>
        <v>show blot</v>
      </c>
      <c r="J2202" s="5" t="s">
        <v>4382</v>
      </c>
      <c r="L2202" s="11">
        <v>3.991999937243448</v>
      </c>
      <c r="N2202" s="12"/>
    </row>
    <row r="2203" spans="1:14" s="5" customFormat="1" ht="15" customHeight="1" x14ac:dyDescent="0.25">
      <c r="A2203" s="9" t="s">
        <v>4383</v>
      </c>
      <c r="C2203" s="9" t="str">
        <f>HYPERLINK("http://www.ncbi.nlm.nih.gov/protein/190684673","Epb4.1")</f>
        <v>Epb4.1</v>
      </c>
      <c r="D2203" s="10">
        <f t="shared" si="34"/>
        <v>3.991999937243448</v>
      </c>
      <c r="F2203" s="8" t="str">
        <f>HYPERLINK("https://esbl.nhlbi.nih.gov/Databases/mpkFractions/proteomic_fractions_log_files/Yang_log_img/190684673.jpg","show blot")</f>
        <v>show blot</v>
      </c>
      <c r="H2203" s="8" t="str">
        <f>HYPERLINK("https://esbl.nhlbi.nih.gov/Databases/mpkFractions/proteomic_fractions_linear_files/Yang_linear_img/190684673.jpg","show blot")</f>
        <v>show blot</v>
      </c>
      <c r="J2203" s="5" t="s">
        <v>4384</v>
      </c>
      <c r="L2203" s="11">
        <v>3.991999937243448</v>
      </c>
      <c r="N2203" s="12"/>
    </row>
    <row r="2204" spans="1:14" s="5" customFormat="1" ht="15" customHeight="1" x14ac:dyDescent="0.25">
      <c r="A2204" s="9" t="s">
        <v>4385</v>
      </c>
      <c r="C2204" s="9" t="str">
        <f>HYPERLINK("http://www.ncbi.nlm.nih.gov/protein/190881478","Epb4.1")</f>
        <v>Epb4.1</v>
      </c>
      <c r="D2204" s="10">
        <f t="shared" si="34"/>
        <v>3.991999937243448</v>
      </c>
      <c r="F2204" s="8" t="str">
        <f>HYPERLINK("https://esbl.nhlbi.nih.gov/Databases/mpkFractions/proteomic_fractions_log_files/Yang_log_img/190881478.jpg","show blot")</f>
        <v>show blot</v>
      </c>
      <c r="H2204" s="8" t="str">
        <f>HYPERLINK("https://esbl.nhlbi.nih.gov/Databases/mpkFractions/proteomic_fractions_linear_files/Yang_linear_img/190881478.jpg","show blot")</f>
        <v>show blot</v>
      </c>
      <c r="J2204" s="5" t="s">
        <v>4386</v>
      </c>
      <c r="L2204" s="11">
        <v>3.991999937243448</v>
      </c>
      <c r="N2204" s="12"/>
    </row>
    <row r="2205" spans="1:14" s="5" customFormat="1" ht="15" customHeight="1" x14ac:dyDescent="0.25">
      <c r="A2205" s="9" t="s">
        <v>4387</v>
      </c>
      <c r="C2205" s="9" t="str">
        <f>HYPERLINK("http://www.ncbi.nlm.nih.gov/protein/54873604","Epb4.1l1")</f>
        <v>Epb4.1l1</v>
      </c>
      <c r="D2205" s="10">
        <f t="shared" si="34"/>
        <v>4.8272040073612708</v>
      </c>
      <c r="F2205" s="8" t="str">
        <f>HYPERLINK("https://esbl.nhlbi.nih.gov/Databases/mpkFractions/proteomic_fractions_log_files/Yang_log_img/54873604.jpg","show blot")</f>
        <v>show blot</v>
      </c>
      <c r="H2205" s="8" t="str">
        <f>HYPERLINK("https://esbl.nhlbi.nih.gov/Databases/mpkFractions/proteomic_fractions_linear_files/Yang_linear_img/54873604.jpg","show blot")</f>
        <v>show blot</v>
      </c>
      <c r="J2205" s="5" t="s">
        <v>4388</v>
      </c>
      <c r="L2205" s="11">
        <v>4.8272040073612708</v>
      </c>
      <c r="N2205" s="12"/>
    </row>
    <row r="2206" spans="1:14" s="5" customFormat="1" ht="15" customHeight="1" x14ac:dyDescent="0.25">
      <c r="A2206" s="9" t="s">
        <v>4389</v>
      </c>
      <c r="C2206" s="9" t="str">
        <f>HYPERLINK("http://www.ncbi.nlm.nih.gov/protein/7305029","Epb4.1l1")</f>
        <v>Epb4.1l1</v>
      </c>
      <c r="D2206" s="10">
        <f t="shared" si="34"/>
        <v>4.8272040073612708</v>
      </c>
      <c r="F2206" s="8" t="str">
        <f>HYPERLINK("https://esbl.nhlbi.nih.gov/Databases/mpkFractions/proteomic_fractions_log_files/Yang_log_img/7305029.jpg","show blot")</f>
        <v>show blot</v>
      </c>
      <c r="H2206" s="8" t="str">
        <f>HYPERLINK("https://esbl.nhlbi.nih.gov/Databases/mpkFractions/proteomic_fractions_linear_files/Yang_linear_img/7305029.jpg","show blot")</f>
        <v>show blot</v>
      </c>
      <c r="J2206" s="5" t="s">
        <v>4390</v>
      </c>
      <c r="L2206" s="11">
        <v>4.8272040073612708</v>
      </c>
      <c r="N2206" s="12"/>
    </row>
    <row r="2207" spans="1:14" s="5" customFormat="1" ht="15" customHeight="1" x14ac:dyDescent="0.25">
      <c r="A2207" s="9" t="s">
        <v>4391</v>
      </c>
      <c r="C2207" s="9" t="str">
        <f>HYPERLINK("http://www.ncbi.nlm.nih.gov/protein/312922373","Epb4.1l2")</f>
        <v>Epb4.1l2</v>
      </c>
      <c r="D2207" s="10">
        <f t="shared" si="34"/>
        <v>4.66407362043274</v>
      </c>
      <c r="F2207" s="8" t="str">
        <f>HYPERLINK("https://esbl.nhlbi.nih.gov/Databases/mpkFractions/proteomic_fractions_log_files/Yang_log_img/312922373.jpg","show blot")</f>
        <v>show blot</v>
      </c>
      <c r="H2207" s="8" t="str">
        <f>HYPERLINK("https://esbl.nhlbi.nih.gov/Databases/mpkFractions/proteomic_fractions_linear_files/Yang_linear_img/312922373.jpg","show blot")</f>
        <v>show blot</v>
      </c>
      <c r="J2207" s="5" t="s">
        <v>4392</v>
      </c>
      <c r="L2207" s="11">
        <v>4.66407362043274</v>
      </c>
      <c r="N2207" s="12"/>
    </row>
    <row r="2208" spans="1:14" s="5" customFormat="1" ht="15" customHeight="1" x14ac:dyDescent="0.25">
      <c r="A2208" s="9" t="s">
        <v>4393</v>
      </c>
      <c r="C2208" s="9" t="str">
        <f>HYPERLINK("http://www.ncbi.nlm.nih.gov/protein/7305031","Epb4.1l3")</f>
        <v>Epb4.1l3</v>
      </c>
      <c r="D2208" s="10">
        <f t="shared" si="34"/>
        <v>3.6493312547865999</v>
      </c>
      <c r="F2208" s="8" t="str">
        <f>HYPERLINK("https://esbl.nhlbi.nih.gov/Databases/mpkFractions/proteomic_fractions_log_files/Yang_log_img/7305031.jpg","show blot")</f>
        <v>show blot</v>
      </c>
      <c r="H2208" s="8" t="str">
        <f>HYPERLINK("https://esbl.nhlbi.nih.gov/Databases/mpkFractions/proteomic_fractions_linear_files/Yang_linear_img/7305031.jpg","show blot")</f>
        <v>show blot</v>
      </c>
      <c r="J2208" s="5" t="s">
        <v>4394</v>
      </c>
      <c r="L2208" s="11">
        <v>3.6493312547865999</v>
      </c>
      <c r="N2208" s="12"/>
    </row>
    <row r="2209" spans="1:14" s="5" customFormat="1" ht="15" customHeight="1" x14ac:dyDescent="0.25">
      <c r="A2209" s="9" t="s">
        <v>4395</v>
      </c>
      <c r="C2209" s="9" t="str">
        <f>HYPERLINK("http://www.ncbi.nlm.nih.gov/protein/87042272","Epb4.1l4a")</f>
        <v>Epb4.1l4a</v>
      </c>
      <c r="D2209" s="10">
        <f t="shared" si="34"/>
        <v>2.6356899155735452</v>
      </c>
      <c r="F2209" s="8" t="str">
        <f>HYPERLINK("https://esbl.nhlbi.nih.gov/Databases/mpkFractions/proteomic_fractions_log_files/Yang_log_img/87042272.jpg","show blot")</f>
        <v>show blot</v>
      </c>
      <c r="H2209" s="8" t="str">
        <f>HYPERLINK("https://esbl.nhlbi.nih.gov/Databases/mpkFractions/proteomic_fractions_linear_files/Yang_linear_img/87042272.jpg","show blot")</f>
        <v>show blot</v>
      </c>
      <c r="J2209" s="5" t="s">
        <v>4396</v>
      </c>
      <c r="L2209" s="11">
        <v>2.6356899155735452</v>
      </c>
      <c r="N2209" s="12"/>
    </row>
    <row r="2210" spans="1:14" s="5" customFormat="1" ht="15" customHeight="1" x14ac:dyDescent="0.25">
      <c r="A2210" s="9" t="s">
        <v>4397</v>
      </c>
      <c r="C2210" s="9" t="str">
        <f>HYPERLINK("http://www.ncbi.nlm.nih.gov/protein/169234799","Epb4.1l4b")</f>
        <v>Epb4.1l4b</v>
      </c>
      <c r="D2210" s="10">
        <f t="shared" si="34"/>
        <v>5.142700447868652</v>
      </c>
      <c r="F2210" s="8" t="str">
        <f>HYPERLINK("https://esbl.nhlbi.nih.gov/Databases/mpkFractions/proteomic_fractions_log_files/Yang_log_img/169234799.jpg","show blot")</f>
        <v>show blot</v>
      </c>
      <c r="H2210" s="8" t="str">
        <f>HYPERLINK("https://esbl.nhlbi.nih.gov/Databases/mpkFractions/proteomic_fractions_linear_files/Yang_linear_img/169234799.jpg","show blot")</f>
        <v>show blot</v>
      </c>
      <c r="J2210" s="5" t="s">
        <v>4398</v>
      </c>
      <c r="L2210" s="11">
        <v>5.142700447868652</v>
      </c>
      <c r="N2210" s="12"/>
    </row>
    <row r="2211" spans="1:14" s="5" customFormat="1" ht="15" customHeight="1" x14ac:dyDescent="0.25">
      <c r="A2211" s="9" t="s">
        <v>4399</v>
      </c>
      <c r="C2211" s="9" t="str">
        <f>HYPERLINK("http://www.ncbi.nlm.nih.gov/protein/164663872","Epb4.1l5")</f>
        <v>Epb4.1l5</v>
      </c>
      <c r="D2211" s="10">
        <f t="shared" si="34"/>
        <v>5.6303522569895463</v>
      </c>
      <c r="F2211" s="8" t="str">
        <f>HYPERLINK("https://esbl.nhlbi.nih.gov/Databases/mpkFractions/proteomic_fractions_log_files/Yang_log_img/164663872.jpg","show blot")</f>
        <v>show blot</v>
      </c>
      <c r="H2211" s="8" t="str">
        <f>HYPERLINK("https://esbl.nhlbi.nih.gov/Databases/mpkFractions/proteomic_fractions_linear_files/Yang_linear_img/164663872.jpg","show blot")</f>
        <v>show blot</v>
      </c>
      <c r="J2211" s="5" t="s">
        <v>4400</v>
      </c>
      <c r="L2211" s="11">
        <v>5.6303522569895463</v>
      </c>
      <c r="N2211" s="12"/>
    </row>
    <row r="2212" spans="1:14" s="5" customFormat="1" ht="15" customHeight="1" x14ac:dyDescent="0.25">
      <c r="A2212" s="9" t="s">
        <v>4401</v>
      </c>
      <c r="C2212" s="9" t="str">
        <f>HYPERLINK("http://www.ncbi.nlm.nih.gov/protein/30841014","Epb4.1l5")</f>
        <v>Epb4.1l5</v>
      </c>
      <c r="D2212" s="10">
        <f t="shared" si="34"/>
        <v>5.6303522569895463</v>
      </c>
      <c r="F2212" s="8" t="str">
        <f>HYPERLINK("https://esbl.nhlbi.nih.gov/Databases/mpkFractions/proteomic_fractions_log_files/Yang_log_img/30841014.jpg","show blot")</f>
        <v>show blot</v>
      </c>
      <c r="H2212" s="8" t="str">
        <f>HYPERLINK("https://esbl.nhlbi.nih.gov/Databases/mpkFractions/proteomic_fractions_linear_files/Yang_linear_img/30841014.jpg","show blot")</f>
        <v>show blot</v>
      </c>
      <c r="J2212" s="5" t="s">
        <v>4402</v>
      </c>
      <c r="L2212" s="11">
        <v>5.6303522569895463</v>
      </c>
      <c r="N2212" s="12"/>
    </row>
    <row r="2213" spans="1:14" s="5" customFormat="1" ht="15" customHeight="1" x14ac:dyDescent="0.25">
      <c r="A2213" s="9" t="s">
        <v>4403</v>
      </c>
      <c r="C2213" s="9" t="str">
        <f>HYPERLINK("http://www.ncbi.nlm.nih.gov/protein/112293275","Epcam")</f>
        <v>Epcam</v>
      </c>
      <c r="D2213" s="10">
        <f t="shared" si="34"/>
        <v>6.0821657882276883</v>
      </c>
      <c r="F2213" s="8" t="str">
        <f>HYPERLINK("https://esbl.nhlbi.nih.gov/Databases/mpkFractions/proteomic_fractions_log_files/Yang_log_img/112293275.jpg","show blot")</f>
        <v>show blot</v>
      </c>
      <c r="H2213" s="8" t="str">
        <f>HYPERLINK("https://esbl.nhlbi.nih.gov/Databases/mpkFractions/proteomic_fractions_linear_files/Yang_linear_img/112293275.jpg","show blot")</f>
        <v>show blot</v>
      </c>
      <c r="J2213" s="5" t="s">
        <v>4404</v>
      </c>
      <c r="L2213" s="11">
        <v>6.0821657882276883</v>
      </c>
      <c r="N2213" s="12"/>
    </row>
    <row r="2214" spans="1:14" s="5" customFormat="1" ht="15" customHeight="1" x14ac:dyDescent="0.25">
      <c r="A2214" s="9" t="s">
        <v>4405</v>
      </c>
      <c r="C2214" s="9" t="str">
        <f>HYPERLINK("http://www.ncbi.nlm.nih.gov/protein/282165729","Epdr1")</f>
        <v>Epdr1</v>
      </c>
      <c r="D2214" s="10">
        <f t="shared" si="34"/>
        <v>3.483558501526312</v>
      </c>
      <c r="F2214" s="8" t="str">
        <f>HYPERLINK("https://esbl.nhlbi.nih.gov/Databases/mpkFractions/proteomic_fractions_log_files/Yang_log_img/282165729.jpg","show blot")</f>
        <v>show blot</v>
      </c>
      <c r="H2214" s="8" t="str">
        <f>HYPERLINK("https://esbl.nhlbi.nih.gov/Databases/mpkFractions/proteomic_fractions_linear_files/Yang_linear_img/282165729.jpg","show blot")</f>
        <v>show blot</v>
      </c>
      <c r="J2214" s="5" t="s">
        <v>4406</v>
      </c>
      <c r="L2214" s="11">
        <v>3.483558501526312</v>
      </c>
      <c r="N2214" s="12"/>
    </row>
    <row r="2215" spans="1:14" s="5" customFormat="1" ht="15" customHeight="1" x14ac:dyDescent="0.25">
      <c r="A2215" s="9" t="s">
        <v>4407</v>
      </c>
      <c r="C2215" s="9" t="str">
        <f>HYPERLINK("http://www.ncbi.nlm.nih.gov/protein/32484983","Epha2")</f>
        <v>Epha2</v>
      </c>
      <c r="D2215" s="10">
        <f t="shared" si="34"/>
        <v>3.2147453696983841</v>
      </c>
      <c r="F2215" s="8" t="str">
        <f>HYPERLINK("https://esbl.nhlbi.nih.gov/Databases/mpkFractions/proteomic_fractions_log_files/Yang_log_img/32484983.jpg","show blot")</f>
        <v>show blot</v>
      </c>
      <c r="H2215" s="8" t="str">
        <f>HYPERLINK("https://esbl.nhlbi.nih.gov/Databases/mpkFractions/proteomic_fractions_linear_files/Yang_linear_img/32484983.jpg","show blot")</f>
        <v>show blot</v>
      </c>
      <c r="J2215" s="5" t="s">
        <v>4408</v>
      </c>
      <c r="L2215" s="11">
        <v>3.2147453696983841</v>
      </c>
      <c r="N2215" s="12"/>
    </row>
    <row r="2216" spans="1:14" s="5" customFormat="1" ht="15" customHeight="1" x14ac:dyDescent="0.25">
      <c r="A2216" s="9" t="s">
        <v>4409</v>
      </c>
      <c r="C2216" s="9" t="str">
        <f>HYPERLINK("http://www.ncbi.nlm.nih.gov/protein/34328113","Epha4")</f>
        <v>Epha4</v>
      </c>
      <c r="D2216" s="10">
        <f t="shared" si="34"/>
        <v>3.175448954492087</v>
      </c>
      <c r="F2216" s="8" t="str">
        <f>HYPERLINK("https://esbl.nhlbi.nih.gov/Databases/mpkFractions/proteomic_fractions_log_files/Yang_log_img/34328113.jpg","show blot")</f>
        <v>show blot</v>
      </c>
      <c r="H2216" s="8" t="str">
        <f>HYPERLINK("https://esbl.nhlbi.nih.gov/Databases/mpkFractions/proteomic_fractions_linear_files/Yang_linear_img/34328113.jpg","show blot")</f>
        <v>show blot</v>
      </c>
      <c r="J2216" s="5" t="s">
        <v>4410</v>
      </c>
      <c r="L2216" s="11">
        <v>3.175448954492087</v>
      </c>
      <c r="N2216" s="12"/>
    </row>
    <row r="2217" spans="1:14" s="5" customFormat="1" ht="15" customHeight="1" x14ac:dyDescent="0.25">
      <c r="A2217" s="9" t="s">
        <v>4411</v>
      </c>
      <c r="C2217" s="9" t="str">
        <f>HYPERLINK("http://www.ncbi.nlm.nih.gov/protein/145312274","Epha6")</f>
        <v>Epha6</v>
      </c>
      <c r="D2217" s="10">
        <f t="shared" si="34"/>
        <v>3.108502164861473</v>
      </c>
      <c r="F2217" s="8" t="str">
        <f>HYPERLINK("https://esbl.nhlbi.nih.gov/Databases/mpkFractions/proteomic_fractions_log_files/Yang_log_img/145312274.jpg","show blot")</f>
        <v>show blot</v>
      </c>
      <c r="H2217" s="8" t="str">
        <f>HYPERLINK("https://esbl.nhlbi.nih.gov/Databases/mpkFractions/proteomic_fractions_linear_files/Yang_linear_img/145312274.jpg","show blot")</f>
        <v>show blot</v>
      </c>
      <c r="J2217" s="5" t="s">
        <v>4412</v>
      </c>
      <c r="L2217" s="11">
        <v>3.108502164861473</v>
      </c>
      <c r="N2217" s="12"/>
    </row>
    <row r="2218" spans="1:14" s="5" customFormat="1" ht="15" customHeight="1" x14ac:dyDescent="0.25">
      <c r="A2218" s="9" t="s">
        <v>4413</v>
      </c>
      <c r="C2218" s="9" t="str">
        <f>HYPERLINK("http://www.ncbi.nlm.nih.gov/protein/171541811","Epha7")</f>
        <v>Epha7</v>
      </c>
      <c r="D2218" s="10">
        <f t="shared" si="34"/>
        <v>3.171446212038413</v>
      </c>
      <c r="F2218" s="8" t="str">
        <f>HYPERLINK("https://esbl.nhlbi.nih.gov/Databases/mpkFractions/proteomic_fractions_log_files/Yang_log_img/171541811.jpg","show blot")</f>
        <v>show blot</v>
      </c>
      <c r="H2218" s="8" t="str">
        <f>HYPERLINK("https://esbl.nhlbi.nih.gov/Databases/mpkFractions/proteomic_fractions_linear_files/Yang_linear_img/171541811.jpg","show blot")</f>
        <v>show blot</v>
      </c>
      <c r="J2218" s="5" t="s">
        <v>4414</v>
      </c>
      <c r="L2218" s="11">
        <v>3.171446212038413</v>
      </c>
      <c r="N2218" s="12"/>
    </row>
    <row r="2219" spans="1:14" s="5" customFormat="1" ht="15" customHeight="1" x14ac:dyDescent="0.25">
      <c r="A2219" s="9" t="s">
        <v>4415</v>
      </c>
      <c r="C2219" s="9" t="str">
        <f>HYPERLINK("http://www.ncbi.nlm.nih.gov/protein/269973846","Ephb1")</f>
        <v>Ephb1</v>
      </c>
      <c r="D2219" s="10">
        <f t="shared" si="34"/>
        <v>3.2115866404291742</v>
      </c>
      <c r="F2219" s="8" t="str">
        <f>HYPERLINK("https://esbl.nhlbi.nih.gov/Databases/mpkFractions/proteomic_fractions_log_files/Yang_log_img/269973846.jpg","show blot")</f>
        <v>show blot</v>
      </c>
      <c r="H2219" s="8" t="str">
        <f>HYPERLINK("https://esbl.nhlbi.nih.gov/Databases/mpkFractions/proteomic_fractions_linear_files/Yang_linear_img/269973846.jpg","show blot")</f>
        <v>show blot</v>
      </c>
      <c r="J2219" s="5" t="s">
        <v>4416</v>
      </c>
      <c r="L2219" s="11">
        <v>3.2115866404291742</v>
      </c>
      <c r="N2219" s="12"/>
    </row>
    <row r="2220" spans="1:14" s="5" customFormat="1" ht="15" customHeight="1" x14ac:dyDescent="0.25">
      <c r="A2220" s="9" t="s">
        <v>4417</v>
      </c>
      <c r="C2220" s="9" t="str">
        <f>HYPERLINK("http://www.ncbi.nlm.nih.gov/protein/269973848","Ephb1")</f>
        <v>Ephb1</v>
      </c>
      <c r="D2220" s="10">
        <f t="shared" si="34"/>
        <v>3.2115866404291742</v>
      </c>
      <c r="F2220" s="8" t="str">
        <f>HYPERLINK("https://esbl.nhlbi.nih.gov/Databases/mpkFractions/proteomic_fractions_log_files/Yang_log_img/269973848.jpg","show blot")</f>
        <v>show blot</v>
      </c>
      <c r="H2220" s="8" t="str">
        <f>HYPERLINK("https://esbl.nhlbi.nih.gov/Databases/mpkFractions/proteomic_fractions_linear_files/Yang_linear_img/269973848.jpg","show blot")</f>
        <v>show blot</v>
      </c>
      <c r="J2220" s="5" t="s">
        <v>4418</v>
      </c>
      <c r="L2220" s="11">
        <v>3.2115866404291742</v>
      </c>
      <c r="N2220" s="12"/>
    </row>
    <row r="2221" spans="1:14" s="5" customFormat="1" ht="15" customHeight="1" x14ac:dyDescent="0.25">
      <c r="A2221" s="9" t="s">
        <v>4419</v>
      </c>
      <c r="C2221" s="9" t="str">
        <f>HYPERLINK("http://www.ncbi.nlm.nih.gov/protein/47777351","Ephb2")</f>
        <v>Ephb2</v>
      </c>
      <c r="D2221" s="10">
        <f t="shared" si="34"/>
        <v>3.730872639718736</v>
      </c>
      <c r="F2221" s="8" t="str">
        <f>HYPERLINK("https://esbl.nhlbi.nih.gov/Databases/mpkFractions/proteomic_fractions_log_files/Yang_log_img/47777351.jpg","show blot")</f>
        <v>show blot</v>
      </c>
      <c r="H2221" s="8" t="str">
        <f>HYPERLINK("https://esbl.nhlbi.nih.gov/Databases/mpkFractions/proteomic_fractions_linear_files/Yang_linear_img/47777351.jpg","show blot")</f>
        <v>show blot</v>
      </c>
      <c r="J2221" s="5" t="s">
        <v>4420</v>
      </c>
      <c r="L2221" s="11">
        <v>3.730872639718736</v>
      </c>
      <c r="N2221" s="12"/>
    </row>
    <row r="2222" spans="1:14" s="5" customFormat="1" ht="15" customHeight="1" x14ac:dyDescent="0.25">
      <c r="A2222" s="9" t="s">
        <v>4421</v>
      </c>
      <c r="C2222" s="9" t="str">
        <f>HYPERLINK("http://www.ncbi.nlm.nih.gov/protein/33859548","Ephb3")</f>
        <v>Ephb3</v>
      </c>
      <c r="D2222" s="10">
        <f t="shared" si="34"/>
        <v>3.2114189482580442</v>
      </c>
      <c r="F2222" s="8" t="str">
        <f>HYPERLINK("https://esbl.nhlbi.nih.gov/Databases/mpkFractions/proteomic_fractions_log_files/Yang_log_img/33859548.jpg","show blot")</f>
        <v>show blot</v>
      </c>
      <c r="H2222" s="8" t="str">
        <f>HYPERLINK("https://esbl.nhlbi.nih.gov/Databases/mpkFractions/proteomic_fractions_linear_files/Yang_linear_img/33859548.jpg","show blot")</f>
        <v>show blot</v>
      </c>
      <c r="J2222" s="5" t="s">
        <v>4422</v>
      </c>
      <c r="L2222" s="11">
        <v>3.2114189482580442</v>
      </c>
      <c r="N2222" s="12"/>
    </row>
    <row r="2223" spans="1:14" s="5" customFormat="1" ht="15" customHeight="1" x14ac:dyDescent="0.25">
      <c r="A2223" s="9" t="s">
        <v>4423</v>
      </c>
      <c r="C2223" s="9" t="str">
        <f>HYPERLINK("http://www.ncbi.nlm.nih.gov/protein/227330573","Ephb4")</f>
        <v>Ephb4</v>
      </c>
      <c r="D2223" s="10">
        <f t="shared" si="34"/>
        <v>3.25360198759968</v>
      </c>
      <c r="F2223" s="8" t="str">
        <f>HYPERLINK("https://esbl.nhlbi.nih.gov/Databases/mpkFractions/proteomic_fractions_log_files/Yang_log_img/227330573.jpg","show blot")</f>
        <v>show blot</v>
      </c>
      <c r="H2223" s="8" t="str">
        <f>HYPERLINK("https://esbl.nhlbi.nih.gov/Databases/mpkFractions/proteomic_fractions_linear_files/Yang_linear_img/227330573.jpg","show blot")</f>
        <v>show blot</v>
      </c>
      <c r="J2223" s="5" t="s">
        <v>4424</v>
      </c>
      <c r="L2223" s="11">
        <v>3.25360198759968</v>
      </c>
      <c r="N2223" s="12"/>
    </row>
    <row r="2224" spans="1:14" s="5" customFormat="1" ht="15" customHeight="1" x14ac:dyDescent="0.25">
      <c r="A2224" s="9" t="s">
        <v>4425</v>
      </c>
      <c r="C2224" s="9" t="str">
        <f>HYPERLINK("http://www.ncbi.nlm.nih.gov/protein/227330575","Ephb4")</f>
        <v>Ephb4</v>
      </c>
      <c r="D2224" s="10">
        <f t="shared" si="34"/>
        <v>3.25360198759968</v>
      </c>
      <c r="F2224" s="8" t="str">
        <f>HYPERLINK("https://esbl.nhlbi.nih.gov/Databases/mpkFractions/proteomic_fractions_log_files/Yang_log_img/227330575.jpg","show blot")</f>
        <v>show blot</v>
      </c>
      <c r="H2224" s="8" t="str">
        <f>HYPERLINK("https://esbl.nhlbi.nih.gov/Databases/mpkFractions/proteomic_fractions_linear_files/Yang_linear_img/227330575.jpg","show blot")</f>
        <v>show blot</v>
      </c>
      <c r="J2224" s="5" t="s">
        <v>4426</v>
      </c>
      <c r="L2224" s="11">
        <v>3.25360198759968</v>
      </c>
      <c r="N2224" s="12"/>
    </row>
    <row r="2225" spans="1:14" s="5" customFormat="1" ht="15" customHeight="1" x14ac:dyDescent="0.25">
      <c r="A2225" s="9" t="s">
        <v>4427</v>
      </c>
      <c r="C2225" s="9" t="str">
        <f>HYPERLINK("http://www.ncbi.nlm.nih.gov/protein/226437667","Ephb6")</f>
        <v>Ephb6</v>
      </c>
      <c r="D2225" s="10">
        <f t="shared" si="34"/>
        <v>2.31361276691102</v>
      </c>
      <c r="F2225" s="8" t="str">
        <f>HYPERLINK("https://esbl.nhlbi.nih.gov/Databases/mpkFractions/proteomic_fractions_log_files/Yang_log_img/226437667.jpg","show blot")</f>
        <v>show blot</v>
      </c>
      <c r="H2225" s="8" t="str">
        <f>HYPERLINK("https://esbl.nhlbi.nih.gov/Databases/mpkFractions/proteomic_fractions_linear_files/Yang_linear_img/226437667.jpg","show blot")</f>
        <v>show blot</v>
      </c>
      <c r="J2225" s="5" t="s">
        <v>4428</v>
      </c>
      <c r="L2225" s="11">
        <v>2.31361276691102</v>
      </c>
      <c r="N2225" s="12"/>
    </row>
    <row r="2226" spans="1:14" s="5" customFormat="1" ht="15" customHeight="1" x14ac:dyDescent="0.25">
      <c r="A2226" s="9" t="s">
        <v>4429</v>
      </c>
      <c r="C2226" s="9" t="str">
        <f>HYPERLINK("http://www.ncbi.nlm.nih.gov/protein/6753762","Ephx1")</f>
        <v>Ephx1</v>
      </c>
      <c r="D2226" s="10">
        <f t="shared" si="34"/>
        <v>5.4327872467745228</v>
      </c>
      <c r="F2226" s="8" t="str">
        <f>HYPERLINK("https://esbl.nhlbi.nih.gov/Databases/mpkFractions/proteomic_fractions_log_files/Yang_log_img/6753762.jpg","show blot")</f>
        <v>show blot</v>
      </c>
      <c r="H2226" s="8" t="str">
        <f>HYPERLINK("https://esbl.nhlbi.nih.gov/Databases/mpkFractions/proteomic_fractions_linear_files/Yang_linear_img/6753762.jpg","show blot")</f>
        <v>show blot</v>
      </c>
      <c r="J2226" s="5" t="s">
        <v>4430</v>
      </c>
      <c r="L2226" s="11">
        <v>5.4327872467745228</v>
      </c>
      <c r="N2226" s="12"/>
    </row>
    <row r="2227" spans="1:14" s="5" customFormat="1" ht="15" customHeight="1" x14ac:dyDescent="0.25">
      <c r="A2227" s="9" t="s">
        <v>4431</v>
      </c>
      <c r="C2227" s="9" t="str">
        <f>HYPERLINK("http://www.ncbi.nlm.nih.gov/protein/30424918","Epm2aip1")</f>
        <v>Epm2aip1</v>
      </c>
      <c r="D2227" s="10">
        <f t="shared" si="34"/>
        <v>4.4457954382932527</v>
      </c>
      <c r="F2227" s="8" t="str">
        <f>HYPERLINK("https://esbl.nhlbi.nih.gov/Databases/mpkFractions/proteomic_fractions_log_files/Yang_log_img/30424918.jpg","show blot")</f>
        <v>show blot</v>
      </c>
      <c r="H2227" s="8" t="str">
        <f>HYPERLINK("https://esbl.nhlbi.nih.gov/Databases/mpkFractions/proteomic_fractions_linear_files/Yang_linear_img/30424918.jpg","show blot")</f>
        <v>show blot</v>
      </c>
      <c r="J2227" s="5" t="s">
        <v>4432</v>
      </c>
      <c r="L2227" s="11">
        <v>4.4457954382932527</v>
      </c>
      <c r="N2227" s="12"/>
    </row>
    <row r="2228" spans="1:14" s="5" customFormat="1" ht="15" customHeight="1" x14ac:dyDescent="0.25">
      <c r="A2228" s="9" t="s">
        <v>4433</v>
      </c>
      <c r="C2228" s="9" t="str">
        <f>HYPERLINK("http://www.ncbi.nlm.nih.gov/protein/356995862;46195711","Epn1")</f>
        <v>Epn1</v>
      </c>
      <c r="D2228" s="10">
        <f t="shared" si="34"/>
        <v>3.658266979374821</v>
      </c>
      <c r="F2228" s="8" t="str">
        <f>HYPERLINK("https://esbl.nhlbi.nih.gov/Databases/mpkFractions/proteomic_fractions_log_files/Yang_log_img/356995862;46195711.jpg","show blot")</f>
        <v>show blot</v>
      </c>
      <c r="H2228" s="8" t="str">
        <f>HYPERLINK("https://esbl.nhlbi.nih.gov/Databases/mpkFractions/proteomic_fractions_linear_files/Yang_linear_img/356995862;46195711.jpg","show blot")</f>
        <v>show blot</v>
      </c>
      <c r="J2228" s="5" t="s">
        <v>4434</v>
      </c>
      <c r="L2228" s="11">
        <v>3.658266979374821</v>
      </c>
      <c r="N2228" s="12"/>
    </row>
    <row r="2229" spans="1:14" s="5" customFormat="1" ht="15" customHeight="1" x14ac:dyDescent="0.25">
      <c r="A2229" s="9" t="s">
        <v>4435</v>
      </c>
      <c r="C2229" s="9" t="str">
        <f>HYPERLINK("http://www.ncbi.nlm.nih.gov/protein/46195711","Epn1")</f>
        <v>Epn1</v>
      </c>
      <c r="D2229" s="10">
        <f t="shared" si="34"/>
        <v>3.658266979374821</v>
      </c>
      <c r="F2229" s="8" t="str">
        <f>HYPERLINK("https://esbl.nhlbi.nih.gov/Databases/mpkFractions/proteomic_fractions_log_files/Yang_log_img/46195711.jpg","show blot")</f>
        <v>show blot</v>
      </c>
      <c r="H2229" s="8" t="str">
        <f>HYPERLINK("https://esbl.nhlbi.nih.gov/Databases/mpkFractions/proteomic_fractions_linear_files/Yang_linear_img/46195711.jpg","show blot")</f>
        <v>show blot</v>
      </c>
      <c r="J2229" s="5" t="s">
        <v>4434</v>
      </c>
      <c r="L2229" s="11">
        <v>3.658266979374821</v>
      </c>
      <c r="N2229" s="12"/>
    </row>
    <row r="2230" spans="1:14" s="5" customFormat="1" ht="15" customHeight="1" x14ac:dyDescent="0.25">
      <c r="A2230" s="9" t="s">
        <v>4436</v>
      </c>
      <c r="C2230" s="9" t="str">
        <f>HYPERLINK("http://www.ncbi.nlm.nih.gov/protein/33468893","Epn2")</f>
        <v>Epn2</v>
      </c>
      <c r="D2230" s="10">
        <f t="shared" si="34"/>
        <v>3.525927228182216</v>
      </c>
      <c r="F2230" s="8" t="str">
        <f>HYPERLINK("https://esbl.nhlbi.nih.gov/Databases/mpkFractions/proteomic_fractions_log_files/Yang_log_img/33468893.jpg","show blot")</f>
        <v>show blot</v>
      </c>
      <c r="H2230" s="8" t="str">
        <f>HYPERLINK("https://esbl.nhlbi.nih.gov/Databases/mpkFractions/proteomic_fractions_linear_files/Yang_linear_img/33468893.jpg","show blot")</f>
        <v>show blot</v>
      </c>
      <c r="J2230" s="5" t="s">
        <v>4437</v>
      </c>
      <c r="L2230" s="11">
        <v>3.525927228182216</v>
      </c>
      <c r="N2230" s="12"/>
    </row>
    <row r="2231" spans="1:14" s="5" customFormat="1" ht="15" customHeight="1" x14ac:dyDescent="0.25">
      <c r="A2231" s="9" t="s">
        <v>4438</v>
      </c>
      <c r="C2231" s="9" t="str">
        <f>HYPERLINK("http://www.ncbi.nlm.nih.gov/protein/356582234","Epn2")</f>
        <v>Epn2</v>
      </c>
      <c r="D2231" s="10">
        <f t="shared" si="34"/>
        <v>3.525927228182216</v>
      </c>
      <c r="F2231" s="8" t="str">
        <f>HYPERLINK("https://esbl.nhlbi.nih.gov/Databases/mpkFractions/proteomic_fractions_log_files/Yang_log_img/356582234.jpg","show blot")</f>
        <v>show blot</v>
      </c>
      <c r="H2231" s="8" t="str">
        <f>HYPERLINK("https://esbl.nhlbi.nih.gov/Databases/mpkFractions/proteomic_fractions_linear_files/Yang_linear_img/356582234.jpg","show blot")</f>
        <v>show blot</v>
      </c>
      <c r="J2231" s="5" t="s">
        <v>4439</v>
      </c>
      <c r="L2231" s="11">
        <v>3.525927228182216</v>
      </c>
      <c r="N2231" s="12"/>
    </row>
    <row r="2232" spans="1:14" s="5" customFormat="1" ht="15" customHeight="1" x14ac:dyDescent="0.25">
      <c r="A2232" s="9" t="s">
        <v>4440</v>
      </c>
      <c r="C2232" s="9" t="str">
        <f>HYPERLINK("http://www.ncbi.nlm.nih.gov/protein/356582238","Epn2")</f>
        <v>Epn2</v>
      </c>
      <c r="D2232" s="10">
        <f t="shared" si="34"/>
        <v>3.525927228182216</v>
      </c>
      <c r="F2232" s="8" t="str">
        <f>HYPERLINK("https://esbl.nhlbi.nih.gov/Databases/mpkFractions/proteomic_fractions_log_files/Yang_log_img/356582238.jpg","show blot")</f>
        <v>show blot</v>
      </c>
      <c r="H2232" s="8" t="str">
        <f>HYPERLINK("https://esbl.nhlbi.nih.gov/Databases/mpkFractions/proteomic_fractions_linear_files/Yang_linear_img/356582238.jpg","show blot")</f>
        <v>show blot</v>
      </c>
      <c r="J2232" s="5" t="s">
        <v>4441</v>
      </c>
      <c r="L2232" s="11">
        <v>3.525927228182216</v>
      </c>
      <c r="N2232" s="12"/>
    </row>
    <row r="2233" spans="1:14" s="5" customFormat="1" ht="15" customHeight="1" x14ac:dyDescent="0.25">
      <c r="A2233" s="9" t="s">
        <v>4442</v>
      </c>
      <c r="C2233" s="9" t="str">
        <f>HYPERLINK("http://www.ncbi.nlm.nih.gov/protein/30794400","Epn3")</f>
        <v>Epn3</v>
      </c>
      <c r="D2233" s="10">
        <f t="shared" si="34"/>
        <v>4.1670542220101776</v>
      </c>
      <c r="F2233" s="8" t="str">
        <f>HYPERLINK("https://esbl.nhlbi.nih.gov/Databases/mpkFractions/proteomic_fractions_log_files/Yang_log_img/30794400.jpg","show blot")</f>
        <v>show blot</v>
      </c>
      <c r="H2233" s="8" t="str">
        <f>HYPERLINK("https://esbl.nhlbi.nih.gov/Databases/mpkFractions/proteomic_fractions_linear_files/Yang_linear_img/30794400.jpg","show blot")</f>
        <v>show blot</v>
      </c>
      <c r="J2233" s="5" t="s">
        <v>4443</v>
      </c>
      <c r="L2233" s="11">
        <v>4.1670542220101776</v>
      </c>
      <c r="N2233" s="12"/>
    </row>
    <row r="2234" spans="1:14" s="5" customFormat="1" ht="15" customHeight="1" x14ac:dyDescent="0.25">
      <c r="A2234" s="9" t="s">
        <v>4444</v>
      </c>
      <c r="C2234" s="9" t="str">
        <f>HYPERLINK("http://www.ncbi.nlm.nih.gov/protein/37537522","Eppk1")</f>
        <v>Eppk1</v>
      </c>
      <c r="D2234" s="10">
        <f t="shared" si="34"/>
        <v>4.2102950421230911</v>
      </c>
      <c r="F2234" s="8" t="str">
        <f>HYPERLINK("https://esbl.nhlbi.nih.gov/Databases/mpkFractions/proteomic_fractions_log_files/Yang_log_img/37537522.jpg","show blot")</f>
        <v>show blot</v>
      </c>
      <c r="H2234" s="8" t="str">
        <f>HYPERLINK("https://esbl.nhlbi.nih.gov/Databases/mpkFractions/proteomic_fractions_linear_files/Yang_linear_img/37537522.jpg","show blot")</f>
        <v>show blot</v>
      </c>
      <c r="J2234" s="5" t="s">
        <v>4445</v>
      </c>
      <c r="L2234" s="11">
        <v>4.2102950421230911</v>
      </c>
      <c r="N2234" s="12"/>
    </row>
    <row r="2235" spans="1:14" s="5" customFormat="1" ht="15" customHeight="1" x14ac:dyDescent="0.25">
      <c r="A2235" s="9" t="s">
        <v>4446</v>
      </c>
      <c r="C2235" s="9" t="str">
        <f>HYPERLINK("http://www.ncbi.nlm.nih.gov/protein/82617575","Eprs")</f>
        <v>Eprs</v>
      </c>
      <c r="D2235" s="10">
        <f t="shared" si="34"/>
        <v>6.1678772267269952</v>
      </c>
      <c r="F2235" s="8" t="str">
        <f>HYPERLINK("https://esbl.nhlbi.nih.gov/Databases/mpkFractions/proteomic_fractions_log_files/Yang_log_img/82617575.jpg","show blot")</f>
        <v>show blot</v>
      </c>
      <c r="H2235" s="8" t="str">
        <f>HYPERLINK("https://esbl.nhlbi.nih.gov/Databases/mpkFractions/proteomic_fractions_linear_files/Yang_linear_img/82617575.jpg","show blot")</f>
        <v>show blot</v>
      </c>
      <c r="J2235" s="5" t="s">
        <v>4447</v>
      </c>
      <c r="L2235" s="11">
        <v>6.1678772267269952</v>
      </c>
      <c r="N2235" s="12"/>
    </row>
    <row r="2236" spans="1:14" s="5" customFormat="1" ht="15" customHeight="1" x14ac:dyDescent="0.25">
      <c r="A2236" s="9" t="s">
        <v>4448</v>
      </c>
      <c r="C2236" s="9" t="str">
        <f>HYPERLINK("http://www.ncbi.nlm.nih.gov/protein/229577163","Eps15")</f>
        <v>Eps15</v>
      </c>
      <c r="D2236" s="10">
        <f t="shared" si="34"/>
        <v>4.8224194224094017</v>
      </c>
      <c r="F2236" s="8" t="str">
        <f>HYPERLINK("https://esbl.nhlbi.nih.gov/Databases/mpkFractions/proteomic_fractions_log_files/Yang_log_img/229577163.jpg","show blot")</f>
        <v>show blot</v>
      </c>
      <c r="H2236" s="8" t="str">
        <f>HYPERLINK("https://esbl.nhlbi.nih.gov/Databases/mpkFractions/proteomic_fractions_linear_files/Yang_linear_img/229577163.jpg","show blot")</f>
        <v>show blot</v>
      </c>
      <c r="J2236" s="5" t="s">
        <v>4449</v>
      </c>
      <c r="L2236" s="11">
        <v>4.8224194224094017</v>
      </c>
      <c r="N2236" s="12"/>
    </row>
    <row r="2237" spans="1:14" s="5" customFormat="1" ht="15" customHeight="1" x14ac:dyDescent="0.25">
      <c r="A2237" s="9" t="s">
        <v>4450</v>
      </c>
      <c r="C2237" s="9" t="str">
        <f>HYPERLINK("http://www.ncbi.nlm.nih.gov/protein/6679671","Eps15")</f>
        <v>Eps15</v>
      </c>
      <c r="D2237" s="10">
        <f t="shared" si="34"/>
        <v>4.8224194224094017</v>
      </c>
      <c r="F2237" s="8" t="str">
        <f>HYPERLINK("https://esbl.nhlbi.nih.gov/Databases/mpkFractions/proteomic_fractions_log_files/Yang_log_img/6679671.jpg","show blot")</f>
        <v>show blot</v>
      </c>
      <c r="H2237" s="8" t="str">
        <f>HYPERLINK("https://esbl.nhlbi.nih.gov/Databases/mpkFractions/proteomic_fractions_linear_files/Yang_linear_img/6679671.jpg","show blot")</f>
        <v>show blot</v>
      </c>
      <c r="J2237" s="5" t="s">
        <v>4451</v>
      </c>
      <c r="L2237" s="11">
        <v>4.8224194224094017</v>
      </c>
      <c r="N2237" s="12"/>
    </row>
    <row r="2238" spans="1:14" s="5" customFormat="1" ht="15" customHeight="1" x14ac:dyDescent="0.25">
      <c r="A2238" s="9" t="s">
        <v>4452</v>
      </c>
      <c r="C2238" s="9" t="str">
        <f>HYPERLINK("http://www.ncbi.nlm.nih.gov/protein/170784834","Eps15l1")</f>
        <v>Eps15l1</v>
      </c>
      <c r="D2238" s="10">
        <f t="shared" si="34"/>
        <v>4.6913654772583744</v>
      </c>
      <c r="F2238" s="8" t="str">
        <f>HYPERLINK("https://esbl.nhlbi.nih.gov/Databases/mpkFractions/proteomic_fractions_log_files/Yang_log_img/170784834.jpg","show blot")</f>
        <v>show blot</v>
      </c>
      <c r="H2238" s="8" t="str">
        <f>HYPERLINK("https://esbl.nhlbi.nih.gov/Databases/mpkFractions/proteomic_fractions_linear_files/Yang_linear_img/170784834.jpg","show blot")</f>
        <v>show blot</v>
      </c>
      <c r="J2238" s="5" t="s">
        <v>4453</v>
      </c>
      <c r="L2238" s="11">
        <v>4.6913654772583744</v>
      </c>
      <c r="N2238" s="12"/>
    </row>
    <row r="2239" spans="1:14" s="5" customFormat="1" ht="15" customHeight="1" x14ac:dyDescent="0.25">
      <c r="A2239" s="9" t="s">
        <v>4454</v>
      </c>
      <c r="C2239" s="9" t="str">
        <f>HYPERLINK("http://www.ncbi.nlm.nih.gov/protein/170784836","Eps15l1")</f>
        <v>Eps15l1</v>
      </c>
      <c r="D2239" s="10">
        <f t="shared" si="34"/>
        <v>4.6913654772583744</v>
      </c>
      <c r="F2239" s="8" t="str">
        <f>HYPERLINK("https://esbl.nhlbi.nih.gov/Databases/mpkFractions/proteomic_fractions_log_files/Yang_log_img/170784836.jpg","show blot")</f>
        <v>show blot</v>
      </c>
      <c r="H2239" s="8" t="str">
        <f>HYPERLINK("https://esbl.nhlbi.nih.gov/Databases/mpkFractions/proteomic_fractions_linear_files/Yang_linear_img/170784836.jpg","show blot")</f>
        <v>show blot</v>
      </c>
      <c r="J2239" s="5" t="s">
        <v>4455</v>
      </c>
      <c r="L2239" s="11">
        <v>4.6913654772583744</v>
      </c>
      <c r="N2239" s="12"/>
    </row>
    <row r="2240" spans="1:14" s="5" customFormat="1" ht="15" customHeight="1" x14ac:dyDescent="0.25">
      <c r="A2240" s="9" t="s">
        <v>4456</v>
      </c>
      <c r="C2240" s="9" t="str">
        <f>HYPERLINK("http://www.ncbi.nlm.nih.gov/protein/18874094","Eps8l1")</f>
        <v>Eps8l1</v>
      </c>
      <c r="D2240" s="10">
        <f t="shared" si="34"/>
        <v>5.2582593809620581</v>
      </c>
      <c r="F2240" s="8" t="str">
        <f>HYPERLINK("https://esbl.nhlbi.nih.gov/Databases/mpkFractions/proteomic_fractions_log_files/Yang_log_img/18874094.jpg","show blot")</f>
        <v>show blot</v>
      </c>
      <c r="H2240" s="8" t="str">
        <f>HYPERLINK("https://esbl.nhlbi.nih.gov/Databases/mpkFractions/proteomic_fractions_linear_files/Yang_linear_img/18874094.jpg","show blot")</f>
        <v>show blot</v>
      </c>
      <c r="J2240" s="5" t="s">
        <v>4457</v>
      </c>
      <c r="L2240" s="11">
        <v>5.2582593809620581</v>
      </c>
      <c r="N2240" s="12"/>
    </row>
    <row r="2241" spans="1:14" s="5" customFormat="1" ht="15" customHeight="1" x14ac:dyDescent="0.25">
      <c r="A2241" s="9" t="s">
        <v>4458</v>
      </c>
      <c r="C2241" s="9" t="str">
        <f>HYPERLINK("http://www.ncbi.nlm.nih.gov/protein/21040233","Eps8l2")</f>
        <v>Eps8l2</v>
      </c>
      <c r="D2241" s="10">
        <f t="shared" si="34"/>
        <v>5.4214302468250999</v>
      </c>
      <c r="F2241" s="8" t="str">
        <f>HYPERLINK("https://esbl.nhlbi.nih.gov/Databases/mpkFractions/proteomic_fractions_log_files/Yang_log_img/21040233.jpg","show blot")</f>
        <v>show blot</v>
      </c>
      <c r="H2241" s="8" t="str">
        <f>HYPERLINK("https://esbl.nhlbi.nih.gov/Databases/mpkFractions/proteomic_fractions_linear_files/Yang_linear_img/21040233.jpg","show blot")</f>
        <v>show blot</v>
      </c>
      <c r="J2241" s="5" t="s">
        <v>4459</v>
      </c>
      <c r="L2241" s="11">
        <v>5.4214302468250999</v>
      </c>
      <c r="N2241" s="12"/>
    </row>
    <row r="2242" spans="1:14" s="5" customFormat="1" ht="15" customHeight="1" x14ac:dyDescent="0.25">
      <c r="A2242" s="9" t="s">
        <v>4460</v>
      </c>
      <c r="C2242" s="9" t="str">
        <f>HYPERLINK("http://www.ncbi.nlm.nih.gov/protein/19527082","Eps8l3")</f>
        <v>Eps8l3</v>
      </c>
      <c r="D2242" s="10">
        <f t="shared" si="34"/>
        <v>2.162075507305413</v>
      </c>
      <c r="F2242" s="8" t="str">
        <f>HYPERLINK("https://esbl.nhlbi.nih.gov/Databases/mpkFractions/proteomic_fractions_log_files/Yang_log_img/19527082.jpg","show blot")</f>
        <v>show blot</v>
      </c>
      <c r="H2242" s="8" t="str">
        <f>HYPERLINK("https://esbl.nhlbi.nih.gov/Databases/mpkFractions/proteomic_fractions_linear_files/Yang_linear_img/19527082.jpg","show blot")</f>
        <v>show blot</v>
      </c>
      <c r="J2242" s="5" t="s">
        <v>4461</v>
      </c>
      <c r="L2242" s="11">
        <v>2.162075507305413</v>
      </c>
      <c r="N2242" s="12"/>
    </row>
    <row r="2243" spans="1:14" s="5" customFormat="1" ht="15" customHeight="1" x14ac:dyDescent="0.25">
      <c r="A2243" s="9" t="s">
        <v>4462</v>
      </c>
      <c r="C2243" s="9" t="str">
        <f>HYPERLINK("http://www.ncbi.nlm.nih.gov/protein/165377197","Eral1")</f>
        <v>Eral1</v>
      </c>
      <c r="D2243" s="10">
        <f t="shared" si="34"/>
        <v>4.0172545828885404</v>
      </c>
      <c r="F2243" s="8" t="str">
        <f>HYPERLINK("https://esbl.nhlbi.nih.gov/Databases/mpkFractions/proteomic_fractions_log_files/Yang_log_img/165377197.jpg","show blot")</f>
        <v>show blot</v>
      </c>
      <c r="H2243" s="8" t="str">
        <f>HYPERLINK("https://esbl.nhlbi.nih.gov/Databases/mpkFractions/proteomic_fractions_linear_files/Yang_linear_img/165377197.jpg","show blot")</f>
        <v>show blot</v>
      </c>
      <c r="J2243" s="5" t="s">
        <v>4463</v>
      </c>
      <c r="L2243" s="11">
        <v>4.0172545828885404</v>
      </c>
      <c r="N2243" s="12"/>
    </row>
    <row r="2244" spans="1:14" s="5" customFormat="1" ht="15" customHeight="1" x14ac:dyDescent="0.25">
      <c r="A2244" s="9" t="s">
        <v>4464</v>
      </c>
      <c r="C2244" s="9" t="str">
        <f>HYPERLINK("http://www.ncbi.nlm.nih.gov/protein/13507656","Erap1")</f>
        <v>Erap1</v>
      </c>
      <c r="D2244" s="10">
        <f t="shared" si="34"/>
        <v>3.9740199356827048</v>
      </c>
      <c r="F2244" s="8" t="str">
        <f>HYPERLINK("https://esbl.nhlbi.nih.gov/Databases/mpkFractions/proteomic_fractions_log_files/Yang_log_img/13507656.jpg","show blot")</f>
        <v>show blot</v>
      </c>
      <c r="H2244" s="8" t="str">
        <f>HYPERLINK("https://esbl.nhlbi.nih.gov/Databases/mpkFractions/proteomic_fractions_linear_files/Yang_linear_img/13507656.jpg","show blot")</f>
        <v>show blot</v>
      </c>
      <c r="J2244" s="5" t="s">
        <v>4465</v>
      </c>
      <c r="L2244" s="11">
        <v>3.9740199356827048</v>
      </c>
      <c r="N2244" s="12"/>
    </row>
    <row r="2245" spans="1:14" s="5" customFormat="1" ht="15" customHeight="1" x14ac:dyDescent="0.25">
      <c r="A2245" s="9" t="s">
        <v>4466</v>
      </c>
      <c r="C2245" s="9" t="str">
        <f>HYPERLINK("http://www.ncbi.nlm.nih.gov/protein/54873610","Erbb2")</f>
        <v>Erbb2</v>
      </c>
      <c r="D2245" s="10">
        <f t="shared" ref="D2245:D2308" si="35">L2245</f>
        <v>4.4033198849829036</v>
      </c>
      <c r="F2245" s="8" t="str">
        <f>HYPERLINK("https://esbl.nhlbi.nih.gov/Databases/mpkFractions/proteomic_fractions_log_files/Yang_log_img/54873610.jpg","show blot")</f>
        <v>show blot</v>
      </c>
      <c r="H2245" s="8" t="str">
        <f>HYPERLINK("https://esbl.nhlbi.nih.gov/Databases/mpkFractions/proteomic_fractions_linear_files/Yang_linear_img/54873610.jpg","show blot")</f>
        <v>show blot</v>
      </c>
      <c r="J2245" s="5" t="s">
        <v>4467</v>
      </c>
      <c r="L2245" s="11">
        <v>4.4033198849829036</v>
      </c>
      <c r="N2245" s="12"/>
    </row>
    <row r="2246" spans="1:14" s="5" customFormat="1" ht="15" customHeight="1" x14ac:dyDescent="0.25">
      <c r="A2246" s="9" t="s">
        <v>4468</v>
      </c>
      <c r="C2246" s="9" t="str">
        <f>HYPERLINK("http://www.ncbi.nlm.nih.gov/protein/54607112","Erbb2ip")</f>
        <v>Erbb2ip</v>
      </c>
      <c r="D2246" s="10">
        <f t="shared" si="35"/>
        <v>2.7312455535690692</v>
      </c>
      <c r="F2246" s="8" t="str">
        <f>HYPERLINK("https://esbl.nhlbi.nih.gov/Databases/mpkFractions/proteomic_fractions_log_files/Yang_log_img/54607112.jpg","show blot")</f>
        <v>show blot</v>
      </c>
      <c r="H2246" s="8" t="str">
        <f>HYPERLINK("https://esbl.nhlbi.nih.gov/Databases/mpkFractions/proteomic_fractions_linear_files/Yang_linear_img/54607112.jpg","show blot")</f>
        <v>show blot</v>
      </c>
      <c r="J2246" s="5" t="s">
        <v>4469</v>
      </c>
      <c r="L2246" s="11">
        <v>2.7312455535690692</v>
      </c>
      <c r="N2246" s="12"/>
    </row>
    <row r="2247" spans="1:14" s="5" customFormat="1" ht="15" customHeight="1" x14ac:dyDescent="0.25">
      <c r="A2247" s="9" t="s">
        <v>4470</v>
      </c>
      <c r="C2247" s="9" t="str">
        <f>HYPERLINK("http://www.ncbi.nlm.nih.gov/protein/54607114","Erbb2ip")</f>
        <v>Erbb2ip</v>
      </c>
      <c r="D2247" s="10">
        <f t="shared" si="35"/>
        <v>2.7312455535690692</v>
      </c>
      <c r="F2247" s="8" t="str">
        <f>HYPERLINK("https://esbl.nhlbi.nih.gov/Databases/mpkFractions/proteomic_fractions_log_files/Yang_log_img/54607114.jpg","show blot")</f>
        <v>show blot</v>
      </c>
      <c r="H2247" s="8" t="str">
        <f>HYPERLINK("https://esbl.nhlbi.nih.gov/Databases/mpkFractions/proteomic_fractions_linear_files/Yang_linear_img/54607114.jpg","show blot")</f>
        <v>show blot</v>
      </c>
      <c r="J2247" s="5" t="s">
        <v>4471</v>
      </c>
      <c r="L2247" s="11">
        <v>2.7312455535690692</v>
      </c>
      <c r="N2247" s="12"/>
    </row>
    <row r="2248" spans="1:14" s="5" customFormat="1" ht="15" customHeight="1" x14ac:dyDescent="0.25">
      <c r="A2248" s="9" t="s">
        <v>4472</v>
      </c>
      <c r="C2248" s="9" t="str">
        <f>HYPERLINK("http://www.ncbi.nlm.nih.gov/protein/146134398","Erbb4")</f>
        <v>Erbb4</v>
      </c>
      <c r="D2248" s="10">
        <f t="shared" si="35"/>
        <v>4.0894433964100374</v>
      </c>
      <c r="F2248" s="8" t="str">
        <f>HYPERLINK("https://esbl.nhlbi.nih.gov/Databases/mpkFractions/proteomic_fractions_log_files/Yang_log_img/146134398.jpg","show blot")</f>
        <v>show blot</v>
      </c>
      <c r="H2248" s="8" t="str">
        <f>HYPERLINK("https://esbl.nhlbi.nih.gov/Databases/mpkFractions/proteomic_fractions_linear_files/Yang_linear_img/146134398.jpg","show blot")</f>
        <v>show blot</v>
      </c>
      <c r="J2248" s="5" t="s">
        <v>4473</v>
      </c>
      <c r="L2248" s="11">
        <v>4.0894433964100374</v>
      </c>
      <c r="N2248" s="12"/>
    </row>
    <row r="2249" spans="1:14" s="5" customFormat="1" ht="15" customHeight="1" x14ac:dyDescent="0.25">
      <c r="A2249" s="9" t="s">
        <v>4474</v>
      </c>
      <c r="C2249" s="9" t="str">
        <f>HYPERLINK("http://www.ncbi.nlm.nih.gov/protein/120300971","Erc1")</f>
        <v>Erc1</v>
      </c>
      <c r="D2249" s="10">
        <f t="shared" si="35"/>
        <v>5.0885620149499813</v>
      </c>
      <c r="F2249" s="8" t="str">
        <f>HYPERLINK("https://esbl.nhlbi.nih.gov/Databases/mpkFractions/proteomic_fractions_log_files/Yang_log_img/120300971.jpg","show blot")</f>
        <v>show blot</v>
      </c>
      <c r="H2249" s="8" t="str">
        <f>HYPERLINK("https://esbl.nhlbi.nih.gov/Databases/mpkFractions/proteomic_fractions_linear_files/Yang_linear_img/120300971.jpg","show blot")</f>
        <v>show blot</v>
      </c>
      <c r="J2249" s="5" t="s">
        <v>4475</v>
      </c>
      <c r="L2249" s="11">
        <v>5.0885620149499813</v>
      </c>
      <c r="N2249" s="12"/>
    </row>
    <row r="2250" spans="1:14" s="5" customFormat="1" ht="15" customHeight="1" x14ac:dyDescent="0.25">
      <c r="A2250" s="9" t="s">
        <v>4476</v>
      </c>
      <c r="C2250" s="9" t="str">
        <f>HYPERLINK("http://www.ncbi.nlm.nih.gov/protein/30017397","Erc1")</f>
        <v>Erc1</v>
      </c>
      <c r="D2250" s="10">
        <f t="shared" si="35"/>
        <v>5.0885620149499813</v>
      </c>
      <c r="F2250" s="8" t="str">
        <f>HYPERLINK("https://esbl.nhlbi.nih.gov/Databases/mpkFractions/proteomic_fractions_log_files/Yang_log_img/30017397.jpg","show blot")</f>
        <v>show blot</v>
      </c>
      <c r="H2250" s="8" t="str">
        <f>HYPERLINK("https://esbl.nhlbi.nih.gov/Databases/mpkFractions/proteomic_fractions_linear_files/Yang_linear_img/30017397.jpg","show blot")</f>
        <v>show blot</v>
      </c>
      <c r="J2250" s="5" t="s">
        <v>4477</v>
      </c>
      <c r="L2250" s="11">
        <v>5.0885620149499813</v>
      </c>
      <c r="N2250" s="12"/>
    </row>
    <row r="2251" spans="1:14" s="5" customFormat="1" ht="15" customHeight="1" x14ac:dyDescent="0.25">
      <c r="A2251" s="9" t="s">
        <v>4478</v>
      </c>
      <c r="C2251" s="9" t="str">
        <f>HYPERLINK("http://www.ncbi.nlm.nih.gov/protein/37360977","Erc2")</f>
        <v>Erc2</v>
      </c>
      <c r="D2251" s="10">
        <f t="shared" si="35"/>
        <v>3.8745837191253769</v>
      </c>
      <c r="F2251" s="8" t="str">
        <f>HYPERLINK("https://esbl.nhlbi.nih.gov/Databases/mpkFractions/proteomic_fractions_log_files/Yang_log_img/37360977.jpg","show blot")</f>
        <v>show blot</v>
      </c>
      <c r="H2251" s="8" t="str">
        <f>HYPERLINK("https://esbl.nhlbi.nih.gov/Databases/mpkFractions/proteomic_fractions_linear_files/Yang_linear_img/37360977.jpg","show blot")</f>
        <v>show blot</v>
      </c>
      <c r="J2251" s="5" t="s">
        <v>4479</v>
      </c>
      <c r="L2251" s="11">
        <v>3.8745837191253769</v>
      </c>
      <c r="N2251" s="12"/>
    </row>
    <row r="2252" spans="1:14" s="5" customFormat="1" ht="15" customHeight="1" x14ac:dyDescent="0.25">
      <c r="A2252" s="9" t="s">
        <v>4480</v>
      </c>
      <c r="C2252" s="9" t="str">
        <f>HYPERLINK("http://www.ncbi.nlm.nih.gov/protein/31542614","Ercc2")</f>
        <v>Ercc2</v>
      </c>
      <c r="D2252" s="10">
        <f t="shared" si="35"/>
        <v>3.2409989994245598</v>
      </c>
      <c r="F2252" s="8" t="str">
        <f>HYPERLINK("https://esbl.nhlbi.nih.gov/Databases/mpkFractions/proteomic_fractions_log_files/Yang_log_img/31542614.jpg","show blot")</f>
        <v>show blot</v>
      </c>
      <c r="H2252" s="8" t="str">
        <f>HYPERLINK("https://esbl.nhlbi.nih.gov/Databases/mpkFractions/proteomic_fractions_linear_files/Yang_linear_img/31542614.jpg","show blot")</f>
        <v>show blot</v>
      </c>
      <c r="J2252" s="5" t="s">
        <v>4481</v>
      </c>
      <c r="L2252" s="11">
        <v>3.2409989994245598</v>
      </c>
      <c r="N2252" s="12"/>
    </row>
    <row r="2253" spans="1:14" s="5" customFormat="1" ht="15" customHeight="1" x14ac:dyDescent="0.25">
      <c r="A2253" s="9" t="s">
        <v>4482</v>
      </c>
      <c r="C2253" s="9" t="str">
        <f>HYPERLINK("http://www.ncbi.nlm.nih.gov/protein/241666402","Ercc4")</f>
        <v>Ercc4</v>
      </c>
      <c r="D2253" s="10">
        <f t="shared" si="35"/>
        <v>2.24686299130583</v>
      </c>
      <c r="F2253" s="8" t="str">
        <f>HYPERLINK("https://esbl.nhlbi.nih.gov/Databases/mpkFractions/proteomic_fractions_log_files/Yang_log_img/241666402.jpg","show blot")</f>
        <v>show blot</v>
      </c>
      <c r="H2253" s="8" t="str">
        <f>HYPERLINK("https://esbl.nhlbi.nih.gov/Databases/mpkFractions/proteomic_fractions_linear_files/Yang_linear_img/241666402.jpg","show blot")</f>
        <v>show blot</v>
      </c>
      <c r="J2253" s="5" t="s">
        <v>4483</v>
      </c>
      <c r="L2253" s="11">
        <v>2.24686299130583</v>
      </c>
      <c r="N2253" s="12"/>
    </row>
    <row r="2254" spans="1:14" s="5" customFormat="1" ht="15" customHeight="1" x14ac:dyDescent="0.25">
      <c r="A2254" s="9" t="s">
        <v>4484</v>
      </c>
      <c r="C2254" s="9" t="str">
        <f>HYPERLINK("http://www.ncbi.nlm.nih.gov/protein/27414501","Ercc6l")</f>
        <v>Ercc6l</v>
      </c>
      <c r="D2254" s="10">
        <f t="shared" si="35"/>
        <v>2.8127656010618698</v>
      </c>
      <c r="F2254" s="8" t="str">
        <f>HYPERLINK("https://esbl.nhlbi.nih.gov/Databases/mpkFractions/proteomic_fractions_log_files/Yang_log_img/27414501.jpg","show blot")</f>
        <v>show blot</v>
      </c>
      <c r="H2254" s="8" t="str">
        <f>HYPERLINK("https://esbl.nhlbi.nih.gov/Databases/mpkFractions/proteomic_fractions_linear_files/Yang_linear_img/27414501.jpg","show blot")</f>
        <v>show blot</v>
      </c>
      <c r="J2254" s="5" t="s">
        <v>4485</v>
      </c>
      <c r="L2254" s="11">
        <v>2.8127656010618698</v>
      </c>
      <c r="N2254" s="12"/>
    </row>
    <row r="2255" spans="1:14" s="5" customFormat="1" ht="15" customHeight="1" x14ac:dyDescent="0.25">
      <c r="A2255" s="9" t="s">
        <v>4486</v>
      </c>
      <c r="C2255" s="9" t="str">
        <f>HYPERLINK("http://www.ncbi.nlm.nih.gov/protein/13385678","Ergic1")</f>
        <v>Ergic1</v>
      </c>
      <c r="D2255" s="10">
        <f t="shared" si="35"/>
        <v>5.1735980330689788</v>
      </c>
      <c r="F2255" s="8" t="str">
        <f>HYPERLINK("https://esbl.nhlbi.nih.gov/Databases/mpkFractions/proteomic_fractions_log_files/Yang_log_img/13385678.jpg","show blot")</f>
        <v>show blot</v>
      </c>
      <c r="H2255" s="8" t="str">
        <f>HYPERLINK("https://esbl.nhlbi.nih.gov/Databases/mpkFractions/proteomic_fractions_linear_files/Yang_linear_img/13385678.jpg","show blot")</f>
        <v>show blot</v>
      </c>
      <c r="J2255" s="5" t="s">
        <v>4487</v>
      </c>
      <c r="L2255" s="11">
        <v>5.1735980330689788</v>
      </c>
      <c r="N2255" s="12"/>
    </row>
    <row r="2256" spans="1:14" s="5" customFormat="1" ht="15" customHeight="1" x14ac:dyDescent="0.25">
      <c r="A2256" s="9" t="s">
        <v>4488</v>
      </c>
      <c r="C2256" s="9" t="str">
        <f>HYPERLINK("http://www.ncbi.nlm.nih.gov/protein/21312962","Ergic2")</f>
        <v>Ergic2</v>
      </c>
      <c r="D2256" s="10">
        <f t="shared" si="35"/>
        <v>4.103415071059314</v>
      </c>
      <c r="F2256" s="8" t="str">
        <f>HYPERLINK("https://esbl.nhlbi.nih.gov/Databases/mpkFractions/proteomic_fractions_log_files/Yang_log_img/21312962.jpg","show blot")</f>
        <v>show blot</v>
      </c>
      <c r="H2256" s="8" t="str">
        <f>HYPERLINK("https://esbl.nhlbi.nih.gov/Databases/mpkFractions/proteomic_fractions_linear_files/Yang_linear_img/21312962.jpg","show blot")</f>
        <v>show blot</v>
      </c>
      <c r="J2256" s="5" t="s">
        <v>4489</v>
      </c>
      <c r="L2256" s="11">
        <v>4.103415071059314</v>
      </c>
      <c r="N2256" s="12"/>
    </row>
    <row r="2257" spans="1:14" s="5" customFormat="1" ht="15" customHeight="1" x14ac:dyDescent="0.25">
      <c r="A2257" s="9" t="s">
        <v>4490</v>
      </c>
      <c r="C2257" s="9" t="str">
        <f>HYPERLINK("http://www.ncbi.nlm.nih.gov/protein/66773206","Ergic2")</f>
        <v>Ergic2</v>
      </c>
      <c r="D2257" s="10">
        <f t="shared" si="35"/>
        <v>4.103415071059314</v>
      </c>
      <c r="F2257" s="8" t="str">
        <f>HYPERLINK("https://esbl.nhlbi.nih.gov/Databases/mpkFractions/proteomic_fractions_log_files/Yang_log_img/66773206.jpg","show blot")</f>
        <v>show blot</v>
      </c>
      <c r="H2257" s="8" t="str">
        <f>HYPERLINK("https://esbl.nhlbi.nih.gov/Databases/mpkFractions/proteomic_fractions_linear_files/Yang_linear_img/66773206.jpg","show blot")</f>
        <v>show blot</v>
      </c>
      <c r="J2257" s="5" t="s">
        <v>4491</v>
      </c>
      <c r="L2257" s="11">
        <v>4.103415071059314</v>
      </c>
      <c r="N2257" s="12"/>
    </row>
    <row r="2258" spans="1:14" s="5" customFormat="1" ht="15" customHeight="1" x14ac:dyDescent="0.25">
      <c r="A2258" s="9" t="s">
        <v>4492</v>
      </c>
      <c r="C2258" s="9" t="str">
        <f>HYPERLINK("http://www.ncbi.nlm.nih.gov/protein/13384938","Ergic3")</f>
        <v>Ergic3</v>
      </c>
      <c r="D2258" s="10">
        <f t="shared" si="35"/>
        <v>4.2905072135774809</v>
      </c>
      <c r="F2258" s="8" t="str">
        <f>HYPERLINK("https://esbl.nhlbi.nih.gov/Databases/mpkFractions/proteomic_fractions_log_files/Yang_log_img/13384938.jpg","show blot")</f>
        <v>show blot</v>
      </c>
      <c r="H2258" s="8" t="str">
        <f>HYPERLINK("https://esbl.nhlbi.nih.gov/Databases/mpkFractions/proteomic_fractions_linear_files/Yang_linear_img/13384938.jpg","show blot")</f>
        <v>show blot</v>
      </c>
      <c r="J2258" s="5" t="s">
        <v>4493</v>
      </c>
      <c r="L2258" s="11">
        <v>4.2905072135774809</v>
      </c>
      <c r="N2258" s="12"/>
    </row>
    <row r="2259" spans="1:14" s="5" customFormat="1" ht="15" customHeight="1" x14ac:dyDescent="0.25">
      <c r="A2259" s="9" t="s">
        <v>4494</v>
      </c>
      <c r="C2259" s="9" t="str">
        <f>HYPERLINK("http://www.ncbi.nlm.nih.gov/protein/6679685","Erh")</f>
        <v>Erh</v>
      </c>
      <c r="D2259" s="10">
        <f t="shared" si="35"/>
        <v>5.8610168291844786</v>
      </c>
      <c r="F2259" s="8" t="str">
        <f>HYPERLINK("https://esbl.nhlbi.nih.gov/Databases/mpkFractions/proteomic_fractions_log_files/Yang_log_img/6679685.jpg","show blot")</f>
        <v>show blot</v>
      </c>
      <c r="H2259" s="8" t="str">
        <f>HYPERLINK("https://esbl.nhlbi.nih.gov/Databases/mpkFractions/proteomic_fractions_linear_files/Yang_linear_img/6679685.jpg","show blot")</f>
        <v>show blot</v>
      </c>
      <c r="J2259" s="5" t="s">
        <v>4495</v>
      </c>
      <c r="L2259" s="11">
        <v>5.8610168291844786</v>
      </c>
      <c r="N2259" s="12"/>
    </row>
    <row r="2260" spans="1:14" s="5" customFormat="1" ht="15" customHeight="1" x14ac:dyDescent="0.25">
      <c r="A2260" s="9" t="s">
        <v>4496</v>
      </c>
      <c r="C2260" s="9" t="str">
        <f>HYPERLINK("http://www.ncbi.nlm.nih.gov/protein/165905605","Eri1")</f>
        <v>Eri1</v>
      </c>
      <c r="D2260" s="10">
        <f t="shared" si="35"/>
        <v>4.8181572211593844</v>
      </c>
      <c r="F2260" s="8" t="str">
        <f>HYPERLINK("https://esbl.nhlbi.nih.gov/Databases/mpkFractions/proteomic_fractions_log_files/Yang_log_img/165905605.jpg","show blot")</f>
        <v>show blot</v>
      </c>
      <c r="H2260" s="8" t="str">
        <f>HYPERLINK("https://esbl.nhlbi.nih.gov/Databases/mpkFractions/proteomic_fractions_linear_files/Yang_linear_img/165905605.jpg","show blot")</f>
        <v>show blot</v>
      </c>
      <c r="J2260" s="5" t="s">
        <v>4497</v>
      </c>
      <c r="L2260" s="11">
        <v>4.8181572211593844</v>
      </c>
      <c r="N2260" s="12"/>
    </row>
    <row r="2261" spans="1:14" s="5" customFormat="1" ht="15" customHeight="1" x14ac:dyDescent="0.25">
      <c r="A2261" s="9" t="s">
        <v>4498</v>
      </c>
      <c r="C2261" s="9" t="str">
        <f>HYPERLINK("http://www.ncbi.nlm.nih.gov/protein/114205437","Erlec1")</f>
        <v>Erlec1</v>
      </c>
      <c r="D2261" s="10">
        <f t="shared" si="35"/>
        <v>2.8221501983342629</v>
      </c>
      <c r="F2261" s="8" t="str">
        <f>HYPERLINK("https://esbl.nhlbi.nih.gov/Databases/mpkFractions/proteomic_fractions_log_files/Yang_log_img/114205437.jpg","show blot")</f>
        <v>show blot</v>
      </c>
      <c r="H2261" s="8" t="str">
        <f>HYPERLINK("https://esbl.nhlbi.nih.gov/Databases/mpkFractions/proteomic_fractions_linear_files/Yang_linear_img/114205437.jpg","show blot")</f>
        <v>show blot</v>
      </c>
      <c r="J2261" s="5" t="s">
        <v>4499</v>
      </c>
      <c r="L2261" s="11">
        <v>2.8221501983342629</v>
      </c>
      <c r="N2261" s="12"/>
    </row>
    <row r="2262" spans="1:14" s="5" customFormat="1" ht="15" customHeight="1" x14ac:dyDescent="0.25">
      <c r="A2262" s="9" t="s">
        <v>4500</v>
      </c>
      <c r="C2262" s="9" t="str">
        <f>HYPERLINK("http://www.ncbi.nlm.nih.gov/protein/256355015;256355012","Erlin1")</f>
        <v>Erlin1</v>
      </c>
      <c r="D2262" s="10">
        <f t="shared" si="35"/>
        <v>5.6028390307695659</v>
      </c>
      <c r="F2262" s="8" t="str">
        <f>HYPERLINK("https://esbl.nhlbi.nih.gov/Databases/mpkFractions/proteomic_fractions_log_files/Yang_log_img/256355015;256355012.jpg","show blot")</f>
        <v>show blot</v>
      </c>
      <c r="H2262" s="8" t="str">
        <f>HYPERLINK("https://esbl.nhlbi.nih.gov/Databases/mpkFractions/proteomic_fractions_linear_files/Yang_linear_img/256355015;256355012.jpg","show blot")</f>
        <v>show blot</v>
      </c>
      <c r="J2262" s="5" t="s">
        <v>4501</v>
      </c>
      <c r="L2262" s="11">
        <v>5.6028390307695659</v>
      </c>
      <c r="N2262" s="12"/>
    </row>
    <row r="2263" spans="1:14" s="5" customFormat="1" ht="15" customHeight="1" x14ac:dyDescent="0.25">
      <c r="A2263" s="9" t="s">
        <v>4502</v>
      </c>
      <c r="C2263" s="9" t="str">
        <f>HYPERLINK("http://www.ncbi.nlm.nih.gov/protein/23956396","Erlin2")</f>
        <v>Erlin2</v>
      </c>
      <c r="D2263" s="10">
        <f t="shared" si="35"/>
        <v>5.9512890888153249</v>
      </c>
      <c r="F2263" s="8" t="str">
        <f>HYPERLINK("https://esbl.nhlbi.nih.gov/Databases/mpkFractions/proteomic_fractions_log_files/Yang_log_img/23956396.jpg","show blot")</f>
        <v>show blot</v>
      </c>
      <c r="H2263" s="8" t="str">
        <f>HYPERLINK("https://esbl.nhlbi.nih.gov/Databases/mpkFractions/proteomic_fractions_linear_files/Yang_linear_img/23956396.jpg","show blot")</f>
        <v>show blot</v>
      </c>
      <c r="J2263" s="5" t="s">
        <v>4503</v>
      </c>
      <c r="L2263" s="11">
        <v>5.9512890888153249</v>
      </c>
      <c r="N2263" s="12"/>
    </row>
    <row r="2264" spans="1:14" s="5" customFormat="1" ht="15" customHeight="1" x14ac:dyDescent="0.25">
      <c r="A2264" s="9" t="s">
        <v>4504</v>
      </c>
      <c r="C2264" s="9" t="str">
        <f>HYPERLINK("http://www.ncbi.nlm.nih.gov/protein/124487057","Ermp1")</f>
        <v>Ermp1</v>
      </c>
      <c r="D2264" s="10">
        <f t="shared" si="35"/>
        <v>5.3552797081275756</v>
      </c>
      <c r="F2264" s="8" t="str">
        <f>HYPERLINK("https://esbl.nhlbi.nih.gov/Databases/mpkFractions/proteomic_fractions_log_files/Yang_log_img/124487057.jpg","show blot")</f>
        <v>show blot</v>
      </c>
      <c r="H2264" s="8" t="str">
        <f>HYPERLINK("https://esbl.nhlbi.nih.gov/Databases/mpkFractions/proteomic_fractions_linear_files/Yang_linear_img/124487057.jpg","show blot")</f>
        <v>show blot</v>
      </c>
      <c r="J2264" s="5" t="s">
        <v>4505</v>
      </c>
      <c r="L2264" s="11">
        <v>5.3552797081275756</v>
      </c>
      <c r="N2264" s="12"/>
    </row>
    <row r="2265" spans="1:14" s="5" customFormat="1" ht="15" customHeight="1" x14ac:dyDescent="0.25">
      <c r="A2265" s="9" t="s">
        <v>4506</v>
      </c>
      <c r="C2265" s="9" t="str">
        <f>HYPERLINK("http://www.ncbi.nlm.nih.gov/protein/7657067","Ero1l")</f>
        <v>Ero1l</v>
      </c>
      <c r="D2265" s="10">
        <f t="shared" si="35"/>
        <v>5.2001049921022524</v>
      </c>
      <c r="F2265" s="8" t="str">
        <f>HYPERLINK("https://esbl.nhlbi.nih.gov/Databases/mpkFractions/proteomic_fractions_log_files/Yang_log_img/7657067.jpg","show blot")</f>
        <v>show blot</v>
      </c>
      <c r="H2265" s="8" t="str">
        <f>HYPERLINK("https://esbl.nhlbi.nih.gov/Databases/mpkFractions/proteomic_fractions_linear_files/Yang_linear_img/7657067.jpg","show blot")</f>
        <v>show blot</v>
      </c>
      <c r="J2265" s="5" t="s">
        <v>4507</v>
      </c>
      <c r="L2265" s="11">
        <v>5.2001049921022524</v>
      </c>
      <c r="N2265" s="12"/>
    </row>
    <row r="2266" spans="1:14" s="5" customFormat="1" ht="15" customHeight="1" x14ac:dyDescent="0.25">
      <c r="A2266" s="9" t="s">
        <v>4508</v>
      </c>
      <c r="C2266" s="9" t="str">
        <f>HYPERLINK("http://www.ncbi.nlm.nih.gov/protein/38348230","Ero1lb")</f>
        <v>Ero1lb</v>
      </c>
      <c r="D2266" s="10">
        <f t="shared" si="35"/>
        <v>4.029131966889123</v>
      </c>
      <c r="F2266" s="8" t="str">
        <f>HYPERLINK("https://esbl.nhlbi.nih.gov/Databases/mpkFractions/proteomic_fractions_log_files/Yang_log_img/38348230.jpg","show blot")</f>
        <v>show blot</v>
      </c>
      <c r="H2266" s="8" t="str">
        <f>HYPERLINK("https://esbl.nhlbi.nih.gov/Databases/mpkFractions/proteomic_fractions_linear_files/Yang_linear_img/38348230.jpg","show blot")</f>
        <v>show blot</v>
      </c>
      <c r="J2266" s="5" t="s">
        <v>4509</v>
      </c>
      <c r="L2266" s="11">
        <v>4.029131966889123</v>
      </c>
      <c r="N2266" s="12"/>
    </row>
    <row r="2267" spans="1:14" s="5" customFormat="1" ht="15" customHeight="1" x14ac:dyDescent="0.25">
      <c r="A2267" s="9" t="s">
        <v>4510</v>
      </c>
      <c r="C2267" s="9" t="str">
        <f>HYPERLINK("http://www.ncbi.nlm.nih.gov/protein/19526463","Erp29")</f>
        <v>Erp29</v>
      </c>
      <c r="D2267" s="10">
        <f t="shared" si="35"/>
        <v>5.8867130496854552</v>
      </c>
      <c r="F2267" s="8" t="str">
        <f>HYPERLINK("https://esbl.nhlbi.nih.gov/Databases/mpkFractions/proteomic_fractions_log_files/Yang_log_img/19526463.jpg","show blot")</f>
        <v>show blot</v>
      </c>
      <c r="H2267" s="8" t="str">
        <f>HYPERLINK("https://esbl.nhlbi.nih.gov/Databases/mpkFractions/proteomic_fractions_linear_files/Yang_linear_img/19526463.jpg","show blot")</f>
        <v>show blot</v>
      </c>
      <c r="J2267" s="5" t="s">
        <v>4511</v>
      </c>
      <c r="L2267" s="11">
        <v>5.8867130496854552</v>
      </c>
      <c r="N2267" s="12"/>
    </row>
    <row r="2268" spans="1:14" s="5" customFormat="1" ht="15" customHeight="1" x14ac:dyDescent="0.25">
      <c r="A2268" s="9" t="s">
        <v>4512</v>
      </c>
      <c r="C2268" s="9" t="str">
        <f>HYPERLINK("http://www.ncbi.nlm.nih.gov/protein/19072792","Erp44")</f>
        <v>Erp44</v>
      </c>
      <c r="D2268" s="10">
        <f t="shared" si="35"/>
        <v>5.1418612758506219</v>
      </c>
      <c r="F2268" s="8" t="str">
        <f>HYPERLINK("https://esbl.nhlbi.nih.gov/Databases/mpkFractions/proteomic_fractions_log_files/Yang_log_img/19072792.jpg","show blot")</f>
        <v>show blot</v>
      </c>
      <c r="H2268" s="8" t="str">
        <f>HYPERLINK("https://esbl.nhlbi.nih.gov/Databases/mpkFractions/proteomic_fractions_linear_files/Yang_linear_img/19072792.jpg","show blot")</f>
        <v>show blot</v>
      </c>
      <c r="J2268" s="5" t="s">
        <v>4513</v>
      </c>
      <c r="L2268" s="11">
        <v>5.1418612758506219</v>
      </c>
      <c r="N2268" s="12"/>
    </row>
    <row r="2269" spans="1:14" s="5" customFormat="1" ht="15" customHeight="1" x14ac:dyDescent="0.25">
      <c r="A2269" s="9" t="s">
        <v>4514</v>
      </c>
      <c r="C2269" s="9" t="str">
        <f>HYPERLINK("http://www.ncbi.nlm.nih.gov/protein/550544230","Esd")</f>
        <v>Esd</v>
      </c>
      <c r="D2269" s="10">
        <f t="shared" si="35"/>
        <v>5.9934704234619129</v>
      </c>
      <c r="F2269" s="8" t="str">
        <f>HYPERLINK("https://esbl.nhlbi.nih.gov/Databases/mpkFractions/proteomic_fractions_log_files/Yang_log_img/550544230.jpg","show blot")</f>
        <v>show blot</v>
      </c>
      <c r="H2269" s="8" t="str">
        <f>HYPERLINK("https://esbl.nhlbi.nih.gov/Databases/mpkFractions/proteomic_fractions_linear_files/Yang_linear_img/550544230.jpg","show blot")</f>
        <v>show blot</v>
      </c>
      <c r="J2269" s="5" t="s">
        <v>4515</v>
      </c>
      <c r="L2269" s="11">
        <v>5.9934704234619129</v>
      </c>
      <c r="N2269" s="12"/>
    </row>
    <row r="2270" spans="1:14" s="5" customFormat="1" ht="15" customHeight="1" x14ac:dyDescent="0.25">
      <c r="A2270" s="9" t="s">
        <v>4516</v>
      </c>
      <c r="C2270" s="9" t="str">
        <f>HYPERLINK("http://www.ncbi.nlm.nih.gov/protein/13937355","Esd")</f>
        <v>Esd</v>
      </c>
      <c r="D2270" s="10">
        <f t="shared" si="35"/>
        <v>5.9934704234619129</v>
      </c>
      <c r="F2270" s="8" t="str">
        <f>HYPERLINK("https://esbl.nhlbi.nih.gov/Databases/mpkFractions/proteomic_fractions_log_files/Yang_log_img/13937355.jpg","show blot")</f>
        <v>show blot</v>
      </c>
      <c r="H2270" s="8" t="str">
        <f>HYPERLINK("https://esbl.nhlbi.nih.gov/Databases/mpkFractions/proteomic_fractions_linear_files/Yang_linear_img/13937355.jpg","show blot")</f>
        <v>show blot</v>
      </c>
      <c r="J2270" s="5" t="s">
        <v>4517</v>
      </c>
      <c r="L2270" s="11">
        <v>5.9934704234619129</v>
      </c>
      <c r="N2270" s="12"/>
    </row>
    <row r="2271" spans="1:14" s="5" customFormat="1" ht="15" customHeight="1" x14ac:dyDescent="0.25">
      <c r="A2271" s="9" t="s">
        <v>4518</v>
      </c>
      <c r="C2271" s="9" t="str">
        <f>HYPERLINK("http://www.ncbi.nlm.nih.gov/protein/165972311","Esrp1")</f>
        <v>Esrp1</v>
      </c>
      <c r="D2271" s="10">
        <f t="shared" si="35"/>
        <v>4.4673455009230176</v>
      </c>
      <c r="F2271" s="8" t="str">
        <f>HYPERLINK("https://esbl.nhlbi.nih.gov/Databases/mpkFractions/proteomic_fractions_log_files/Yang_log_img/165972311.jpg","show blot")</f>
        <v>show blot</v>
      </c>
      <c r="H2271" s="8" t="str">
        <f>HYPERLINK("https://esbl.nhlbi.nih.gov/Databases/mpkFractions/proteomic_fractions_linear_files/Yang_linear_img/165972311.jpg","show blot")</f>
        <v>show blot</v>
      </c>
      <c r="J2271" s="5" t="s">
        <v>4519</v>
      </c>
      <c r="L2271" s="11">
        <v>4.4673455009230176</v>
      </c>
      <c r="N2271" s="12"/>
    </row>
    <row r="2272" spans="1:14" s="5" customFormat="1" ht="15" customHeight="1" x14ac:dyDescent="0.25">
      <c r="A2272" s="9" t="s">
        <v>4520</v>
      </c>
      <c r="C2272" s="9" t="str">
        <f>HYPERLINK("http://www.ncbi.nlm.nih.gov/protein/28849887","Esrp2")</f>
        <v>Esrp2</v>
      </c>
      <c r="D2272" s="10">
        <f t="shared" si="35"/>
        <v>4.6794220741280173</v>
      </c>
      <c r="F2272" s="8" t="str">
        <f>HYPERLINK("https://esbl.nhlbi.nih.gov/Databases/mpkFractions/proteomic_fractions_log_files/Yang_log_img/28849887.jpg","show blot")</f>
        <v>show blot</v>
      </c>
      <c r="H2272" s="8" t="str">
        <f>HYPERLINK("https://esbl.nhlbi.nih.gov/Databases/mpkFractions/proteomic_fractions_linear_files/Yang_linear_img/28849887.jpg","show blot")</f>
        <v>show blot</v>
      </c>
      <c r="J2272" s="5" t="s">
        <v>4521</v>
      </c>
      <c r="L2272" s="11">
        <v>4.6794220741280173</v>
      </c>
      <c r="N2272" s="12"/>
    </row>
    <row r="2273" spans="1:14" s="5" customFormat="1" ht="15" customHeight="1" x14ac:dyDescent="0.25">
      <c r="A2273" s="9" t="s">
        <v>4522</v>
      </c>
      <c r="C2273" s="9" t="str">
        <f>HYPERLINK("http://www.ncbi.nlm.nih.gov/protein/112293262","Esrra")</f>
        <v>Esrra</v>
      </c>
      <c r="D2273" s="10">
        <f t="shared" si="35"/>
        <v>4.8965203342195043</v>
      </c>
      <c r="F2273" s="8" t="str">
        <f>HYPERLINK("https://esbl.nhlbi.nih.gov/Databases/mpkFractions/proteomic_fractions_log_files/Yang_log_img/112293262.jpg","show blot")</f>
        <v>show blot</v>
      </c>
      <c r="H2273" s="8" t="str">
        <f>HYPERLINK("https://esbl.nhlbi.nih.gov/Databases/mpkFractions/proteomic_fractions_linear_files/Yang_linear_img/112293262.jpg","show blot")</f>
        <v>show blot</v>
      </c>
      <c r="J2273" s="5" t="s">
        <v>4523</v>
      </c>
      <c r="L2273" s="11">
        <v>4.8965203342195043</v>
      </c>
      <c r="N2273" s="12"/>
    </row>
    <row r="2274" spans="1:14" s="5" customFormat="1" ht="15" customHeight="1" x14ac:dyDescent="0.25">
      <c r="A2274" s="9" t="s">
        <v>4524</v>
      </c>
      <c r="C2274" s="9" t="str">
        <f>HYPERLINK("http://www.ncbi.nlm.nih.gov/protein/226958365","Esrrb")</f>
        <v>Esrrb</v>
      </c>
      <c r="D2274" s="10">
        <f t="shared" si="35"/>
        <v>4.9553873413733971</v>
      </c>
      <c r="F2274" s="8" t="str">
        <f>HYPERLINK("https://esbl.nhlbi.nih.gov/Databases/mpkFractions/proteomic_fractions_log_files/Yang_log_img/226958365.jpg","show blot")</f>
        <v>show blot</v>
      </c>
      <c r="H2274" s="8" t="str">
        <f>HYPERLINK("https://esbl.nhlbi.nih.gov/Databases/mpkFractions/proteomic_fractions_linear_files/Yang_linear_img/226958365.jpg","show blot")</f>
        <v>show blot</v>
      </c>
      <c r="J2274" s="5" t="s">
        <v>4525</v>
      </c>
      <c r="L2274" s="11">
        <v>4.9553873413733971</v>
      </c>
      <c r="N2274" s="12"/>
    </row>
    <row r="2275" spans="1:14" s="5" customFormat="1" ht="15" customHeight="1" x14ac:dyDescent="0.25">
      <c r="A2275" s="9" t="s">
        <v>4526</v>
      </c>
      <c r="C2275" s="9" t="str">
        <f>HYPERLINK("http://www.ncbi.nlm.nih.gov/protein/226958367","Esrrb")</f>
        <v>Esrrb</v>
      </c>
      <c r="D2275" s="10">
        <f t="shared" si="35"/>
        <v>4.9553873413733971</v>
      </c>
      <c r="F2275" s="8" t="str">
        <f>HYPERLINK("https://esbl.nhlbi.nih.gov/Databases/mpkFractions/proteomic_fractions_log_files/Yang_log_img/226958367.jpg","show blot")</f>
        <v>show blot</v>
      </c>
      <c r="H2275" s="8" t="str">
        <f>HYPERLINK("https://esbl.nhlbi.nih.gov/Databases/mpkFractions/proteomic_fractions_linear_files/Yang_linear_img/226958367.jpg","show blot")</f>
        <v>show blot</v>
      </c>
      <c r="J2275" s="5" t="s">
        <v>4527</v>
      </c>
      <c r="L2275" s="11">
        <v>4.9553873413733971</v>
      </c>
      <c r="N2275" s="12"/>
    </row>
    <row r="2276" spans="1:14" s="5" customFormat="1" ht="15" customHeight="1" x14ac:dyDescent="0.25">
      <c r="A2276" s="9" t="s">
        <v>4528</v>
      </c>
      <c r="C2276" s="9" t="str">
        <f>HYPERLINK("http://www.ncbi.nlm.nih.gov/protein/344925886","Esrrg")</f>
        <v>Esrrg</v>
      </c>
      <c r="D2276" s="10">
        <f t="shared" si="35"/>
        <v>2.1775364999298619</v>
      </c>
      <c r="F2276" s="8" t="str">
        <f>HYPERLINK("https://esbl.nhlbi.nih.gov/Databases/mpkFractions/proteomic_fractions_log_files/Yang_log_img/344925886.jpg","show blot")</f>
        <v>show blot</v>
      </c>
      <c r="H2276" s="8" t="str">
        <f>HYPERLINK("https://esbl.nhlbi.nih.gov/Databases/mpkFractions/proteomic_fractions_linear_files/Yang_linear_img/344925886.jpg","show blot")</f>
        <v>show blot</v>
      </c>
      <c r="J2276" s="5" t="s">
        <v>4529</v>
      </c>
      <c r="L2276" s="11">
        <v>2.1775364999298619</v>
      </c>
      <c r="N2276" s="12"/>
    </row>
    <row r="2277" spans="1:14" s="5" customFormat="1" ht="15" customHeight="1" x14ac:dyDescent="0.25">
      <c r="A2277" s="9" t="s">
        <v>4530</v>
      </c>
      <c r="C2277" s="9" t="str">
        <f>HYPERLINK("http://www.ncbi.nlm.nih.gov/protein/6753774","Esrrg")</f>
        <v>Esrrg</v>
      </c>
      <c r="D2277" s="10">
        <f t="shared" si="35"/>
        <v>2.1775364999298619</v>
      </c>
      <c r="F2277" s="8" t="str">
        <f>HYPERLINK("https://esbl.nhlbi.nih.gov/Databases/mpkFractions/proteomic_fractions_log_files/Yang_log_img/6753774.jpg","show blot")</f>
        <v>show blot</v>
      </c>
      <c r="H2277" s="8" t="str">
        <f>HYPERLINK("https://esbl.nhlbi.nih.gov/Databases/mpkFractions/proteomic_fractions_linear_files/Yang_linear_img/6753774.jpg","show blot")</f>
        <v>show blot</v>
      </c>
      <c r="J2277" s="5" t="s">
        <v>4531</v>
      </c>
      <c r="L2277" s="11">
        <v>2.1775364999298619</v>
      </c>
      <c r="N2277" s="12"/>
    </row>
    <row r="2278" spans="1:14" s="5" customFormat="1" ht="15" customHeight="1" x14ac:dyDescent="0.25">
      <c r="A2278" s="9" t="s">
        <v>4532</v>
      </c>
      <c r="C2278" s="9" t="str">
        <f>HYPERLINK("http://www.ncbi.nlm.nih.gov/protein/33859650","Esyt1")</f>
        <v>Esyt1</v>
      </c>
      <c r="D2278" s="10">
        <f t="shared" si="35"/>
        <v>4.9801025363694587</v>
      </c>
      <c r="F2278" s="8" t="str">
        <f>HYPERLINK("https://esbl.nhlbi.nih.gov/Databases/mpkFractions/proteomic_fractions_log_files/Yang_log_img/33859650.jpg","show blot")</f>
        <v>show blot</v>
      </c>
      <c r="H2278" s="8" t="str">
        <f>HYPERLINK("https://esbl.nhlbi.nih.gov/Databases/mpkFractions/proteomic_fractions_linear_files/Yang_linear_img/33859650.jpg","show blot")</f>
        <v>show blot</v>
      </c>
      <c r="J2278" s="5" t="s">
        <v>4533</v>
      </c>
      <c r="L2278" s="11">
        <v>4.9801025363694587</v>
      </c>
      <c r="N2278" s="12"/>
    </row>
    <row r="2279" spans="1:14" s="5" customFormat="1" ht="15" customHeight="1" x14ac:dyDescent="0.25">
      <c r="A2279" s="9" t="s">
        <v>4534</v>
      </c>
      <c r="C2279" s="9" t="str">
        <f>HYPERLINK("http://www.ncbi.nlm.nih.gov/protein/67782360","Esyt2")</f>
        <v>Esyt2</v>
      </c>
      <c r="D2279" s="10">
        <f t="shared" si="35"/>
        <v>4.6801668249375927</v>
      </c>
      <c r="F2279" s="8" t="str">
        <f>HYPERLINK("https://esbl.nhlbi.nih.gov/Databases/mpkFractions/proteomic_fractions_log_files/Yang_log_img/67782360.jpg","show blot")</f>
        <v>show blot</v>
      </c>
      <c r="H2279" s="8" t="str">
        <f>HYPERLINK("https://esbl.nhlbi.nih.gov/Databases/mpkFractions/proteomic_fractions_linear_files/Yang_linear_img/67782360.jpg","show blot")</f>
        <v>show blot</v>
      </c>
      <c r="J2279" s="5" t="s">
        <v>4535</v>
      </c>
      <c r="L2279" s="11">
        <v>4.6801668249375927</v>
      </c>
      <c r="N2279" s="12"/>
    </row>
    <row r="2280" spans="1:14" s="5" customFormat="1" ht="15" customHeight="1" x14ac:dyDescent="0.25">
      <c r="A2280" s="9" t="s">
        <v>4536</v>
      </c>
      <c r="C2280" s="9" t="str">
        <f>HYPERLINK("http://www.ncbi.nlm.nih.gov/protein/124286826","Etf1")</f>
        <v>Etf1</v>
      </c>
      <c r="D2280" s="10">
        <f t="shared" si="35"/>
        <v>5.7781728800854797</v>
      </c>
      <c r="F2280" s="8" t="str">
        <f>HYPERLINK("https://esbl.nhlbi.nih.gov/Databases/mpkFractions/proteomic_fractions_log_files/Yang_log_img/124286826.jpg","show blot")</f>
        <v>show blot</v>
      </c>
      <c r="H2280" s="8" t="str">
        <f>HYPERLINK("https://esbl.nhlbi.nih.gov/Databases/mpkFractions/proteomic_fractions_linear_files/Yang_linear_img/124286826.jpg","show blot")</f>
        <v>show blot</v>
      </c>
      <c r="J2280" s="5" t="s">
        <v>4537</v>
      </c>
      <c r="L2280" s="11">
        <v>5.7781728800854797</v>
      </c>
      <c r="N2280" s="12"/>
    </row>
    <row r="2281" spans="1:14" s="5" customFormat="1" ht="15" customHeight="1" x14ac:dyDescent="0.25">
      <c r="A2281" s="9" t="s">
        <v>4538</v>
      </c>
      <c r="C2281" s="9" t="str">
        <f>HYPERLINK("http://www.ncbi.nlm.nih.gov/protein/227500281","Etfa")</f>
        <v>Etfa</v>
      </c>
      <c r="D2281" s="10">
        <f t="shared" si="35"/>
        <v>6.5565767748401713</v>
      </c>
      <c r="F2281" s="8" t="str">
        <f>HYPERLINK("https://esbl.nhlbi.nih.gov/Databases/mpkFractions/proteomic_fractions_log_files/Yang_log_img/227500281.jpg","show blot")</f>
        <v>show blot</v>
      </c>
      <c r="H2281" s="8" t="str">
        <f>HYPERLINK("https://esbl.nhlbi.nih.gov/Databases/mpkFractions/proteomic_fractions_linear_files/Yang_linear_img/227500281.jpg","show blot")</f>
        <v>show blot</v>
      </c>
      <c r="J2281" s="5" t="s">
        <v>4539</v>
      </c>
      <c r="L2281" s="11">
        <v>6.5565767748401713</v>
      </c>
      <c r="N2281" s="12"/>
    </row>
    <row r="2282" spans="1:14" s="5" customFormat="1" ht="15" customHeight="1" x14ac:dyDescent="0.25">
      <c r="A2282" s="9" t="s">
        <v>4540</v>
      </c>
      <c r="C2282" s="9" t="str">
        <f>HYPERLINK("http://www.ncbi.nlm.nih.gov/protein/38142460","Etfb")</f>
        <v>Etfb</v>
      </c>
      <c r="D2282" s="10">
        <f t="shared" si="35"/>
        <v>6.6026767972196492</v>
      </c>
      <c r="F2282" s="8" t="str">
        <f>HYPERLINK("https://esbl.nhlbi.nih.gov/Databases/mpkFractions/proteomic_fractions_log_files/Yang_log_img/38142460.jpg","show blot")</f>
        <v>show blot</v>
      </c>
      <c r="H2282" s="8" t="str">
        <f>HYPERLINK("https://esbl.nhlbi.nih.gov/Databases/mpkFractions/proteomic_fractions_linear_files/Yang_linear_img/38142460.jpg","show blot")</f>
        <v>show blot</v>
      </c>
      <c r="J2282" s="5" t="s">
        <v>4541</v>
      </c>
      <c r="L2282" s="11">
        <v>6.6026767972196492</v>
      </c>
      <c r="N2282" s="12"/>
    </row>
    <row r="2283" spans="1:14" s="5" customFormat="1" ht="15" customHeight="1" x14ac:dyDescent="0.25">
      <c r="A2283" s="9" t="s">
        <v>4542</v>
      </c>
      <c r="C2283" s="9" t="str">
        <f>HYPERLINK("http://www.ncbi.nlm.nih.gov/protein/254588014","Etfdh")</f>
        <v>Etfdh</v>
      </c>
      <c r="D2283" s="10">
        <f t="shared" si="35"/>
        <v>5.0002401282289171</v>
      </c>
      <c r="F2283" s="8" t="str">
        <f>HYPERLINK("https://esbl.nhlbi.nih.gov/Databases/mpkFractions/proteomic_fractions_log_files/Yang_log_img/254588014.jpg","show blot")</f>
        <v>show blot</v>
      </c>
      <c r="H2283" s="8" t="str">
        <f>HYPERLINK("https://esbl.nhlbi.nih.gov/Databases/mpkFractions/proteomic_fractions_linear_files/Yang_linear_img/254588014.jpg","show blot")</f>
        <v>show blot</v>
      </c>
      <c r="J2283" s="5" t="s">
        <v>4543</v>
      </c>
      <c r="L2283" s="11">
        <v>5.0002401282289171</v>
      </c>
      <c r="N2283" s="12"/>
    </row>
    <row r="2284" spans="1:14" s="5" customFormat="1" ht="15" customHeight="1" x14ac:dyDescent="0.25">
      <c r="A2284" s="9" t="s">
        <v>4544</v>
      </c>
      <c r="C2284" s="9" t="str">
        <f>HYPERLINK("http://www.ncbi.nlm.nih.gov/protein/12963539","Ethe1")</f>
        <v>Ethe1</v>
      </c>
      <c r="D2284" s="10">
        <f t="shared" si="35"/>
        <v>5.0073996185893979</v>
      </c>
      <c r="F2284" s="8" t="str">
        <f>HYPERLINK("https://esbl.nhlbi.nih.gov/Databases/mpkFractions/proteomic_fractions_log_files/Yang_log_img/12963539.jpg","show blot")</f>
        <v>show blot</v>
      </c>
      <c r="H2284" s="8" t="str">
        <f>HYPERLINK("https://esbl.nhlbi.nih.gov/Databases/mpkFractions/proteomic_fractions_linear_files/Yang_linear_img/12963539.jpg","show blot")</f>
        <v>show blot</v>
      </c>
      <c r="J2284" s="5" t="s">
        <v>4545</v>
      </c>
      <c r="L2284" s="11">
        <v>5.0073996185893979</v>
      </c>
      <c r="N2284" s="12"/>
    </row>
    <row r="2285" spans="1:14" s="5" customFormat="1" ht="15" customHeight="1" x14ac:dyDescent="0.25">
      <c r="A2285" s="9" t="s">
        <v>4546</v>
      </c>
      <c r="C2285" s="9" t="str">
        <f>HYPERLINK("http://www.ncbi.nlm.nih.gov/protein/226371696","Etnk1")</f>
        <v>Etnk1</v>
      </c>
      <c r="D2285" s="10">
        <f t="shared" si="35"/>
        <v>3.9345911022460269</v>
      </c>
      <c r="F2285" s="8" t="str">
        <f>HYPERLINK("https://esbl.nhlbi.nih.gov/Databases/mpkFractions/proteomic_fractions_log_files/Yang_log_img/226371696.jpg","show blot")</f>
        <v>show blot</v>
      </c>
      <c r="H2285" s="8" t="str">
        <f>HYPERLINK("https://esbl.nhlbi.nih.gov/Databases/mpkFractions/proteomic_fractions_linear_files/Yang_linear_img/226371696.jpg","show blot")</f>
        <v>show blot</v>
      </c>
      <c r="J2285" s="5" t="s">
        <v>4547</v>
      </c>
      <c r="L2285" s="11">
        <v>3.9345911022460269</v>
      </c>
      <c r="N2285" s="12"/>
    </row>
    <row r="2286" spans="1:14" s="5" customFormat="1" ht="15" customHeight="1" x14ac:dyDescent="0.25">
      <c r="A2286" s="9" t="s">
        <v>4548</v>
      </c>
      <c r="C2286" s="9" t="str">
        <f>HYPERLINK("http://www.ncbi.nlm.nih.gov/protein/84370337","Etv6")</f>
        <v>Etv6</v>
      </c>
      <c r="D2286" s="10">
        <f t="shared" si="35"/>
        <v>2.636201202748254</v>
      </c>
      <c r="F2286" s="8" t="str">
        <f>HYPERLINK("https://esbl.nhlbi.nih.gov/Databases/mpkFractions/proteomic_fractions_log_files/Yang_log_img/84370337.jpg","show blot")</f>
        <v>show blot</v>
      </c>
      <c r="H2286" s="8" t="str">
        <f>HYPERLINK("https://esbl.nhlbi.nih.gov/Databases/mpkFractions/proteomic_fractions_linear_files/Yang_linear_img/84370337.jpg","show blot")</f>
        <v>show blot</v>
      </c>
      <c r="J2286" s="5" t="s">
        <v>4549</v>
      </c>
      <c r="L2286" s="11">
        <v>2.636201202748254</v>
      </c>
      <c r="N2286" s="12"/>
    </row>
    <row r="2287" spans="1:14" s="5" customFormat="1" ht="15" customHeight="1" x14ac:dyDescent="0.25">
      <c r="A2287" s="9" t="s">
        <v>4550</v>
      </c>
      <c r="C2287" s="9" t="str">
        <f>HYPERLINK("http://www.ncbi.nlm.nih.gov/protein/254281243","Evl")</f>
        <v>Evl</v>
      </c>
      <c r="D2287" s="10">
        <f t="shared" si="35"/>
        <v>1.3324384599156049</v>
      </c>
      <c r="F2287" s="8" t="str">
        <f>HYPERLINK("https://esbl.nhlbi.nih.gov/Databases/mpkFractions/proteomic_fractions_log_files/Yang_log_img/254281243.jpg","show blot")</f>
        <v>show blot</v>
      </c>
      <c r="H2287" s="8" t="str">
        <f>HYPERLINK("https://esbl.nhlbi.nih.gov/Databases/mpkFractions/proteomic_fractions_linear_files/Yang_linear_img/254281243.jpg","show blot")</f>
        <v>show blot</v>
      </c>
      <c r="J2287" s="5" t="s">
        <v>4551</v>
      </c>
      <c r="L2287" s="11">
        <v>1.3324384599156049</v>
      </c>
      <c r="N2287" s="12"/>
    </row>
    <row r="2288" spans="1:14" s="5" customFormat="1" ht="15" customHeight="1" x14ac:dyDescent="0.25">
      <c r="A2288" s="9" t="s">
        <v>4552</v>
      </c>
      <c r="C2288" s="9" t="str">
        <f>HYPERLINK("http://www.ncbi.nlm.nih.gov/protein/254281245","Evl")</f>
        <v>Evl</v>
      </c>
      <c r="D2288" s="10">
        <f t="shared" si="35"/>
        <v>1.3324384599156049</v>
      </c>
      <c r="F2288" s="8" t="str">
        <f>HYPERLINK("https://esbl.nhlbi.nih.gov/Databases/mpkFractions/proteomic_fractions_log_files/Yang_log_img/254281245.jpg","show blot")</f>
        <v>show blot</v>
      </c>
      <c r="H2288" s="8" t="str">
        <f>HYPERLINK("https://esbl.nhlbi.nih.gov/Databases/mpkFractions/proteomic_fractions_linear_files/Yang_linear_img/254281245.jpg","show blot")</f>
        <v>show blot</v>
      </c>
      <c r="J2288" s="5" t="s">
        <v>4553</v>
      </c>
      <c r="L2288" s="11">
        <v>1.3324384599156049</v>
      </c>
      <c r="N2288" s="12"/>
    </row>
    <row r="2289" spans="1:14" s="5" customFormat="1" ht="15" customHeight="1" x14ac:dyDescent="0.25">
      <c r="A2289" s="9" t="s">
        <v>4554</v>
      </c>
      <c r="C2289" s="9" t="str">
        <f>HYPERLINK("http://www.ncbi.nlm.nih.gov/protein/254281247","Evl")</f>
        <v>Evl</v>
      </c>
      <c r="D2289" s="10">
        <f t="shared" si="35"/>
        <v>1.3324384599156049</v>
      </c>
      <c r="F2289" s="8" t="str">
        <f>HYPERLINK("https://esbl.nhlbi.nih.gov/Databases/mpkFractions/proteomic_fractions_log_files/Yang_log_img/254281247.jpg","show blot")</f>
        <v>show blot</v>
      </c>
      <c r="H2289" s="8" t="str">
        <f>HYPERLINK("https://esbl.nhlbi.nih.gov/Databases/mpkFractions/proteomic_fractions_linear_files/Yang_linear_img/254281247.jpg","show blot")</f>
        <v>show blot</v>
      </c>
      <c r="J2289" s="5" t="s">
        <v>4555</v>
      </c>
      <c r="L2289" s="11">
        <v>1.3324384599156049</v>
      </c>
      <c r="N2289" s="12"/>
    </row>
    <row r="2290" spans="1:14" s="5" customFormat="1" ht="15" customHeight="1" x14ac:dyDescent="0.25">
      <c r="A2290" s="9" t="s">
        <v>4556</v>
      </c>
      <c r="C2290" s="9" t="str">
        <f>HYPERLINK("http://www.ncbi.nlm.nih.gov/protein/254281249","Evl")</f>
        <v>Evl</v>
      </c>
      <c r="D2290" s="10">
        <f t="shared" si="35"/>
        <v>1.3324384599156049</v>
      </c>
      <c r="F2290" s="8" t="str">
        <f>HYPERLINK("https://esbl.nhlbi.nih.gov/Databases/mpkFractions/proteomic_fractions_log_files/Yang_log_img/254281249.jpg","show blot")</f>
        <v>show blot</v>
      </c>
      <c r="H2290" s="8" t="str">
        <f>HYPERLINK("https://esbl.nhlbi.nih.gov/Databases/mpkFractions/proteomic_fractions_linear_files/Yang_linear_img/254281249.jpg","show blot")</f>
        <v>show blot</v>
      </c>
      <c r="J2290" s="5" t="s">
        <v>4557</v>
      </c>
      <c r="L2290" s="11">
        <v>1.3324384599156049</v>
      </c>
      <c r="N2290" s="12"/>
    </row>
    <row r="2291" spans="1:14" s="5" customFormat="1" ht="15" customHeight="1" x14ac:dyDescent="0.25">
      <c r="A2291" s="9" t="s">
        <v>4558</v>
      </c>
      <c r="C2291" s="9" t="str">
        <f>HYPERLINK("http://www.ncbi.nlm.nih.gov/protein/111185907","Evpl")</f>
        <v>Evpl</v>
      </c>
      <c r="D2291" s="10">
        <f t="shared" si="35"/>
        <v>3.7463451770758538</v>
      </c>
      <c r="F2291" s="8" t="str">
        <f>HYPERLINK("https://esbl.nhlbi.nih.gov/Databases/mpkFractions/proteomic_fractions_log_files/Yang_log_img/111185907.jpg","show blot")</f>
        <v>show blot</v>
      </c>
      <c r="H2291" s="8" t="str">
        <f>HYPERLINK("https://esbl.nhlbi.nih.gov/Databases/mpkFractions/proteomic_fractions_linear_files/Yang_linear_img/111185907.jpg","show blot")</f>
        <v>show blot</v>
      </c>
      <c r="J2291" s="5" t="s">
        <v>4559</v>
      </c>
      <c r="L2291" s="11">
        <v>3.7463451770758538</v>
      </c>
      <c r="N2291" s="12"/>
    </row>
    <row r="2292" spans="1:14" s="5" customFormat="1" ht="15" customHeight="1" x14ac:dyDescent="0.25">
      <c r="A2292" s="9" t="s">
        <v>4560</v>
      </c>
      <c r="C2292" s="9" t="str">
        <f>HYPERLINK("http://www.ncbi.nlm.nih.gov/protein/545687694","Ewsr1")</f>
        <v>Ewsr1</v>
      </c>
      <c r="D2292" s="10">
        <f t="shared" si="35"/>
        <v>5.2187813368069786</v>
      </c>
      <c r="F2292" s="8" t="str">
        <f>HYPERLINK("https://esbl.nhlbi.nih.gov/Databases/mpkFractions/proteomic_fractions_log_files/Yang_log_img/545687694.jpg","show blot")</f>
        <v>show blot</v>
      </c>
      <c r="H2292" s="8" t="str">
        <f>HYPERLINK("https://esbl.nhlbi.nih.gov/Databases/mpkFractions/proteomic_fractions_linear_files/Yang_linear_img/545687694.jpg","show blot")</f>
        <v>show blot</v>
      </c>
      <c r="J2292" s="5" t="s">
        <v>4561</v>
      </c>
      <c r="L2292" s="11">
        <v>5.2187813368069786</v>
      </c>
      <c r="N2292" s="12"/>
    </row>
    <row r="2293" spans="1:14" s="5" customFormat="1" ht="15" customHeight="1" x14ac:dyDescent="0.25">
      <c r="A2293" s="9" t="s">
        <v>4562</v>
      </c>
      <c r="C2293" s="9" t="str">
        <f>HYPERLINK("http://www.ncbi.nlm.nih.gov/protein/545688864","Ewsr1")</f>
        <v>Ewsr1</v>
      </c>
      <c r="D2293" s="10">
        <f t="shared" si="35"/>
        <v>5.2187813368069786</v>
      </c>
      <c r="F2293" s="8" t="str">
        <f>HYPERLINK("https://esbl.nhlbi.nih.gov/Databases/mpkFractions/proteomic_fractions_log_files/Yang_log_img/545688864.jpg","show blot")</f>
        <v>show blot</v>
      </c>
      <c r="H2293" s="8" t="str">
        <f>HYPERLINK("https://esbl.nhlbi.nih.gov/Databases/mpkFractions/proteomic_fractions_linear_files/Yang_linear_img/545688864.jpg","show blot")</f>
        <v>show blot</v>
      </c>
      <c r="J2293" s="5" t="s">
        <v>4563</v>
      </c>
      <c r="L2293" s="11">
        <v>5.2187813368069786</v>
      </c>
      <c r="N2293" s="12"/>
    </row>
    <row r="2294" spans="1:14" s="5" customFormat="1" ht="15" customHeight="1" x14ac:dyDescent="0.25">
      <c r="A2294" s="9" t="s">
        <v>4564</v>
      </c>
      <c r="C2294" s="9" t="str">
        <f>HYPERLINK("http://www.ncbi.nlm.nih.gov/protein/88853581","Ewsr1")</f>
        <v>Ewsr1</v>
      </c>
      <c r="D2294" s="10">
        <f t="shared" si="35"/>
        <v>5.2187813368069786</v>
      </c>
      <c r="F2294" s="8" t="str">
        <f>HYPERLINK("https://esbl.nhlbi.nih.gov/Databases/mpkFractions/proteomic_fractions_log_files/Yang_log_img/88853581.jpg","show blot")</f>
        <v>show blot</v>
      </c>
      <c r="H2294" s="8" t="str">
        <f>HYPERLINK("https://esbl.nhlbi.nih.gov/Databases/mpkFractions/proteomic_fractions_linear_files/Yang_linear_img/88853581.jpg","show blot")</f>
        <v>show blot</v>
      </c>
      <c r="J2294" s="5" t="s">
        <v>4565</v>
      </c>
      <c r="L2294" s="11">
        <v>5.2187813368069786</v>
      </c>
      <c r="N2294" s="12"/>
    </row>
    <row r="2295" spans="1:14" s="5" customFormat="1" ht="15" customHeight="1" x14ac:dyDescent="0.25">
      <c r="A2295" s="9" t="s">
        <v>4566</v>
      </c>
      <c r="C2295" s="9" t="str">
        <f>HYPERLINK("http://www.ncbi.nlm.nih.gov/protein/237681098","Exd2")</f>
        <v>Exd2</v>
      </c>
      <c r="D2295" s="10">
        <f t="shared" si="35"/>
        <v>2.0858441589969989</v>
      </c>
      <c r="F2295" s="8" t="str">
        <f>HYPERLINK("https://esbl.nhlbi.nih.gov/Databases/mpkFractions/proteomic_fractions_log_files/Yang_log_img/237681098.jpg","show blot")</f>
        <v>show blot</v>
      </c>
      <c r="H2295" s="8" t="str">
        <f>HYPERLINK("https://esbl.nhlbi.nih.gov/Databases/mpkFractions/proteomic_fractions_linear_files/Yang_linear_img/237681098.jpg","show blot")</f>
        <v>show blot</v>
      </c>
      <c r="J2295" s="5" t="s">
        <v>4567</v>
      </c>
      <c r="L2295" s="11">
        <v>2.0858441589969989</v>
      </c>
      <c r="N2295" s="12"/>
    </row>
    <row r="2296" spans="1:14" s="5" customFormat="1" ht="15" customHeight="1" x14ac:dyDescent="0.25">
      <c r="A2296" s="9" t="s">
        <v>4568</v>
      </c>
      <c r="C2296" s="9" t="str">
        <f>HYPERLINK("http://www.ncbi.nlm.nih.gov/protein/89111939","Exoc1")</f>
        <v>Exoc1</v>
      </c>
      <c r="D2296" s="10">
        <f t="shared" si="35"/>
        <v>3.1957961442896079</v>
      </c>
      <c r="F2296" s="8" t="str">
        <f>HYPERLINK("https://esbl.nhlbi.nih.gov/Databases/mpkFractions/proteomic_fractions_log_files/Yang_log_img/89111939.jpg","show blot")</f>
        <v>show blot</v>
      </c>
      <c r="H2296" s="8" t="str">
        <f>HYPERLINK("https://esbl.nhlbi.nih.gov/Databases/mpkFractions/proteomic_fractions_linear_files/Yang_linear_img/89111939.jpg","show blot")</f>
        <v>show blot</v>
      </c>
      <c r="J2296" s="5" t="s">
        <v>4569</v>
      </c>
      <c r="L2296" s="11">
        <v>3.1957961442896079</v>
      </c>
      <c r="N2296" s="12"/>
    </row>
    <row r="2297" spans="1:14" s="5" customFormat="1" ht="15" customHeight="1" x14ac:dyDescent="0.25">
      <c r="A2297" s="9" t="s">
        <v>4570</v>
      </c>
      <c r="C2297" s="9" t="str">
        <f>HYPERLINK("http://www.ncbi.nlm.nih.gov/protein/21313438","Exoc2")</f>
        <v>Exoc2</v>
      </c>
      <c r="D2297" s="10">
        <f t="shared" si="35"/>
        <v>4.3426747280973608</v>
      </c>
      <c r="F2297" s="8" t="str">
        <f>HYPERLINK("https://esbl.nhlbi.nih.gov/Databases/mpkFractions/proteomic_fractions_log_files/Yang_log_img/21313438.jpg","show blot")</f>
        <v>show blot</v>
      </c>
      <c r="H2297" s="8" t="str">
        <f>HYPERLINK("https://esbl.nhlbi.nih.gov/Databases/mpkFractions/proteomic_fractions_linear_files/Yang_linear_img/21313438.jpg","show blot")</f>
        <v>show blot</v>
      </c>
      <c r="J2297" s="5" t="s">
        <v>4571</v>
      </c>
      <c r="L2297" s="11">
        <v>4.3426747280973608</v>
      </c>
      <c r="N2297" s="12"/>
    </row>
    <row r="2298" spans="1:14" s="5" customFormat="1" ht="15" customHeight="1" x14ac:dyDescent="0.25">
      <c r="A2298" s="9" t="s">
        <v>4572</v>
      </c>
      <c r="C2298" s="9" t="str">
        <f>HYPERLINK("http://www.ncbi.nlm.nih.gov/protein/84579825","Exoc3")</f>
        <v>Exoc3</v>
      </c>
      <c r="D2298" s="10">
        <f t="shared" si="35"/>
        <v>4.0797317269849733</v>
      </c>
      <c r="F2298" s="8" t="str">
        <f>HYPERLINK("https://esbl.nhlbi.nih.gov/Databases/mpkFractions/proteomic_fractions_log_files/Yang_log_img/84579825.jpg","show blot")</f>
        <v>show blot</v>
      </c>
      <c r="H2298" s="8" t="str">
        <f>HYPERLINK("https://esbl.nhlbi.nih.gov/Databases/mpkFractions/proteomic_fractions_linear_files/Yang_linear_img/84579825.jpg","show blot")</f>
        <v>show blot</v>
      </c>
      <c r="J2298" s="5" t="s">
        <v>4573</v>
      </c>
      <c r="L2298" s="11">
        <v>4.0797317269849733</v>
      </c>
      <c r="N2298" s="12"/>
    </row>
    <row r="2299" spans="1:14" s="5" customFormat="1" ht="15" customHeight="1" x14ac:dyDescent="0.25">
      <c r="A2299" s="9" t="s">
        <v>4574</v>
      </c>
      <c r="C2299" s="9" t="str">
        <f>HYPERLINK("http://www.ncbi.nlm.nih.gov/protein/309265796","Exoc3l2")</f>
        <v>Exoc3l2</v>
      </c>
      <c r="D2299" s="10">
        <f t="shared" si="35"/>
        <v>3.2870434162358548</v>
      </c>
      <c r="F2299" s="8" t="str">
        <f>HYPERLINK("https://esbl.nhlbi.nih.gov/Databases/mpkFractions/proteomic_fractions_log_files/Yang_log_img/309265796.jpg","show blot")</f>
        <v>show blot</v>
      </c>
      <c r="H2299" s="8" t="str">
        <f>HYPERLINK("https://esbl.nhlbi.nih.gov/Databases/mpkFractions/proteomic_fractions_linear_files/Yang_linear_img/309265796.jpg","show blot")</f>
        <v>show blot</v>
      </c>
      <c r="J2299" s="5" t="s">
        <v>4575</v>
      </c>
      <c r="L2299" s="11">
        <v>3.2870434162358548</v>
      </c>
      <c r="N2299" s="12"/>
    </row>
    <row r="2300" spans="1:14" s="5" customFormat="1" ht="15" customHeight="1" x14ac:dyDescent="0.25">
      <c r="A2300" s="9" t="s">
        <v>4576</v>
      </c>
      <c r="C2300" s="9" t="str">
        <f>HYPERLINK("http://www.ncbi.nlm.nih.gov/protein/83921574","Exoc4")</f>
        <v>Exoc4</v>
      </c>
      <c r="D2300" s="10">
        <f t="shared" si="35"/>
        <v>4.4935264986601151</v>
      </c>
      <c r="F2300" s="8" t="str">
        <f>HYPERLINK("https://esbl.nhlbi.nih.gov/Databases/mpkFractions/proteomic_fractions_log_files/Yang_log_img/83921574.jpg","show blot")</f>
        <v>show blot</v>
      </c>
      <c r="H2300" s="8" t="str">
        <f>HYPERLINK("https://esbl.nhlbi.nih.gov/Databases/mpkFractions/proteomic_fractions_linear_files/Yang_linear_img/83921574.jpg","show blot")</f>
        <v>show blot</v>
      </c>
      <c r="J2300" s="5" t="s">
        <v>4577</v>
      </c>
      <c r="L2300" s="11">
        <v>4.4935264986601151</v>
      </c>
      <c r="N2300" s="12"/>
    </row>
    <row r="2301" spans="1:14" s="5" customFormat="1" ht="15" customHeight="1" x14ac:dyDescent="0.25">
      <c r="A2301" s="9" t="s">
        <v>4578</v>
      </c>
      <c r="C2301" s="9" t="str">
        <f>HYPERLINK("http://www.ncbi.nlm.nih.gov/protein/46402177","Exoc5")</f>
        <v>Exoc5</v>
      </c>
      <c r="D2301" s="10">
        <f t="shared" si="35"/>
        <v>4.2797659149808123</v>
      </c>
      <c r="F2301" s="8" t="str">
        <f>HYPERLINK("https://esbl.nhlbi.nih.gov/Databases/mpkFractions/proteomic_fractions_log_files/Yang_log_img/46402177.jpg","show blot")</f>
        <v>show blot</v>
      </c>
      <c r="H2301" s="8" t="str">
        <f>HYPERLINK("https://esbl.nhlbi.nih.gov/Databases/mpkFractions/proteomic_fractions_linear_files/Yang_linear_img/46402177.jpg","show blot")</f>
        <v>show blot</v>
      </c>
      <c r="J2301" s="5" t="s">
        <v>4579</v>
      </c>
      <c r="L2301" s="11">
        <v>4.2797659149808123</v>
      </c>
      <c r="N2301" s="12"/>
    </row>
    <row r="2302" spans="1:14" s="5" customFormat="1" ht="15" customHeight="1" x14ac:dyDescent="0.25">
      <c r="A2302" s="9" t="s">
        <v>4580</v>
      </c>
      <c r="C2302" s="9" t="str">
        <f>HYPERLINK("http://www.ncbi.nlm.nih.gov/protein/62526126","Exoc6")</f>
        <v>Exoc6</v>
      </c>
      <c r="D2302" s="10">
        <f t="shared" si="35"/>
        <v>4.6970292432911753</v>
      </c>
      <c r="F2302" s="8" t="str">
        <f>HYPERLINK("https://esbl.nhlbi.nih.gov/Databases/mpkFractions/proteomic_fractions_log_files/Yang_log_img/62526126.jpg","show blot")</f>
        <v>show blot</v>
      </c>
      <c r="H2302" s="8" t="str">
        <f>HYPERLINK("https://esbl.nhlbi.nih.gov/Databases/mpkFractions/proteomic_fractions_linear_files/Yang_linear_img/62526126.jpg","show blot")</f>
        <v>show blot</v>
      </c>
      <c r="J2302" s="5" t="s">
        <v>4581</v>
      </c>
      <c r="L2302" s="11">
        <v>4.6970292432911753</v>
      </c>
      <c r="N2302" s="12"/>
    </row>
    <row r="2303" spans="1:14" s="5" customFormat="1" ht="15" customHeight="1" x14ac:dyDescent="0.25">
      <c r="A2303" s="9" t="s">
        <v>4582</v>
      </c>
      <c r="C2303" s="9" t="str">
        <f>HYPERLINK("http://www.ncbi.nlm.nih.gov/protein/226371698","Exoc6b")</f>
        <v>Exoc6b</v>
      </c>
      <c r="D2303" s="10">
        <f t="shared" si="35"/>
        <v>3.1821103388068699</v>
      </c>
      <c r="F2303" s="8" t="str">
        <f>HYPERLINK("https://esbl.nhlbi.nih.gov/Databases/mpkFractions/proteomic_fractions_log_files/Yang_log_img/226371698.jpg","show blot")</f>
        <v>show blot</v>
      </c>
      <c r="H2303" s="8" t="str">
        <f>HYPERLINK("https://esbl.nhlbi.nih.gov/Databases/mpkFractions/proteomic_fractions_linear_files/Yang_linear_img/226371698.jpg","show blot")</f>
        <v>show blot</v>
      </c>
      <c r="J2303" s="5" t="s">
        <v>4583</v>
      </c>
      <c r="L2303" s="11">
        <v>3.1821103388068699</v>
      </c>
      <c r="N2303" s="12"/>
    </row>
    <row r="2304" spans="1:14" s="5" customFormat="1" ht="15" customHeight="1" x14ac:dyDescent="0.25">
      <c r="A2304" s="9" t="s">
        <v>4584</v>
      </c>
      <c r="C2304" s="9" t="str">
        <f>HYPERLINK("http://www.ncbi.nlm.nih.gov/protein/247269408","Exoc7")</f>
        <v>Exoc7</v>
      </c>
      <c r="D2304" s="10">
        <f t="shared" si="35"/>
        <v>4.3185998389832276</v>
      </c>
      <c r="F2304" s="8" t="str">
        <f>HYPERLINK("https://esbl.nhlbi.nih.gov/Databases/mpkFractions/proteomic_fractions_log_files/Yang_log_img/247269408.jpg","show blot")</f>
        <v>show blot</v>
      </c>
      <c r="H2304" s="8" t="str">
        <f>HYPERLINK("https://esbl.nhlbi.nih.gov/Databases/mpkFractions/proteomic_fractions_linear_files/Yang_linear_img/247269408.jpg","show blot")</f>
        <v>show blot</v>
      </c>
      <c r="J2304" s="5" t="s">
        <v>4585</v>
      </c>
      <c r="L2304" s="11">
        <v>4.3185998389832276</v>
      </c>
      <c r="N2304" s="12"/>
    </row>
    <row r="2305" spans="1:14" s="5" customFormat="1" ht="15" customHeight="1" x14ac:dyDescent="0.25">
      <c r="A2305" s="9" t="s">
        <v>4586</v>
      </c>
      <c r="C2305" s="9" t="str">
        <f>HYPERLINK("http://www.ncbi.nlm.nih.gov/protein/247269443","Exoc7")</f>
        <v>Exoc7</v>
      </c>
      <c r="D2305" s="10">
        <f t="shared" si="35"/>
        <v>4.3185998389832276</v>
      </c>
      <c r="F2305" s="8" t="str">
        <f>HYPERLINK("https://esbl.nhlbi.nih.gov/Databases/mpkFractions/proteomic_fractions_log_files/Yang_log_img/247269443.jpg","show blot")</f>
        <v>show blot</v>
      </c>
      <c r="H2305" s="8" t="str">
        <f>HYPERLINK("https://esbl.nhlbi.nih.gov/Databases/mpkFractions/proteomic_fractions_linear_files/Yang_linear_img/247269443.jpg","show blot")</f>
        <v>show blot</v>
      </c>
      <c r="J2305" s="5" t="s">
        <v>4587</v>
      </c>
      <c r="L2305" s="11">
        <v>4.3185998389832276</v>
      </c>
      <c r="N2305" s="12"/>
    </row>
    <row r="2306" spans="1:14" s="5" customFormat="1" ht="15" customHeight="1" x14ac:dyDescent="0.25">
      <c r="A2306" s="9" t="s">
        <v>4588</v>
      </c>
      <c r="C2306" s="9" t="str">
        <f>HYPERLINK("http://www.ncbi.nlm.nih.gov/protein/37674218","Exoc8")</f>
        <v>Exoc8</v>
      </c>
      <c r="D2306" s="10">
        <f t="shared" si="35"/>
        <v>4.4916801294939539</v>
      </c>
      <c r="F2306" s="8" t="str">
        <f>HYPERLINK("https://esbl.nhlbi.nih.gov/Databases/mpkFractions/proteomic_fractions_log_files/Yang_log_img/37674218.jpg","show blot")</f>
        <v>show blot</v>
      </c>
      <c r="H2306" s="8" t="str">
        <f>HYPERLINK("https://esbl.nhlbi.nih.gov/Databases/mpkFractions/proteomic_fractions_linear_files/Yang_linear_img/37674218.jpg","show blot")</f>
        <v>show blot</v>
      </c>
      <c r="J2306" s="5" t="s">
        <v>4589</v>
      </c>
      <c r="L2306" s="11">
        <v>4.4916801294939539</v>
      </c>
      <c r="N2306" s="12"/>
    </row>
    <row r="2307" spans="1:14" s="5" customFormat="1" ht="15" customHeight="1" x14ac:dyDescent="0.25">
      <c r="A2307" s="9" t="s">
        <v>4590</v>
      </c>
      <c r="C2307" s="9" t="str">
        <f>HYPERLINK("http://www.ncbi.nlm.nih.gov/protein/27369613","Exog")</f>
        <v>Exog</v>
      </c>
      <c r="D2307" s="10">
        <f t="shared" si="35"/>
        <v>2.573122603208422</v>
      </c>
      <c r="F2307" s="8" t="str">
        <f>HYPERLINK("https://esbl.nhlbi.nih.gov/Databases/mpkFractions/proteomic_fractions_log_files/Yang_log_img/27369613.jpg","show blot")</f>
        <v>show blot</v>
      </c>
      <c r="H2307" s="8" t="str">
        <f>HYPERLINK("https://esbl.nhlbi.nih.gov/Databases/mpkFractions/proteomic_fractions_linear_files/Yang_linear_img/27369613.jpg","show blot")</f>
        <v>show blot</v>
      </c>
      <c r="J2307" s="5" t="s">
        <v>4591</v>
      </c>
      <c r="L2307" s="11">
        <v>2.573122603208422</v>
      </c>
      <c r="N2307" s="12"/>
    </row>
    <row r="2308" spans="1:14" s="5" customFormat="1" ht="15" customHeight="1" x14ac:dyDescent="0.25">
      <c r="A2308" s="9" t="s">
        <v>4592</v>
      </c>
      <c r="C2308" s="9" t="str">
        <f>HYPERLINK("http://www.ncbi.nlm.nih.gov/protein/287327708","Exog")</f>
        <v>Exog</v>
      </c>
      <c r="D2308" s="10">
        <f t="shared" si="35"/>
        <v>2.573122603208422</v>
      </c>
      <c r="F2308" s="8" t="str">
        <f>HYPERLINK("https://esbl.nhlbi.nih.gov/Databases/mpkFractions/proteomic_fractions_log_files/Yang_log_img/287327708.jpg","show blot")</f>
        <v>show blot</v>
      </c>
      <c r="H2308" s="8" t="str">
        <f>HYPERLINK("https://esbl.nhlbi.nih.gov/Databases/mpkFractions/proteomic_fractions_linear_files/Yang_linear_img/287327708.jpg","show blot")</f>
        <v>show blot</v>
      </c>
      <c r="J2308" s="5" t="s">
        <v>4593</v>
      </c>
      <c r="L2308" s="11">
        <v>2.573122603208422</v>
      </c>
      <c r="N2308" s="12"/>
    </row>
    <row r="2309" spans="1:14" s="5" customFormat="1" ht="15" customHeight="1" x14ac:dyDescent="0.25">
      <c r="A2309" s="9" t="s">
        <v>4594</v>
      </c>
      <c r="C2309" s="9" t="str">
        <f>HYPERLINK("http://www.ncbi.nlm.nih.gov/protein/22267446","Exosc1")</f>
        <v>Exosc1</v>
      </c>
      <c r="D2309" s="10">
        <f t="shared" ref="D2309:D2372" si="36">L2309</f>
        <v>5.4381055366930902</v>
      </c>
      <c r="F2309" s="8" t="str">
        <f>HYPERLINK("https://esbl.nhlbi.nih.gov/Databases/mpkFractions/proteomic_fractions_log_files/Yang_log_img/22267446.jpg","show blot")</f>
        <v>show blot</v>
      </c>
      <c r="H2309" s="8" t="str">
        <f>HYPERLINK("https://esbl.nhlbi.nih.gov/Databases/mpkFractions/proteomic_fractions_linear_files/Yang_linear_img/22267446.jpg","show blot")</f>
        <v>show blot</v>
      </c>
      <c r="J2309" s="5" t="s">
        <v>4595</v>
      </c>
      <c r="L2309" s="11">
        <v>5.4381055366930902</v>
      </c>
      <c r="N2309" s="12"/>
    </row>
    <row r="2310" spans="1:14" s="5" customFormat="1" ht="15" customHeight="1" x14ac:dyDescent="0.25">
      <c r="A2310" s="9" t="s">
        <v>4596</v>
      </c>
      <c r="C2310" s="9" t="str">
        <f>HYPERLINK("http://www.ncbi.nlm.nih.gov/protein/257096005","Exosc1")</f>
        <v>Exosc1</v>
      </c>
      <c r="D2310" s="10">
        <f t="shared" si="36"/>
        <v>5.4381055366930902</v>
      </c>
      <c r="F2310" s="8" t="str">
        <f>HYPERLINK("https://esbl.nhlbi.nih.gov/Databases/mpkFractions/proteomic_fractions_log_files/Yang_log_img/257096005.jpg","show blot")</f>
        <v>show blot</v>
      </c>
      <c r="H2310" s="8" t="str">
        <f>HYPERLINK("https://esbl.nhlbi.nih.gov/Databases/mpkFractions/proteomic_fractions_linear_files/Yang_linear_img/257096005.jpg","show blot")</f>
        <v>show blot</v>
      </c>
      <c r="J2310" s="5" t="s">
        <v>4597</v>
      </c>
      <c r="L2310" s="11">
        <v>5.4381055366930902</v>
      </c>
      <c r="N2310" s="12"/>
    </row>
    <row r="2311" spans="1:14" s="5" customFormat="1" ht="15" customHeight="1" x14ac:dyDescent="0.25">
      <c r="A2311" s="9" t="s">
        <v>4598</v>
      </c>
      <c r="C2311" s="9" t="str">
        <f>HYPERLINK("http://www.ncbi.nlm.nih.gov/protein/227116266","Exosc10")</f>
        <v>Exosc10</v>
      </c>
      <c r="D2311" s="10">
        <f t="shared" si="36"/>
        <v>4.4531175660290971</v>
      </c>
      <c r="F2311" s="8" t="str">
        <f>HYPERLINK("https://esbl.nhlbi.nih.gov/Databases/mpkFractions/proteomic_fractions_log_files/Yang_log_img/227116266.jpg","show blot")</f>
        <v>show blot</v>
      </c>
      <c r="H2311" s="8" t="str">
        <f>HYPERLINK("https://esbl.nhlbi.nih.gov/Databases/mpkFractions/proteomic_fractions_linear_files/Yang_linear_img/227116266.jpg","show blot")</f>
        <v>show blot</v>
      </c>
      <c r="J2311" s="5" t="s">
        <v>4599</v>
      </c>
      <c r="L2311" s="11">
        <v>4.4531175660290971</v>
      </c>
      <c r="N2311" s="12"/>
    </row>
    <row r="2312" spans="1:14" s="5" customFormat="1" ht="15" customHeight="1" x14ac:dyDescent="0.25">
      <c r="A2312" s="9" t="s">
        <v>4600</v>
      </c>
      <c r="C2312" s="9" t="str">
        <f>HYPERLINK("http://www.ncbi.nlm.nih.gov/protein/21450259","Exosc2")</f>
        <v>Exosc2</v>
      </c>
      <c r="D2312" s="10">
        <f t="shared" si="36"/>
        <v>5.3914456214341167</v>
      </c>
      <c r="F2312" s="8" t="str">
        <f>HYPERLINK("https://esbl.nhlbi.nih.gov/Databases/mpkFractions/proteomic_fractions_log_files/Yang_log_img/21450259.jpg","show blot")</f>
        <v>show blot</v>
      </c>
      <c r="H2312" s="8" t="str">
        <f>HYPERLINK("https://esbl.nhlbi.nih.gov/Databases/mpkFractions/proteomic_fractions_linear_files/Yang_linear_img/21450259.jpg","show blot")</f>
        <v>show blot</v>
      </c>
      <c r="J2312" s="5" t="s">
        <v>4601</v>
      </c>
      <c r="L2312" s="11">
        <v>5.3914456214341167</v>
      </c>
      <c r="N2312" s="12"/>
    </row>
    <row r="2313" spans="1:14" s="5" customFormat="1" ht="15" customHeight="1" x14ac:dyDescent="0.25">
      <c r="A2313" s="9" t="s">
        <v>4602</v>
      </c>
      <c r="C2313" s="9" t="str">
        <f>HYPERLINK("http://www.ncbi.nlm.nih.gov/protein/39930417","Exosc3")</f>
        <v>Exosc3</v>
      </c>
      <c r="D2313" s="10">
        <f t="shared" si="36"/>
        <v>5.2074301191409198</v>
      </c>
      <c r="F2313" s="8" t="str">
        <f>HYPERLINK("https://esbl.nhlbi.nih.gov/Databases/mpkFractions/proteomic_fractions_log_files/Yang_log_img/39930417.jpg","show blot")</f>
        <v>show blot</v>
      </c>
      <c r="H2313" s="8" t="str">
        <f>HYPERLINK("https://esbl.nhlbi.nih.gov/Databases/mpkFractions/proteomic_fractions_linear_files/Yang_linear_img/39930417.jpg","show blot")</f>
        <v>show blot</v>
      </c>
      <c r="J2313" s="5" t="s">
        <v>4603</v>
      </c>
      <c r="L2313" s="11">
        <v>5.2074301191409198</v>
      </c>
      <c r="N2313" s="12"/>
    </row>
    <row r="2314" spans="1:14" s="5" customFormat="1" ht="15" customHeight="1" x14ac:dyDescent="0.25">
      <c r="A2314" s="9" t="s">
        <v>4604</v>
      </c>
      <c r="C2314" s="9" t="str">
        <f>HYPERLINK("http://www.ncbi.nlm.nih.gov/protein/29611663","Exosc4")</f>
        <v>Exosc4</v>
      </c>
      <c r="D2314" s="10">
        <f t="shared" si="36"/>
        <v>4.8062578699671556</v>
      </c>
      <c r="F2314" s="8" t="str">
        <f>HYPERLINK("https://esbl.nhlbi.nih.gov/Databases/mpkFractions/proteomic_fractions_log_files/Yang_log_img/29611663.jpg","show blot")</f>
        <v>show blot</v>
      </c>
      <c r="H2314" s="8" t="str">
        <f>HYPERLINK("https://esbl.nhlbi.nih.gov/Databases/mpkFractions/proteomic_fractions_linear_files/Yang_linear_img/29611663.jpg","show blot")</f>
        <v>show blot</v>
      </c>
      <c r="J2314" s="5" t="s">
        <v>4605</v>
      </c>
      <c r="L2314" s="11">
        <v>4.8062578699671556</v>
      </c>
      <c r="N2314" s="12"/>
    </row>
    <row r="2315" spans="1:14" s="5" customFormat="1" ht="15" customHeight="1" x14ac:dyDescent="0.25">
      <c r="A2315" s="9" t="s">
        <v>4606</v>
      </c>
      <c r="C2315" s="9" t="str">
        <f>HYPERLINK("http://www.ncbi.nlm.nih.gov/protein/20070392","Exosc5")</f>
        <v>Exosc5</v>
      </c>
      <c r="D2315" s="10">
        <f t="shared" si="36"/>
        <v>4.9283934177548234</v>
      </c>
      <c r="F2315" s="8" t="str">
        <f>HYPERLINK("https://esbl.nhlbi.nih.gov/Databases/mpkFractions/proteomic_fractions_log_files/Yang_log_img/20070392.jpg","show blot")</f>
        <v>show blot</v>
      </c>
      <c r="H2315" s="8" t="str">
        <f>HYPERLINK("https://esbl.nhlbi.nih.gov/Databases/mpkFractions/proteomic_fractions_linear_files/Yang_linear_img/20070392.jpg","show blot")</f>
        <v>show blot</v>
      </c>
      <c r="J2315" s="5" t="s">
        <v>4607</v>
      </c>
      <c r="L2315" s="11">
        <v>4.9283934177548234</v>
      </c>
      <c r="N2315" s="12"/>
    </row>
    <row r="2316" spans="1:14" s="5" customFormat="1" ht="15" customHeight="1" x14ac:dyDescent="0.25">
      <c r="A2316" s="9" t="s">
        <v>4608</v>
      </c>
      <c r="C2316" s="9" t="str">
        <f>HYPERLINK("http://www.ncbi.nlm.nih.gov/protein/30794378","Exosc6")</f>
        <v>Exosc6</v>
      </c>
      <c r="D2316" s="10">
        <f t="shared" si="36"/>
        <v>5.4911205822698372</v>
      </c>
      <c r="F2316" s="8" t="str">
        <f>HYPERLINK("https://esbl.nhlbi.nih.gov/Databases/mpkFractions/proteomic_fractions_log_files/Yang_log_img/30794378.jpg","show blot")</f>
        <v>show blot</v>
      </c>
      <c r="H2316" s="8" t="str">
        <f>HYPERLINK("https://esbl.nhlbi.nih.gov/Databases/mpkFractions/proteomic_fractions_linear_files/Yang_linear_img/30794378.jpg","show blot")</f>
        <v>show blot</v>
      </c>
      <c r="J2316" s="5" t="s">
        <v>4609</v>
      </c>
      <c r="L2316" s="11">
        <v>5.4911205822698372</v>
      </c>
      <c r="N2316" s="12"/>
    </row>
    <row r="2317" spans="1:14" s="5" customFormat="1" ht="15" customHeight="1" x14ac:dyDescent="0.25">
      <c r="A2317" s="9" t="s">
        <v>4610</v>
      </c>
      <c r="C2317" s="9" t="str">
        <f>HYPERLINK("http://www.ncbi.nlm.nih.gov/protein/124487127","Exosc7")</f>
        <v>Exosc7</v>
      </c>
      <c r="D2317" s="10">
        <f t="shared" si="36"/>
        <v>5.2579287478353711</v>
      </c>
      <c r="F2317" s="8" t="str">
        <f>HYPERLINK("https://esbl.nhlbi.nih.gov/Databases/mpkFractions/proteomic_fractions_log_files/Yang_log_img/124487127.jpg","show blot")</f>
        <v>show blot</v>
      </c>
      <c r="H2317" s="8" t="str">
        <f>HYPERLINK("https://esbl.nhlbi.nih.gov/Databases/mpkFractions/proteomic_fractions_linear_files/Yang_linear_img/124487127.jpg","show blot")</f>
        <v>show blot</v>
      </c>
      <c r="J2317" s="5" t="s">
        <v>4611</v>
      </c>
      <c r="L2317" s="11">
        <v>5.2579287478353711</v>
      </c>
      <c r="N2317" s="12"/>
    </row>
    <row r="2318" spans="1:14" s="5" customFormat="1" ht="15" customHeight="1" x14ac:dyDescent="0.25">
      <c r="A2318" s="9" t="s">
        <v>4612</v>
      </c>
      <c r="C2318" s="9" t="str">
        <f>HYPERLINK("http://www.ncbi.nlm.nih.gov/protein/254675240","Exosc8")</f>
        <v>Exosc8</v>
      </c>
      <c r="D2318" s="10">
        <f t="shared" si="36"/>
        <v>5.2464743053353224</v>
      </c>
      <c r="F2318" s="8" t="str">
        <f>HYPERLINK("https://esbl.nhlbi.nih.gov/Databases/mpkFractions/proteomic_fractions_log_files/Yang_log_img/254675240.jpg","show blot")</f>
        <v>show blot</v>
      </c>
      <c r="H2318" s="8" t="str">
        <f>HYPERLINK("https://esbl.nhlbi.nih.gov/Databases/mpkFractions/proteomic_fractions_linear_files/Yang_linear_img/254675240.jpg","show blot")</f>
        <v>show blot</v>
      </c>
      <c r="J2318" s="5" t="s">
        <v>4613</v>
      </c>
      <c r="L2318" s="11">
        <v>5.2464743053353224</v>
      </c>
      <c r="N2318" s="12"/>
    </row>
    <row r="2319" spans="1:14" s="5" customFormat="1" ht="15" customHeight="1" x14ac:dyDescent="0.25">
      <c r="A2319" s="9" t="s">
        <v>4614</v>
      </c>
      <c r="C2319" s="9" t="str">
        <f>HYPERLINK("http://www.ncbi.nlm.nih.gov/protein/254692991","Exosc8")</f>
        <v>Exosc8</v>
      </c>
      <c r="D2319" s="10">
        <f t="shared" si="36"/>
        <v>5.2464743053353224</v>
      </c>
      <c r="F2319" s="8" t="str">
        <f>HYPERLINK("https://esbl.nhlbi.nih.gov/Databases/mpkFractions/proteomic_fractions_log_files/Yang_log_img/254692991.jpg","show blot")</f>
        <v>show blot</v>
      </c>
      <c r="H2319" s="8" t="str">
        <f>HYPERLINK("https://esbl.nhlbi.nih.gov/Databases/mpkFractions/proteomic_fractions_linear_files/Yang_linear_img/254692991.jpg","show blot")</f>
        <v>show blot</v>
      </c>
      <c r="J2319" s="5" t="s">
        <v>4615</v>
      </c>
      <c r="L2319" s="11">
        <v>5.2464743053353224</v>
      </c>
      <c r="N2319" s="12"/>
    </row>
    <row r="2320" spans="1:14" s="5" customFormat="1" ht="15" customHeight="1" x14ac:dyDescent="0.25">
      <c r="A2320" s="9" t="s">
        <v>4616</v>
      </c>
      <c r="C2320" s="9" t="str">
        <f>HYPERLINK("http://www.ncbi.nlm.nih.gov/protein/9506981","Exosc9")</f>
        <v>Exosc9</v>
      </c>
      <c r="D2320" s="10">
        <f t="shared" si="36"/>
        <v>5.5656892654708132</v>
      </c>
      <c r="F2320" s="8" t="str">
        <f>HYPERLINK("https://esbl.nhlbi.nih.gov/Databases/mpkFractions/proteomic_fractions_log_files/Yang_log_img/9506981.jpg","show blot")</f>
        <v>show blot</v>
      </c>
      <c r="H2320" s="8" t="str">
        <f>HYPERLINK("https://esbl.nhlbi.nih.gov/Databases/mpkFractions/proteomic_fractions_linear_files/Yang_linear_img/9506981.jpg","show blot")</f>
        <v>show blot</v>
      </c>
      <c r="J2320" s="5" t="s">
        <v>4617</v>
      </c>
      <c r="L2320" s="11">
        <v>5.5656892654708132</v>
      </c>
      <c r="N2320" s="12"/>
    </row>
    <row r="2321" spans="1:14" s="5" customFormat="1" ht="15" customHeight="1" x14ac:dyDescent="0.25">
      <c r="A2321" s="9" t="s">
        <v>4618</v>
      </c>
      <c r="C2321" s="9" t="str">
        <f>HYPERLINK("http://www.ncbi.nlm.nih.gov/protein/254553481","Extl2")</f>
        <v>Extl2</v>
      </c>
      <c r="D2321" s="10">
        <f t="shared" si="36"/>
        <v>1.5417761146467239</v>
      </c>
      <c r="F2321" s="8" t="str">
        <f>HYPERLINK("https://esbl.nhlbi.nih.gov/Databases/mpkFractions/proteomic_fractions_log_files/Yang_log_img/254553481.jpg","show blot")</f>
        <v>show blot</v>
      </c>
      <c r="H2321" s="8" t="str">
        <f>HYPERLINK("https://esbl.nhlbi.nih.gov/Databases/mpkFractions/proteomic_fractions_linear_files/Yang_linear_img/254553481.jpg","show blot")</f>
        <v>show blot</v>
      </c>
      <c r="J2321" s="5" t="s">
        <v>4619</v>
      </c>
      <c r="L2321" s="11">
        <v>1.5417761146467239</v>
      </c>
      <c r="N2321" s="12"/>
    </row>
    <row r="2322" spans="1:14" s="5" customFormat="1" ht="15" customHeight="1" x14ac:dyDescent="0.25">
      <c r="A2322" s="9" t="s">
        <v>4620</v>
      </c>
      <c r="C2322" s="9" t="str">
        <f>HYPERLINK("http://www.ncbi.nlm.nih.gov/protein/254553485","Extl2")</f>
        <v>Extl2</v>
      </c>
      <c r="D2322" s="10">
        <f t="shared" si="36"/>
        <v>1.5417761146467239</v>
      </c>
      <c r="F2322" s="8" t="str">
        <f>HYPERLINK("https://esbl.nhlbi.nih.gov/Databases/mpkFractions/proteomic_fractions_log_files/Yang_log_img/254553485.jpg","show blot")</f>
        <v>show blot</v>
      </c>
      <c r="H2322" s="8" t="str">
        <f>HYPERLINK("https://esbl.nhlbi.nih.gov/Databases/mpkFractions/proteomic_fractions_linear_files/Yang_linear_img/254553485.jpg","show blot")</f>
        <v>show blot</v>
      </c>
      <c r="J2322" s="5" t="s">
        <v>4621</v>
      </c>
      <c r="L2322" s="11">
        <v>1.5417761146467239</v>
      </c>
      <c r="N2322" s="12"/>
    </row>
    <row r="2323" spans="1:14" s="5" customFormat="1" ht="15" customHeight="1" x14ac:dyDescent="0.25">
      <c r="A2323" s="9" t="s">
        <v>4622</v>
      </c>
      <c r="C2323" s="9" t="str">
        <f>HYPERLINK("http://www.ncbi.nlm.nih.gov/protein/46877074","Eya3")</f>
        <v>Eya3</v>
      </c>
      <c r="D2323" s="10">
        <f t="shared" si="36"/>
        <v>2.6739897636376542</v>
      </c>
      <c r="F2323" s="8" t="str">
        <f>HYPERLINK("https://esbl.nhlbi.nih.gov/Databases/mpkFractions/proteomic_fractions_log_files/Yang_log_img/46877074.jpg","show blot")</f>
        <v>show blot</v>
      </c>
      <c r="H2323" s="8" t="str">
        <f>HYPERLINK("https://esbl.nhlbi.nih.gov/Databases/mpkFractions/proteomic_fractions_linear_files/Yang_linear_img/46877074.jpg","show blot")</f>
        <v>show blot</v>
      </c>
      <c r="J2323" s="5" t="s">
        <v>4623</v>
      </c>
      <c r="L2323" s="11">
        <v>2.6739897636376542</v>
      </c>
      <c r="N2323" s="12"/>
    </row>
    <row r="2324" spans="1:14" s="5" customFormat="1" ht="15" customHeight="1" x14ac:dyDescent="0.25">
      <c r="A2324" s="9" t="s">
        <v>4624</v>
      </c>
      <c r="C2324" s="9" t="str">
        <f>HYPERLINK("http://www.ncbi.nlm.nih.gov/protein/46877076","Eya3")</f>
        <v>Eya3</v>
      </c>
      <c r="D2324" s="10">
        <f t="shared" si="36"/>
        <v>2.6739897636376542</v>
      </c>
      <c r="F2324" s="8" t="str">
        <f>HYPERLINK("https://esbl.nhlbi.nih.gov/Databases/mpkFractions/proteomic_fractions_log_files/Yang_log_img/46877076.jpg","show blot")</f>
        <v>show blot</v>
      </c>
      <c r="H2324" s="8" t="str">
        <f>HYPERLINK("https://esbl.nhlbi.nih.gov/Databases/mpkFractions/proteomic_fractions_linear_files/Yang_linear_img/46877076.jpg","show blot")</f>
        <v>show blot</v>
      </c>
      <c r="J2324" s="5" t="s">
        <v>4625</v>
      </c>
      <c r="L2324" s="11">
        <v>2.6739897636376542</v>
      </c>
      <c r="N2324" s="12"/>
    </row>
    <row r="2325" spans="1:14" s="5" customFormat="1" ht="15" customHeight="1" x14ac:dyDescent="0.25">
      <c r="A2325" s="9" t="s">
        <v>4626</v>
      </c>
      <c r="C2325" s="9" t="str">
        <f>HYPERLINK("http://www.ncbi.nlm.nih.gov/protein/46877080","Eya3")</f>
        <v>Eya3</v>
      </c>
      <c r="D2325" s="10">
        <f t="shared" si="36"/>
        <v>2.6739897636376542</v>
      </c>
      <c r="F2325" s="8" t="str">
        <f>HYPERLINK("https://esbl.nhlbi.nih.gov/Databases/mpkFractions/proteomic_fractions_log_files/Yang_log_img/46877080.jpg","show blot")</f>
        <v>show blot</v>
      </c>
      <c r="H2325" s="8" t="str">
        <f>HYPERLINK("https://esbl.nhlbi.nih.gov/Databases/mpkFractions/proteomic_fractions_linear_files/Yang_linear_img/46877080.jpg","show blot")</f>
        <v>show blot</v>
      </c>
      <c r="J2325" s="5" t="s">
        <v>4627</v>
      </c>
      <c r="L2325" s="11">
        <v>2.6739897636376542</v>
      </c>
      <c r="N2325" s="12"/>
    </row>
    <row r="2326" spans="1:14" s="5" customFormat="1" ht="15" customHeight="1" x14ac:dyDescent="0.25">
      <c r="A2326" s="9" t="s">
        <v>4628</v>
      </c>
      <c r="C2326" s="9" t="str">
        <f>HYPERLINK("http://www.ncbi.nlm.nih.gov/protein/83921618","Ezr")</f>
        <v>Ezr</v>
      </c>
      <c r="D2326" s="10">
        <f t="shared" si="36"/>
        <v>6.808861629677124</v>
      </c>
      <c r="F2326" s="8" t="str">
        <f>HYPERLINK("https://esbl.nhlbi.nih.gov/Databases/mpkFractions/proteomic_fractions_log_files/Yang_log_img/83921618.jpg","show blot")</f>
        <v>show blot</v>
      </c>
      <c r="H2326" s="8" t="str">
        <f>HYPERLINK("https://esbl.nhlbi.nih.gov/Databases/mpkFractions/proteomic_fractions_linear_files/Yang_linear_img/83921618.jpg","show blot")</f>
        <v>show blot</v>
      </c>
      <c r="J2326" s="5" t="s">
        <v>4629</v>
      </c>
      <c r="L2326" s="11">
        <v>6.808861629677124</v>
      </c>
      <c r="N2326" s="12"/>
    </row>
    <row r="2327" spans="1:14" s="5" customFormat="1" ht="15" customHeight="1" x14ac:dyDescent="0.25">
      <c r="A2327" s="9" t="s">
        <v>4630</v>
      </c>
      <c r="C2327" s="9" t="str">
        <f>HYPERLINK("http://www.ncbi.nlm.nih.gov/protein/27734847","F11r")</f>
        <v>F11r</v>
      </c>
      <c r="D2327" s="10">
        <f t="shared" si="36"/>
        <v>5.8327496823266323</v>
      </c>
      <c r="F2327" s="8" t="str">
        <f>HYPERLINK("https://esbl.nhlbi.nih.gov/Databases/mpkFractions/proteomic_fractions_log_files/Yang_log_img/27734847.jpg","show blot")</f>
        <v>show blot</v>
      </c>
      <c r="H2327" s="8" t="str">
        <f>HYPERLINK("https://esbl.nhlbi.nih.gov/Databases/mpkFractions/proteomic_fractions_linear_files/Yang_linear_img/27734847.jpg","show blot")</f>
        <v>show blot</v>
      </c>
      <c r="J2327" s="5" t="s">
        <v>4631</v>
      </c>
      <c r="L2327" s="11">
        <v>5.8327496823266323</v>
      </c>
      <c r="N2327" s="12"/>
    </row>
    <row r="2328" spans="1:14" s="5" customFormat="1" ht="15" customHeight="1" x14ac:dyDescent="0.25">
      <c r="A2328" s="9" t="s">
        <v>4632</v>
      </c>
      <c r="C2328" s="9" t="str">
        <f>HYPERLINK("http://www.ncbi.nlm.nih.gov/protein/6753798","F2")</f>
        <v>F2</v>
      </c>
      <c r="D2328" s="10">
        <f t="shared" si="36"/>
        <v>3.482278768454516</v>
      </c>
      <c r="F2328" s="8" t="str">
        <f>HYPERLINK("https://esbl.nhlbi.nih.gov/Databases/mpkFractions/proteomic_fractions_log_files/Yang_log_img/6753798.jpg","show blot")</f>
        <v>show blot</v>
      </c>
      <c r="H2328" s="8" t="str">
        <f>HYPERLINK("https://esbl.nhlbi.nih.gov/Databases/mpkFractions/proteomic_fractions_linear_files/Yang_linear_img/6753798.jpg","show blot")</f>
        <v>show blot</v>
      </c>
      <c r="J2328" s="5" t="s">
        <v>4633</v>
      </c>
      <c r="L2328" s="11">
        <v>3.482278768454516</v>
      </c>
      <c r="N2328" s="12"/>
    </row>
    <row r="2329" spans="1:14" s="5" customFormat="1" ht="15" customHeight="1" x14ac:dyDescent="0.25">
      <c r="A2329" s="9" t="s">
        <v>4634</v>
      </c>
      <c r="C2329" s="9" t="str">
        <f>HYPERLINK("http://www.ncbi.nlm.nih.gov/protein/170172540","F3")</f>
        <v>F3</v>
      </c>
      <c r="D2329" s="10">
        <f t="shared" si="36"/>
        <v>5.5550717988657556</v>
      </c>
      <c r="F2329" s="8" t="str">
        <f>HYPERLINK("https://esbl.nhlbi.nih.gov/Databases/mpkFractions/proteomic_fractions_log_files/Yang_log_img/170172540.jpg","show blot")</f>
        <v>show blot</v>
      </c>
      <c r="H2329" s="8" t="str">
        <f>HYPERLINK("https://esbl.nhlbi.nih.gov/Databases/mpkFractions/proteomic_fractions_linear_files/Yang_linear_img/170172540.jpg","show blot")</f>
        <v>show blot</v>
      </c>
      <c r="J2329" s="5" t="s">
        <v>4635</v>
      </c>
      <c r="L2329" s="11">
        <v>5.5550717988657556</v>
      </c>
      <c r="N2329" s="12"/>
    </row>
    <row r="2330" spans="1:14" s="5" customFormat="1" ht="15" customHeight="1" x14ac:dyDescent="0.25">
      <c r="A2330" s="9" t="s">
        <v>4636</v>
      </c>
      <c r="C2330" s="9" t="str">
        <f>HYPERLINK("http://www.ncbi.nlm.nih.gov/protein/83921576","F8a")</f>
        <v>F8a</v>
      </c>
      <c r="D2330" s="10">
        <f t="shared" si="36"/>
        <v>3.8119411920087312</v>
      </c>
      <c r="F2330" s="8" t="str">
        <f>HYPERLINK("https://esbl.nhlbi.nih.gov/Databases/mpkFractions/proteomic_fractions_log_files/Yang_log_img/83921576.jpg","show blot")</f>
        <v>show blot</v>
      </c>
      <c r="H2330" s="8" t="str">
        <f>HYPERLINK("https://esbl.nhlbi.nih.gov/Databases/mpkFractions/proteomic_fractions_linear_files/Yang_linear_img/83921576.jpg","show blot")</f>
        <v>show blot</v>
      </c>
      <c r="J2330" s="5" t="s">
        <v>4637</v>
      </c>
      <c r="L2330" s="11">
        <v>3.8119411920087312</v>
      </c>
      <c r="N2330" s="12"/>
    </row>
    <row r="2331" spans="1:14" s="5" customFormat="1" ht="15" customHeight="1" x14ac:dyDescent="0.25">
      <c r="A2331" s="9" t="s">
        <v>4638</v>
      </c>
      <c r="C2331" s="9" t="str">
        <f>HYPERLINK("http://www.ncbi.nlm.nih.gov/protein/226443015","Faah")</f>
        <v>Faah</v>
      </c>
      <c r="D2331" s="10">
        <f t="shared" si="36"/>
        <v>4.2204301262162707</v>
      </c>
      <c r="F2331" s="8" t="str">
        <f>HYPERLINK("https://esbl.nhlbi.nih.gov/Databases/mpkFractions/proteomic_fractions_log_files/Yang_log_img/226443015.jpg","show blot")</f>
        <v>show blot</v>
      </c>
      <c r="H2331" s="8" t="str">
        <f>HYPERLINK("https://esbl.nhlbi.nih.gov/Databases/mpkFractions/proteomic_fractions_linear_files/Yang_linear_img/226443015.jpg","show blot")</f>
        <v>show blot</v>
      </c>
      <c r="J2331" s="5" t="s">
        <v>4639</v>
      </c>
      <c r="L2331" s="11">
        <v>4.2204301262162707</v>
      </c>
      <c r="N2331" s="12"/>
    </row>
    <row r="2332" spans="1:14" s="5" customFormat="1" ht="15" customHeight="1" x14ac:dyDescent="0.25">
      <c r="A2332" s="9" t="s">
        <v>4640</v>
      </c>
      <c r="C2332" s="9" t="str">
        <f>HYPERLINK("http://www.ncbi.nlm.nih.gov/protein/22164784","Fads1")</f>
        <v>Fads1</v>
      </c>
      <c r="D2332" s="10">
        <f t="shared" si="36"/>
        <v>4.7961855382725691</v>
      </c>
      <c r="F2332" s="8" t="str">
        <f>HYPERLINK("https://esbl.nhlbi.nih.gov/Databases/mpkFractions/proteomic_fractions_log_files/Yang_log_img/22164784.jpg","show blot")</f>
        <v>show blot</v>
      </c>
      <c r="H2332" s="8" t="str">
        <f>HYPERLINK("https://esbl.nhlbi.nih.gov/Databases/mpkFractions/proteomic_fractions_linear_files/Yang_linear_img/22164784.jpg","show blot")</f>
        <v>show blot</v>
      </c>
      <c r="J2332" s="5" t="s">
        <v>4641</v>
      </c>
      <c r="L2332" s="11">
        <v>4.7961855382725691</v>
      </c>
      <c r="N2332" s="12"/>
    </row>
    <row r="2333" spans="1:14" s="5" customFormat="1" ht="15" customHeight="1" x14ac:dyDescent="0.25">
      <c r="A2333" s="9" t="s">
        <v>4642</v>
      </c>
      <c r="C2333" s="9" t="str">
        <f>HYPERLINK("http://www.ncbi.nlm.nih.gov/protein/9790071","Fads2")</f>
        <v>Fads2</v>
      </c>
      <c r="D2333" s="10">
        <f t="shared" si="36"/>
        <v>4.8966608725642748</v>
      </c>
      <c r="F2333" s="8" t="str">
        <f>HYPERLINK("https://esbl.nhlbi.nih.gov/Databases/mpkFractions/proteomic_fractions_log_files/Yang_log_img/9790071.jpg","show blot")</f>
        <v>show blot</v>
      </c>
      <c r="H2333" s="8" t="str">
        <f>HYPERLINK("https://esbl.nhlbi.nih.gov/Databases/mpkFractions/proteomic_fractions_linear_files/Yang_linear_img/9790071.jpg","show blot")</f>
        <v>show blot</v>
      </c>
      <c r="J2333" s="5" t="s">
        <v>4643</v>
      </c>
      <c r="L2333" s="11">
        <v>4.8966608725642748</v>
      </c>
      <c r="N2333" s="12"/>
    </row>
    <row r="2334" spans="1:14" s="5" customFormat="1" ht="15" customHeight="1" x14ac:dyDescent="0.25">
      <c r="A2334" s="9" t="s">
        <v>4644</v>
      </c>
      <c r="C2334" s="9" t="str">
        <f>HYPERLINK("http://www.ncbi.nlm.nih.gov/protein/40789280","Faf1")</f>
        <v>Faf1</v>
      </c>
      <c r="D2334" s="10">
        <f t="shared" si="36"/>
        <v>4.6644025929122774</v>
      </c>
      <c r="F2334" s="8" t="str">
        <f>HYPERLINK("https://esbl.nhlbi.nih.gov/Databases/mpkFractions/proteomic_fractions_log_files/Yang_log_img/40789280.jpg","show blot")</f>
        <v>show blot</v>
      </c>
      <c r="H2334" s="8" t="str">
        <f>HYPERLINK("https://esbl.nhlbi.nih.gov/Databases/mpkFractions/proteomic_fractions_linear_files/Yang_linear_img/40789280.jpg","show blot")</f>
        <v>show blot</v>
      </c>
      <c r="J2334" s="5" t="s">
        <v>4645</v>
      </c>
      <c r="L2334" s="11">
        <v>4.6644025929122774</v>
      </c>
      <c r="N2334" s="12"/>
    </row>
    <row r="2335" spans="1:14" s="5" customFormat="1" ht="15" customHeight="1" x14ac:dyDescent="0.25">
      <c r="A2335" s="9" t="s">
        <v>4646</v>
      </c>
      <c r="C2335" s="9" t="str">
        <f>HYPERLINK("http://www.ncbi.nlm.nih.gov/protein/158533976","Faf2")</f>
        <v>Faf2</v>
      </c>
      <c r="D2335" s="10">
        <f t="shared" si="36"/>
        <v>5.0404396406342062</v>
      </c>
      <c r="F2335" s="8" t="str">
        <f>HYPERLINK("https://esbl.nhlbi.nih.gov/Databases/mpkFractions/proteomic_fractions_log_files/Yang_log_img/158533976.jpg","show blot")</f>
        <v>show blot</v>
      </c>
      <c r="H2335" s="8" t="str">
        <f>HYPERLINK("https://esbl.nhlbi.nih.gov/Databases/mpkFractions/proteomic_fractions_linear_files/Yang_linear_img/158533976.jpg","show blot")</f>
        <v>show blot</v>
      </c>
      <c r="J2335" s="5" t="s">
        <v>4647</v>
      </c>
      <c r="L2335" s="11">
        <v>5.0404396406342062</v>
      </c>
      <c r="N2335" s="12"/>
    </row>
    <row r="2336" spans="1:14" s="5" customFormat="1" ht="15" customHeight="1" x14ac:dyDescent="0.25">
      <c r="A2336" s="9" t="s">
        <v>4648</v>
      </c>
      <c r="C2336" s="9" t="str">
        <f>HYPERLINK("http://www.ncbi.nlm.nih.gov/protein/240120112","Fah")</f>
        <v>Fah</v>
      </c>
      <c r="D2336" s="10">
        <f t="shared" si="36"/>
        <v>4.3945684726598886</v>
      </c>
      <c r="F2336" s="8" t="str">
        <f>HYPERLINK("https://esbl.nhlbi.nih.gov/Databases/mpkFractions/proteomic_fractions_log_files/Yang_log_img/240120112.jpg","show blot")</f>
        <v>show blot</v>
      </c>
      <c r="H2336" s="8" t="str">
        <f>HYPERLINK("https://esbl.nhlbi.nih.gov/Databases/mpkFractions/proteomic_fractions_linear_files/Yang_linear_img/240120112.jpg","show blot")</f>
        <v>show blot</v>
      </c>
      <c r="J2336" s="5" t="s">
        <v>4649</v>
      </c>
      <c r="L2336" s="11">
        <v>4.3945684726598886</v>
      </c>
      <c r="N2336" s="12"/>
    </row>
    <row r="2337" spans="1:14" s="5" customFormat="1" ht="15" customHeight="1" x14ac:dyDescent="0.25">
      <c r="A2337" s="9" t="s">
        <v>4650</v>
      </c>
      <c r="C2337" s="9" t="str">
        <f>HYPERLINK("http://www.ncbi.nlm.nih.gov/protein/12963697","Fahd1")</f>
        <v>Fahd1</v>
      </c>
      <c r="D2337" s="10">
        <f t="shared" si="36"/>
        <v>4.8955655295933864</v>
      </c>
      <c r="F2337" s="8" t="str">
        <f>HYPERLINK("https://esbl.nhlbi.nih.gov/Databases/mpkFractions/proteomic_fractions_log_files/Yang_log_img/12963697.jpg","show blot")</f>
        <v>show blot</v>
      </c>
      <c r="H2337" s="8" t="str">
        <f>HYPERLINK("https://esbl.nhlbi.nih.gov/Databases/mpkFractions/proteomic_fractions_linear_files/Yang_linear_img/12963697.jpg","show blot")</f>
        <v>show blot</v>
      </c>
      <c r="J2337" s="5" t="s">
        <v>4651</v>
      </c>
      <c r="L2337" s="11">
        <v>4.8955655295933864</v>
      </c>
      <c r="N2337" s="12"/>
    </row>
    <row r="2338" spans="1:14" s="5" customFormat="1" ht="15" customHeight="1" x14ac:dyDescent="0.25">
      <c r="A2338" s="9" t="s">
        <v>4652</v>
      </c>
      <c r="C2338" s="9" t="str">
        <f>HYPERLINK("http://www.ncbi.nlm.nih.gov/protein/29366814","Fahd2a")</f>
        <v>Fahd2a</v>
      </c>
      <c r="D2338" s="10">
        <f t="shared" si="36"/>
        <v>4.416682515587099</v>
      </c>
      <c r="F2338" s="8" t="str">
        <f>HYPERLINK("https://esbl.nhlbi.nih.gov/Databases/mpkFractions/proteomic_fractions_log_files/Yang_log_img/29366814.jpg","show blot")</f>
        <v>show blot</v>
      </c>
      <c r="H2338" s="8" t="str">
        <f>HYPERLINK("https://esbl.nhlbi.nih.gov/Databases/mpkFractions/proteomic_fractions_linear_files/Yang_linear_img/29366814.jpg","show blot")</f>
        <v>show blot</v>
      </c>
      <c r="J2338" s="5" t="s">
        <v>4653</v>
      </c>
      <c r="L2338" s="11">
        <v>4.416682515587099</v>
      </c>
      <c r="N2338" s="12"/>
    </row>
    <row r="2339" spans="1:14" s="5" customFormat="1" ht="15" customHeight="1" x14ac:dyDescent="0.25">
      <c r="A2339" s="9" t="s">
        <v>4654</v>
      </c>
      <c r="C2339" s="9" t="str">
        <f>HYPERLINK("http://www.ncbi.nlm.nih.gov/protein/171184428","Faim")</f>
        <v>Faim</v>
      </c>
      <c r="D2339" s="10">
        <f t="shared" si="36"/>
        <v>4.3069022417761662</v>
      </c>
      <c r="F2339" s="8" t="str">
        <f>HYPERLINK("https://esbl.nhlbi.nih.gov/Databases/mpkFractions/proteomic_fractions_log_files/Yang_log_img/171184428.jpg","show blot")</f>
        <v>show blot</v>
      </c>
      <c r="H2339" s="8" t="str">
        <f>HYPERLINK("https://esbl.nhlbi.nih.gov/Databases/mpkFractions/proteomic_fractions_linear_files/Yang_linear_img/171184428.jpg","show blot")</f>
        <v>show blot</v>
      </c>
      <c r="J2339" s="5" t="s">
        <v>4655</v>
      </c>
      <c r="L2339" s="11">
        <v>4.3069022417761662</v>
      </c>
      <c r="N2339" s="12"/>
    </row>
    <row r="2340" spans="1:14" s="5" customFormat="1" ht="15" customHeight="1" x14ac:dyDescent="0.25">
      <c r="A2340" s="9" t="s">
        <v>4656</v>
      </c>
      <c r="C2340" s="9" t="str">
        <f>HYPERLINK("http://www.ncbi.nlm.nih.gov/protein/171184430","Faim")</f>
        <v>Faim</v>
      </c>
      <c r="D2340" s="10">
        <f t="shared" si="36"/>
        <v>4.3069022417761662</v>
      </c>
      <c r="F2340" s="8" t="str">
        <f>HYPERLINK("https://esbl.nhlbi.nih.gov/Databases/mpkFractions/proteomic_fractions_log_files/Yang_log_img/171184430.jpg","show blot")</f>
        <v>show blot</v>
      </c>
      <c r="H2340" s="8" t="str">
        <f>HYPERLINK("https://esbl.nhlbi.nih.gov/Databases/mpkFractions/proteomic_fractions_linear_files/Yang_linear_img/171184430.jpg","show blot")</f>
        <v>show blot</v>
      </c>
      <c r="J2340" s="5" t="s">
        <v>4657</v>
      </c>
      <c r="L2340" s="11">
        <v>4.3069022417761662</v>
      </c>
      <c r="N2340" s="12"/>
    </row>
    <row r="2341" spans="1:14" s="5" customFormat="1" ht="15" customHeight="1" x14ac:dyDescent="0.25">
      <c r="A2341" s="9" t="s">
        <v>4658</v>
      </c>
      <c r="C2341" s="9" t="str">
        <f>HYPERLINK("http://www.ncbi.nlm.nih.gov/protein/254675227","Fam102b")</f>
        <v>Fam102b</v>
      </c>
      <c r="D2341" s="10">
        <f t="shared" si="36"/>
        <v>3.3941490670436112</v>
      </c>
      <c r="F2341" s="8" t="str">
        <f>HYPERLINK("https://esbl.nhlbi.nih.gov/Databases/mpkFractions/proteomic_fractions_log_files/Yang_log_img/254675227.jpg","show blot")</f>
        <v>show blot</v>
      </c>
      <c r="H2341" s="8" t="str">
        <f>HYPERLINK("https://esbl.nhlbi.nih.gov/Databases/mpkFractions/proteomic_fractions_linear_files/Yang_linear_img/254675227.jpg","show blot")</f>
        <v>show blot</v>
      </c>
      <c r="J2341" s="5" t="s">
        <v>4659</v>
      </c>
      <c r="L2341" s="11">
        <v>3.3941490670436112</v>
      </c>
      <c r="N2341" s="12"/>
    </row>
    <row r="2342" spans="1:14" s="5" customFormat="1" ht="15" customHeight="1" x14ac:dyDescent="0.25">
      <c r="A2342" s="9" t="s">
        <v>4660</v>
      </c>
      <c r="C2342" s="9" t="str">
        <f>HYPERLINK("http://www.ncbi.nlm.nih.gov/protein/149588667","Fam104a")</f>
        <v>Fam104a</v>
      </c>
      <c r="D2342" s="10">
        <f t="shared" si="36"/>
        <v>2.8912721695784391</v>
      </c>
      <c r="F2342" s="8" t="str">
        <f>HYPERLINK("https://esbl.nhlbi.nih.gov/Databases/mpkFractions/proteomic_fractions_log_files/Yang_log_img/149588667.jpg","show blot")</f>
        <v>show blot</v>
      </c>
      <c r="H2342" s="8" t="str">
        <f>HYPERLINK("https://esbl.nhlbi.nih.gov/Databases/mpkFractions/proteomic_fractions_linear_files/Yang_linear_img/149588667.jpg","show blot")</f>
        <v>show blot</v>
      </c>
      <c r="J2342" s="5" t="s">
        <v>4661</v>
      </c>
      <c r="L2342" s="11">
        <v>2.8912721695784391</v>
      </c>
      <c r="N2342" s="12"/>
    </row>
    <row r="2343" spans="1:14" s="5" customFormat="1" ht="15" customHeight="1" x14ac:dyDescent="0.25">
      <c r="A2343" s="9" t="s">
        <v>4662</v>
      </c>
      <c r="C2343" s="9" t="str">
        <f>HYPERLINK("http://www.ncbi.nlm.nih.gov/protein/13385088","Fam107b")</f>
        <v>Fam107b</v>
      </c>
      <c r="D2343" s="10">
        <f t="shared" si="36"/>
        <v>5.4571625549350662</v>
      </c>
      <c r="F2343" s="8" t="str">
        <f>HYPERLINK("https://esbl.nhlbi.nih.gov/Databases/mpkFractions/proteomic_fractions_log_files/Yang_log_img/13385088.jpg","show blot")</f>
        <v>show blot</v>
      </c>
      <c r="H2343" s="8" t="str">
        <f>HYPERLINK("https://esbl.nhlbi.nih.gov/Databases/mpkFractions/proteomic_fractions_linear_files/Yang_linear_img/13385088.jpg","show blot")</f>
        <v>show blot</v>
      </c>
      <c r="J2343" s="5" t="s">
        <v>4663</v>
      </c>
      <c r="L2343" s="11">
        <v>5.4571625549350662</v>
      </c>
      <c r="N2343" s="12"/>
    </row>
    <row r="2344" spans="1:14" s="5" customFormat="1" ht="15" customHeight="1" x14ac:dyDescent="0.25">
      <c r="A2344" s="9" t="s">
        <v>4664</v>
      </c>
      <c r="C2344" s="9" t="str">
        <f>HYPERLINK("http://www.ncbi.nlm.nih.gov/protein/170650597","Fam114a1")</f>
        <v>Fam114a1</v>
      </c>
      <c r="D2344" s="10">
        <f t="shared" si="36"/>
        <v>3.6439255298121669</v>
      </c>
      <c r="F2344" s="8" t="str">
        <f>HYPERLINK("https://esbl.nhlbi.nih.gov/Databases/mpkFractions/proteomic_fractions_log_files/Yang_log_img/170650597.jpg","show blot")</f>
        <v>show blot</v>
      </c>
      <c r="H2344" s="8" t="str">
        <f>HYPERLINK("https://esbl.nhlbi.nih.gov/Databases/mpkFractions/proteomic_fractions_linear_files/Yang_linear_img/170650597.jpg","show blot")</f>
        <v>show blot</v>
      </c>
      <c r="J2344" s="5" t="s">
        <v>4665</v>
      </c>
      <c r="L2344" s="11">
        <v>3.6439255298121669</v>
      </c>
      <c r="N2344" s="12"/>
    </row>
    <row r="2345" spans="1:14" s="5" customFormat="1" ht="15" customHeight="1" x14ac:dyDescent="0.25">
      <c r="A2345" s="9" t="s">
        <v>4666</v>
      </c>
      <c r="C2345" s="9" t="str">
        <f>HYPERLINK("http://www.ncbi.nlm.nih.gov/protein/21312816","Fam114a2")</f>
        <v>Fam114a2</v>
      </c>
      <c r="D2345" s="10">
        <f t="shared" si="36"/>
        <v>4.4850789220927432</v>
      </c>
      <c r="F2345" s="8" t="str">
        <f>HYPERLINK("https://esbl.nhlbi.nih.gov/Databases/mpkFractions/proteomic_fractions_log_files/Yang_log_img/21312816.jpg","show blot")</f>
        <v>show blot</v>
      </c>
      <c r="H2345" s="8" t="str">
        <f>HYPERLINK("https://esbl.nhlbi.nih.gov/Databases/mpkFractions/proteomic_fractions_linear_files/Yang_linear_img/21312816.jpg","show blot")</f>
        <v>show blot</v>
      </c>
      <c r="J2345" s="5" t="s">
        <v>4667</v>
      </c>
      <c r="L2345" s="11">
        <v>4.4850789220927432</v>
      </c>
      <c r="N2345" s="12"/>
    </row>
    <row r="2346" spans="1:14" s="5" customFormat="1" ht="15" customHeight="1" x14ac:dyDescent="0.25">
      <c r="A2346" s="9" t="s">
        <v>4668</v>
      </c>
      <c r="C2346" s="9" t="str">
        <f>HYPERLINK("http://www.ncbi.nlm.nih.gov/protein/281183372","Fam114a2")</f>
        <v>Fam114a2</v>
      </c>
      <c r="D2346" s="10">
        <f t="shared" si="36"/>
        <v>4.4850789220927432</v>
      </c>
      <c r="F2346" s="8" t="str">
        <f>HYPERLINK("https://esbl.nhlbi.nih.gov/Databases/mpkFractions/proteomic_fractions_log_files/Yang_log_img/281183372.jpg","show blot")</f>
        <v>show blot</v>
      </c>
      <c r="H2346" s="8" t="str">
        <f>HYPERLINK("https://esbl.nhlbi.nih.gov/Databases/mpkFractions/proteomic_fractions_linear_files/Yang_linear_img/281183372.jpg","show blot")</f>
        <v>show blot</v>
      </c>
      <c r="J2346" s="5" t="s">
        <v>4669</v>
      </c>
      <c r="L2346" s="11">
        <v>4.4850789220927432</v>
      </c>
      <c r="N2346" s="12"/>
    </row>
    <row r="2347" spans="1:14" s="5" customFormat="1" ht="15" customHeight="1" x14ac:dyDescent="0.25">
      <c r="A2347" s="9" t="s">
        <v>4670</v>
      </c>
      <c r="C2347" s="9" t="str">
        <f>HYPERLINK("http://www.ncbi.nlm.nih.gov/protein/19526958","Fam118a")</f>
        <v>Fam118a</v>
      </c>
      <c r="D2347" s="10">
        <f t="shared" si="36"/>
        <v>3.1723003174272542</v>
      </c>
      <c r="F2347" s="8" t="str">
        <f>HYPERLINK("https://esbl.nhlbi.nih.gov/Databases/mpkFractions/proteomic_fractions_log_files/Yang_log_img/19526958.jpg","show blot")</f>
        <v>show blot</v>
      </c>
      <c r="H2347" s="8" t="str">
        <f>HYPERLINK("https://esbl.nhlbi.nih.gov/Databases/mpkFractions/proteomic_fractions_linear_files/Yang_linear_img/19526958.jpg","show blot")</f>
        <v>show blot</v>
      </c>
      <c r="J2347" s="5" t="s">
        <v>4671</v>
      </c>
      <c r="L2347" s="11">
        <v>3.1723003174272542</v>
      </c>
      <c r="N2347" s="12"/>
    </row>
    <row r="2348" spans="1:14" s="5" customFormat="1" ht="15" customHeight="1" x14ac:dyDescent="0.25">
      <c r="A2348" s="9" t="s">
        <v>4672</v>
      </c>
      <c r="C2348" s="9" t="str">
        <f>HYPERLINK("http://www.ncbi.nlm.nih.gov/protein/30425122","Fam118b")</f>
        <v>Fam118b</v>
      </c>
      <c r="D2348" s="10">
        <f t="shared" si="36"/>
        <v>3.1738541454958762</v>
      </c>
      <c r="F2348" s="8" t="str">
        <f>HYPERLINK("https://esbl.nhlbi.nih.gov/Databases/mpkFractions/proteomic_fractions_log_files/Yang_log_img/30425122.jpg","show blot")</f>
        <v>show blot</v>
      </c>
      <c r="H2348" s="8" t="str">
        <f>HYPERLINK("https://esbl.nhlbi.nih.gov/Databases/mpkFractions/proteomic_fractions_linear_files/Yang_linear_img/30425122.jpg","show blot")</f>
        <v>show blot</v>
      </c>
      <c r="J2348" s="5" t="s">
        <v>4673</v>
      </c>
      <c r="L2348" s="11">
        <v>3.1738541454958762</v>
      </c>
      <c r="N2348" s="12"/>
    </row>
    <row r="2349" spans="1:14" s="5" customFormat="1" ht="15" customHeight="1" x14ac:dyDescent="0.25">
      <c r="A2349" s="9" t="s">
        <v>4674</v>
      </c>
      <c r="C2349" s="9" t="str">
        <f>HYPERLINK("http://www.ncbi.nlm.nih.gov/protein/34787417","Fam118b")</f>
        <v>Fam118b</v>
      </c>
      <c r="D2349" s="10">
        <f t="shared" si="36"/>
        <v>3.1738541454958762</v>
      </c>
      <c r="F2349" s="8" t="str">
        <f>HYPERLINK("https://esbl.nhlbi.nih.gov/Databases/mpkFractions/proteomic_fractions_log_files/Yang_log_img/34787417.jpg","show blot")</f>
        <v>show blot</v>
      </c>
      <c r="H2349" s="8" t="str">
        <f>HYPERLINK("https://esbl.nhlbi.nih.gov/Databases/mpkFractions/proteomic_fractions_linear_files/Yang_linear_img/34787417.jpg","show blot")</f>
        <v>show blot</v>
      </c>
      <c r="J2349" s="5" t="s">
        <v>4675</v>
      </c>
      <c r="L2349" s="11">
        <v>3.1738541454958762</v>
      </c>
      <c r="N2349" s="12"/>
    </row>
    <row r="2350" spans="1:14" s="5" customFormat="1" ht="15" customHeight="1" x14ac:dyDescent="0.25">
      <c r="A2350" s="9" t="s">
        <v>4676</v>
      </c>
      <c r="C2350" s="9" t="str">
        <f>HYPERLINK("http://www.ncbi.nlm.nih.gov/protein/126090857","Fam120a")</f>
        <v>Fam120a</v>
      </c>
      <c r="D2350" s="10">
        <f t="shared" si="36"/>
        <v>5.5514893642360184</v>
      </c>
      <c r="F2350" s="8" t="str">
        <f>HYPERLINK("https://esbl.nhlbi.nih.gov/Databases/mpkFractions/proteomic_fractions_log_files/Yang_log_img/126090857.jpg","show blot")</f>
        <v>show blot</v>
      </c>
      <c r="H2350" s="8" t="str">
        <f>HYPERLINK("https://esbl.nhlbi.nih.gov/Databases/mpkFractions/proteomic_fractions_linear_files/Yang_linear_img/126090857.jpg","show blot")</f>
        <v>show blot</v>
      </c>
      <c r="J2350" s="5" t="s">
        <v>4677</v>
      </c>
      <c r="L2350" s="11">
        <v>5.5514893642360184</v>
      </c>
      <c r="N2350" s="12"/>
    </row>
    <row r="2351" spans="1:14" s="5" customFormat="1" ht="15" customHeight="1" x14ac:dyDescent="0.25">
      <c r="A2351" s="9" t="s">
        <v>4678</v>
      </c>
      <c r="C2351" s="9" t="str">
        <f>HYPERLINK("http://www.ncbi.nlm.nih.gov/protein/126723307","Fam120c")</f>
        <v>Fam120c</v>
      </c>
      <c r="D2351" s="10">
        <f t="shared" si="36"/>
        <v>3.2858759747186999</v>
      </c>
      <c r="F2351" s="8" t="str">
        <f>HYPERLINK("https://esbl.nhlbi.nih.gov/Databases/mpkFractions/proteomic_fractions_log_files/Yang_log_img/126723307.jpg","show blot")</f>
        <v>show blot</v>
      </c>
      <c r="H2351" s="8" t="str">
        <f>HYPERLINK("https://esbl.nhlbi.nih.gov/Databases/mpkFractions/proteomic_fractions_linear_files/Yang_linear_img/126723307.jpg","show blot")</f>
        <v>show blot</v>
      </c>
      <c r="J2351" s="5" t="s">
        <v>4679</v>
      </c>
      <c r="L2351" s="11">
        <v>3.2858759747186999</v>
      </c>
      <c r="N2351" s="12"/>
    </row>
    <row r="2352" spans="1:14" s="5" customFormat="1" ht="15" customHeight="1" x14ac:dyDescent="0.25">
      <c r="A2352" s="9" t="s">
        <v>4680</v>
      </c>
      <c r="C2352" s="9" t="str">
        <f>HYPERLINK("http://www.ncbi.nlm.nih.gov/protein/117940063","Fam126a")</f>
        <v>Fam126a</v>
      </c>
      <c r="D2352" s="10">
        <f t="shared" si="36"/>
        <v>2.1376649878921699</v>
      </c>
      <c r="F2352" s="8" t="str">
        <f>HYPERLINK("https://esbl.nhlbi.nih.gov/Databases/mpkFractions/proteomic_fractions_log_files/Yang_log_img/117940063.jpg","show blot")</f>
        <v>show blot</v>
      </c>
      <c r="H2352" s="8" t="str">
        <f>HYPERLINK("https://esbl.nhlbi.nih.gov/Databases/mpkFractions/proteomic_fractions_linear_files/Yang_linear_img/117940063.jpg","show blot")</f>
        <v>show blot</v>
      </c>
      <c r="J2352" s="5" t="s">
        <v>4681</v>
      </c>
      <c r="L2352" s="11">
        <v>2.1376649878921699</v>
      </c>
      <c r="N2352" s="12"/>
    </row>
    <row r="2353" spans="1:14" s="5" customFormat="1" ht="15" customHeight="1" x14ac:dyDescent="0.25">
      <c r="A2353" s="9" t="s">
        <v>4682</v>
      </c>
      <c r="C2353" s="9" t="str">
        <f>HYPERLINK("http://www.ncbi.nlm.nih.gov/protein/241982745","Fam129a")</f>
        <v>Fam129a</v>
      </c>
      <c r="D2353" s="10">
        <f t="shared" si="36"/>
        <v>5.7135596025896884</v>
      </c>
      <c r="F2353" s="8" t="str">
        <f>HYPERLINK("https://esbl.nhlbi.nih.gov/Databases/mpkFractions/proteomic_fractions_log_files/Yang_log_img/241982745.jpg","show blot")</f>
        <v>show blot</v>
      </c>
      <c r="H2353" s="8" t="str">
        <f>HYPERLINK("https://esbl.nhlbi.nih.gov/Databases/mpkFractions/proteomic_fractions_linear_files/Yang_linear_img/241982745.jpg","show blot")</f>
        <v>show blot</v>
      </c>
      <c r="J2353" s="5" t="s">
        <v>4683</v>
      </c>
      <c r="L2353" s="11">
        <v>5.7135596025896884</v>
      </c>
      <c r="N2353" s="12"/>
    </row>
    <row r="2354" spans="1:14" s="5" customFormat="1" ht="15" customHeight="1" x14ac:dyDescent="0.25">
      <c r="A2354" s="9" t="s">
        <v>4684</v>
      </c>
      <c r="C2354" s="9" t="str">
        <f>HYPERLINK("http://www.ncbi.nlm.nih.gov/protein/22122641","Fam129b")</f>
        <v>Fam129b</v>
      </c>
      <c r="D2354" s="10">
        <f t="shared" si="36"/>
        <v>5.2893519019766151</v>
      </c>
      <c r="F2354" s="8" t="str">
        <f>HYPERLINK("https://esbl.nhlbi.nih.gov/Databases/mpkFractions/proteomic_fractions_log_files/Yang_log_img/22122641.jpg","show blot")</f>
        <v>show blot</v>
      </c>
      <c r="H2354" s="8" t="str">
        <f>HYPERLINK("https://esbl.nhlbi.nih.gov/Databases/mpkFractions/proteomic_fractions_linear_files/Yang_linear_img/22122641.jpg","show blot")</f>
        <v>show blot</v>
      </c>
      <c r="J2354" s="5" t="s">
        <v>4685</v>
      </c>
      <c r="L2354" s="11">
        <v>5.2893519019766151</v>
      </c>
      <c r="N2354" s="12"/>
    </row>
    <row r="2355" spans="1:14" s="5" customFormat="1" ht="15" customHeight="1" x14ac:dyDescent="0.25">
      <c r="A2355" s="9" t="s">
        <v>4686</v>
      </c>
      <c r="C2355" s="9" t="str">
        <f>HYPERLINK("http://www.ncbi.nlm.nih.gov/protein/109948295","Fam133b")</f>
        <v>Fam133b</v>
      </c>
      <c r="D2355" s="10">
        <f t="shared" si="36"/>
        <v>3.2513851308196542</v>
      </c>
      <c r="F2355" s="8" t="str">
        <f>HYPERLINK("https://esbl.nhlbi.nih.gov/Databases/mpkFractions/proteomic_fractions_log_files/Yang_log_img/109948295.jpg","show blot")</f>
        <v>show blot</v>
      </c>
      <c r="H2355" s="8" t="str">
        <f>HYPERLINK("https://esbl.nhlbi.nih.gov/Databases/mpkFractions/proteomic_fractions_linear_files/Yang_linear_img/109948295.jpg","show blot")</f>
        <v>show blot</v>
      </c>
      <c r="J2355" s="5" t="s">
        <v>4687</v>
      </c>
      <c r="L2355" s="11">
        <v>3.2513851308196542</v>
      </c>
      <c r="N2355" s="12"/>
    </row>
    <row r="2356" spans="1:14" s="5" customFormat="1" ht="15" customHeight="1" x14ac:dyDescent="0.25">
      <c r="A2356" s="9" t="s">
        <v>4688</v>
      </c>
      <c r="C2356" s="9" t="str">
        <f>HYPERLINK("http://www.ncbi.nlm.nih.gov/protein/28077025","Fam134c")</f>
        <v>Fam134c</v>
      </c>
      <c r="D2356" s="10">
        <f t="shared" si="36"/>
        <v>3.5637779791995299</v>
      </c>
      <c r="F2356" s="8" t="str">
        <f>HYPERLINK("https://esbl.nhlbi.nih.gov/Databases/mpkFractions/proteomic_fractions_log_files/Yang_log_img/28077025.jpg","show blot")</f>
        <v>show blot</v>
      </c>
      <c r="H2356" s="8" t="str">
        <f>HYPERLINK("https://esbl.nhlbi.nih.gov/Databases/mpkFractions/proteomic_fractions_linear_files/Yang_linear_img/28077025.jpg","show blot")</f>
        <v>show blot</v>
      </c>
      <c r="J2356" s="5" t="s">
        <v>4689</v>
      </c>
      <c r="L2356" s="11">
        <v>3.5637779791995299</v>
      </c>
      <c r="N2356" s="12"/>
    </row>
    <row r="2357" spans="1:14" s="5" customFormat="1" ht="15" customHeight="1" x14ac:dyDescent="0.25">
      <c r="A2357" s="9" t="s">
        <v>4690</v>
      </c>
      <c r="C2357" s="9" t="str">
        <f>HYPERLINK("http://www.ncbi.nlm.nih.gov/protein/21312666","Fam134c")</f>
        <v>Fam134c</v>
      </c>
      <c r="D2357" s="10">
        <f t="shared" si="36"/>
        <v>3.5637779791995299</v>
      </c>
      <c r="F2357" s="8" t="str">
        <f>HYPERLINK("https://esbl.nhlbi.nih.gov/Databases/mpkFractions/proteomic_fractions_log_files/Yang_log_img/21312666.jpg","show blot")</f>
        <v>show blot</v>
      </c>
      <c r="H2357" s="8" t="str">
        <f>HYPERLINK("https://esbl.nhlbi.nih.gov/Databases/mpkFractions/proteomic_fractions_linear_files/Yang_linear_img/21312666.jpg","show blot")</f>
        <v>show blot</v>
      </c>
      <c r="J2357" s="5" t="s">
        <v>4691</v>
      </c>
      <c r="L2357" s="11">
        <v>3.5637779791995299</v>
      </c>
      <c r="N2357" s="12"/>
    </row>
    <row r="2358" spans="1:14" s="5" customFormat="1" ht="15" customHeight="1" x14ac:dyDescent="0.25">
      <c r="A2358" s="9" t="s">
        <v>4692</v>
      </c>
      <c r="C2358" s="9" t="str">
        <f>HYPERLINK("http://www.ncbi.nlm.nih.gov/protein/13385042","Fam136a")</f>
        <v>Fam136a</v>
      </c>
      <c r="D2358" s="10">
        <f t="shared" si="36"/>
        <v>4.008108281671281</v>
      </c>
      <c r="F2358" s="8" t="str">
        <f>HYPERLINK("https://esbl.nhlbi.nih.gov/Databases/mpkFractions/proteomic_fractions_log_files/Yang_log_img/13385042.jpg","show blot")</f>
        <v>show blot</v>
      </c>
      <c r="H2358" s="8" t="str">
        <f>HYPERLINK("https://esbl.nhlbi.nih.gov/Databases/mpkFractions/proteomic_fractions_linear_files/Yang_linear_img/13385042.jpg","show blot")</f>
        <v>show blot</v>
      </c>
      <c r="J2358" s="5" t="s">
        <v>4693</v>
      </c>
      <c r="L2358" s="11">
        <v>4.008108281671281</v>
      </c>
      <c r="N2358" s="12"/>
    </row>
    <row r="2359" spans="1:14" s="5" customFormat="1" ht="15" customHeight="1" x14ac:dyDescent="0.25">
      <c r="A2359" s="9" t="s">
        <v>4694</v>
      </c>
      <c r="C2359" s="9" t="str">
        <f>HYPERLINK("http://www.ncbi.nlm.nih.gov/protein/158341634","Fam160a1")</f>
        <v>Fam160a1</v>
      </c>
      <c r="D2359" s="10">
        <f t="shared" si="36"/>
        <v>3.695179062707592</v>
      </c>
      <c r="F2359" s="8" t="str">
        <f>HYPERLINK("https://esbl.nhlbi.nih.gov/Databases/mpkFractions/proteomic_fractions_log_files/Yang_log_img/158341634.jpg","show blot")</f>
        <v>show blot</v>
      </c>
      <c r="H2359" s="8" t="str">
        <f>HYPERLINK("https://esbl.nhlbi.nih.gov/Databases/mpkFractions/proteomic_fractions_linear_files/Yang_linear_img/158341634.jpg","show blot")</f>
        <v>show blot</v>
      </c>
      <c r="J2359" s="5" t="s">
        <v>4695</v>
      </c>
      <c r="L2359" s="11">
        <v>3.695179062707592</v>
      </c>
      <c r="N2359" s="12"/>
    </row>
    <row r="2360" spans="1:14" s="5" customFormat="1" ht="15" customHeight="1" x14ac:dyDescent="0.25">
      <c r="A2360" s="9" t="s">
        <v>4696</v>
      </c>
      <c r="C2360" s="9" t="str">
        <f>HYPERLINK("http://www.ncbi.nlm.nih.gov/protein/166706907","Fam160b1")</f>
        <v>Fam160b1</v>
      </c>
      <c r="D2360" s="10">
        <f t="shared" si="36"/>
        <v>3.4803270908219091</v>
      </c>
      <c r="F2360" s="8" t="str">
        <f>HYPERLINK("https://esbl.nhlbi.nih.gov/Databases/mpkFractions/proteomic_fractions_log_files/Yang_log_img/166706907.jpg","show blot")</f>
        <v>show blot</v>
      </c>
      <c r="H2360" s="8" t="str">
        <f>HYPERLINK("https://esbl.nhlbi.nih.gov/Databases/mpkFractions/proteomic_fractions_linear_files/Yang_linear_img/166706907.jpg","show blot")</f>
        <v>show blot</v>
      </c>
      <c r="J2360" s="5" t="s">
        <v>4697</v>
      </c>
      <c r="L2360" s="11">
        <v>3.4803270908219091</v>
      </c>
      <c r="N2360" s="12"/>
    </row>
    <row r="2361" spans="1:14" s="5" customFormat="1" ht="15" customHeight="1" x14ac:dyDescent="0.25">
      <c r="A2361" s="9" t="s">
        <v>4698</v>
      </c>
      <c r="C2361" s="9" t="str">
        <f>HYPERLINK("http://www.ncbi.nlm.nih.gov/protein/257196165","Fam160b2")</f>
        <v>Fam160b2</v>
      </c>
      <c r="D2361" s="10">
        <f t="shared" si="36"/>
        <v>3.1754128063000069</v>
      </c>
      <c r="F2361" s="8" t="str">
        <f>HYPERLINK("https://esbl.nhlbi.nih.gov/Databases/mpkFractions/proteomic_fractions_log_files/Yang_log_img/257196165.jpg","show blot")</f>
        <v>show blot</v>
      </c>
      <c r="H2361" s="8" t="str">
        <f>HYPERLINK("https://esbl.nhlbi.nih.gov/Databases/mpkFractions/proteomic_fractions_linear_files/Yang_linear_img/257196165.jpg","show blot")</f>
        <v>show blot</v>
      </c>
      <c r="J2361" s="5" t="s">
        <v>4699</v>
      </c>
      <c r="L2361" s="11">
        <v>3.1754128063000069</v>
      </c>
      <c r="N2361" s="12"/>
    </row>
    <row r="2362" spans="1:14" s="5" customFormat="1" ht="15" customHeight="1" x14ac:dyDescent="0.25">
      <c r="A2362" s="9" t="s">
        <v>4700</v>
      </c>
      <c r="C2362" s="9" t="str">
        <f>HYPERLINK("http://www.ncbi.nlm.nih.gov/protein/21312546","Fam162a")</f>
        <v>Fam162a</v>
      </c>
      <c r="D2362" s="10">
        <f t="shared" si="36"/>
        <v>5.7177434725870908</v>
      </c>
      <c r="F2362" s="8" t="str">
        <f>HYPERLINK("https://esbl.nhlbi.nih.gov/Databases/mpkFractions/proteomic_fractions_log_files/Yang_log_img/21312546.jpg","show blot")</f>
        <v>show blot</v>
      </c>
      <c r="H2362" s="8" t="str">
        <f>HYPERLINK("https://esbl.nhlbi.nih.gov/Databases/mpkFractions/proteomic_fractions_linear_files/Yang_linear_img/21312546.jpg","show blot")</f>
        <v>show blot</v>
      </c>
      <c r="J2362" s="5" t="s">
        <v>4701</v>
      </c>
      <c r="L2362" s="11">
        <v>5.7177434725870908</v>
      </c>
      <c r="N2362" s="12"/>
    </row>
    <row r="2363" spans="1:14" s="5" customFormat="1" ht="15" customHeight="1" x14ac:dyDescent="0.25">
      <c r="A2363" s="9" t="s">
        <v>4702</v>
      </c>
      <c r="C2363" s="9" t="str">
        <f>HYPERLINK("http://www.ncbi.nlm.nih.gov/protein/66955879","Fam173a")</f>
        <v>Fam173a</v>
      </c>
      <c r="D2363" s="10">
        <f t="shared" si="36"/>
        <v>4.153211674744214</v>
      </c>
      <c r="F2363" s="8" t="str">
        <f>HYPERLINK("https://esbl.nhlbi.nih.gov/Databases/mpkFractions/proteomic_fractions_log_files/Yang_log_img/66955879.jpg","show blot")</f>
        <v>show blot</v>
      </c>
      <c r="H2363" s="8" t="str">
        <f>HYPERLINK("https://esbl.nhlbi.nih.gov/Databases/mpkFractions/proteomic_fractions_linear_files/Yang_linear_img/66955879.jpg","show blot")</f>
        <v>show blot</v>
      </c>
      <c r="J2363" s="5" t="s">
        <v>4703</v>
      </c>
      <c r="L2363" s="11">
        <v>4.153211674744214</v>
      </c>
      <c r="N2363" s="12"/>
    </row>
    <row r="2364" spans="1:14" s="5" customFormat="1" ht="15" customHeight="1" x14ac:dyDescent="0.25">
      <c r="A2364" s="9" t="s">
        <v>4704</v>
      </c>
      <c r="C2364" s="9" t="str">
        <f>HYPERLINK("http://www.ncbi.nlm.nih.gov/protein/21312640","Fam173b")</f>
        <v>Fam173b</v>
      </c>
      <c r="D2364" s="10">
        <f t="shared" si="36"/>
        <v>2.4319417412133428</v>
      </c>
      <c r="F2364" s="8" t="str">
        <f>HYPERLINK("https://esbl.nhlbi.nih.gov/Databases/mpkFractions/proteomic_fractions_log_files/Yang_log_img/21312640.jpg","show blot")</f>
        <v>show blot</v>
      </c>
      <c r="H2364" s="8" t="str">
        <f>HYPERLINK("https://esbl.nhlbi.nih.gov/Databases/mpkFractions/proteomic_fractions_linear_files/Yang_linear_img/21312640.jpg","show blot")</f>
        <v>show blot</v>
      </c>
      <c r="J2364" s="5" t="s">
        <v>4705</v>
      </c>
      <c r="L2364" s="11">
        <v>2.4319417412133428</v>
      </c>
      <c r="N2364" s="12"/>
    </row>
    <row r="2365" spans="1:14" s="5" customFormat="1" ht="15" customHeight="1" x14ac:dyDescent="0.25">
      <c r="A2365" s="9" t="s">
        <v>4706</v>
      </c>
      <c r="C2365" s="9" t="str">
        <f>HYPERLINK("http://www.ncbi.nlm.nih.gov/protein/347582639","Fam175b")</f>
        <v>Fam175b</v>
      </c>
      <c r="D2365" s="10">
        <f t="shared" si="36"/>
        <v>4.5516062089410907</v>
      </c>
      <c r="F2365" s="8" t="str">
        <f>HYPERLINK("https://esbl.nhlbi.nih.gov/Databases/mpkFractions/proteomic_fractions_log_files/Yang_log_img/347582639.jpg","show blot")</f>
        <v>show blot</v>
      </c>
      <c r="H2365" s="8" t="str">
        <f>HYPERLINK("https://esbl.nhlbi.nih.gov/Databases/mpkFractions/proteomic_fractions_linear_files/Yang_linear_img/347582639.jpg","show blot")</f>
        <v>show blot</v>
      </c>
      <c r="J2365" s="5" t="s">
        <v>4707</v>
      </c>
      <c r="L2365" s="11">
        <v>4.5516062089410907</v>
      </c>
      <c r="N2365" s="12"/>
    </row>
    <row r="2366" spans="1:14" s="5" customFormat="1" ht="15" customHeight="1" x14ac:dyDescent="0.25">
      <c r="A2366" s="9" t="s">
        <v>4708</v>
      </c>
      <c r="C2366" s="9" t="str">
        <f>HYPERLINK("http://www.ncbi.nlm.nih.gov/protein/37537562;153945763","Fam177a")</f>
        <v>Fam177a</v>
      </c>
      <c r="D2366" s="10">
        <f t="shared" si="36"/>
        <v>4.8424937102638754</v>
      </c>
      <c r="F2366" s="8" t="str">
        <f>HYPERLINK("https://esbl.nhlbi.nih.gov/Databases/mpkFractions/proteomic_fractions_log_files/Yang_log_img/37537562;153945763.jpg","show blot")</f>
        <v>show blot</v>
      </c>
      <c r="H2366" s="8" t="str">
        <f>HYPERLINK("https://esbl.nhlbi.nih.gov/Databases/mpkFractions/proteomic_fractions_linear_files/Yang_linear_img/37537562;153945763.jpg","show blot")</f>
        <v>show blot</v>
      </c>
      <c r="J2366" s="5" t="s">
        <v>4709</v>
      </c>
      <c r="L2366" s="11">
        <v>4.8424937102638754</v>
      </c>
      <c r="N2366" s="12"/>
    </row>
    <row r="2367" spans="1:14" s="5" customFormat="1" ht="15" customHeight="1" x14ac:dyDescent="0.25">
      <c r="A2367" s="9" t="s">
        <v>4710</v>
      </c>
      <c r="C2367" s="9" t="str">
        <f>HYPERLINK("http://www.ncbi.nlm.nih.gov/protein/254939685","Fam179b")</f>
        <v>Fam179b</v>
      </c>
      <c r="D2367" s="10">
        <f t="shared" si="36"/>
        <v>3.2307073574029288</v>
      </c>
      <c r="F2367" s="8" t="str">
        <f>HYPERLINK("https://esbl.nhlbi.nih.gov/Databases/mpkFractions/proteomic_fractions_log_files/Yang_log_img/254939685.jpg","show blot")</f>
        <v>show blot</v>
      </c>
      <c r="H2367" s="8" t="str">
        <f>HYPERLINK("https://esbl.nhlbi.nih.gov/Databases/mpkFractions/proteomic_fractions_linear_files/Yang_linear_img/254939685.jpg","show blot")</f>
        <v>show blot</v>
      </c>
      <c r="J2367" s="5" t="s">
        <v>4711</v>
      </c>
      <c r="L2367" s="11">
        <v>3.2307073574029288</v>
      </c>
      <c r="N2367" s="12"/>
    </row>
    <row r="2368" spans="1:14" s="5" customFormat="1" ht="15" customHeight="1" x14ac:dyDescent="0.25">
      <c r="A2368" s="9" t="s">
        <v>4712</v>
      </c>
      <c r="C2368" s="9" t="str">
        <f>HYPERLINK("http://www.ncbi.nlm.nih.gov/protein/15277329","Fam188a")</f>
        <v>Fam188a</v>
      </c>
      <c r="D2368" s="10">
        <f t="shared" si="36"/>
        <v>4.1226224805458784</v>
      </c>
      <c r="F2368" s="8" t="str">
        <f>HYPERLINK("https://esbl.nhlbi.nih.gov/Databases/mpkFractions/proteomic_fractions_log_files/Yang_log_img/15277329.jpg","show blot")</f>
        <v>show blot</v>
      </c>
      <c r="H2368" s="8" t="str">
        <f>HYPERLINK("https://esbl.nhlbi.nih.gov/Databases/mpkFractions/proteomic_fractions_linear_files/Yang_linear_img/15277329.jpg","show blot")</f>
        <v>show blot</v>
      </c>
      <c r="J2368" s="5" t="s">
        <v>4713</v>
      </c>
      <c r="L2368" s="11">
        <v>4.1226224805458784</v>
      </c>
      <c r="N2368" s="12"/>
    </row>
    <row r="2369" spans="1:14" s="5" customFormat="1" ht="15" customHeight="1" x14ac:dyDescent="0.25">
      <c r="A2369" s="9" t="s">
        <v>4714</v>
      </c>
      <c r="C2369" s="9" t="str">
        <f>HYPERLINK("http://www.ncbi.nlm.nih.gov/protein/31560083","Fam192a")</f>
        <v>Fam192a</v>
      </c>
      <c r="D2369" s="10">
        <f t="shared" si="36"/>
        <v>4.8879194996200184</v>
      </c>
      <c r="F2369" s="8" t="str">
        <f>HYPERLINK("https://esbl.nhlbi.nih.gov/Databases/mpkFractions/proteomic_fractions_log_files/Yang_log_img/31560083.jpg","show blot")</f>
        <v>show blot</v>
      </c>
      <c r="H2369" s="8" t="str">
        <f>HYPERLINK("https://esbl.nhlbi.nih.gov/Databases/mpkFractions/proteomic_fractions_linear_files/Yang_linear_img/31560083.jpg","show blot")</f>
        <v>show blot</v>
      </c>
      <c r="J2369" s="5" t="s">
        <v>4715</v>
      </c>
      <c r="L2369" s="11">
        <v>4.8879194996200184</v>
      </c>
      <c r="N2369" s="12"/>
    </row>
    <row r="2370" spans="1:14" s="5" customFormat="1" ht="15" customHeight="1" x14ac:dyDescent="0.25">
      <c r="A2370" s="9" t="s">
        <v>4716</v>
      </c>
      <c r="C2370" s="9" t="str">
        <f>HYPERLINK("http://www.ncbi.nlm.nih.gov/protein/85701732","Fam195b")</f>
        <v>Fam195b</v>
      </c>
      <c r="D2370" s="10">
        <f t="shared" si="36"/>
        <v>4.1697768712295229</v>
      </c>
      <c r="F2370" s="8" t="str">
        <f>HYPERLINK("https://esbl.nhlbi.nih.gov/Databases/mpkFractions/proteomic_fractions_log_files/Yang_log_img/85701732.jpg","show blot")</f>
        <v>show blot</v>
      </c>
      <c r="H2370" s="8" t="str">
        <f>HYPERLINK("https://esbl.nhlbi.nih.gov/Databases/mpkFractions/proteomic_fractions_linear_files/Yang_linear_img/85701732.jpg","show blot")</f>
        <v>show blot</v>
      </c>
      <c r="J2370" s="5" t="s">
        <v>4717</v>
      </c>
      <c r="L2370" s="11">
        <v>4.1697768712295229</v>
      </c>
      <c r="N2370" s="12"/>
    </row>
    <row r="2371" spans="1:14" s="5" customFormat="1" ht="15" customHeight="1" x14ac:dyDescent="0.25">
      <c r="A2371" s="9" t="s">
        <v>4718</v>
      </c>
      <c r="C2371" s="9" t="str">
        <f>HYPERLINK("http://www.ncbi.nlm.nih.gov/protein/225903450","Fam203a")</f>
        <v>Fam203a</v>
      </c>
      <c r="D2371" s="10">
        <f t="shared" si="36"/>
        <v>4.1369959027826217</v>
      </c>
      <c r="F2371" s="8" t="str">
        <f>HYPERLINK("https://esbl.nhlbi.nih.gov/Databases/mpkFractions/proteomic_fractions_log_files/Yang_log_img/225903450.jpg","show blot")</f>
        <v>show blot</v>
      </c>
      <c r="H2371" s="8" t="str">
        <f>HYPERLINK("https://esbl.nhlbi.nih.gov/Databases/mpkFractions/proteomic_fractions_linear_files/Yang_linear_img/225903450.jpg","show blot")</f>
        <v>show blot</v>
      </c>
      <c r="J2371" s="5" t="s">
        <v>4719</v>
      </c>
      <c r="L2371" s="11">
        <v>4.1369959027826217</v>
      </c>
      <c r="N2371" s="12"/>
    </row>
    <row r="2372" spans="1:14" s="5" customFormat="1" ht="15" customHeight="1" x14ac:dyDescent="0.25">
      <c r="A2372" s="9" t="s">
        <v>4720</v>
      </c>
      <c r="C2372" s="9" t="str">
        <f>HYPERLINK("http://www.ncbi.nlm.nih.gov/protein/19527218","Fam207a")</f>
        <v>Fam207a</v>
      </c>
      <c r="D2372" s="10">
        <f t="shared" si="36"/>
        <v>4.5077805171677197</v>
      </c>
      <c r="F2372" s="8" t="str">
        <f>HYPERLINK("https://esbl.nhlbi.nih.gov/Databases/mpkFractions/proteomic_fractions_log_files/Yang_log_img/19527218.jpg","show blot")</f>
        <v>show blot</v>
      </c>
      <c r="H2372" s="8" t="str">
        <f>HYPERLINK("https://esbl.nhlbi.nih.gov/Databases/mpkFractions/proteomic_fractions_linear_files/Yang_linear_img/19527218.jpg","show blot")</f>
        <v>show blot</v>
      </c>
      <c r="J2372" s="5" t="s">
        <v>4721</v>
      </c>
      <c r="L2372" s="11">
        <v>4.5077805171677197</v>
      </c>
      <c r="N2372" s="12"/>
    </row>
    <row r="2373" spans="1:14" s="5" customFormat="1" ht="15" customHeight="1" x14ac:dyDescent="0.25">
      <c r="A2373" s="9" t="s">
        <v>4722</v>
      </c>
      <c r="C2373" s="9" t="str">
        <f>HYPERLINK("http://www.ncbi.nlm.nih.gov/protein/21703824","Fam20b")</f>
        <v>Fam20b</v>
      </c>
      <c r="D2373" s="10">
        <f t="shared" ref="D2373:D2436" si="37">L2373</f>
        <v>4.3953068034511382</v>
      </c>
      <c r="F2373" s="8" t="str">
        <f>HYPERLINK("https://esbl.nhlbi.nih.gov/Databases/mpkFractions/proteomic_fractions_log_files/Yang_log_img/21703824.jpg","show blot")</f>
        <v>show blot</v>
      </c>
      <c r="H2373" s="8" t="str">
        <f>HYPERLINK("https://esbl.nhlbi.nih.gov/Databases/mpkFractions/proteomic_fractions_linear_files/Yang_linear_img/21703824.jpg","show blot")</f>
        <v>show blot</v>
      </c>
      <c r="J2373" s="5" t="s">
        <v>4723</v>
      </c>
      <c r="L2373" s="11">
        <v>4.3953068034511382</v>
      </c>
      <c r="N2373" s="12"/>
    </row>
    <row r="2374" spans="1:14" s="5" customFormat="1" ht="15" customHeight="1" x14ac:dyDescent="0.25">
      <c r="A2374" s="9" t="s">
        <v>4724</v>
      </c>
      <c r="C2374" s="9" t="str">
        <f>HYPERLINK("http://www.ncbi.nlm.nih.gov/protein/167234439","Fam20c")</f>
        <v>Fam20c</v>
      </c>
      <c r="D2374" s="10">
        <f t="shared" si="37"/>
        <v>1.7366060215324179</v>
      </c>
      <c r="F2374" s="8" t="str">
        <f>HYPERLINK("https://esbl.nhlbi.nih.gov/Databases/mpkFractions/proteomic_fractions_log_files/Yang_log_img/167234439.jpg","show blot")</f>
        <v>show blot</v>
      </c>
      <c r="H2374" s="8" t="str">
        <f>HYPERLINK("https://esbl.nhlbi.nih.gov/Databases/mpkFractions/proteomic_fractions_linear_files/Yang_linear_img/167234439.jpg","show blot")</f>
        <v>show blot</v>
      </c>
      <c r="J2374" s="5" t="s">
        <v>4725</v>
      </c>
      <c r="L2374" s="11">
        <v>1.7366060215324179</v>
      </c>
      <c r="N2374" s="12"/>
    </row>
    <row r="2375" spans="1:14" s="5" customFormat="1" ht="15" customHeight="1" x14ac:dyDescent="0.25">
      <c r="A2375" s="9" t="s">
        <v>4726</v>
      </c>
      <c r="C2375" s="9" t="str">
        <f>HYPERLINK("http://www.ncbi.nlm.nih.gov/protein/267844902","Fam21")</f>
        <v>Fam21</v>
      </c>
      <c r="D2375" s="10">
        <f t="shared" si="37"/>
        <v>3.5574668443522461</v>
      </c>
      <c r="F2375" s="8" t="str">
        <f>HYPERLINK("https://esbl.nhlbi.nih.gov/Databases/mpkFractions/proteomic_fractions_log_files/Yang_log_img/267844902.jpg","show blot")</f>
        <v>show blot</v>
      </c>
      <c r="H2375" s="8" t="str">
        <f>HYPERLINK("https://esbl.nhlbi.nih.gov/Databases/mpkFractions/proteomic_fractions_linear_files/Yang_linear_img/267844902.jpg","show blot")</f>
        <v>show blot</v>
      </c>
      <c r="J2375" s="5" t="s">
        <v>4727</v>
      </c>
      <c r="L2375" s="11">
        <v>3.5574668443522461</v>
      </c>
      <c r="N2375" s="12"/>
    </row>
    <row r="2376" spans="1:14" s="5" customFormat="1" ht="15" customHeight="1" x14ac:dyDescent="0.25">
      <c r="A2376" s="9" t="s">
        <v>4728</v>
      </c>
      <c r="C2376" s="9" t="str">
        <f>HYPERLINK("http://www.ncbi.nlm.nih.gov/protein/24418876","Fam210a")</f>
        <v>Fam210a</v>
      </c>
      <c r="D2376" s="10">
        <f t="shared" si="37"/>
        <v>2.2876229258380221</v>
      </c>
      <c r="F2376" s="8" t="str">
        <f>HYPERLINK("https://esbl.nhlbi.nih.gov/Databases/mpkFractions/proteomic_fractions_log_files/Yang_log_img/24418876.jpg","show blot")</f>
        <v>show blot</v>
      </c>
      <c r="H2376" s="8" t="str">
        <f>HYPERLINK("https://esbl.nhlbi.nih.gov/Databases/mpkFractions/proteomic_fractions_linear_files/Yang_linear_img/24418876.jpg","show blot")</f>
        <v>show blot</v>
      </c>
      <c r="J2376" s="5" t="s">
        <v>4729</v>
      </c>
      <c r="L2376" s="11">
        <v>2.2876229258380221</v>
      </c>
      <c r="N2376" s="12"/>
    </row>
    <row r="2377" spans="1:14" s="5" customFormat="1" ht="15" customHeight="1" x14ac:dyDescent="0.25">
      <c r="A2377" s="9" t="s">
        <v>4730</v>
      </c>
      <c r="C2377" s="9" t="str">
        <f>HYPERLINK("http://www.ncbi.nlm.nih.gov/protein/224967102","Fam210b")</f>
        <v>Fam210b</v>
      </c>
      <c r="D2377" s="10">
        <f t="shared" si="37"/>
        <v>3.533531113601549</v>
      </c>
      <c r="F2377" s="8" t="str">
        <f>HYPERLINK("https://esbl.nhlbi.nih.gov/Databases/mpkFractions/proteomic_fractions_log_files/Yang_log_img/224967102.jpg","show blot")</f>
        <v>show blot</v>
      </c>
      <c r="H2377" s="8" t="str">
        <f>HYPERLINK("https://esbl.nhlbi.nih.gov/Databases/mpkFractions/proteomic_fractions_linear_files/Yang_linear_img/224967102.jpg","show blot")</f>
        <v>show blot</v>
      </c>
      <c r="J2377" s="5" t="s">
        <v>4731</v>
      </c>
      <c r="L2377" s="11">
        <v>3.533531113601549</v>
      </c>
      <c r="N2377" s="12"/>
    </row>
    <row r="2378" spans="1:14" s="5" customFormat="1" ht="15" customHeight="1" x14ac:dyDescent="0.25">
      <c r="A2378" s="9" t="s">
        <v>4732</v>
      </c>
      <c r="C2378" s="9" t="str">
        <f>HYPERLINK("http://www.ncbi.nlm.nih.gov/protein/27229101","Fam213a")</f>
        <v>Fam213a</v>
      </c>
      <c r="D2378" s="10">
        <f t="shared" si="37"/>
        <v>5.8269550187621162</v>
      </c>
      <c r="F2378" s="8" t="str">
        <f>HYPERLINK("https://esbl.nhlbi.nih.gov/Databases/mpkFractions/proteomic_fractions_log_files/Yang_log_img/27229101.jpg","show blot")</f>
        <v>show blot</v>
      </c>
      <c r="H2378" s="8" t="str">
        <f>HYPERLINK("https://esbl.nhlbi.nih.gov/Databases/mpkFractions/proteomic_fractions_linear_files/Yang_linear_img/27229101.jpg","show blot")</f>
        <v>show blot</v>
      </c>
      <c r="J2378" s="5" t="s">
        <v>4733</v>
      </c>
      <c r="L2378" s="11">
        <v>5.8269550187621162</v>
      </c>
      <c r="N2378" s="12"/>
    </row>
    <row r="2379" spans="1:14" s="5" customFormat="1" ht="15" customHeight="1" x14ac:dyDescent="0.25">
      <c r="A2379" s="9" t="s">
        <v>4734</v>
      </c>
      <c r="C2379" s="9" t="str">
        <f>HYPERLINK("http://www.ncbi.nlm.nih.gov/protein/13385950","Fam32a")</f>
        <v>Fam32a</v>
      </c>
      <c r="D2379" s="10">
        <f t="shared" si="37"/>
        <v>3.6282997379997761</v>
      </c>
      <c r="F2379" s="8" t="str">
        <f>HYPERLINK("https://esbl.nhlbi.nih.gov/Databases/mpkFractions/proteomic_fractions_log_files/Yang_log_img/13385950.jpg","show blot")</f>
        <v>show blot</v>
      </c>
      <c r="H2379" s="8" t="str">
        <f>HYPERLINK("https://esbl.nhlbi.nih.gov/Databases/mpkFractions/proteomic_fractions_linear_files/Yang_linear_img/13385950.jpg","show blot")</f>
        <v>show blot</v>
      </c>
      <c r="J2379" s="5" t="s">
        <v>4735</v>
      </c>
      <c r="L2379" s="11">
        <v>3.6282997379997761</v>
      </c>
      <c r="N2379" s="12"/>
    </row>
    <row r="2380" spans="1:14" s="5" customFormat="1" ht="15" customHeight="1" x14ac:dyDescent="0.25">
      <c r="A2380" s="9" t="s">
        <v>4736</v>
      </c>
      <c r="C2380" s="9" t="str">
        <f>HYPERLINK("http://www.ncbi.nlm.nih.gov/protein/21313538","Fam3a")</f>
        <v>Fam3a</v>
      </c>
      <c r="D2380" s="10">
        <f t="shared" si="37"/>
        <v>3.369139925163791</v>
      </c>
      <c r="F2380" s="8" t="str">
        <f>HYPERLINK("https://esbl.nhlbi.nih.gov/Databases/mpkFractions/proteomic_fractions_log_files/Yang_log_img/21313538.jpg","show blot")</f>
        <v>show blot</v>
      </c>
      <c r="H2380" s="8" t="str">
        <f>HYPERLINK("https://esbl.nhlbi.nih.gov/Databases/mpkFractions/proteomic_fractions_linear_files/Yang_linear_img/21313538.jpg","show blot")</f>
        <v>show blot</v>
      </c>
      <c r="J2380" s="5" t="s">
        <v>4737</v>
      </c>
      <c r="L2380" s="11">
        <v>3.369139925163791</v>
      </c>
      <c r="N2380" s="12"/>
    </row>
    <row r="2381" spans="1:14" s="5" customFormat="1" ht="15" customHeight="1" x14ac:dyDescent="0.25">
      <c r="A2381" s="9" t="s">
        <v>4738</v>
      </c>
      <c r="C2381" s="9" t="str">
        <f>HYPERLINK("http://www.ncbi.nlm.nih.gov/protein/42734496","Fam3c")</f>
        <v>Fam3c</v>
      </c>
      <c r="D2381" s="10">
        <f t="shared" si="37"/>
        <v>5.8075168376908408</v>
      </c>
      <c r="F2381" s="8" t="str">
        <f>HYPERLINK("https://esbl.nhlbi.nih.gov/Databases/mpkFractions/proteomic_fractions_log_files/Yang_log_img/42734496.jpg","show blot")</f>
        <v>show blot</v>
      </c>
      <c r="H2381" s="8" t="str">
        <f>HYPERLINK("https://esbl.nhlbi.nih.gov/Databases/mpkFractions/proteomic_fractions_linear_files/Yang_linear_img/42734496.jpg","show blot")</f>
        <v>show blot</v>
      </c>
      <c r="J2381" s="5" t="s">
        <v>4739</v>
      </c>
      <c r="L2381" s="11">
        <v>5.8075168376908408</v>
      </c>
      <c r="N2381" s="12"/>
    </row>
    <row r="2382" spans="1:14" s="5" customFormat="1" ht="15" customHeight="1" x14ac:dyDescent="0.25">
      <c r="A2382" s="9" t="s">
        <v>4740</v>
      </c>
      <c r="C2382" s="9" t="str">
        <f>HYPERLINK("http://www.ncbi.nlm.nih.gov/protein/268370235","Fam45a")</f>
        <v>Fam45a</v>
      </c>
      <c r="D2382" s="10">
        <f t="shared" si="37"/>
        <v>5.015024572566154</v>
      </c>
      <c r="F2382" s="8" t="str">
        <f>HYPERLINK("https://esbl.nhlbi.nih.gov/Databases/mpkFractions/proteomic_fractions_log_files/Yang_log_img/268370235.jpg","show blot")</f>
        <v>show blot</v>
      </c>
      <c r="H2382" s="8" t="str">
        <f>HYPERLINK("https://esbl.nhlbi.nih.gov/Databases/mpkFractions/proteomic_fractions_linear_files/Yang_linear_img/268370235.jpg","show blot")</f>
        <v>show blot</v>
      </c>
      <c r="J2382" s="5" t="s">
        <v>4741</v>
      </c>
      <c r="L2382" s="11">
        <v>5.015024572566154</v>
      </c>
      <c r="N2382" s="12"/>
    </row>
    <row r="2383" spans="1:14" s="5" customFormat="1" ht="15" customHeight="1" x14ac:dyDescent="0.25">
      <c r="A2383" s="9" t="s">
        <v>4742</v>
      </c>
      <c r="C2383" s="9" t="str">
        <f>HYPERLINK("http://www.ncbi.nlm.nih.gov/protein/268370237","Fam45a")</f>
        <v>Fam45a</v>
      </c>
      <c r="D2383" s="10">
        <f t="shared" si="37"/>
        <v>5.015024572566154</v>
      </c>
      <c r="F2383" s="8" t="str">
        <f>HYPERLINK("https://esbl.nhlbi.nih.gov/Databases/mpkFractions/proteomic_fractions_log_files/Yang_log_img/268370237.jpg","show blot")</f>
        <v>show blot</v>
      </c>
      <c r="H2383" s="8" t="str">
        <f>HYPERLINK("https://esbl.nhlbi.nih.gov/Databases/mpkFractions/proteomic_fractions_linear_files/Yang_linear_img/268370237.jpg","show blot")</f>
        <v>show blot</v>
      </c>
      <c r="J2383" s="5" t="s">
        <v>4743</v>
      </c>
      <c r="L2383" s="11">
        <v>5.015024572566154</v>
      </c>
      <c r="N2383" s="12"/>
    </row>
    <row r="2384" spans="1:14" s="5" customFormat="1" ht="15" customHeight="1" x14ac:dyDescent="0.25">
      <c r="A2384" s="9" t="s">
        <v>4744</v>
      </c>
      <c r="C2384" s="9" t="str">
        <f>HYPERLINK("http://www.ncbi.nlm.nih.gov/protein/31981350","Fam49a")</f>
        <v>Fam49a</v>
      </c>
      <c r="D2384" s="10">
        <f t="shared" si="37"/>
        <v>5.3797407996105449</v>
      </c>
      <c r="F2384" s="8" t="str">
        <f>HYPERLINK("https://esbl.nhlbi.nih.gov/Databases/mpkFractions/proteomic_fractions_log_files/Yang_log_img/31981350.jpg","show blot")</f>
        <v>show blot</v>
      </c>
      <c r="H2384" s="8" t="str">
        <f>HYPERLINK("https://esbl.nhlbi.nih.gov/Databases/mpkFractions/proteomic_fractions_linear_files/Yang_linear_img/31981350.jpg","show blot")</f>
        <v>show blot</v>
      </c>
      <c r="J2384" s="5" t="s">
        <v>4745</v>
      </c>
      <c r="L2384" s="11">
        <v>5.3797407996105449</v>
      </c>
      <c r="N2384" s="12"/>
    </row>
    <row r="2385" spans="1:14" s="5" customFormat="1" ht="15" customHeight="1" x14ac:dyDescent="0.25">
      <c r="A2385" s="9" t="s">
        <v>4746</v>
      </c>
      <c r="C2385" s="9" t="str">
        <f>HYPERLINK("http://www.ncbi.nlm.nih.gov/protein/21450053","Fam49b")</f>
        <v>Fam49b</v>
      </c>
      <c r="D2385" s="10">
        <f t="shared" si="37"/>
        <v>5.7998640745224899</v>
      </c>
      <c r="F2385" s="8" t="str">
        <f>HYPERLINK("https://esbl.nhlbi.nih.gov/Databases/mpkFractions/proteomic_fractions_log_files/Yang_log_img/21450053.jpg","show blot")</f>
        <v>show blot</v>
      </c>
      <c r="H2385" s="8" t="str">
        <f>HYPERLINK("https://esbl.nhlbi.nih.gov/Databases/mpkFractions/proteomic_fractions_linear_files/Yang_linear_img/21450053.jpg","show blot")</f>
        <v>show blot</v>
      </c>
      <c r="J2385" s="5" t="s">
        <v>4747</v>
      </c>
      <c r="L2385" s="11">
        <v>5.7998640745224899</v>
      </c>
      <c r="N2385" s="12"/>
    </row>
    <row r="2386" spans="1:14" s="5" customFormat="1" ht="15" customHeight="1" x14ac:dyDescent="0.25">
      <c r="A2386" s="9" t="s">
        <v>4748</v>
      </c>
      <c r="C2386" s="9" t="str">
        <f>HYPERLINK("http://www.ncbi.nlm.nih.gov/protein/262073031","Fam50a")</f>
        <v>Fam50a</v>
      </c>
      <c r="D2386" s="10">
        <f t="shared" si="37"/>
        <v>5.0030041448322358</v>
      </c>
      <c r="F2386" s="8" t="str">
        <f>HYPERLINK("https://esbl.nhlbi.nih.gov/Databases/mpkFractions/proteomic_fractions_log_files/Yang_log_img/262073031.jpg","show blot")</f>
        <v>show blot</v>
      </c>
      <c r="H2386" s="8" t="str">
        <f>HYPERLINK("https://esbl.nhlbi.nih.gov/Databases/mpkFractions/proteomic_fractions_linear_files/Yang_linear_img/262073031.jpg","show blot")</f>
        <v>show blot</v>
      </c>
      <c r="J2386" s="5" t="s">
        <v>4749</v>
      </c>
      <c r="L2386" s="11">
        <v>5.0030041448322358</v>
      </c>
      <c r="N2386" s="12"/>
    </row>
    <row r="2387" spans="1:14" s="5" customFormat="1" ht="15" customHeight="1" x14ac:dyDescent="0.25">
      <c r="A2387" s="9" t="s">
        <v>4750</v>
      </c>
      <c r="C2387" s="9" t="str">
        <f>HYPERLINK("http://www.ncbi.nlm.nih.gov/protein/227908825","Fam50b")</f>
        <v>Fam50b</v>
      </c>
      <c r="D2387" s="10">
        <f t="shared" si="37"/>
        <v>4.8165757869241412</v>
      </c>
      <c r="F2387" s="8" t="str">
        <f>HYPERLINK("https://esbl.nhlbi.nih.gov/Databases/mpkFractions/proteomic_fractions_log_files/Yang_log_img/227908825.jpg","show blot")</f>
        <v>show blot</v>
      </c>
      <c r="H2387" s="8" t="str">
        <f>HYPERLINK("https://esbl.nhlbi.nih.gov/Databases/mpkFractions/proteomic_fractions_linear_files/Yang_linear_img/227908825.jpg","show blot")</f>
        <v>show blot</v>
      </c>
      <c r="J2387" s="5" t="s">
        <v>4751</v>
      </c>
      <c r="L2387" s="11">
        <v>4.8165757869241412</v>
      </c>
      <c r="N2387" s="12"/>
    </row>
    <row r="2388" spans="1:14" s="5" customFormat="1" ht="15" customHeight="1" x14ac:dyDescent="0.25">
      <c r="A2388" s="9" t="s">
        <v>4752</v>
      </c>
      <c r="C2388" s="9" t="str">
        <f>HYPERLINK("http://www.ncbi.nlm.nih.gov/protein/300934856","Fam63a")</f>
        <v>Fam63a</v>
      </c>
      <c r="D2388" s="10">
        <f t="shared" si="37"/>
        <v>3.8828789227005531</v>
      </c>
      <c r="F2388" s="8" t="str">
        <f>HYPERLINK("https://esbl.nhlbi.nih.gov/Databases/mpkFractions/proteomic_fractions_log_files/Yang_log_img/300934856.jpg","show blot")</f>
        <v>show blot</v>
      </c>
      <c r="H2388" s="8" t="str">
        <f>HYPERLINK("https://esbl.nhlbi.nih.gov/Databases/mpkFractions/proteomic_fractions_linear_files/Yang_linear_img/300934856.jpg","show blot")</f>
        <v>show blot</v>
      </c>
      <c r="J2388" s="5" t="s">
        <v>4753</v>
      </c>
      <c r="L2388" s="11">
        <v>3.8828789227005531</v>
      </c>
      <c r="N2388" s="12"/>
    </row>
    <row r="2389" spans="1:14" s="5" customFormat="1" ht="15" customHeight="1" x14ac:dyDescent="0.25">
      <c r="A2389" s="9" t="s">
        <v>4754</v>
      </c>
      <c r="C2389" s="9" t="str">
        <f>HYPERLINK("http://www.ncbi.nlm.nih.gov/protein/41680647","Fam63a")</f>
        <v>Fam63a</v>
      </c>
      <c r="D2389" s="10">
        <f t="shared" si="37"/>
        <v>3.8828789227005531</v>
      </c>
      <c r="F2389" s="8" t="str">
        <f>HYPERLINK("https://esbl.nhlbi.nih.gov/Databases/mpkFractions/proteomic_fractions_log_files/Yang_log_img/41680647.jpg","show blot")</f>
        <v>show blot</v>
      </c>
      <c r="H2389" s="8" t="str">
        <f>HYPERLINK("https://esbl.nhlbi.nih.gov/Databases/mpkFractions/proteomic_fractions_linear_files/Yang_linear_img/41680647.jpg","show blot")</f>
        <v>show blot</v>
      </c>
      <c r="J2389" s="5" t="s">
        <v>4755</v>
      </c>
      <c r="L2389" s="11">
        <v>3.8828789227005531</v>
      </c>
      <c r="N2389" s="12"/>
    </row>
    <row r="2390" spans="1:14" s="5" customFormat="1" ht="15" customHeight="1" x14ac:dyDescent="0.25">
      <c r="A2390" s="9" t="s">
        <v>4756</v>
      </c>
      <c r="C2390" s="9" t="str">
        <f>HYPERLINK("http://www.ncbi.nlm.nih.gov/protein/118403316","Fam63b")</f>
        <v>Fam63b</v>
      </c>
      <c r="D2390" s="10">
        <f t="shared" si="37"/>
        <v>2.3016038594380039</v>
      </c>
      <c r="F2390" s="8" t="str">
        <f>HYPERLINK("https://esbl.nhlbi.nih.gov/Databases/mpkFractions/proteomic_fractions_log_files/Yang_log_img/118403316.jpg","show blot")</f>
        <v>show blot</v>
      </c>
      <c r="H2390" s="8" t="str">
        <f>HYPERLINK("https://esbl.nhlbi.nih.gov/Databases/mpkFractions/proteomic_fractions_linear_files/Yang_linear_img/118403316.jpg","show blot")</f>
        <v>show blot</v>
      </c>
      <c r="J2390" s="5" t="s">
        <v>4757</v>
      </c>
      <c r="L2390" s="11">
        <v>2.3016038594380039</v>
      </c>
      <c r="N2390" s="12"/>
    </row>
    <row r="2391" spans="1:14" s="5" customFormat="1" ht="15" customHeight="1" x14ac:dyDescent="0.25">
      <c r="A2391" s="9" t="s">
        <v>4758</v>
      </c>
      <c r="C2391" s="9" t="str">
        <f>HYPERLINK("http://www.ncbi.nlm.nih.gov/protein/145301546","Fam65a")</f>
        <v>Fam65a</v>
      </c>
      <c r="D2391" s="10">
        <f t="shared" si="37"/>
        <v>3.337608275297518</v>
      </c>
      <c r="F2391" s="8" t="str">
        <f>HYPERLINK("https://esbl.nhlbi.nih.gov/Databases/mpkFractions/proteomic_fractions_log_files/Yang_log_img/145301546.jpg","show blot")</f>
        <v>show blot</v>
      </c>
      <c r="H2391" s="8" t="str">
        <f>HYPERLINK("https://esbl.nhlbi.nih.gov/Databases/mpkFractions/proteomic_fractions_linear_files/Yang_linear_img/145301546.jpg","show blot")</f>
        <v>show blot</v>
      </c>
      <c r="J2391" s="5" t="s">
        <v>4759</v>
      </c>
      <c r="L2391" s="11">
        <v>3.337608275297518</v>
      </c>
      <c r="N2391" s="12"/>
    </row>
    <row r="2392" spans="1:14" s="5" customFormat="1" ht="15" customHeight="1" x14ac:dyDescent="0.25">
      <c r="A2392" s="9" t="s">
        <v>4760</v>
      </c>
      <c r="C2392" s="9" t="str">
        <f>HYPERLINK("http://www.ncbi.nlm.nih.gov/protein/28849885","Fam76b")</f>
        <v>Fam76b</v>
      </c>
      <c r="D2392" s="10">
        <f t="shared" si="37"/>
        <v>3.8880345490287378</v>
      </c>
      <c r="F2392" s="8" t="str">
        <f>HYPERLINK("https://esbl.nhlbi.nih.gov/Databases/mpkFractions/proteomic_fractions_log_files/Yang_log_img/28849885.jpg","show blot")</f>
        <v>show blot</v>
      </c>
      <c r="H2392" s="8" t="str">
        <f>HYPERLINK("https://esbl.nhlbi.nih.gov/Databases/mpkFractions/proteomic_fractions_linear_files/Yang_linear_img/28849885.jpg","show blot")</f>
        <v>show blot</v>
      </c>
      <c r="J2392" s="5" t="s">
        <v>4761</v>
      </c>
      <c r="L2392" s="11">
        <v>3.8880345490287378</v>
      </c>
      <c r="N2392" s="12"/>
    </row>
    <row r="2393" spans="1:14" s="5" customFormat="1" ht="15" customHeight="1" x14ac:dyDescent="0.25">
      <c r="A2393" s="9" t="s">
        <v>4762</v>
      </c>
      <c r="C2393" s="9" t="str">
        <f>HYPERLINK("http://www.ncbi.nlm.nih.gov/protein/269914116","Fam83h")</f>
        <v>Fam83h</v>
      </c>
      <c r="D2393" s="10">
        <f t="shared" si="37"/>
        <v>3.6923744593412602</v>
      </c>
      <c r="F2393" s="8" t="str">
        <f>HYPERLINK("https://esbl.nhlbi.nih.gov/Databases/mpkFractions/proteomic_fractions_log_files/Yang_log_img/269914116.jpg","show blot")</f>
        <v>show blot</v>
      </c>
      <c r="H2393" s="8" t="str">
        <f>HYPERLINK("https://esbl.nhlbi.nih.gov/Databases/mpkFractions/proteomic_fractions_linear_files/Yang_linear_img/269914116.jpg","show blot")</f>
        <v>show blot</v>
      </c>
      <c r="J2393" s="5" t="s">
        <v>4763</v>
      </c>
      <c r="L2393" s="11">
        <v>3.6923744593412602</v>
      </c>
      <c r="N2393" s="12"/>
    </row>
    <row r="2394" spans="1:14" s="5" customFormat="1" ht="15" customHeight="1" x14ac:dyDescent="0.25">
      <c r="A2394" s="9" t="s">
        <v>4764</v>
      </c>
      <c r="C2394" s="9" t="str">
        <f>HYPERLINK("http://www.ncbi.nlm.nih.gov/protein/242397444","Fam84b")</f>
        <v>Fam84b</v>
      </c>
      <c r="D2394" s="10">
        <f t="shared" si="37"/>
        <v>3.7230619096809572</v>
      </c>
      <c r="F2394" s="8" t="str">
        <f>HYPERLINK("https://esbl.nhlbi.nih.gov/Databases/mpkFractions/proteomic_fractions_log_files/Yang_log_img/242397444.jpg","show blot")</f>
        <v>show blot</v>
      </c>
      <c r="H2394" s="8" t="str">
        <f>HYPERLINK("https://esbl.nhlbi.nih.gov/Databases/mpkFractions/proteomic_fractions_linear_files/Yang_linear_img/242397444.jpg","show blot")</f>
        <v>show blot</v>
      </c>
      <c r="J2394" s="5" t="s">
        <v>4765</v>
      </c>
      <c r="L2394" s="11">
        <v>3.7230619096809572</v>
      </c>
      <c r="N2394" s="12"/>
    </row>
    <row r="2395" spans="1:14" s="5" customFormat="1" ht="15" customHeight="1" x14ac:dyDescent="0.25">
      <c r="A2395" s="9" t="s">
        <v>4766</v>
      </c>
      <c r="C2395" s="9" t="str">
        <f>HYPERLINK("http://www.ncbi.nlm.nih.gov/protein/74315977","Fam86")</f>
        <v>Fam86</v>
      </c>
      <c r="D2395" s="10">
        <f t="shared" si="37"/>
        <v>3.662395392319501</v>
      </c>
      <c r="F2395" s="8" t="str">
        <f>HYPERLINK("https://esbl.nhlbi.nih.gov/Databases/mpkFractions/proteomic_fractions_log_files/Yang_log_img/74315977.jpg","show blot")</f>
        <v>show blot</v>
      </c>
      <c r="H2395" s="8" t="str">
        <f>HYPERLINK("https://esbl.nhlbi.nih.gov/Databases/mpkFractions/proteomic_fractions_linear_files/Yang_linear_img/74315977.jpg","show blot")</f>
        <v>show blot</v>
      </c>
      <c r="J2395" s="5" t="s">
        <v>4767</v>
      </c>
      <c r="L2395" s="11">
        <v>3.662395392319501</v>
      </c>
      <c r="N2395" s="12"/>
    </row>
    <row r="2396" spans="1:14" s="5" customFormat="1" ht="15" customHeight="1" x14ac:dyDescent="0.25">
      <c r="A2396" s="9" t="s">
        <v>4768</v>
      </c>
      <c r="C2396" s="9" t="str">
        <f>HYPERLINK("http://www.ncbi.nlm.nih.gov/protein/13386128","Fam96a")</f>
        <v>Fam96a</v>
      </c>
      <c r="D2396" s="10">
        <f t="shared" si="37"/>
        <v>4.3999013959327016</v>
      </c>
      <c r="F2396" s="8" t="str">
        <f>HYPERLINK("https://esbl.nhlbi.nih.gov/Databases/mpkFractions/proteomic_fractions_log_files/Yang_log_img/13386128.jpg","show blot")</f>
        <v>show blot</v>
      </c>
      <c r="H2396" s="8" t="str">
        <f>HYPERLINK("https://esbl.nhlbi.nih.gov/Databases/mpkFractions/proteomic_fractions_linear_files/Yang_linear_img/13386128.jpg","show blot")</f>
        <v>show blot</v>
      </c>
      <c r="J2396" s="5" t="s">
        <v>4769</v>
      </c>
      <c r="L2396" s="11">
        <v>4.3999013959327016</v>
      </c>
      <c r="N2396" s="12"/>
    </row>
    <row r="2397" spans="1:14" s="5" customFormat="1" ht="15" customHeight="1" x14ac:dyDescent="0.25">
      <c r="A2397" s="9" t="s">
        <v>4770</v>
      </c>
      <c r="C2397" s="9" t="str">
        <f>HYPERLINK("http://www.ncbi.nlm.nih.gov/protein/21312046","Fam96b")</f>
        <v>Fam96b</v>
      </c>
      <c r="D2397" s="10">
        <f t="shared" si="37"/>
        <v>5.1380775030535641</v>
      </c>
      <c r="F2397" s="8" t="str">
        <f>HYPERLINK("https://esbl.nhlbi.nih.gov/Databases/mpkFractions/proteomic_fractions_log_files/Yang_log_img/21312046.jpg","show blot")</f>
        <v>show blot</v>
      </c>
      <c r="H2397" s="8" t="str">
        <f>HYPERLINK("https://esbl.nhlbi.nih.gov/Databases/mpkFractions/proteomic_fractions_linear_files/Yang_linear_img/21312046.jpg","show blot")</f>
        <v>show blot</v>
      </c>
      <c r="J2397" s="5" t="s">
        <v>4771</v>
      </c>
      <c r="L2397" s="11">
        <v>5.1380775030535641</v>
      </c>
      <c r="N2397" s="12"/>
    </row>
    <row r="2398" spans="1:14" s="5" customFormat="1" ht="15" customHeight="1" x14ac:dyDescent="0.25">
      <c r="A2398" s="9" t="s">
        <v>4772</v>
      </c>
      <c r="C2398" s="9" t="str">
        <f>HYPERLINK("http://www.ncbi.nlm.nih.gov/protein/139948818","Fam98a")</f>
        <v>Fam98a</v>
      </c>
      <c r="D2398" s="10">
        <f t="shared" si="37"/>
        <v>4.9328784630846556</v>
      </c>
      <c r="F2398" s="8" t="str">
        <f>HYPERLINK("https://esbl.nhlbi.nih.gov/Databases/mpkFractions/proteomic_fractions_log_files/Yang_log_img/139948818.jpg","show blot")</f>
        <v>show blot</v>
      </c>
      <c r="H2398" s="8" t="str">
        <f>HYPERLINK("https://esbl.nhlbi.nih.gov/Databases/mpkFractions/proteomic_fractions_linear_files/Yang_linear_img/139948818.jpg","show blot")</f>
        <v>show blot</v>
      </c>
      <c r="J2398" s="5" t="s">
        <v>4773</v>
      </c>
      <c r="L2398" s="11">
        <v>4.9328784630846556</v>
      </c>
      <c r="N2398" s="12"/>
    </row>
    <row r="2399" spans="1:14" s="5" customFormat="1" ht="15" customHeight="1" x14ac:dyDescent="0.25">
      <c r="A2399" s="9" t="s">
        <v>4774</v>
      </c>
      <c r="C2399" s="9" t="str">
        <f>HYPERLINK("http://www.ncbi.nlm.nih.gov/protein/61098124","Fam98b")</f>
        <v>Fam98b</v>
      </c>
      <c r="D2399" s="10">
        <f t="shared" si="37"/>
        <v>5.2302231543431494</v>
      </c>
      <c r="F2399" s="8" t="str">
        <f>HYPERLINK("https://esbl.nhlbi.nih.gov/Databases/mpkFractions/proteomic_fractions_log_files/Yang_log_img/61098124.jpg","show blot")</f>
        <v>show blot</v>
      </c>
      <c r="H2399" s="8" t="str">
        <f>HYPERLINK("https://esbl.nhlbi.nih.gov/Databases/mpkFractions/proteomic_fractions_linear_files/Yang_linear_img/61098124.jpg","show blot")</f>
        <v>show blot</v>
      </c>
      <c r="J2399" s="5" t="s">
        <v>4775</v>
      </c>
      <c r="L2399" s="11">
        <v>5.2302231543431494</v>
      </c>
      <c r="N2399" s="12"/>
    </row>
    <row r="2400" spans="1:14" s="5" customFormat="1" ht="15" customHeight="1" x14ac:dyDescent="0.25">
      <c r="A2400" s="9" t="s">
        <v>4776</v>
      </c>
      <c r="C2400" s="9" t="str">
        <f>HYPERLINK("http://www.ncbi.nlm.nih.gov/protein/225637492","Fam98c")</f>
        <v>Fam98c</v>
      </c>
      <c r="D2400" s="10">
        <f t="shared" si="37"/>
        <v>3.6724219118196761</v>
      </c>
      <c r="F2400" s="8" t="str">
        <f>HYPERLINK("https://esbl.nhlbi.nih.gov/Databases/mpkFractions/proteomic_fractions_log_files/Yang_log_img/225637492.jpg","show blot")</f>
        <v>show blot</v>
      </c>
      <c r="H2400" s="8" t="str">
        <f>HYPERLINK("https://esbl.nhlbi.nih.gov/Databases/mpkFractions/proteomic_fractions_linear_files/Yang_linear_img/225637492.jpg","show blot")</f>
        <v>show blot</v>
      </c>
      <c r="J2400" s="5" t="s">
        <v>4777</v>
      </c>
      <c r="L2400" s="11">
        <v>3.6724219118196761</v>
      </c>
      <c r="N2400" s="12"/>
    </row>
    <row r="2401" spans="1:14" s="5" customFormat="1" ht="15" customHeight="1" x14ac:dyDescent="0.25">
      <c r="A2401" s="9" t="s">
        <v>4778</v>
      </c>
      <c r="C2401" s="9" t="str">
        <f>HYPERLINK("http://www.ncbi.nlm.nih.gov/protein/257467664","Fan1")</f>
        <v>Fan1</v>
      </c>
      <c r="D2401" s="10">
        <f t="shared" si="37"/>
        <v>2.3445661444864978</v>
      </c>
      <c r="F2401" s="8" t="str">
        <f>HYPERLINK("https://esbl.nhlbi.nih.gov/Databases/mpkFractions/proteomic_fractions_log_files/Yang_log_img/257467664.jpg","show blot")</f>
        <v>show blot</v>
      </c>
      <c r="H2401" s="8" t="str">
        <f>HYPERLINK("https://esbl.nhlbi.nih.gov/Databases/mpkFractions/proteomic_fractions_linear_files/Yang_linear_img/257467664.jpg","show blot")</f>
        <v>show blot</v>
      </c>
      <c r="J2401" s="5" t="s">
        <v>4779</v>
      </c>
      <c r="L2401" s="11">
        <v>2.3445661444864978</v>
      </c>
      <c r="N2401" s="12"/>
    </row>
    <row r="2402" spans="1:14" s="5" customFormat="1" ht="15" customHeight="1" x14ac:dyDescent="0.25">
      <c r="A2402" s="9" t="s">
        <v>4780</v>
      </c>
      <c r="C2402" s="9" t="str">
        <f>HYPERLINK("http://www.ncbi.nlm.nih.gov/protein/126722700","Fanci")</f>
        <v>Fanci</v>
      </c>
      <c r="D2402" s="10">
        <f t="shared" si="37"/>
        <v>3.428892547257151</v>
      </c>
      <c r="F2402" s="8" t="str">
        <f>HYPERLINK("https://esbl.nhlbi.nih.gov/Databases/mpkFractions/proteomic_fractions_log_files/Yang_log_img/126722700.jpg","show blot")</f>
        <v>show blot</v>
      </c>
      <c r="H2402" s="8" t="str">
        <f>HYPERLINK("https://esbl.nhlbi.nih.gov/Databases/mpkFractions/proteomic_fractions_linear_files/Yang_linear_img/126722700.jpg","show blot")</f>
        <v>show blot</v>
      </c>
      <c r="J2402" s="5" t="s">
        <v>4781</v>
      </c>
      <c r="L2402" s="11">
        <v>3.428892547257151</v>
      </c>
      <c r="N2402" s="12"/>
    </row>
    <row r="2403" spans="1:14" s="5" customFormat="1" ht="15" customHeight="1" x14ac:dyDescent="0.25">
      <c r="A2403" s="9" t="s">
        <v>4782</v>
      </c>
      <c r="C2403" s="9" t="str">
        <f>HYPERLINK("http://www.ncbi.nlm.nih.gov/protein/74096448","Far1")</f>
        <v>Far1</v>
      </c>
      <c r="D2403" s="10">
        <f t="shared" si="37"/>
        <v>4.6884466270590881</v>
      </c>
      <c r="F2403" s="8" t="str">
        <f>HYPERLINK("https://esbl.nhlbi.nih.gov/Databases/mpkFractions/proteomic_fractions_log_files/Yang_log_img/74096448.jpg","show blot")</f>
        <v>show blot</v>
      </c>
      <c r="H2403" s="8" t="str">
        <f>HYPERLINK("https://esbl.nhlbi.nih.gov/Databases/mpkFractions/proteomic_fractions_linear_files/Yang_linear_img/74096448.jpg","show blot")</f>
        <v>show blot</v>
      </c>
      <c r="J2403" s="5" t="s">
        <v>4783</v>
      </c>
      <c r="L2403" s="11">
        <v>4.6884466270590881</v>
      </c>
      <c r="N2403" s="12"/>
    </row>
    <row r="2404" spans="1:14" s="5" customFormat="1" ht="15" customHeight="1" x14ac:dyDescent="0.25">
      <c r="A2404" s="9" t="s">
        <v>4784</v>
      </c>
      <c r="C2404" s="9" t="str">
        <f>HYPERLINK("http://www.ncbi.nlm.nih.gov/protein/110349752","Farp1")</f>
        <v>Farp1</v>
      </c>
      <c r="D2404" s="10">
        <f t="shared" si="37"/>
        <v>4.2506023372727277</v>
      </c>
      <c r="F2404" s="8" t="str">
        <f>HYPERLINK("https://esbl.nhlbi.nih.gov/Databases/mpkFractions/proteomic_fractions_log_files/Yang_log_img/110349752.jpg","show blot")</f>
        <v>show blot</v>
      </c>
      <c r="H2404" s="8" t="str">
        <f>HYPERLINK("https://esbl.nhlbi.nih.gov/Databases/mpkFractions/proteomic_fractions_linear_files/Yang_linear_img/110349752.jpg","show blot")</f>
        <v>show blot</v>
      </c>
      <c r="J2404" s="5" t="s">
        <v>4785</v>
      </c>
      <c r="L2404" s="11">
        <v>4.2506023372727277</v>
      </c>
      <c r="N2404" s="12"/>
    </row>
    <row r="2405" spans="1:14" s="5" customFormat="1" ht="15" customHeight="1" x14ac:dyDescent="0.25">
      <c r="A2405" s="9" t="s">
        <v>4786</v>
      </c>
      <c r="C2405" s="9" t="str">
        <f>HYPERLINK("http://www.ncbi.nlm.nih.gov/protein/229892332","Farp2")</f>
        <v>Farp2</v>
      </c>
      <c r="D2405" s="10">
        <f t="shared" si="37"/>
        <v>2.8927107733506081</v>
      </c>
      <c r="F2405" s="8" t="str">
        <f>HYPERLINK("https://esbl.nhlbi.nih.gov/Databases/mpkFractions/proteomic_fractions_log_files/Yang_log_img/229892332.jpg","show blot")</f>
        <v>show blot</v>
      </c>
      <c r="H2405" s="8" t="str">
        <f>HYPERLINK("https://esbl.nhlbi.nih.gov/Databases/mpkFractions/proteomic_fractions_linear_files/Yang_linear_img/229892332.jpg","show blot")</f>
        <v>show blot</v>
      </c>
      <c r="J2405" s="5" t="s">
        <v>4787</v>
      </c>
      <c r="L2405" s="11">
        <v>2.8927107733506081</v>
      </c>
      <c r="N2405" s="12"/>
    </row>
    <row r="2406" spans="1:14" s="5" customFormat="1" ht="15" customHeight="1" x14ac:dyDescent="0.25">
      <c r="A2406" s="9" t="s">
        <v>4788</v>
      </c>
      <c r="C2406" s="9" t="str">
        <f>HYPERLINK("http://www.ncbi.nlm.nih.gov/protein/162138894","Farsa")</f>
        <v>Farsa</v>
      </c>
      <c r="D2406" s="10">
        <f t="shared" si="37"/>
        <v>6.0529818056304103</v>
      </c>
      <c r="F2406" s="8" t="str">
        <f>HYPERLINK("https://esbl.nhlbi.nih.gov/Databases/mpkFractions/proteomic_fractions_log_files/Yang_log_img/162138894.jpg","show blot")</f>
        <v>show blot</v>
      </c>
      <c r="H2406" s="8" t="str">
        <f>HYPERLINK("https://esbl.nhlbi.nih.gov/Databases/mpkFractions/proteomic_fractions_linear_files/Yang_linear_img/162138894.jpg","show blot")</f>
        <v>show blot</v>
      </c>
      <c r="J2406" s="5" t="s">
        <v>4789</v>
      </c>
      <c r="L2406" s="11">
        <v>6.0529818056304103</v>
      </c>
      <c r="N2406" s="12"/>
    </row>
    <row r="2407" spans="1:14" s="5" customFormat="1" ht="15" customHeight="1" x14ac:dyDescent="0.25">
      <c r="A2407" s="9" t="s">
        <v>4790</v>
      </c>
      <c r="C2407" s="9" t="str">
        <f>HYPERLINK("http://www.ncbi.nlm.nih.gov/protein/31981400","Farsb")</f>
        <v>Farsb</v>
      </c>
      <c r="D2407" s="10">
        <f t="shared" si="37"/>
        <v>6.1843005267927831</v>
      </c>
      <c r="F2407" s="8" t="str">
        <f>HYPERLINK("https://esbl.nhlbi.nih.gov/Databases/mpkFractions/proteomic_fractions_log_files/Yang_log_img/31981400.jpg","show blot")</f>
        <v>show blot</v>
      </c>
      <c r="H2407" s="8" t="str">
        <f>HYPERLINK("https://esbl.nhlbi.nih.gov/Databases/mpkFractions/proteomic_fractions_linear_files/Yang_linear_img/31981400.jpg","show blot")</f>
        <v>show blot</v>
      </c>
      <c r="J2407" s="5" t="s">
        <v>4791</v>
      </c>
      <c r="L2407" s="11">
        <v>6.1843005267927831</v>
      </c>
      <c r="N2407" s="12"/>
    </row>
    <row r="2408" spans="1:14" s="5" customFormat="1" ht="15" customHeight="1" x14ac:dyDescent="0.25">
      <c r="A2408" s="9" t="s">
        <v>4792</v>
      </c>
      <c r="C2408" s="9" t="str">
        <f>HYPERLINK("http://www.ncbi.nlm.nih.gov/protein/93102409","Fasn")</f>
        <v>Fasn</v>
      </c>
      <c r="D2408" s="10">
        <f t="shared" si="37"/>
        <v>6.36725553558614</v>
      </c>
      <c r="F2408" s="8" t="str">
        <f>HYPERLINK("https://esbl.nhlbi.nih.gov/Databases/mpkFractions/proteomic_fractions_log_files/Yang_log_img/93102409.jpg","show blot")</f>
        <v>show blot</v>
      </c>
      <c r="H2408" s="8" t="str">
        <f>HYPERLINK("https://esbl.nhlbi.nih.gov/Databases/mpkFractions/proteomic_fractions_linear_files/Yang_linear_img/93102409.jpg","show blot")</f>
        <v>show blot</v>
      </c>
      <c r="J2408" s="5" t="s">
        <v>4793</v>
      </c>
      <c r="L2408" s="11">
        <v>6.36725553558614</v>
      </c>
      <c r="N2408" s="12"/>
    </row>
    <row r="2409" spans="1:14" s="5" customFormat="1" ht="15" customHeight="1" x14ac:dyDescent="0.25">
      <c r="A2409" s="9" t="s">
        <v>4794</v>
      </c>
      <c r="C2409" s="9" t="str">
        <f>HYPERLINK("http://www.ncbi.nlm.nih.gov/protein/27369557","Fastkd2")</f>
        <v>Fastkd2</v>
      </c>
      <c r="D2409" s="10">
        <f t="shared" si="37"/>
        <v>3.23215914077683</v>
      </c>
      <c r="F2409" s="8" t="str">
        <f>HYPERLINK("https://esbl.nhlbi.nih.gov/Databases/mpkFractions/proteomic_fractions_log_files/Yang_log_img/27369557.jpg","show blot")</f>
        <v>show blot</v>
      </c>
      <c r="H2409" s="8" t="str">
        <f>HYPERLINK("https://esbl.nhlbi.nih.gov/Databases/mpkFractions/proteomic_fractions_linear_files/Yang_linear_img/27369557.jpg","show blot")</f>
        <v>show blot</v>
      </c>
      <c r="J2409" s="5" t="s">
        <v>4795</v>
      </c>
      <c r="L2409" s="11">
        <v>3.23215914077683</v>
      </c>
      <c r="N2409" s="12"/>
    </row>
    <row r="2410" spans="1:14" s="5" customFormat="1" ht="15" customHeight="1" x14ac:dyDescent="0.25">
      <c r="A2410" s="9" t="s">
        <v>4796</v>
      </c>
      <c r="C2410" s="9" t="str">
        <f>HYPERLINK("http://www.ncbi.nlm.nih.gov/protein/157951641","Fat1")</f>
        <v>Fat1</v>
      </c>
      <c r="D2410" s="10">
        <f t="shared" si="37"/>
        <v>1.7935473205334269</v>
      </c>
      <c r="F2410" s="8" t="str">
        <f>HYPERLINK("https://esbl.nhlbi.nih.gov/Databases/mpkFractions/proteomic_fractions_log_files/Yang_log_img/157951641.jpg","show blot")</f>
        <v>show blot</v>
      </c>
      <c r="H2410" s="8" t="str">
        <f>HYPERLINK("https://esbl.nhlbi.nih.gov/Databases/mpkFractions/proteomic_fractions_linear_files/Yang_linear_img/157951641.jpg","show blot")</f>
        <v>show blot</v>
      </c>
      <c r="J2410" s="5" t="s">
        <v>4797</v>
      </c>
      <c r="L2410" s="11">
        <v>1.7935473205334269</v>
      </c>
      <c r="N2410" s="12"/>
    </row>
    <row r="2411" spans="1:14" s="5" customFormat="1" ht="15" customHeight="1" x14ac:dyDescent="0.25">
      <c r="A2411" s="9" t="s">
        <v>4798</v>
      </c>
      <c r="C2411" s="9" t="str">
        <f>HYPERLINK("http://www.ncbi.nlm.nih.gov/protein/237681133","Fau")</f>
        <v>Fau</v>
      </c>
      <c r="D2411" s="10">
        <f t="shared" si="37"/>
        <v>6.10144611341416</v>
      </c>
      <c r="F2411" s="8" t="str">
        <f>HYPERLINK("https://esbl.nhlbi.nih.gov/Databases/mpkFractions/proteomic_fractions_log_files/Yang_log_img/237681133.jpg","show blot")</f>
        <v>show blot</v>
      </c>
      <c r="H2411" s="8" t="str">
        <f>HYPERLINK("https://esbl.nhlbi.nih.gov/Databases/mpkFractions/proteomic_fractions_linear_files/Yang_linear_img/237681133.jpg","show blot")</f>
        <v>show blot</v>
      </c>
      <c r="J2411" s="5" t="s">
        <v>4799</v>
      </c>
      <c r="L2411" s="11">
        <v>6.10144611341416</v>
      </c>
      <c r="N2411" s="12"/>
    </row>
    <row r="2412" spans="1:14" s="5" customFormat="1" ht="15" customHeight="1" x14ac:dyDescent="0.25">
      <c r="A2412" s="9" t="s">
        <v>4800</v>
      </c>
      <c r="C2412" s="9" t="str">
        <f>HYPERLINK("http://www.ncbi.nlm.nih.gov/protein/144922653","Fbf1")</f>
        <v>Fbf1</v>
      </c>
      <c r="D2412" s="10">
        <f t="shared" si="37"/>
        <v>1.6868424380209259</v>
      </c>
      <c r="F2412" s="8" t="str">
        <f>HYPERLINK("https://esbl.nhlbi.nih.gov/Databases/mpkFractions/proteomic_fractions_log_files/Yang_log_img/144922653.jpg","show blot")</f>
        <v>show blot</v>
      </c>
      <c r="H2412" s="8" t="str">
        <f>HYPERLINK("https://esbl.nhlbi.nih.gov/Databases/mpkFractions/proteomic_fractions_linear_files/Yang_linear_img/144922653.jpg","show blot")</f>
        <v>show blot</v>
      </c>
      <c r="J2412" s="5" t="s">
        <v>4801</v>
      </c>
      <c r="L2412" s="11">
        <v>1.6868424380209259</v>
      </c>
      <c r="N2412" s="12"/>
    </row>
    <row r="2413" spans="1:14" s="5" customFormat="1" ht="15" customHeight="1" x14ac:dyDescent="0.25">
      <c r="A2413" s="9" t="s">
        <v>4802</v>
      </c>
      <c r="C2413" s="9" t="str">
        <f>HYPERLINK("http://www.ncbi.nlm.nih.gov/protein/110625770","Fblim1")</f>
        <v>Fblim1</v>
      </c>
      <c r="D2413" s="10">
        <f t="shared" si="37"/>
        <v>5.0150944025319468</v>
      </c>
      <c r="F2413" s="8" t="str">
        <f>HYPERLINK("https://esbl.nhlbi.nih.gov/Databases/mpkFractions/proteomic_fractions_log_files/Yang_log_img/110625770.jpg","show blot")</f>
        <v>show blot</v>
      </c>
      <c r="H2413" s="8" t="str">
        <f>HYPERLINK("https://esbl.nhlbi.nih.gov/Databases/mpkFractions/proteomic_fractions_linear_files/Yang_linear_img/110625770.jpg","show blot")</f>
        <v>show blot</v>
      </c>
      <c r="J2413" s="5" t="s">
        <v>4803</v>
      </c>
      <c r="L2413" s="11">
        <v>5.0150944025319468</v>
      </c>
      <c r="N2413" s="12"/>
    </row>
    <row r="2414" spans="1:14" s="5" customFormat="1" ht="15" customHeight="1" x14ac:dyDescent="0.25">
      <c r="A2414" s="9" t="s">
        <v>4804</v>
      </c>
      <c r="C2414" s="9" t="str">
        <f>HYPERLINK("http://www.ncbi.nlm.nih.gov/protein/51921297","Fbll1")</f>
        <v>Fbll1</v>
      </c>
      <c r="D2414" s="10">
        <f t="shared" si="37"/>
        <v>5.8552959957784463</v>
      </c>
      <c r="F2414" s="8" t="str">
        <f>HYPERLINK("https://esbl.nhlbi.nih.gov/Databases/mpkFractions/proteomic_fractions_log_files/Yang_log_img/51921297.jpg","show blot")</f>
        <v>show blot</v>
      </c>
      <c r="H2414" s="8" t="str">
        <f>HYPERLINK("https://esbl.nhlbi.nih.gov/Databases/mpkFractions/proteomic_fractions_linear_files/Yang_linear_img/51921297.jpg","show blot")</f>
        <v>show blot</v>
      </c>
      <c r="J2414" s="5" t="s">
        <v>4805</v>
      </c>
      <c r="L2414" s="11">
        <v>5.8552959957784463</v>
      </c>
      <c r="N2414" s="12"/>
    </row>
    <row r="2415" spans="1:14" s="5" customFormat="1" ht="15" customHeight="1" x14ac:dyDescent="0.25">
      <c r="A2415" s="9" t="s">
        <v>4806</v>
      </c>
      <c r="C2415" s="9" t="str">
        <f>HYPERLINK("http://www.ncbi.nlm.nih.gov/protein/122937183","Fbp2")</f>
        <v>Fbp2</v>
      </c>
      <c r="D2415" s="10">
        <f t="shared" si="37"/>
        <v>4.801318918049132</v>
      </c>
      <c r="F2415" s="8" t="str">
        <f>HYPERLINK("https://esbl.nhlbi.nih.gov/Databases/mpkFractions/proteomic_fractions_log_files/Yang_log_img/122937183.jpg","show blot")</f>
        <v>show blot</v>
      </c>
      <c r="H2415" s="8" t="str">
        <f>HYPERLINK("https://esbl.nhlbi.nih.gov/Databases/mpkFractions/proteomic_fractions_linear_files/Yang_linear_img/122937183.jpg","show blot")</f>
        <v>show blot</v>
      </c>
      <c r="J2415" s="5" t="s">
        <v>4807</v>
      </c>
      <c r="L2415" s="11">
        <v>4.801318918049132</v>
      </c>
      <c r="N2415" s="12"/>
    </row>
    <row r="2416" spans="1:14" s="5" customFormat="1" ht="15" customHeight="1" x14ac:dyDescent="0.25">
      <c r="A2416" s="9" t="s">
        <v>4808</v>
      </c>
      <c r="C2416" s="9" t="str">
        <f>HYPERLINK("http://www.ncbi.nlm.nih.gov/protein/125347476","Fbrsl1")</f>
        <v>Fbrsl1</v>
      </c>
      <c r="D2416" s="10">
        <f t="shared" si="37"/>
        <v>3.755530664753008</v>
      </c>
      <c r="F2416" s="8" t="str">
        <f>HYPERLINK("https://esbl.nhlbi.nih.gov/Databases/mpkFractions/proteomic_fractions_log_files/Yang_log_img/125347476.jpg","show blot")</f>
        <v>show blot</v>
      </c>
      <c r="H2416" s="8" t="str">
        <f>HYPERLINK("https://esbl.nhlbi.nih.gov/Databases/mpkFractions/proteomic_fractions_linear_files/Yang_linear_img/125347476.jpg","show blot")</f>
        <v>show blot</v>
      </c>
      <c r="J2416" s="5" t="s">
        <v>4809</v>
      </c>
      <c r="L2416" s="11">
        <v>3.755530664753008</v>
      </c>
      <c r="N2416" s="12"/>
    </row>
    <row r="2417" spans="1:14" s="5" customFormat="1" ht="15" customHeight="1" x14ac:dyDescent="0.25">
      <c r="A2417" s="9" t="s">
        <v>4810</v>
      </c>
      <c r="C2417" s="9" t="str">
        <f>HYPERLINK("http://www.ncbi.nlm.nih.gov/protein/217416345","Fbrsl1")</f>
        <v>Fbrsl1</v>
      </c>
      <c r="D2417" s="10">
        <f t="shared" si="37"/>
        <v>3.755530664753008</v>
      </c>
      <c r="F2417" s="8" t="str">
        <f>HYPERLINK("https://esbl.nhlbi.nih.gov/Databases/mpkFractions/proteomic_fractions_log_files/Yang_log_img/217416345.jpg","show blot")</f>
        <v>show blot</v>
      </c>
      <c r="H2417" s="8" t="str">
        <f>HYPERLINK("https://esbl.nhlbi.nih.gov/Databases/mpkFractions/proteomic_fractions_linear_files/Yang_linear_img/217416345.jpg","show blot")</f>
        <v>show blot</v>
      </c>
      <c r="J2417" s="5" t="s">
        <v>4811</v>
      </c>
      <c r="L2417" s="11">
        <v>3.755530664753008</v>
      </c>
      <c r="N2417" s="12"/>
    </row>
    <row r="2418" spans="1:14" s="5" customFormat="1" ht="15" customHeight="1" x14ac:dyDescent="0.25">
      <c r="A2418" s="9" t="s">
        <v>4812</v>
      </c>
      <c r="C2418" s="9" t="str">
        <f>HYPERLINK("http://www.ncbi.nlm.nih.gov/protein/140970874","Fbxl15")</f>
        <v>Fbxl15</v>
      </c>
      <c r="D2418" s="10">
        <f t="shared" si="37"/>
        <v>4.2136486890828744</v>
      </c>
      <c r="F2418" s="8" t="str">
        <f>HYPERLINK("https://esbl.nhlbi.nih.gov/Databases/mpkFractions/proteomic_fractions_log_files/Yang_log_img/140970874.jpg","show blot")</f>
        <v>show blot</v>
      </c>
      <c r="H2418" s="8" t="str">
        <f>HYPERLINK("https://esbl.nhlbi.nih.gov/Databases/mpkFractions/proteomic_fractions_linear_files/Yang_linear_img/140970874.jpg","show blot")</f>
        <v>show blot</v>
      </c>
      <c r="J2418" s="5" t="s">
        <v>4813</v>
      </c>
      <c r="L2418" s="11">
        <v>4.2136486890828744</v>
      </c>
      <c r="N2418" s="12"/>
    </row>
    <row r="2419" spans="1:14" s="5" customFormat="1" ht="15" customHeight="1" x14ac:dyDescent="0.25">
      <c r="A2419" s="9" t="s">
        <v>4814</v>
      </c>
      <c r="C2419" s="9" t="str">
        <f>HYPERLINK("http://www.ncbi.nlm.nih.gov/protein/153945830","Fbxl18")</f>
        <v>Fbxl18</v>
      </c>
      <c r="D2419" s="10">
        <f t="shared" si="37"/>
        <v>1.7325999285816009</v>
      </c>
      <c r="F2419" s="8" t="str">
        <f>HYPERLINK("https://esbl.nhlbi.nih.gov/Databases/mpkFractions/proteomic_fractions_log_files/Yang_log_img/153945830.jpg","show blot")</f>
        <v>show blot</v>
      </c>
      <c r="H2419" s="8" t="str">
        <f>HYPERLINK("https://esbl.nhlbi.nih.gov/Databases/mpkFractions/proteomic_fractions_linear_files/Yang_linear_img/153945830.jpg","show blot")</f>
        <v>show blot</v>
      </c>
      <c r="J2419" s="5" t="s">
        <v>4815</v>
      </c>
      <c r="L2419" s="11">
        <v>1.7325999285816009</v>
      </c>
      <c r="N2419" s="12"/>
    </row>
    <row r="2420" spans="1:14" s="5" customFormat="1" ht="15" customHeight="1" x14ac:dyDescent="0.25">
      <c r="A2420" s="9" t="s">
        <v>4816</v>
      </c>
      <c r="C2420" s="9" t="str">
        <f>HYPERLINK("http://www.ncbi.nlm.nih.gov/protein/111494221","Fbxl20")</f>
        <v>Fbxl20</v>
      </c>
      <c r="D2420" s="10">
        <f t="shared" si="37"/>
        <v>3.1812382708891649</v>
      </c>
      <c r="F2420" s="8" t="str">
        <f>HYPERLINK("https://esbl.nhlbi.nih.gov/Databases/mpkFractions/proteomic_fractions_log_files/Yang_log_img/111494221.jpg","show blot")</f>
        <v>show blot</v>
      </c>
      <c r="H2420" s="8" t="str">
        <f>HYPERLINK("https://esbl.nhlbi.nih.gov/Databases/mpkFractions/proteomic_fractions_linear_files/Yang_linear_img/111494221.jpg","show blot")</f>
        <v>show blot</v>
      </c>
      <c r="J2420" s="5" t="s">
        <v>4817</v>
      </c>
      <c r="L2420" s="11">
        <v>3.1812382708891649</v>
      </c>
      <c r="N2420" s="12"/>
    </row>
    <row r="2421" spans="1:14" s="5" customFormat="1" ht="15" customHeight="1" x14ac:dyDescent="0.25">
      <c r="A2421" s="9" t="s">
        <v>4818</v>
      </c>
      <c r="C2421" s="9" t="str">
        <f>HYPERLINK("http://www.ncbi.nlm.nih.gov/protein/255683411","Fbxl8")</f>
        <v>Fbxl8</v>
      </c>
      <c r="D2421" s="10">
        <f t="shared" si="37"/>
        <v>3.4073867303529761</v>
      </c>
      <c r="F2421" s="8" t="str">
        <f>HYPERLINK("https://esbl.nhlbi.nih.gov/Databases/mpkFractions/proteomic_fractions_log_files/Yang_log_img/255683411.jpg","show blot")</f>
        <v>show blot</v>
      </c>
      <c r="H2421" s="8" t="str">
        <f>HYPERLINK("https://esbl.nhlbi.nih.gov/Databases/mpkFractions/proteomic_fractions_linear_files/Yang_linear_img/255683411.jpg","show blot")</f>
        <v>show blot</v>
      </c>
      <c r="J2421" s="5" t="s">
        <v>4819</v>
      </c>
      <c r="L2421" s="11">
        <v>3.4073867303529761</v>
      </c>
      <c r="N2421" s="12"/>
    </row>
    <row r="2422" spans="1:14" s="5" customFormat="1" ht="15" customHeight="1" x14ac:dyDescent="0.25">
      <c r="A2422" s="9" t="s">
        <v>4820</v>
      </c>
      <c r="C2422" s="9" t="str">
        <f>HYPERLINK("http://www.ncbi.nlm.nih.gov/protein/33859801","Fbxo2")</f>
        <v>Fbxo2</v>
      </c>
      <c r="D2422" s="10">
        <f t="shared" si="37"/>
        <v>4.6609370413508726</v>
      </c>
      <c r="F2422" s="8" t="str">
        <f>HYPERLINK("https://esbl.nhlbi.nih.gov/Databases/mpkFractions/proteomic_fractions_log_files/Yang_log_img/33859801.jpg","show blot")</f>
        <v>show blot</v>
      </c>
      <c r="H2422" s="8" t="str">
        <f>HYPERLINK("https://esbl.nhlbi.nih.gov/Databases/mpkFractions/proteomic_fractions_linear_files/Yang_linear_img/33859801.jpg","show blot")</f>
        <v>show blot</v>
      </c>
      <c r="J2422" s="5" t="s">
        <v>4821</v>
      </c>
      <c r="L2422" s="11">
        <v>4.6609370413508726</v>
      </c>
      <c r="N2422" s="12"/>
    </row>
    <row r="2423" spans="1:14" s="5" customFormat="1" ht="15" customHeight="1" x14ac:dyDescent="0.25">
      <c r="A2423" s="9" t="s">
        <v>4822</v>
      </c>
      <c r="C2423" s="9" t="str">
        <f>HYPERLINK("http://www.ncbi.nlm.nih.gov/protein/21704134","Fbxo21")</f>
        <v>Fbxo21</v>
      </c>
      <c r="D2423" s="10">
        <f t="shared" si="37"/>
        <v>3.0538657722319562</v>
      </c>
      <c r="F2423" s="8" t="str">
        <f>HYPERLINK("https://esbl.nhlbi.nih.gov/Databases/mpkFractions/proteomic_fractions_log_files/Yang_log_img/21704134.jpg","show blot")</f>
        <v>show blot</v>
      </c>
      <c r="H2423" s="8" t="str">
        <f>HYPERLINK("https://esbl.nhlbi.nih.gov/Databases/mpkFractions/proteomic_fractions_linear_files/Yang_linear_img/21704134.jpg","show blot")</f>
        <v>show blot</v>
      </c>
      <c r="J2423" s="5" t="s">
        <v>4823</v>
      </c>
      <c r="L2423" s="11">
        <v>3.0538657722319562</v>
      </c>
      <c r="N2423" s="12"/>
    </row>
    <row r="2424" spans="1:14" s="5" customFormat="1" ht="15" customHeight="1" x14ac:dyDescent="0.25">
      <c r="A2424" s="9" t="s">
        <v>4824</v>
      </c>
      <c r="C2424" s="9" t="str">
        <f>HYPERLINK("http://www.ncbi.nlm.nih.gov/protein/139948465","Fbxo22")</f>
        <v>Fbxo22</v>
      </c>
      <c r="D2424" s="10">
        <f t="shared" si="37"/>
        <v>5.4297405611849863</v>
      </c>
      <c r="F2424" s="8" t="str">
        <f>HYPERLINK("https://esbl.nhlbi.nih.gov/Databases/mpkFractions/proteomic_fractions_log_files/Yang_log_img/139948465.jpg","show blot")</f>
        <v>show blot</v>
      </c>
      <c r="H2424" s="8" t="str">
        <f>HYPERLINK("https://esbl.nhlbi.nih.gov/Databases/mpkFractions/proteomic_fractions_linear_files/Yang_linear_img/139948465.jpg","show blot")</f>
        <v>show blot</v>
      </c>
      <c r="J2424" s="5" t="s">
        <v>4825</v>
      </c>
      <c r="L2424" s="11">
        <v>5.4297405611849863</v>
      </c>
      <c r="N2424" s="12"/>
    </row>
    <row r="2425" spans="1:14" s="5" customFormat="1" ht="15" customHeight="1" x14ac:dyDescent="0.25">
      <c r="A2425" s="9" t="s">
        <v>4826</v>
      </c>
      <c r="C2425" s="9" t="str">
        <f>HYPERLINK("http://www.ncbi.nlm.nih.gov/protein/28201989","Fbxo28")</f>
        <v>Fbxo28</v>
      </c>
      <c r="D2425" s="10">
        <f t="shared" si="37"/>
        <v>1.6134918858841181</v>
      </c>
      <c r="F2425" s="8" t="str">
        <f>HYPERLINK("https://esbl.nhlbi.nih.gov/Databases/mpkFractions/proteomic_fractions_log_files/Yang_log_img/28201989.jpg","show blot")</f>
        <v>show blot</v>
      </c>
      <c r="H2425" s="8" t="str">
        <f>HYPERLINK("https://esbl.nhlbi.nih.gov/Databases/mpkFractions/proteomic_fractions_linear_files/Yang_linear_img/28201989.jpg","show blot")</f>
        <v>show blot</v>
      </c>
      <c r="J2425" s="5" t="s">
        <v>4827</v>
      </c>
      <c r="L2425" s="11">
        <v>1.6134918858841181</v>
      </c>
      <c r="N2425" s="12"/>
    </row>
    <row r="2426" spans="1:14" s="5" customFormat="1" ht="15" customHeight="1" x14ac:dyDescent="0.25">
      <c r="A2426" s="9" t="s">
        <v>4828</v>
      </c>
      <c r="C2426" s="9" t="str">
        <f>HYPERLINK("http://www.ncbi.nlm.nih.gov/protein/10181216","Fbxo3")</f>
        <v>Fbxo3</v>
      </c>
      <c r="D2426" s="10">
        <f t="shared" si="37"/>
        <v>3.8044375950307301</v>
      </c>
      <c r="F2426" s="8" t="str">
        <f>HYPERLINK("https://esbl.nhlbi.nih.gov/Databases/mpkFractions/proteomic_fractions_log_files/Yang_log_img/10181216.jpg","show blot")</f>
        <v>show blot</v>
      </c>
      <c r="H2426" s="8" t="str">
        <f>HYPERLINK("https://esbl.nhlbi.nih.gov/Databases/mpkFractions/proteomic_fractions_linear_files/Yang_linear_img/10181216.jpg","show blot")</f>
        <v>show blot</v>
      </c>
      <c r="J2426" s="5" t="s">
        <v>4829</v>
      </c>
      <c r="L2426" s="11">
        <v>3.8044375950307301</v>
      </c>
      <c r="N2426" s="12"/>
    </row>
    <row r="2427" spans="1:14" s="5" customFormat="1" ht="15" customHeight="1" x14ac:dyDescent="0.25">
      <c r="A2427" s="9" t="s">
        <v>4830</v>
      </c>
      <c r="C2427" s="9" t="str">
        <f>HYPERLINK("http://www.ncbi.nlm.nih.gov/protein/46877055","Fbxo3")</f>
        <v>Fbxo3</v>
      </c>
      <c r="D2427" s="10">
        <f t="shared" si="37"/>
        <v>3.8044375950307301</v>
      </c>
      <c r="F2427" s="8" t="str">
        <f>HYPERLINK("https://esbl.nhlbi.nih.gov/Databases/mpkFractions/proteomic_fractions_log_files/Yang_log_img/46877055.jpg","show blot")</f>
        <v>show blot</v>
      </c>
      <c r="H2427" s="8" t="str">
        <f>HYPERLINK("https://esbl.nhlbi.nih.gov/Databases/mpkFractions/proteomic_fractions_linear_files/Yang_linear_img/46877055.jpg","show blot")</f>
        <v>show blot</v>
      </c>
      <c r="J2427" s="5" t="s">
        <v>4831</v>
      </c>
      <c r="L2427" s="11">
        <v>3.8044375950307301</v>
      </c>
      <c r="N2427" s="12"/>
    </row>
    <row r="2428" spans="1:14" s="5" customFormat="1" ht="15" customHeight="1" x14ac:dyDescent="0.25">
      <c r="A2428" s="9" t="s">
        <v>4832</v>
      </c>
      <c r="C2428" s="9" t="str">
        <f>HYPERLINK("http://www.ncbi.nlm.nih.gov/protein/13385848","Fbxo32")</f>
        <v>Fbxo32</v>
      </c>
      <c r="D2428" s="10">
        <f t="shared" si="37"/>
        <v>1.34290389359377</v>
      </c>
      <c r="F2428" s="8" t="str">
        <f>HYPERLINK("https://esbl.nhlbi.nih.gov/Databases/mpkFractions/proteomic_fractions_log_files/Yang_log_img/13385848.jpg","show blot")</f>
        <v>show blot</v>
      </c>
      <c r="H2428" s="8" t="str">
        <f>HYPERLINK("https://esbl.nhlbi.nih.gov/Databases/mpkFractions/proteomic_fractions_linear_files/Yang_linear_img/13385848.jpg","show blot")</f>
        <v>show blot</v>
      </c>
      <c r="J2428" s="5" t="s">
        <v>4833</v>
      </c>
      <c r="L2428" s="11">
        <v>1.34290389359377</v>
      </c>
      <c r="N2428" s="12"/>
    </row>
    <row r="2429" spans="1:14" s="5" customFormat="1" ht="15" customHeight="1" x14ac:dyDescent="0.25">
      <c r="A2429" s="9" t="s">
        <v>4834</v>
      </c>
      <c r="C2429" s="9" t="str">
        <f>HYPERLINK("http://www.ncbi.nlm.nih.gov/protein/256665259","Fbxo4")</f>
        <v>Fbxo4</v>
      </c>
      <c r="D2429" s="10">
        <f t="shared" si="37"/>
        <v>3.9055692333400929</v>
      </c>
      <c r="F2429" s="8" t="str">
        <f>HYPERLINK("https://esbl.nhlbi.nih.gov/Databases/mpkFractions/proteomic_fractions_log_files/Yang_log_img/256665259.jpg","show blot")</f>
        <v>show blot</v>
      </c>
      <c r="H2429" s="8" t="str">
        <f>HYPERLINK("https://esbl.nhlbi.nih.gov/Databases/mpkFractions/proteomic_fractions_linear_files/Yang_linear_img/256665259.jpg","show blot")</f>
        <v>show blot</v>
      </c>
      <c r="J2429" s="5" t="s">
        <v>4835</v>
      </c>
      <c r="L2429" s="11">
        <v>3.9055692333400929</v>
      </c>
      <c r="N2429" s="12"/>
    </row>
    <row r="2430" spans="1:14" s="5" customFormat="1" ht="15" customHeight="1" x14ac:dyDescent="0.25">
      <c r="A2430" s="9" t="s">
        <v>4836</v>
      </c>
      <c r="C2430" s="9" t="str">
        <f>HYPERLINK("http://www.ncbi.nlm.nih.gov/protein/47564092","Fbxo41")</f>
        <v>Fbxo41</v>
      </c>
      <c r="D2430" s="10">
        <f t="shared" si="37"/>
        <v>3.767808699668568</v>
      </c>
      <c r="F2430" s="8" t="str">
        <f>HYPERLINK("https://esbl.nhlbi.nih.gov/Databases/mpkFractions/proteomic_fractions_log_files/Yang_log_img/47564092.jpg","show blot")</f>
        <v>show blot</v>
      </c>
      <c r="H2430" s="8" t="str">
        <f>HYPERLINK("https://esbl.nhlbi.nih.gov/Databases/mpkFractions/proteomic_fractions_linear_files/Yang_linear_img/47564092.jpg","show blot")</f>
        <v>show blot</v>
      </c>
      <c r="J2430" s="5" t="s">
        <v>4837</v>
      </c>
      <c r="L2430" s="11">
        <v>3.767808699668568</v>
      </c>
      <c r="N2430" s="12"/>
    </row>
    <row r="2431" spans="1:14" s="5" customFormat="1" ht="15" customHeight="1" x14ac:dyDescent="0.25">
      <c r="A2431" s="9" t="s">
        <v>4838</v>
      </c>
      <c r="C2431" s="9" t="str">
        <f>HYPERLINK("http://www.ncbi.nlm.nih.gov/protein/56961627","Fbxo45")</f>
        <v>Fbxo45</v>
      </c>
      <c r="D2431" s="10">
        <f t="shared" si="37"/>
        <v>4.1431165914809398</v>
      </c>
      <c r="F2431" s="8" t="str">
        <f>HYPERLINK("https://esbl.nhlbi.nih.gov/Databases/mpkFractions/proteomic_fractions_log_files/Yang_log_img/56961627.jpg","show blot")</f>
        <v>show blot</v>
      </c>
      <c r="H2431" s="8" t="str">
        <f>HYPERLINK("https://esbl.nhlbi.nih.gov/Databases/mpkFractions/proteomic_fractions_linear_files/Yang_linear_img/56961627.jpg","show blot")</f>
        <v>show blot</v>
      </c>
      <c r="J2431" s="5" t="s">
        <v>4839</v>
      </c>
      <c r="L2431" s="11">
        <v>4.1431165914809398</v>
      </c>
      <c r="N2431" s="12"/>
    </row>
    <row r="2432" spans="1:14" s="5" customFormat="1" ht="15" customHeight="1" x14ac:dyDescent="0.25">
      <c r="A2432" s="9" t="s">
        <v>4840</v>
      </c>
      <c r="C2432" s="9" t="str">
        <f>HYPERLINK("http://www.ncbi.nlm.nih.gov/protein/7657083","Fbxo6")</f>
        <v>Fbxo6</v>
      </c>
      <c r="D2432" s="10">
        <f t="shared" si="37"/>
        <v>4.7606467984038288</v>
      </c>
      <c r="F2432" s="8" t="str">
        <f>HYPERLINK("https://esbl.nhlbi.nih.gov/Databases/mpkFractions/proteomic_fractions_log_files/Yang_log_img/7657083.jpg","show blot")</f>
        <v>show blot</v>
      </c>
      <c r="H2432" s="8" t="str">
        <f>HYPERLINK("https://esbl.nhlbi.nih.gov/Databases/mpkFractions/proteomic_fractions_linear_files/Yang_linear_img/7657083.jpg","show blot")</f>
        <v>show blot</v>
      </c>
      <c r="J2432" s="5" t="s">
        <v>4841</v>
      </c>
      <c r="L2432" s="11">
        <v>4.7606467984038288</v>
      </c>
      <c r="N2432" s="12"/>
    </row>
    <row r="2433" spans="1:14" s="5" customFormat="1" ht="15" customHeight="1" x14ac:dyDescent="0.25">
      <c r="A2433" s="9" t="s">
        <v>4842</v>
      </c>
      <c r="C2433" s="9" t="str">
        <f>HYPERLINK("http://www.ncbi.nlm.nih.gov/protein/23956270","Fbxw11")</f>
        <v>Fbxw11</v>
      </c>
      <c r="D2433" s="10">
        <f t="shared" si="37"/>
        <v>3.2416039901049158</v>
      </c>
      <c r="F2433" s="8" t="str">
        <f>HYPERLINK("https://esbl.nhlbi.nih.gov/Databases/mpkFractions/proteomic_fractions_log_files/Yang_log_img/23956270.jpg","show blot")</f>
        <v>show blot</v>
      </c>
      <c r="H2433" s="8" t="str">
        <f>HYPERLINK("https://esbl.nhlbi.nih.gov/Databases/mpkFractions/proteomic_fractions_linear_files/Yang_linear_img/23956270.jpg","show blot")</f>
        <v>show blot</v>
      </c>
      <c r="J2433" s="5" t="s">
        <v>4843</v>
      </c>
      <c r="L2433" s="11">
        <v>3.2416039901049158</v>
      </c>
      <c r="N2433" s="12"/>
    </row>
    <row r="2434" spans="1:14" s="5" customFormat="1" ht="15" customHeight="1" x14ac:dyDescent="0.25">
      <c r="A2434" s="9" t="s">
        <v>4844</v>
      </c>
      <c r="C2434" s="9" t="str">
        <f>HYPERLINK("http://www.ncbi.nlm.nih.gov/protein/405778325","Fbxw11")</f>
        <v>Fbxw11</v>
      </c>
      <c r="D2434" s="10">
        <f t="shared" si="37"/>
        <v>3.2416039901049158</v>
      </c>
      <c r="F2434" s="8" t="str">
        <f>HYPERLINK("https://esbl.nhlbi.nih.gov/Databases/mpkFractions/proteomic_fractions_log_files/Yang_log_img/405778325.jpg","show blot")</f>
        <v>show blot</v>
      </c>
      <c r="H2434" s="8" t="str">
        <f>HYPERLINK("https://esbl.nhlbi.nih.gov/Databases/mpkFractions/proteomic_fractions_linear_files/Yang_linear_img/405778325.jpg","show blot")</f>
        <v>show blot</v>
      </c>
      <c r="J2434" s="5" t="s">
        <v>4845</v>
      </c>
      <c r="L2434" s="11">
        <v>3.2416039901049158</v>
      </c>
      <c r="N2434" s="12"/>
    </row>
    <row r="2435" spans="1:14" s="5" customFormat="1" ht="15" customHeight="1" x14ac:dyDescent="0.25">
      <c r="A2435" s="9" t="s">
        <v>4846</v>
      </c>
      <c r="C2435" s="9" t="str">
        <f>HYPERLINK("http://www.ncbi.nlm.nih.gov/protein/405778327","Fbxw11")</f>
        <v>Fbxw11</v>
      </c>
      <c r="D2435" s="10">
        <f t="shared" si="37"/>
        <v>3.2416039901049158</v>
      </c>
      <c r="F2435" s="8" t="str">
        <f>HYPERLINK("https://esbl.nhlbi.nih.gov/Databases/mpkFractions/proteomic_fractions_log_files/Yang_log_img/405778327.jpg","show blot")</f>
        <v>show blot</v>
      </c>
      <c r="H2435" s="8" t="str">
        <f>HYPERLINK("https://esbl.nhlbi.nih.gov/Databases/mpkFractions/proteomic_fractions_linear_files/Yang_linear_img/405778327.jpg","show blot")</f>
        <v>show blot</v>
      </c>
      <c r="J2435" s="5" t="s">
        <v>4847</v>
      </c>
      <c r="L2435" s="11">
        <v>3.2416039901049158</v>
      </c>
      <c r="N2435" s="12"/>
    </row>
    <row r="2436" spans="1:14" s="5" customFormat="1" ht="15" customHeight="1" x14ac:dyDescent="0.25">
      <c r="A2436" s="9" t="s">
        <v>4848</v>
      </c>
      <c r="C2436" s="9" t="str">
        <f>HYPERLINK("http://www.ncbi.nlm.nih.gov/protein/405778329","Fbxw11")</f>
        <v>Fbxw11</v>
      </c>
      <c r="D2436" s="10">
        <f t="shared" si="37"/>
        <v>3.2416039901049158</v>
      </c>
      <c r="F2436" s="8" t="str">
        <f>HYPERLINK("https://esbl.nhlbi.nih.gov/Databases/mpkFractions/proteomic_fractions_log_files/Yang_log_img/405778329.jpg","show blot")</f>
        <v>show blot</v>
      </c>
      <c r="H2436" s="8" t="str">
        <f>HYPERLINK("https://esbl.nhlbi.nih.gov/Databases/mpkFractions/proteomic_fractions_linear_files/Yang_linear_img/405778329.jpg","show blot")</f>
        <v>show blot</v>
      </c>
      <c r="J2436" s="5" t="s">
        <v>4849</v>
      </c>
      <c r="L2436" s="11">
        <v>3.2416039901049158</v>
      </c>
      <c r="N2436" s="12"/>
    </row>
    <row r="2437" spans="1:14" s="5" customFormat="1" ht="15" customHeight="1" x14ac:dyDescent="0.25">
      <c r="A2437" s="9" t="s">
        <v>4850</v>
      </c>
      <c r="C2437" s="9" t="str">
        <f>HYPERLINK("http://www.ncbi.nlm.nih.gov/protein/29243960","Fbxw13")</f>
        <v>Fbxw13</v>
      </c>
      <c r="D2437" s="10">
        <f t="shared" ref="D2437:D2500" si="38">L2437</f>
        <v>2.818054743077</v>
      </c>
      <c r="F2437" s="8" t="str">
        <f>HYPERLINK("https://esbl.nhlbi.nih.gov/Databases/mpkFractions/proteomic_fractions_log_files/Yang_log_img/29243960.jpg","show blot")</f>
        <v>show blot</v>
      </c>
      <c r="H2437" s="8" t="str">
        <f>HYPERLINK("https://esbl.nhlbi.nih.gov/Databases/mpkFractions/proteomic_fractions_linear_files/Yang_linear_img/29243960.jpg","show blot")</f>
        <v>show blot</v>
      </c>
      <c r="J2437" s="5" t="s">
        <v>4851</v>
      </c>
      <c r="L2437" s="11">
        <v>2.818054743077</v>
      </c>
      <c r="N2437" s="12"/>
    </row>
    <row r="2438" spans="1:14" s="5" customFormat="1" ht="15" customHeight="1" x14ac:dyDescent="0.25">
      <c r="A2438" s="9" t="s">
        <v>4852</v>
      </c>
      <c r="C2438" s="9" t="str">
        <f>HYPERLINK("http://www.ncbi.nlm.nih.gov/protein/47271358","Fbxw14")</f>
        <v>Fbxw14</v>
      </c>
      <c r="D2438" s="10">
        <f t="shared" si="38"/>
        <v>3.4982033565635282</v>
      </c>
      <c r="F2438" s="8" t="str">
        <f>HYPERLINK("https://esbl.nhlbi.nih.gov/Databases/mpkFractions/proteomic_fractions_log_files/Yang_log_img/47271358.jpg","show blot")</f>
        <v>show blot</v>
      </c>
      <c r="H2438" s="8" t="str">
        <f>HYPERLINK("https://esbl.nhlbi.nih.gov/Databases/mpkFractions/proteomic_fractions_linear_files/Yang_linear_img/47271358.jpg","show blot")</f>
        <v>show blot</v>
      </c>
      <c r="J2438" s="5" t="s">
        <v>4853</v>
      </c>
      <c r="L2438" s="11">
        <v>3.4982033565635282</v>
      </c>
      <c r="N2438" s="12"/>
    </row>
    <row r="2439" spans="1:14" s="5" customFormat="1" ht="15" customHeight="1" x14ac:dyDescent="0.25">
      <c r="A2439" s="9" t="s">
        <v>4854</v>
      </c>
      <c r="C2439" s="9" t="str">
        <f>HYPERLINK("http://www.ncbi.nlm.nih.gov/protein/148539588","Fbxw22")</f>
        <v>Fbxw22</v>
      </c>
      <c r="D2439" s="10">
        <f t="shared" si="38"/>
        <v>3.4982033565635282</v>
      </c>
      <c r="F2439" s="8" t="str">
        <f>HYPERLINK("https://esbl.nhlbi.nih.gov/Databases/mpkFractions/proteomic_fractions_log_files/Yang_log_img/148539588.jpg","show blot")</f>
        <v>show blot</v>
      </c>
      <c r="H2439" s="8" t="str">
        <f>HYPERLINK("https://esbl.nhlbi.nih.gov/Databases/mpkFractions/proteomic_fractions_linear_files/Yang_linear_img/148539588.jpg","show blot")</f>
        <v>show blot</v>
      </c>
      <c r="J2439" s="5" t="s">
        <v>4855</v>
      </c>
      <c r="L2439" s="11">
        <v>3.4982033565635282</v>
      </c>
      <c r="N2439" s="12"/>
    </row>
    <row r="2440" spans="1:14" s="5" customFormat="1" ht="15" customHeight="1" x14ac:dyDescent="0.25">
      <c r="A2440" s="9" t="s">
        <v>4856</v>
      </c>
      <c r="C2440" s="9" t="str">
        <f>HYPERLINK("http://www.ncbi.nlm.nih.gov/protein/294459937","Fbxw28")</f>
        <v>Fbxw28</v>
      </c>
      <c r="D2440" s="10">
        <f t="shared" si="38"/>
        <v>3.5063212467857068</v>
      </c>
      <c r="F2440" s="8" t="str">
        <f>HYPERLINK("https://esbl.nhlbi.nih.gov/Databases/mpkFractions/proteomic_fractions_log_files/Yang_log_img/294459937.jpg","show blot")</f>
        <v>show blot</v>
      </c>
      <c r="H2440" s="8" t="str">
        <f>HYPERLINK("https://esbl.nhlbi.nih.gov/Databases/mpkFractions/proteomic_fractions_linear_files/Yang_linear_img/294459937.jpg","show blot")</f>
        <v>show blot</v>
      </c>
      <c r="J2440" s="5" t="s">
        <v>4857</v>
      </c>
      <c r="L2440" s="11">
        <v>3.5063212467857068</v>
      </c>
      <c r="N2440" s="12"/>
    </row>
    <row r="2441" spans="1:14" s="5" customFormat="1" ht="15" customHeight="1" x14ac:dyDescent="0.25">
      <c r="A2441" s="9" t="s">
        <v>4858</v>
      </c>
      <c r="C2441" s="9" t="str">
        <f>HYPERLINK("http://www.ncbi.nlm.nih.gov/protein/294459939","Fbxw28")</f>
        <v>Fbxw28</v>
      </c>
      <c r="D2441" s="10">
        <f t="shared" si="38"/>
        <v>3.5063212467857068</v>
      </c>
      <c r="F2441" s="8" t="str">
        <f>HYPERLINK("https://esbl.nhlbi.nih.gov/Databases/mpkFractions/proteomic_fractions_log_files/Yang_log_img/294459939.jpg","show blot")</f>
        <v>show blot</v>
      </c>
      <c r="H2441" s="8" t="str">
        <f>HYPERLINK("https://esbl.nhlbi.nih.gov/Databases/mpkFractions/proteomic_fractions_linear_files/Yang_linear_img/294459939.jpg","show blot")</f>
        <v>show blot</v>
      </c>
      <c r="J2441" s="5" t="s">
        <v>4859</v>
      </c>
      <c r="L2441" s="11">
        <v>3.5063212467857068</v>
      </c>
      <c r="N2441" s="12"/>
    </row>
    <row r="2442" spans="1:14" s="5" customFormat="1" ht="15" customHeight="1" x14ac:dyDescent="0.25">
      <c r="A2442" s="9" t="s">
        <v>4860</v>
      </c>
      <c r="C2442" s="9" t="str">
        <f>HYPERLINK("http://www.ncbi.nlm.nih.gov/protein/14780880","Fbxw4")</f>
        <v>Fbxw4</v>
      </c>
      <c r="D2442" s="10">
        <f t="shared" si="38"/>
        <v>2.578774395923642</v>
      </c>
      <c r="F2442" s="8" t="str">
        <f>HYPERLINK("https://esbl.nhlbi.nih.gov/Databases/mpkFractions/proteomic_fractions_log_files/Yang_log_img/14780880.jpg","show blot")</f>
        <v>show blot</v>
      </c>
      <c r="H2442" s="8" t="str">
        <f>HYPERLINK("https://esbl.nhlbi.nih.gov/Databases/mpkFractions/proteomic_fractions_linear_files/Yang_linear_img/14780880.jpg","show blot")</f>
        <v>show blot</v>
      </c>
      <c r="J2442" s="5" t="s">
        <v>4861</v>
      </c>
      <c r="L2442" s="11">
        <v>2.578774395923642</v>
      </c>
      <c r="N2442" s="12"/>
    </row>
    <row r="2443" spans="1:14" s="5" customFormat="1" ht="15" customHeight="1" x14ac:dyDescent="0.25">
      <c r="A2443" s="9" t="s">
        <v>4862</v>
      </c>
      <c r="C2443" s="9" t="str">
        <f>HYPERLINK("http://www.ncbi.nlm.nih.gov/protein/120407054","Fbxw8")</f>
        <v>Fbxw8</v>
      </c>
      <c r="D2443" s="10">
        <f t="shared" si="38"/>
        <v>3.7899661769933539</v>
      </c>
      <c r="F2443" s="8" t="str">
        <f>HYPERLINK("https://esbl.nhlbi.nih.gov/Databases/mpkFractions/proteomic_fractions_log_files/Yang_log_img/120407054.jpg","show blot")</f>
        <v>show blot</v>
      </c>
      <c r="H2443" s="8" t="str">
        <f>HYPERLINK("https://esbl.nhlbi.nih.gov/Databases/mpkFractions/proteomic_fractions_linear_files/Yang_linear_img/120407054.jpg","show blot")</f>
        <v>show blot</v>
      </c>
      <c r="J2443" s="5" t="s">
        <v>4863</v>
      </c>
      <c r="L2443" s="11">
        <v>3.7899661769933539</v>
      </c>
      <c r="N2443" s="12"/>
    </row>
    <row r="2444" spans="1:14" s="5" customFormat="1" ht="15" customHeight="1" x14ac:dyDescent="0.25">
      <c r="A2444" s="9" t="s">
        <v>4864</v>
      </c>
      <c r="C2444" s="9" t="str">
        <f>HYPERLINK("http://www.ncbi.nlm.nih.gov/protein/359279906","Fcer2a")</f>
        <v>Fcer2a</v>
      </c>
      <c r="D2444" s="10">
        <f t="shared" si="38"/>
        <v>3.002800294959147</v>
      </c>
      <c r="F2444" s="8" t="str">
        <f>HYPERLINK("https://esbl.nhlbi.nih.gov/Databases/mpkFractions/proteomic_fractions_log_files/Yang_log_img/359279906.jpg","show blot")</f>
        <v>show blot</v>
      </c>
      <c r="H2444" s="8" t="str">
        <f>HYPERLINK("https://esbl.nhlbi.nih.gov/Databases/mpkFractions/proteomic_fractions_linear_files/Yang_linear_img/359279906.jpg","show blot")</f>
        <v>show blot</v>
      </c>
      <c r="J2444" s="5" t="s">
        <v>4865</v>
      </c>
      <c r="L2444" s="11">
        <v>3.002800294959147</v>
      </c>
      <c r="N2444" s="12"/>
    </row>
    <row r="2445" spans="1:14" s="5" customFormat="1" ht="15" customHeight="1" x14ac:dyDescent="0.25">
      <c r="A2445" s="9" t="s">
        <v>4866</v>
      </c>
      <c r="C2445" s="9" t="str">
        <f>HYPERLINK("http://www.ncbi.nlm.nih.gov/protein/359279914","Fcer2a")</f>
        <v>Fcer2a</v>
      </c>
      <c r="D2445" s="10">
        <f t="shared" si="38"/>
        <v>3.002800294959147</v>
      </c>
      <c r="F2445" s="8" t="str">
        <f>HYPERLINK("https://esbl.nhlbi.nih.gov/Databases/mpkFractions/proteomic_fractions_log_files/Yang_log_img/359279914.jpg","show blot")</f>
        <v>show blot</v>
      </c>
      <c r="H2445" s="8" t="str">
        <f>HYPERLINK("https://esbl.nhlbi.nih.gov/Databases/mpkFractions/proteomic_fractions_linear_files/Yang_linear_img/359279914.jpg","show blot")</f>
        <v>show blot</v>
      </c>
      <c r="J2445" s="5" t="s">
        <v>4867</v>
      </c>
      <c r="L2445" s="11">
        <v>3.002800294959147</v>
      </c>
      <c r="N2445" s="12"/>
    </row>
    <row r="2446" spans="1:14" s="5" customFormat="1" ht="15" customHeight="1" x14ac:dyDescent="0.25">
      <c r="A2446" s="9" t="s">
        <v>4868</v>
      </c>
      <c r="C2446" s="9" t="str">
        <f>HYPERLINK("http://www.ncbi.nlm.nih.gov/protein/359279919","Fcer2a")</f>
        <v>Fcer2a</v>
      </c>
      <c r="D2446" s="10">
        <f t="shared" si="38"/>
        <v>3.002800294959147</v>
      </c>
      <c r="F2446" s="8" t="str">
        <f>HYPERLINK("https://esbl.nhlbi.nih.gov/Databases/mpkFractions/proteomic_fractions_log_files/Yang_log_img/359279919.jpg","show blot")</f>
        <v>show blot</v>
      </c>
      <c r="H2446" s="8" t="str">
        <f>HYPERLINK("https://esbl.nhlbi.nih.gov/Databases/mpkFractions/proteomic_fractions_linear_files/Yang_linear_img/359279919.jpg","show blot")</f>
        <v>show blot</v>
      </c>
      <c r="J2446" s="5" t="s">
        <v>4869</v>
      </c>
      <c r="L2446" s="11">
        <v>3.002800294959147</v>
      </c>
      <c r="N2446" s="12"/>
    </row>
    <row r="2447" spans="1:14" s="5" customFormat="1" ht="15" customHeight="1" x14ac:dyDescent="0.25">
      <c r="A2447" s="9" t="s">
        <v>4870</v>
      </c>
      <c r="C2447" s="9" t="str">
        <f>HYPERLINK("http://www.ncbi.nlm.nih.gov/protein/359279923","Fcer2a")</f>
        <v>Fcer2a</v>
      </c>
      <c r="D2447" s="10">
        <f t="shared" si="38"/>
        <v>3.002800294959147</v>
      </c>
      <c r="F2447" s="8" t="str">
        <f>HYPERLINK("https://esbl.nhlbi.nih.gov/Databases/mpkFractions/proteomic_fractions_log_files/Yang_log_img/359279923.jpg","show blot")</f>
        <v>show blot</v>
      </c>
      <c r="H2447" s="8" t="str">
        <f>HYPERLINK("https://esbl.nhlbi.nih.gov/Databases/mpkFractions/proteomic_fractions_linear_files/Yang_linear_img/359279923.jpg","show blot")</f>
        <v>show blot</v>
      </c>
      <c r="J2447" s="5" t="s">
        <v>4871</v>
      </c>
      <c r="L2447" s="11">
        <v>3.002800294959147</v>
      </c>
      <c r="N2447" s="12"/>
    </row>
    <row r="2448" spans="1:14" s="5" customFormat="1" ht="15" customHeight="1" x14ac:dyDescent="0.25">
      <c r="A2448" s="9" t="s">
        <v>4872</v>
      </c>
      <c r="C2448" s="9" t="str">
        <f>HYPERLINK("http://www.ncbi.nlm.nih.gov/protein/359279925","Fcer2a")</f>
        <v>Fcer2a</v>
      </c>
      <c r="D2448" s="10">
        <f t="shared" si="38"/>
        <v>3.002800294959147</v>
      </c>
      <c r="F2448" s="8" t="str">
        <f>HYPERLINK("https://esbl.nhlbi.nih.gov/Databases/mpkFractions/proteomic_fractions_log_files/Yang_log_img/359279925.jpg","show blot")</f>
        <v>show blot</v>
      </c>
      <c r="H2448" s="8" t="str">
        <f>HYPERLINK("https://esbl.nhlbi.nih.gov/Databases/mpkFractions/proteomic_fractions_linear_files/Yang_linear_img/359279925.jpg","show blot")</f>
        <v>show blot</v>
      </c>
      <c r="J2448" s="5" t="s">
        <v>4873</v>
      </c>
      <c r="L2448" s="11">
        <v>3.002800294959147</v>
      </c>
      <c r="N2448" s="12"/>
    </row>
    <row r="2449" spans="1:14" s="5" customFormat="1" ht="15" customHeight="1" x14ac:dyDescent="0.25">
      <c r="A2449" s="9" t="s">
        <v>4874</v>
      </c>
      <c r="C2449" s="9" t="str">
        <f>HYPERLINK("http://www.ncbi.nlm.nih.gov/protein/359339166","Fcer2a")</f>
        <v>Fcer2a</v>
      </c>
      <c r="D2449" s="10">
        <f t="shared" si="38"/>
        <v>3.002800294959147</v>
      </c>
      <c r="F2449" s="8" t="str">
        <f>HYPERLINK("https://esbl.nhlbi.nih.gov/Databases/mpkFractions/proteomic_fractions_log_files/Yang_log_img/359339166.jpg","show blot")</f>
        <v>show blot</v>
      </c>
      <c r="H2449" s="8" t="str">
        <f>HYPERLINK("https://esbl.nhlbi.nih.gov/Databases/mpkFractions/proteomic_fractions_linear_files/Yang_linear_img/359339166.jpg","show blot")</f>
        <v>show blot</v>
      </c>
      <c r="J2449" s="5" t="s">
        <v>4875</v>
      </c>
      <c r="L2449" s="11">
        <v>3.002800294959147</v>
      </c>
      <c r="N2449" s="12"/>
    </row>
    <row r="2450" spans="1:14" s="5" customFormat="1" ht="15" customHeight="1" x14ac:dyDescent="0.25">
      <c r="A2450" s="9" t="s">
        <v>4876</v>
      </c>
      <c r="C2450" s="9" t="str">
        <f>HYPERLINK("http://www.ncbi.nlm.nih.gov/protein/7305051","Fcer2a")</f>
        <v>Fcer2a</v>
      </c>
      <c r="D2450" s="10">
        <f t="shared" si="38"/>
        <v>3.002800294959147</v>
      </c>
      <c r="F2450" s="8" t="str">
        <f>HYPERLINK("https://esbl.nhlbi.nih.gov/Databases/mpkFractions/proteomic_fractions_log_files/Yang_log_img/7305051.jpg","show blot")</f>
        <v>show blot</v>
      </c>
      <c r="H2450" s="8" t="str">
        <f>HYPERLINK("https://esbl.nhlbi.nih.gov/Databases/mpkFractions/proteomic_fractions_linear_files/Yang_linear_img/7305051.jpg","show blot")</f>
        <v>show blot</v>
      </c>
      <c r="J2450" s="5" t="s">
        <v>4867</v>
      </c>
      <c r="L2450" s="11">
        <v>3.002800294959147</v>
      </c>
      <c r="N2450" s="12"/>
    </row>
    <row r="2451" spans="1:14" s="5" customFormat="1" ht="15" customHeight="1" x14ac:dyDescent="0.25">
      <c r="A2451" s="9" t="s">
        <v>4877</v>
      </c>
      <c r="C2451" s="9" t="str">
        <f>HYPERLINK("http://www.ncbi.nlm.nih.gov/protein/268607601","Fcf1")</f>
        <v>Fcf1</v>
      </c>
      <c r="D2451" s="10">
        <f t="shared" si="38"/>
        <v>3.857079527867382</v>
      </c>
      <c r="F2451" s="8" t="str">
        <f>HYPERLINK("https://esbl.nhlbi.nih.gov/Databases/mpkFractions/proteomic_fractions_log_files/Yang_log_img/268607601.jpg","show blot")</f>
        <v>show blot</v>
      </c>
      <c r="H2451" s="8" t="str">
        <f>HYPERLINK("https://esbl.nhlbi.nih.gov/Databases/mpkFractions/proteomic_fractions_linear_files/Yang_linear_img/268607601.jpg","show blot")</f>
        <v>show blot</v>
      </c>
      <c r="J2451" s="5" t="s">
        <v>4878</v>
      </c>
      <c r="L2451" s="11">
        <v>3.857079527867382</v>
      </c>
      <c r="N2451" s="12"/>
    </row>
    <row r="2452" spans="1:14" s="5" customFormat="1" ht="15" customHeight="1" x14ac:dyDescent="0.25">
      <c r="A2452" s="9" t="s">
        <v>4879</v>
      </c>
      <c r="C2452" s="9" t="str">
        <f>HYPERLINK("http://www.ncbi.nlm.nih.gov/protein/169790797","Fcgbp")</f>
        <v>Fcgbp</v>
      </c>
      <c r="D2452" s="10">
        <f t="shared" si="38"/>
        <v>4.1355840413561289</v>
      </c>
      <c r="F2452" s="8" t="str">
        <f>HYPERLINK("https://esbl.nhlbi.nih.gov/Databases/mpkFractions/proteomic_fractions_log_files/Yang_log_img/169790797.jpg","show blot")</f>
        <v>show blot</v>
      </c>
      <c r="H2452" s="8" t="str">
        <f>HYPERLINK("https://esbl.nhlbi.nih.gov/Databases/mpkFractions/proteomic_fractions_linear_files/Yang_linear_img/169790797.jpg","show blot")</f>
        <v>show blot</v>
      </c>
      <c r="J2452" s="5" t="s">
        <v>4880</v>
      </c>
      <c r="L2452" s="11">
        <v>4.1355840413561289</v>
      </c>
      <c r="N2452" s="12"/>
    </row>
    <row r="2453" spans="1:14" s="5" customFormat="1" ht="15" customHeight="1" x14ac:dyDescent="0.25">
      <c r="A2453" s="9" t="s">
        <v>4881</v>
      </c>
      <c r="C2453" s="9" t="str">
        <f>HYPERLINK("http://www.ncbi.nlm.nih.gov/protein/224994271","Fcho2")</f>
        <v>Fcho2</v>
      </c>
      <c r="D2453" s="10">
        <f t="shared" si="38"/>
        <v>4.0569591228855302</v>
      </c>
      <c r="F2453" s="8" t="str">
        <f>HYPERLINK("https://esbl.nhlbi.nih.gov/Databases/mpkFractions/proteomic_fractions_log_files/Yang_log_img/224994271.jpg","show blot")</f>
        <v>show blot</v>
      </c>
      <c r="H2453" s="8" t="str">
        <f>HYPERLINK("https://esbl.nhlbi.nih.gov/Databases/mpkFractions/proteomic_fractions_linear_files/Yang_linear_img/224994271.jpg","show blot")</f>
        <v>show blot</v>
      </c>
      <c r="J2453" s="5" t="s">
        <v>4882</v>
      </c>
      <c r="L2453" s="11">
        <v>4.0569591228855302</v>
      </c>
      <c r="N2453" s="12"/>
    </row>
    <row r="2454" spans="1:14" s="5" customFormat="1" ht="15" customHeight="1" x14ac:dyDescent="0.25">
      <c r="A2454" s="9" t="s">
        <v>4883</v>
      </c>
      <c r="C2454" s="9" t="str">
        <f>HYPERLINK("http://www.ncbi.nlm.nih.gov/protein/34328173","Fdft1")</f>
        <v>Fdft1</v>
      </c>
      <c r="D2454" s="10">
        <f t="shared" si="38"/>
        <v>3.349555355290506</v>
      </c>
      <c r="F2454" s="8" t="str">
        <f>HYPERLINK("https://esbl.nhlbi.nih.gov/Databases/mpkFractions/proteomic_fractions_log_files/Yang_log_img/34328173.jpg","show blot")</f>
        <v>show blot</v>
      </c>
      <c r="H2454" s="8" t="str">
        <f>HYPERLINK("https://esbl.nhlbi.nih.gov/Databases/mpkFractions/proteomic_fractions_linear_files/Yang_linear_img/34328173.jpg","show blot")</f>
        <v>show blot</v>
      </c>
      <c r="J2454" s="5" t="s">
        <v>4884</v>
      </c>
      <c r="L2454" s="11">
        <v>3.349555355290506</v>
      </c>
      <c r="N2454" s="12"/>
    </row>
    <row r="2455" spans="1:14" s="5" customFormat="1" ht="15" customHeight="1" x14ac:dyDescent="0.25">
      <c r="A2455" s="9" t="s">
        <v>4885</v>
      </c>
      <c r="C2455" s="9" t="str">
        <f>HYPERLINK("http://www.ncbi.nlm.nih.gov/protein/19882207","Fdps")</f>
        <v>Fdps</v>
      </c>
      <c r="D2455" s="10">
        <f t="shared" si="38"/>
        <v>6.1086850807697548</v>
      </c>
      <c r="F2455" s="8" t="str">
        <f>HYPERLINK("https://esbl.nhlbi.nih.gov/Databases/mpkFractions/proteomic_fractions_log_files/Yang_log_img/19882207.jpg","show blot")</f>
        <v>show blot</v>
      </c>
      <c r="H2455" s="8" t="str">
        <f>HYPERLINK("https://esbl.nhlbi.nih.gov/Databases/mpkFractions/proteomic_fractions_linear_files/Yang_linear_img/19882207.jpg","show blot")</f>
        <v>show blot</v>
      </c>
      <c r="J2455" s="5" t="s">
        <v>4886</v>
      </c>
      <c r="L2455" s="11">
        <v>6.1086850807697548</v>
      </c>
      <c r="N2455" s="12"/>
    </row>
    <row r="2456" spans="1:14" s="5" customFormat="1" ht="15" customHeight="1" x14ac:dyDescent="0.25">
      <c r="A2456" s="9" t="s">
        <v>4887</v>
      </c>
      <c r="C2456" s="9" t="str">
        <f>HYPERLINK("http://www.ncbi.nlm.nih.gov/protein/359279938","Fdps")</f>
        <v>Fdps</v>
      </c>
      <c r="D2456" s="10">
        <f t="shared" si="38"/>
        <v>6.1086850807697548</v>
      </c>
      <c r="F2456" s="8" t="str">
        <f>HYPERLINK("https://esbl.nhlbi.nih.gov/Databases/mpkFractions/proteomic_fractions_log_files/Yang_log_img/359279938.jpg","show blot")</f>
        <v>show blot</v>
      </c>
      <c r="H2456" s="8" t="str">
        <f>HYPERLINK("https://esbl.nhlbi.nih.gov/Databases/mpkFractions/proteomic_fractions_linear_files/Yang_linear_img/359279938.jpg","show blot")</f>
        <v>show blot</v>
      </c>
      <c r="J2456" s="5" t="s">
        <v>4888</v>
      </c>
      <c r="L2456" s="11">
        <v>6.1086850807697548</v>
      </c>
      <c r="N2456" s="12"/>
    </row>
    <row r="2457" spans="1:14" s="5" customFormat="1" ht="15" customHeight="1" x14ac:dyDescent="0.25">
      <c r="A2457" s="9" t="s">
        <v>4889</v>
      </c>
      <c r="C2457" s="9" t="str">
        <f>HYPERLINK("http://www.ncbi.nlm.nih.gov/protein/6679765","Fdx1")</f>
        <v>Fdx1</v>
      </c>
      <c r="D2457" s="10">
        <f t="shared" si="38"/>
        <v>4.9839495513956429</v>
      </c>
      <c r="F2457" s="8" t="str">
        <f>HYPERLINK("https://esbl.nhlbi.nih.gov/Databases/mpkFractions/proteomic_fractions_log_files/Yang_log_img/6679765.jpg","show blot")</f>
        <v>show blot</v>
      </c>
      <c r="H2457" s="8" t="str">
        <f>HYPERLINK("https://esbl.nhlbi.nih.gov/Databases/mpkFractions/proteomic_fractions_linear_files/Yang_linear_img/6679765.jpg","show blot")</f>
        <v>show blot</v>
      </c>
      <c r="J2457" s="5" t="s">
        <v>4890</v>
      </c>
      <c r="L2457" s="11">
        <v>4.9839495513956429</v>
      </c>
      <c r="N2457" s="12"/>
    </row>
    <row r="2458" spans="1:14" s="5" customFormat="1" ht="15" customHeight="1" x14ac:dyDescent="0.25">
      <c r="A2458" s="9" t="s">
        <v>4891</v>
      </c>
      <c r="C2458" s="9" t="str">
        <f>HYPERLINK("http://www.ncbi.nlm.nih.gov/protein/90017457","Fdx1l")</f>
        <v>Fdx1l</v>
      </c>
      <c r="D2458" s="10">
        <f t="shared" si="38"/>
        <v>3.7222569952233671</v>
      </c>
      <c r="F2458" s="8" t="str">
        <f>HYPERLINK("https://esbl.nhlbi.nih.gov/Databases/mpkFractions/proteomic_fractions_log_files/Yang_log_img/90017457.jpg","show blot")</f>
        <v>show blot</v>
      </c>
      <c r="H2458" s="8" t="str">
        <f>HYPERLINK("https://esbl.nhlbi.nih.gov/Databases/mpkFractions/proteomic_fractions_linear_files/Yang_linear_img/90017457.jpg","show blot")</f>
        <v>show blot</v>
      </c>
      <c r="J2458" s="5" t="s">
        <v>4892</v>
      </c>
      <c r="L2458" s="11">
        <v>3.7222569952233671</v>
      </c>
      <c r="N2458" s="12"/>
    </row>
    <row r="2459" spans="1:14" s="5" customFormat="1" ht="15" customHeight="1" x14ac:dyDescent="0.25">
      <c r="A2459" s="9" t="s">
        <v>4893</v>
      </c>
      <c r="C2459" s="9" t="str">
        <f>HYPERLINK("http://www.ncbi.nlm.nih.gov/protein/6679767","Fdxr")</f>
        <v>Fdxr</v>
      </c>
      <c r="D2459" s="10">
        <f t="shared" si="38"/>
        <v>4.2026984833978176</v>
      </c>
      <c r="F2459" s="8" t="str">
        <f>HYPERLINK("https://esbl.nhlbi.nih.gov/Databases/mpkFractions/proteomic_fractions_log_files/Yang_log_img/6679767.jpg","show blot")</f>
        <v>show blot</v>
      </c>
      <c r="H2459" s="8" t="str">
        <f>HYPERLINK("https://esbl.nhlbi.nih.gov/Databases/mpkFractions/proteomic_fractions_linear_files/Yang_linear_img/6679767.jpg","show blot")</f>
        <v>show blot</v>
      </c>
      <c r="J2459" s="5" t="s">
        <v>4894</v>
      </c>
      <c r="L2459" s="11">
        <v>4.2026984833978176</v>
      </c>
      <c r="N2459" s="12"/>
    </row>
    <row r="2460" spans="1:14" s="5" customFormat="1" ht="15" customHeight="1" x14ac:dyDescent="0.25">
      <c r="A2460" s="9" t="s">
        <v>4895</v>
      </c>
      <c r="C2460" s="9" t="str">
        <f>HYPERLINK("http://www.ncbi.nlm.nih.gov/protein/20452466","Fech")</f>
        <v>Fech</v>
      </c>
      <c r="D2460" s="10">
        <f t="shared" si="38"/>
        <v>3.3420457535117611</v>
      </c>
      <c r="F2460" s="8" t="str">
        <f>HYPERLINK("https://esbl.nhlbi.nih.gov/Databases/mpkFractions/proteomic_fractions_log_files/Yang_log_img/20452466.jpg","show blot")</f>
        <v>show blot</v>
      </c>
      <c r="H2460" s="8" t="str">
        <f>HYPERLINK("https://esbl.nhlbi.nih.gov/Databases/mpkFractions/proteomic_fractions_linear_files/Yang_linear_img/20452466.jpg","show blot")</f>
        <v>show blot</v>
      </c>
      <c r="J2460" s="5" t="s">
        <v>4896</v>
      </c>
      <c r="L2460" s="11">
        <v>3.3420457535117611</v>
      </c>
      <c r="N2460" s="12"/>
    </row>
    <row r="2461" spans="1:14" s="5" customFormat="1" ht="15" customHeight="1" x14ac:dyDescent="0.25">
      <c r="A2461" s="9" t="s">
        <v>4897</v>
      </c>
      <c r="C2461" s="9" t="str">
        <f>HYPERLINK("http://www.ncbi.nlm.nih.gov/protein/6753840","Fem1b")</f>
        <v>Fem1b</v>
      </c>
      <c r="D2461" s="10">
        <f t="shared" si="38"/>
        <v>3.3402190949106911</v>
      </c>
      <c r="F2461" s="8" t="str">
        <f>HYPERLINK("https://esbl.nhlbi.nih.gov/Databases/mpkFractions/proteomic_fractions_log_files/Yang_log_img/6753840.jpg","show blot")</f>
        <v>show blot</v>
      </c>
      <c r="H2461" s="8" t="str">
        <f>HYPERLINK("https://esbl.nhlbi.nih.gov/Databases/mpkFractions/proteomic_fractions_linear_files/Yang_linear_img/6753840.jpg","show blot")</f>
        <v>show blot</v>
      </c>
      <c r="J2461" s="5" t="s">
        <v>4898</v>
      </c>
      <c r="L2461" s="11">
        <v>3.3402190949106911</v>
      </c>
      <c r="N2461" s="12"/>
    </row>
    <row r="2462" spans="1:14" s="5" customFormat="1" ht="15" customHeight="1" x14ac:dyDescent="0.25">
      <c r="A2462" s="9" t="s">
        <v>4899</v>
      </c>
      <c r="C2462" s="9" t="str">
        <f>HYPERLINK("http://www.ncbi.nlm.nih.gov/protein/27734132","Fem1c")</f>
        <v>Fem1c</v>
      </c>
      <c r="D2462" s="10">
        <f t="shared" si="38"/>
        <v>3.2326159206348728</v>
      </c>
      <c r="F2462" s="8" t="str">
        <f>HYPERLINK("https://esbl.nhlbi.nih.gov/Databases/mpkFractions/proteomic_fractions_log_files/Yang_log_img/27734132.jpg","show blot")</f>
        <v>show blot</v>
      </c>
      <c r="H2462" s="8" t="str">
        <f>HYPERLINK("https://esbl.nhlbi.nih.gov/Databases/mpkFractions/proteomic_fractions_linear_files/Yang_linear_img/27734132.jpg","show blot")</f>
        <v>show blot</v>
      </c>
      <c r="J2462" s="5" t="s">
        <v>4900</v>
      </c>
      <c r="L2462" s="11">
        <v>3.2326159206348728</v>
      </c>
      <c r="N2462" s="12"/>
    </row>
    <row r="2463" spans="1:14" s="5" customFormat="1" ht="15" customHeight="1" x14ac:dyDescent="0.25">
      <c r="A2463" s="9" t="s">
        <v>4901</v>
      </c>
      <c r="C2463" s="9" t="str">
        <f>HYPERLINK("http://www.ncbi.nlm.nih.gov/protein/46048490","Fen1")</f>
        <v>Fen1</v>
      </c>
      <c r="D2463" s="10">
        <f t="shared" si="38"/>
        <v>5.7455276237941426</v>
      </c>
      <c r="F2463" s="8" t="str">
        <f>HYPERLINK("https://esbl.nhlbi.nih.gov/Databases/mpkFractions/proteomic_fractions_log_files/Yang_log_img/46048490.jpg","show blot")</f>
        <v>show blot</v>
      </c>
      <c r="H2463" s="8" t="str">
        <f>HYPERLINK("https://esbl.nhlbi.nih.gov/Databases/mpkFractions/proteomic_fractions_linear_files/Yang_linear_img/46048490.jpg","show blot")</f>
        <v>show blot</v>
      </c>
      <c r="J2463" s="5" t="s">
        <v>4902</v>
      </c>
      <c r="L2463" s="11">
        <v>5.7455276237941426</v>
      </c>
      <c r="N2463" s="12"/>
    </row>
    <row r="2464" spans="1:14" s="5" customFormat="1" ht="15" customHeight="1" x14ac:dyDescent="0.25">
      <c r="A2464" s="9" t="s">
        <v>4903</v>
      </c>
      <c r="C2464" s="9" t="str">
        <f>HYPERLINK("http://www.ncbi.nlm.nih.gov/protein/124487315","Fermt1")</f>
        <v>Fermt1</v>
      </c>
      <c r="D2464" s="10">
        <f t="shared" si="38"/>
        <v>3.3907264158666299</v>
      </c>
      <c r="F2464" s="8" t="str">
        <f>HYPERLINK("https://esbl.nhlbi.nih.gov/Databases/mpkFractions/proteomic_fractions_log_files/Yang_log_img/124487315.jpg","show blot")</f>
        <v>show blot</v>
      </c>
      <c r="H2464" s="8" t="str">
        <f>HYPERLINK("https://esbl.nhlbi.nih.gov/Databases/mpkFractions/proteomic_fractions_linear_files/Yang_linear_img/124487315.jpg","show blot")</f>
        <v>show blot</v>
      </c>
      <c r="J2464" s="5" t="s">
        <v>4904</v>
      </c>
      <c r="L2464" s="11">
        <v>3.3907264158666299</v>
      </c>
      <c r="N2464" s="12"/>
    </row>
    <row r="2465" spans="1:14" s="5" customFormat="1" ht="15" customHeight="1" x14ac:dyDescent="0.25">
      <c r="A2465" s="9" t="s">
        <v>4905</v>
      </c>
      <c r="C2465" s="9" t="str">
        <f>HYPERLINK("http://www.ncbi.nlm.nih.gov/protein/67906179","Fermt2")</f>
        <v>Fermt2</v>
      </c>
      <c r="D2465" s="10">
        <f t="shared" si="38"/>
        <v>4.7639245972585416</v>
      </c>
      <c r="F2465" s="8" t="str">
        <f>HYPERLINK("https://esbl.nhlbi.nih.gov/Databases/mpkFractions/proteomic_fractions_log_files/Yang_log_img/67906179.jpg","show blot")</f>
        <v>show blot</v>
      </c>
      <c r="H2465" s="8" t="str">
        <f>HYPERLINK("https://esbl.nhlbi.nih.gov/Databases/mpkFractions/proteomic_fractions_linear_files/Yang_linear_img/67906179.jpg","show blot")</f>
        <v>show blot</v>
      </c>
      <c r="J2465" s="5" t="s">
        <v>4906</v>
      </c>
      <c r="L2465" s="11">
        <v>4.7639245972585416</v>
      </c>
      <c r="N2465" s="12"/>
    </row>
    <row r="2466" spans="1:14" s="5" customFormat="1" ht="15" customHeight="1" x14ac:dyDescent="0.25">
      <c r="A2466" s="9" t="s">
        <v>4907</v>
      </c>
      <c r="C2466" s="9" t="str">
        <f>HYPERLINK("http://www.ncbi.nlm.nih.gov/protein/40789098","Fez2")</f>
        <v>Fez2</v>
      </c>
      <c r="D2466" s="10">
        <f t="shared" si="38"/>
        <v>3.052961933233711</v>
      </c>
      <c r="F2466" s="8" t="str">
        <f>HYPERLINK("https://esbl.nhlbi.nih.gov/Databases/mpkFractions/proteomic_fractions_log_files/Yang_log_img/40789098.jpg","show blot")</f>
        <v>show blot</v>
      </c>
      <c r="H2466" s="8" t="str">
        <f>HYPERLINK("https://esbl.nhlbi.nih.gov/Databases/mpkFractions/proteomic_fractions_linear_files/Yang_linear_img/40789098.jpg","show blot")</f>
        <v>show blot</v>
      </c>
      <c r="J2466" s="5" t="s">
        <v>4908</v>
      </c>
      <c r="L2466" s="11">
        <v>3.052961933233711</v>
      </c>
      <c r="N2466" s="12"/>
    </row>
    <row r="2467" spans="1:14" s="5" customFormat="1" ht="15" customHeight="1" x14ac:dyDescent="0.25">
      <c r="A2467" s="9" t="s">
        <v>4909</v>
      </c>
      <c r="C2467" s="9" t="str">
        <f>HYPERLINK("http://www.ncbi.nlm.nih.gov/protein/31982367","Fgd1")</f>
        <v>Fgd1</v>
      </c>
      <c r="D2467" s="10">
        <f t="shared" si="38"/>
        <v>3.382148668558377</v>
      </c>
      <c r="F2467" s="8" t="str">
        <f>HYPERLINK("https://esbl.nhlbi.nih.gov/Databases/mpkFractions/proteomic_fractions_log_files/Yang_log_img/31982367.jpg","show blot")</f>
        <v>show blot</v>
      </c>
      <c r="H2467" s="8" t="str">
        <f>HYPERLINK("https://esbl.nhlbi.nih.gov/Databases/mpkFractions/proteomic_fractions_linear_files/Yang_linear_img/31982367.jpg","show blot")</f>
        <v>show blot</v>
      </c>
      <c r="J2467" s="5" t="s">
        <v>4910</v>
      </c>
      <c r="L2467" s="11">
        <v>3.382148668558377</v>
      </c>
      <c r="N2467" s="12"/>
    </row>
    <row r="2468" spans="1:14" s="5" customFormat="1" ht="15" customHeight="1" x14ac:dyDescent="0.25">
      <c r="A2468" s="9" t="s">
        <v>4911</v>
      </c>
      <c r="C2468" s="9" t="str">
        <f>HYPERLINK("http://www.ncbi.nlm.nih.gov/protein/85719309","Fgd3")</f>
        <v>Fgd3</v>
      </c>
      <c r="D2468" s="10">
        <f t="shared" si="38"/>
        <v>3.9543395194932982</v>
      </c>
      <c r="F2468" s="8" t="str">
        <f>HYPERLINK("https://esbl.nhlbi.nih.gov/Databases/mpkFractions/proteomic_fractions_log_files/Yang_log_img/85719309.jpg","show blot")</f>
        <v>show blot</v>
      </c>
      <c r="H2468" s="8" t="str">
        <f>HYPERLINK("https://esbl.nhlbi.nih.gov/Databases/mpkFractions/proteomic_fractions_linear_files/Yang_linear_img/85719309.jpg","show blot")</f>
        <v>show blot</v>
      </c>
      <c r="J2468" s="5" t="s">
        <v>4912</v>
      </c>
      <c r="L2468" s="11">
        <v>3.9543395194932982</v>
      </c>
      <c r="N2468" s="12"/>
    </row>
    <row r="2469" spans="1:14" s="5" customFormat="1" ht="15" customHeight="1" x14ac:dyDescent="0.25">
      <c r="A2469" s="9" t="s">
        <v>4913</v>
      </c>
      <c r="C2469" s="9" t="str">
        <f>HYPERLINK("http://www.ncbi.nlm.nih.gov/protein/22296595","Fgd4")</f>
        <v>Fgd4</v>
      </c>
      <c r="D2469" s="10">
        <f t="shared" si="38"/>
        <v>3.7915209991377208</v>
      </c>
      <c r="F2469" s="8" t="str">
        <f>HYPERLINK("https://esbl.nhlbi.nih.gov/Databases/mpkFractions/proteomic_fractions_log_files/Yang_log_img/22296595.jpg","show blot")</f>
        <v>show blot</v>
      </c>
      <c r="H2469" s="8" t="str">
        <f>HYPERLINK("https://esbl.nhlbi.nih.gov/Databases/mpkFractions/proteomic_fractions_linear_files/Yang_linear_img/22296595.jpg","show blot")</f>
        <v>show blot</v>
      </c>
      <c r="J2469" s="5" t="s">
        <v>4914</v>
      </c>
      <c r="L2469" s="11">
        <v>3.7915209991377208</v>
      </c>
      <c r="N2469" s="12"/>
    </row>
    <row r="2470" spans="1:14" s="5" customFormat="1" ht="15" customHeight="1" x14ac:dyDescent="0.25">
      <c r="A2470" s="9" t="s">
        <v>4915</v>
      </c>
      <c r="C2470" s="9" t="str">
        <f>HYPERLINK("http://www.ncbi.nlm.nih.gov/protein/22296599","Fgd4")</f>
        <v>Fgd4</v>
      </c>
      <c r="D2470" s="10">
        <f t="shared" si="38"/>
        <v>3.7915209991377208</v>
      </c>
      <c r="F2470" s="8" t="str">
        <f>HYPERLINK("https://esbl.nhlbi.nih.gov/Databases/mpkFractions/proteomic_fractions_log_files/Yang_log_img/22296599.jpg","show blot")</f>
        <v>show blot</v>
      </c>
      <c r="H2470" s="8" t="str">
        <f>HYPERLINK("https://esbl.nhlbi.nih.gov/Databases/mpkFractions/proteomic_fractions_linear_files/Yang_linear_img/22296599.jpg","show blot")</f>
        <v>show blot</v>
      </c>
      <c r="J2470" s="5" t="s">
        <v>4916</v>
      </c>
      <c r="L2470" s="11">
        <v>3.7915209991377208</v>
      </c>
      <c r="N2470" s="12"/>
    </row>
    <row r="2471" spans="1:14" s="5" customFormat="1" ht="15" customHeight="1" x14ac:dyDescent="0.25">
      <c r="A2471" s="9" t="s">
        <v>4917</v>
      </c>
      <c r="C2471" s="9" t="str">
        <f>HYPERLINK("http://www.ncbi.nlm.nih.gov/protein/29336047","Fgd4")</f>
        <v>Fgd4</v>
      </c>
      <c r="D2471" s="10">
        <f t="shared" si="38"/>
        <v>3.7915209991377208</v>
      </c>
      <c r="F2471" s="8" t="str">
        <f>HYPERLINK("https://esbl.nhlbi.nih.gov/Databases/mpkFractions/proteomic_fractions_log_files/Yang_log_img/29336047.jpg","show blot")</f>
        <v>show blot</v>
      </c>
      <c r="H2471" s="8" t="str">
        <f>HYPERLINK("https://esbl.nhlbi.nih.gov/Databases/mpkFractions/proteomic_fractions_linear_files/Yang_linear_img/29336047.jpg","show blot")</f>
        <v>show blot</v>
      </c>
      <c r="J2471" s="5" t="s">
        <v>4918</v>
      </c>
      <c r="L2471" s="11">
        <v>3.7915209991377208</v>
      </c>
      <c r="N2471" s="12"/>
    </row>
    <row r="2472" spans="1:14" s="5" customFormat="1" ht="15" customHeight="1" x14ac:dyDescent="0.25">
      <c r="A2472" s="9" t="s">
        <v>4919</v>
      </c>
      <c r="C2472" s="9" t="str">
        <f>HYPERLINK("http://www.ncbi.nlm.nih.gov/protein/6753850","Fgf1")</f>
        <v>Fgf1</v>
      </c>
      <c r="D2472" s="10">
        <f t="shared" si="38"/>
        <v>2.4135776188819369</v>
      </c>
      <c r="F2472" s="8" t="str">
        <f>HYPERLINK("https://esbl.nhlbi.nih.gov/Databases/mpkFractions/proteomic_fractions_log_files/Yang_log_img/6753850.jpg","show blot")</f>
        <v>show blot</v>
      </c>
      <c r="H2472" s="8" t="str">
        <f>HYPERLINK("https://esbl.nhlbi.nih.gov/Databases/mpkFractions/proteomic_fractions_linear_files/Yang_linear_img/6753850.jpg","show blot")</f>
        <v>show blot</v>
      </c>
      <c r="J2472" s="5" t="s">
        <v>4920</v>
      </c>
      <c r="L2472" s="11">
        <v>2.4135776188819369</v>
      </c>
      <c r="N2472" s="12"/>
    </row>
    <row r="2473" spans="1:14" s="5" customFormat="1" ht="15" customHeight="1" x14ac:dyDescent="0.25">
      <c r="A2473" s="9" t="s">
        <v>4921</v>
      </c>
      <c r="C2473" s="9" t="str">
        <f>HYPERLINK("http://www.ncbi.nlm.nih.gov/protein/120952633","Fgfr1")</f>
        <v>Fgfr1</v>
      </c>
      <c r="D2473" s="10">
        <f t="shared" si="38"/>
        <v>5.0580241256589824</v>
      </c>
      <c r="F2473" s="8" t="str">
        <f>HYPERLINK("https://esbl.nhlbi.nih.gov/Databases/mpkFractions/proteomic_fractions_log_files/Yang_log_img/120952633.jpg","show blot")</f>
        <v>show blot</v>
      </c>
      <c r="H2473" s="8" t="str">
        <f>HYPERLINK("https://esbl.nhlbi.nih.gov/Databases/mpkFractions/proteomic_fractions_linear_files/Yang_linear_img/120952633.jpg","show blot")</f>
        <v>show blot</v>
      </c>
      <c r="J2473" s="5" t="s">
        <v>4922</v>
      </c>
      <c r="L2473" s="11">
        <v>5.0580241256589824</v>
      </c>
      <c r="N2473" s="12"/>
    </row>
    <row r="2474" spans="1:14" s="5" customFormat="1" ht="15" customHeight="1" x14ac:dyDescent="0.25">
      <c r="A2474" s="9" t="s">
        <v>4923</v>
      </c>
      <c r="C2474" s="9" t="str">
        <f>HYPERLINK("http://www.ncbi.nlm.nih.gov/protein/120952641","Fgfr1")</f>
        <v>Fgfr1</v>
      </c>
      <c r="D2474" s="10">
        <f t="shared" si="38"/>
        <v>5.0580241256589824</v>
      </c>
      <c r="F2474" s="8" t="str">
        <f>HYPERLINK("https://esbl.nhlbi.nih.gov/Databases/mpkFractions/proteomic_fractions_log_files/Yang_log_img/120952641.jpg","show blot")</f>
        <v>show blot</v>
      </c>
      <c r="H2474" s="8" t="str">
        <f>HYPERLINK("https://esbl.nhlbi.nih.gov/Databases/mpkFractions/proteomic_fractions_linear_files/Yang_linear_img/120952641.jpg","show blot")</f>
        <v>show blot</v>
      </c>
      <c r="J2474" s="5" t="s">
        <v>4924</v>
      </c>
      <c r="L2474" s="11">
        <v>5.0580241256589824</v>
      </c>
      <c r="N2474" s="12"/>
    </row>
    <row r="2475" spans="1:14" s="5" customFormat="1" ht="15" customHeight="1" x14ac:dyDescent="0.25">
      <c r="A2475" s="9" t="s">
        <v>4925</v>
      </c>
      <c r="C2475" s="9" t="str">
        <f>HYPERLINK("http://www.ncbi.nlm.nih.gov/protein/120952698","Fgfr1")</f>
        <v>Fgfr1</v>
      </c>
      <c r="D2475" s="10">
        <f t="shared" si="38"/>
        <v>5.0580241256589824</v>
      </c>
      <c r="F2475" s="8" t="str">
        <f>HYPERLINK("https://esbl.nhlbi.nih.gov/Databases/mpkFractions/proteomic_fractions_log_files/Yang_log_img/120952698.jpg","show blot")</f>
        <v>show blot</v>
      </c>
      <c r="H2475" s="8" t="str">
        <f>HYPERLINK("https://esbl.nhlbi.nih.gov/Databases/mpkFractions/proteomic_fractions_linear_files/Yang_linear_img/120952698.jpg","show blot")</f>
        <v>show blot</v>
      </c>
      <c r="J2475" s="5" t="s">
        <v>4926</v>
      </c>
      <c r="L2475" s="11">
        <v>5.0580241256589824</v>
      </c>
      <c r="N2475" s="12"/>
    </row>
    <row r="2476" spans="1:14" s="5" customFormat="1" ht="15" customHeight="1" x14ac:dyDescent="0.25">
      <c r="A2476" s="9" t="s">
        <v>4927</v>
      </c>
      <c r="C2476" s="9" t="str">
        <f>HYPERLINK("http://www.ncbi.nlm.nih.gov/protein/116089349","Fgfr2")</f>
        <v>Fgfr2</v>
      </c>
      <c r="D2476" s="10">
        <f t="shared" si="38"/>
        <v>5.0473002602672077</v>
      </c>
      <c r="F2476" s="8" t="str">
        <f>HYPERLINK("https://esbl.nhlbi.nih.gov/Databases/mpkFractions/proteomic_fractions_log_files/Yang_log_img/116089349.jpg","show blot")</f>
        <v>show blot</v>
      </c>
      <c r="H2476" s="8" t="str">
        <f>HYPERLINK("https://esbl.nhlbi.nih.gov/Databases/mpkFractions/proteomic_fractions_linear_files/Yang_linear_img/116089349.jpg","show blot")</f>
        <v>show blot</v>
      </c>
      <c r="J2476" s="5" t="s">
        <v>4928</v>
      </c>
      <c r="L2476" s="11">
        <v>5.0473002602672077</v>
      </c>
      <c r="N2476" s="12"/>
    </row>
    <row r="2477" spans="1:14" s="5" customFormat="1" ht="15" customHeight="1" x14ac:dyDescent="0.25">
      <c r="A2477" s="9" t="s">
        <v>4929</v>
      </c>
      <c r="C2477" s="9" t="str">
        <f>HYPERLINK("http://www.ncbi.nlm.nih.gov/protein/116089355","Fgfr2")</f>
        <v>Fgfr2</v>
      </c>
      <c r="D2477" s="10">
        <f t="shared" si="38"/>
        <v>5.0473002602672077</v>
      </c>
      <c r="F2477" s="8" t="str">
        <f>HYPERLINK("https://esbl.nhlbi.nih.gov/Databases/mpkFractions/proteomic_fractions_log_files/Yang_log_img/116089355.jpg","show blot")</f>
        <v>show blot</v>
      </c>
      <c r="H2477" s="8" t="str">
        <f>HYPERLINK("https://esbl.nhlbi.nih.gov/Databases/mpkFractions/proteomic_fractions_linear_files/Yang_linear_img/116089355.jpg","show blot")</f>
        <v>show blot</v>
      </c>
      <c r="J2477" s="5" t="s">
        <v>4930</v>
      </c>
      <c r="L2477" s="11">
        <v>5.0473002602672077</v>
      </c>
      <c r="N2477" s="12"/>
    </row>
    <row r="2478" spans="1:14" s="5" customFormat="1" ht="15" customHeight="1" x14ac:dyDescent="0.25">
      <c r="A2478" s="9" t="s">
        <v>4931</v>
      </c>
      <c r="C2478" s="9" t="str">
        <f>HYPERLINK("http://www.ncbi.nlm.nih.gov/protein/254028252","Fgfr3")</f>
        <v>Fgfr3</v>
      </c>
      <c r="D2478" s="10">
        <f t="shared" si="38"/>
        <v>5.0540666651682526</v>
      </c>
      <c r="F2478" s="8" t="str">
        <f>HYPERLINK("https://esbl.nhlbi.nih.gov/Databases/mpkFractions/proteomic_fractions_log_files/Yang_log_img/254028252.jpg","show blot")</f>
        <v>show blot</v>
      </c>
      <c r="H2478" s="8" t="str">
        <f>HYPERLINK("https://esbl.nhlbi.nih.gov/Databases/mpkFractions/proteomic_fractions_linear_files/Yang_linear_img/254028252.jpg","show blot")</f>
        <v>show blot</v>
      </c>
      <c r="J2478" s="5" t="s">
        <v>4932</v>
      </c>
      <c r="L2478" s="11">
        <v>5.0540666651682526</v>
      </c>
      <c r="N2478" s="12"/>
    </row>
    <row r="2479" spans="1:14" s="5" customFormat="1" ht="15" customHeight="1" x14ac:dyDescent="0.25">
      <c r="A2479" s="9" t="s">
        <v>4933</v>
      </c>
      <c r="C2479" s="9" t="str">
        <f>HYPERLINK("http://www.ncbi.nlm.nih.gov/protein/254028254","Fgfr3")</f>
        <v>Fgfr3</v>
      </c>
      <c r="D2479" s="10">
        <f t="shared" si="38"/>
        <v>5.0540666651682526</v>
      </c>
      <c r="F2479" s="8" t="str">
        <f>HYPERLINK("https://esbl.nhlbi.nih.gov/Databases/mpkFractions/proteomic_fractions_log_files/Yang_log_img/254028254.jpg","show blot")</f>
        <v>show blot</v>
      </c>
      <c r="H2479" s="8" t="str">
        <f>HYPERLINK("https://esbl.nhlbi.nih.gov/Databases/mpkFractions/proteomic_fractions_linear_files/Yang_linear_img/254028254.jpg","show blot")</f>
        <v>show blot</v>
      </c>
      <c r="J2479" s="5" t="s">
        <v>4934</v>
      </c>
      <c r="L2479" s="11">
        <v>5.0540666651682526</v>
      </c>
      <c r="N2479" s="12"/>
    </row>
    <row r="2480" spans="1:14" s="5" customFormat="1" ht="15" customHeight="1" x14ac:dyDescent="0.25">
      <c r="A2480" s="9" t="s">
        <v>4935</v>
      </c>
      <c r="C2480" s="9" t="str">
        <f>HYPERLINK("http://www.ncbi.nlm.nih.gov/protein/328751707","Fgfr3")</f>
        <v>Fgfr3</v>
      </c>
      <c r="D2480" s="10">
        <f t="shared" si="38"/>
        <v>5.0540666651682526</v>
      </c>
      <c r="F2480" s="8" t="str">
        <f>HYPERLINK("https://esbl.nhlbi.nih.gov/Databases/mpkFractions/proteomic_fractions_log_files/Yang_log_img/328751707.jpg","show blot")</f>
        <v>show blot</v>
      </c>
      <c r="H2480" s="8" t="str">
        <f>HYPERLINK("https://esbl.nhlbi.nih.gov/Databases/mpkFractions/proteomic_fractions_linear_files/Yang_linear_img/328751707.jpg","show blot")</f>
        <v>show blot</v>
      </c>
      <c r="J2480" s="5" t="s">
        <v>4936</v>
      </c>
      <c r="L2480" s="11">
        <v>5.0540666651682526</v>
      </c>
      <c r="N2480" s="12"/>
    </row>
    <row r="2481" spans="1:14" s="5" customFormat="1" ht="15" customHeight="1" x14ac:dyDescent="0.25">
      <c r="A2481" s="9" t="s">
        <v>4937</v>
      </c>
      <c r="C2481" s="9" t="str">
        <f>HYPERLINK("http://www.ncbi.nlm.nih.gov/protein/46877057","Fgfr3")</f>
        <v>Fgfr3</v>
      </c>
      <c r="D2481" s="10">
        <f t="shared" si="38"/>
        <v>5.0540666651682526</v>
      </c>
      <c r="F2481" s="8" t="str">
        <f>HYPERLINK("https://esbl.nhlbi.nih.gov/Databases/mpkFractions/proteomic_fractions_log_files/Yang_log_img/46877057.jpg","show blot")</f>
        <v>show blot</v>
      </c>
      <c r="H2481" s="8" t="str">
        <f>HYPERLINK("https://esbl.nhlbi.nih.gov/Databases/mpkFractions/proteomic_fractions_linear_files/Yang_linear_img/46877057.jpg","show blot")</f>
        <v>show blot</v>
      </c>
      <c r="J2481" s="5" t="s">
        <v>4938</v>
      </c>
      <c r="L2481" s="11">
        <v>5.0540666651682526</v>
      </c>
      <c r="N2481" s="12"/>
    </row>
    <row r="2482" spans="1:14" s="5" customFormat="1" ht="15" customHeight="1" x14ac:dyDescent="0.25">
      <c r="A2482" s="9" t="s">
        <v>4939</v>
      </c>
      <c r="C2482" s="9" t="str">
        <f>HYPERLINK("http://www.ncbi.nlm.nih.gov/protein/112293260","Fgfr4")</f>
        <v>Fgfr4</v>
      </c>
      <c r="D2482" s="10">
        <f t="shared" si="38"/>
        <v>5.0215948600323062</v>
      </c>
      <c r="F2482" s="8" t="str">
        <f>HYPERLINK("https://esbl.nhlbi.nih.gov/Databases/mpkFractions/proteomic_fractions_log_files/Yang_log_img/112293260.jpg","show blot")</f>
        <v>show blot</v>
      </c>
      <c r="H2482" s="8" t="str">
        <f>HYPERLINK("https://esbl.nhlbi.nih.gov/Databases/mpkFractions/proteomic_fractions_linear_files/Yang_linear_img/112293260.jpg","show blot")</f>
        <v>show blot</v>
      </c>
      <c r="J2482" s="5" t="s">
        <v>4940</v>
      </c>
      <c r="L2482" s="11">
        <v>5.0215948600323062</v>
      </c>
      <c r="N2482" s="12"/>
    </row>
    <row r="2483" spans="1:14" s="5" customFormat="1" ht="15" customHeight="1" x14ac:dyDescent="0.25">
      <c r="A2483" s="9" t="s">
        <v>4941</v>
      </c>
      <c r="C2483" s="9" t="str">
        <f>HYPERLINK("http://www.ncbi.nlm.nih.gov/protein/171542819","Fgr")</f>
        <v>Fgr</v>
      </c>
      <c r="D2483" s="10">
        <f t="shared" si="38"/>
        <v>5.1902621010087806</v>
      </c>
      <c r="F2483" s="8" t="str">
        <f>HYPERLINK("https://esbl.nhlbi.nih.gov/Databases/mpkFractions/proteomic_fractions_log_files/Yang_log_img/171542819.jpg","show blot")</f>
        <v>show blot</v>
      </c>
      <c r="H2483" s="8" t="str">
        <f>HYPERLINK("https://esbl.nhlbi.nih.gov/Databases/mpkFractions/proteomic_fractions_linear_files/Yang_linear_img/171542819.jpg","show blot")</f>
        <v>show blot</v>
      </c>
      <c r="J2483" s="5" t="s">
        <v>4942</v>
      </c>
      <c r="L2483" s="11">
        <v>5.1902621010087806</v>
      </c>
      <c r="N2483" s="12"/>
    </row>
    <row r="2484" spans="1:14" s="5" customFormat="1" ht="15" customHeight="1" x14ac:dyDescent="0.25">
      <c r="A2484" s="9" t="s">
        <v>4943</v>
      </c>
      <c r="C2484" s="9" t="str">
        <f>HYPERLINK("http://www.ncbi.nlm.nih.gov/protein/226823367","Fh1")</f>
        <v>Fh1</v>
      </c>
      <c r="D2484" s="10">
        <f t="shared" si="38"/>
        <v>5.8695663742307111</v>
      </c>
      <c r="F2484" s="8" t="str">
        <f>HYPERLINK("https://esbl.nhlbi.nih.gov/Databases/mpkFractions/proteomic_fractions_log_files/Yang_log_img/226823367.jpg","show blot")</f>
        <v>show blot</v>
      </c>
      <c r="H2484" s="8" t="str">
        <f>HYPERLINK("https://esbl.nhlbi.nih.gov/Databases/mpkFractions/proteomic_fractions_linear_files/Yang_linear_img/226823367.jpg","show blot")</f>
        <v>show blot</v>
      </c>
      <c r="J2484" s="5" t="s">
        <v>4944</v>
      </c>
      <c r="L2484" s="11">
        <v>5.8695663742307111</v>
      </c>
      <c r="N2484" s="12"/>
    </row>
    <row r="2485" spans="1:14" s="5" customFormat="1" ht="15" customHeight="1" x14ac:dyDescent="0.25">
      <c r="A2485" s="9" t="s">
        <v>4945</v>
      </c>
      <c r="C2485" s="9" t="str">
        <f>HYPERLINK("http://www.ncbi.nlm.nih.gov/protein/209413705","Fhad1")</f>
        <v>Fhad1</v>
      </c>
      <c r="D2485" s="10">
        <f t="shared" si="38"/>
        <v>1.789583144939799</v>
      </c>
      <c r="F2485" s="8" t="str">
        <f>HYPERLINK("https://esbl.nhlbi.nih.gov/Databases/mpkFractions/proteomic_fractions_log_files/Yang_log_img/209413705.jpg","show blot")</f>
        <v>show blot</v>
      </c>
      <c r="H2485" s="8" t="str">
        <f>HYPERLINK("https://esbl.nhlbi.nih.gov/Databases/mpkFractions/proteomic_fractions_linear_files/Yang_linear_img/209413705.jpg","show blot")</f>
        <v>show blot</v>
      </c>
      <c r="J2485" s="5" t="s">
        <v>4946</v>
      </c>
      <c r="L2485" s="11">
        <v>1.789583144939799</v>
      </c>
      <c r="N2485" s="12"/>
    </row>
    <row r="2486" spans="1:14" s="5" customFormat="1" ht="15" customHeight="1" x14ac:dyDescent="0.25">
      <c r="A2486" s="9" t="s">
        <v>4947</v>
      </c>
      <c r="C2486" s="9" t="str">
        <f>HYPERLINK("http://www.ncbi.nlm.nih.gov/protein/116517334","Fhl1")</f>
        <v>Fhl1</v>
      </c>
      <c r="D2486" s="10">
        <f t="shared" si="38"/>
        <v>4.7514375893027898</v>
      </c>
      <c r="F2486" s="8" t="str">
        <f>HYPERLINK("https://esbl.nhlbi.nih.gov/Databases/mpkFractions/proteomic_fractions_log_files/Yang_log_img/116517334.jpg","show blot")</f>
        <v>show blot</v>
      </c>
      <c r="H2486" s="8" t="str">
        <f>HYPERLINK("https://esbl.nhlbi.nih.gov/Databases/mpkFractions/proteomic_fractions_linear_files/Yang_linear_img/116517334.jpg","show blot")</f>
        <v>show blot</v>
      </c>
      <c r="J2486" s="5" t="s">
        <v>4948</v>
      </c>
      <c r="L2486" s="11">
        <v>4.7514375893027898</v>
      </c>
      <c r="N2486" s="12"/>
    </row>
    <row r="2487" spans="1:14" s="5" customFormat="1" ht="15" customHeight="1" x14ac:dyDescent="0.25">
      <c r="A2487" s="9" t="s">
        <v>4949</v>
      </c>
      <c r="C2487" s="9" t="str">
        <f>HYPERLINK("http://www.ncbi.nlm.nih.gov/protein/116517336","Fhl1")</f>
        <v>Fhl1</v>
      </c>
      <c r="D2487" s="10">
        <f t="shared" si="38"/>
        <v>4.7514375893027898</v>
      </c>
      <c r="F2487" s="8" t="str">
        <f>HYPERLINK("https://esbl.nhlbi.nih.gov/Databases/mpkFractions/proteomic_fractions_log_files/Yang_log_img/116517336.jpg","show blot")</f>
        <v>show blot</v>
      </c>
      <c r="H2487" s="8" t="str">
        <f>HYPERLINK("https://esbl.nhlbi.nih.gov/Databases/mpkFractions/proteomic_fractions_linear_files/Yang_linear_img/116517336.jpg","show blot")</f>
        <v>show blot</v>
      </c>
      <c r="J2487" s="5" t="s">
        <v>4950</v>
      </c>
      <c r="L2487" s="11">
        <v>4.7514375893027898</v>
      </c>
      <c r="N2487" s="12"/>
    </row>
    <row r="2488" spans="1:14" s="5" customFormat="1" ht="15" customHeight="1" x14ac:dyDescent="0.25">
      <c r="A2488" s="9" t="s">
        <v>4951</v>
      </c>
      <c r="C2488" s="9" t="str">
        <f>HYPERLINK("http://www.ncbi.nlm.nih.gov/protein/116517340","Fhl1")</f>
        <v>Fhl1</v>
      </c>
      <c r="D2488" s="10">
        <f t="shared" si="38"/>
        <v>4.7514375893027898</v>
      </c>
      <c r="F2488" s="8" t="str">
        <f>HYPERLINK("https://esbl.nhlbi.nih.gov/Databases/mpkFractions/proteomic_fractions_log_files/Yang_log_img/116517340.jpg","show blot")</f>
        <v>show blot</v>
      </c>
      <c r="H2488" s="8" t="str">
        <f>HYPERLINK("https://esbl.nhlbi.nih.gov/Databases/mpkFractions/proteomic_fractions_linear_files/Yang_linear_img/116517340.jpg","show blot")</f>
        <v>show blot</v>
      </c>
      <c r="J2488" s="5" t="s">
        <v>4952</v>
      </c>
      <c r="L2488" s="11">
        <v>4.7514375893027898</v>
      </c>
      <c r="N2488" s="12"/>
    </row>
    <row r="2489" spans="1:14" s="5" customFormat="1" ht="15" customHeight="1" x14ac:dyDescent="0.25">
      <c r="A2489" s="9" t="s">
        <v>4953</v>
      </c>
      <c r="C2489" s="9" t="str">
        <f>HYPERLINK("http://www.ncbi.nlm.nih.gov/protein/6753866","Fhl2")</f>
        <v>Fhl2</v>
      </c>
      <c r="D2489" s="10">
        <f t="shared" si="38"/>
        <v>4.4939447682891558</v>
      </c>
      <c r="F2489" s="8" t="str">
        <f>HYPERLINK("https://esbl.nhlbi.nih.gov/Databases/mpkFractions/proteomic_fractions_log_files/Yang_log_img/6753866.jpg","show blot")</f>
        <v>show blot</v>
      </c>
      <c r="H2489" s="8" t="str">
        <f>HYPERLINK("https://esbl.nhlbi.nih.gov/Databases/mpkFractions/proteomic_fractions_linear_files/Yang_linear_img/6753866.jpg","show blot")</f>
        <v>show blot</v>
      </c>
      <c r="J2489" s="5" t="s">
        <v>4954</v>
      </c>
      <c r="L2489" s="11">
        <v>4.4939447682891558</v>
      </c>
      <c r="N2489" s="12"/>
    </row>
    <row r="2490" spans="1:14" s="5" customFormat="1" ht="15" customHeight="1" x14ac:dyDescent="0.25">
      <c r="A2490" s="9" t="s">
        <v>4955</v>
      </c>
      <c r="C2490" s="9" t="str">
        <f>HYPERLINK("http://www.ncbi.nlm.nih.gov/protein/130488506","Fhl3")</f>
        <v>Fhl3</v>
      </c>
      <c r="D2490" s="10">
        <f t="shared" si="38"/>
        <v>5.4863717620748291</v>
      </c>
      <c r="F2490" s="8" t="str">
        <f>HYPERLINK("https://esbl.nhlbi.nih.gov/Databases/mpkFractions/proteomic_fractions_log_files/Yang_log_img/130488506.jpg","show blot")</f>
        <v>show blot</v>
      </c>
      <c r="H2490" s="8" t="str">
        <f>HYPERLINK("https://esbl.nhlbi.nih.gov/Databases/mpkFractions/proteomic_fractions_linear_files/Yang_linear_img/130488506.jpg","show blot")</f>
        <v>show blot</v>
      </c>
      <c r="J2490" s="5" t="s">
        <v>4956</v>
      </c>
      <c r="L2490" s="11">
        <v>5.4863717620748291</v>
      </c>
      <c r="N2490" s="12"/>
    </row>
    <row r="2491" spans="1:14" s="5" customFormat="1" ht="15" customHeight="1" x14ac:dyDescent="0.25">
      <c r="A2491" s="9" t="s">
        <v>4957</v>
      </c>
      <c r="C2491" s="9" t="str">
        <f>HYPERLINK("http://www.ncbi.nlm.nih.gov/protein/269973931","Fhod1")</f>
        <v>Fhod1</v>
      </c>
      <c r="D2491" s="10">
        <f t="shared" si="38"/>
        <v>2.9399770103949172</v>
      </c>
      <c r="F2491" s="8" t="str">
        <f>HYPERLINK("https://esbl.nhlbi.nih.gov/Databases/mpkFractions/proteomic_fractions_log_files/Yang_log_img/269973931.jpg","show blot")</f>
        <v>show blot</v>
      </c>
      <c r="H2491" s="8" t="str">
        <f>HYPERLINK("https://esbl.nhlbi.nih.gov/Databases/mpkFractions/proteomic_fractions_linear_files/Yang_linear_img/269973931.jpg","show blot")</f>
        <v>show blot</v>
      </c>
      <c r="J2491" s="5" t="s">
        <v>4958</v>
      </c>
      <c r="L2491" s="11">
        <v>2.9399770103949172</v>
      </c>
      <c r="N2491" s="12"/>
    </row>
    <row r="2492" spans="1:14" s="5" customFormat="1" ht="15" customHeight="1" x14ac:dyDescent="0.25">
      <c r="A2492" s="9" t="s">
        <v>4959</v>
      </c>
      <c r="C2492" s="9" t="str">
        <f>HYPERLINK("http://www.ncbi.nlm.nih.gov/protein/37674240","Fhod3")</f>
        <v>Fhod3</v>
      </c>
      <c r="D2492" s="10">
        <f t="shared" si="38"/>
        <v>2.3299638407877499</v>
      </c>
      <c r="F2492" s="8" t="str">
        <f>HYPERLINK("https://esbl.nhlbi.nih.gov/Databases/mpkFractions/proteomic_fractions_log_files/Yang_log_img/37674240.jpg","show blot")</f>
        <v>show blot</v>
      </c>
      <c r="H2492" s="8" t="str">
        <f>HYPERLINK("https://esbl.nhlbi.nih.gov/Databases/mpkFractions/proteomic_fractions_linear_files/Yang_linear_img/37674240.jpg","show blot")</f>
        <v>show blot</v>
      </c>
      <c r="J2492" s="5" t="s">
        <v>4960</v>
      </c>
      <c r="L2492" s="11">
        <v>2.3299638407877499</v>
      </c>
      <c r="N2492" s="12"/>
    </row>
    <row r="2493" spans="1:14" s="5" customFormat="1" ht="15" customHeight="1" x14ac:dyDescent="0.25">
      <c r="A2493" s="9" t="s">
        <v>4961</v>
      </c>
      <c r="C2493" s="9" t="str">
        <f>HYPERLINK("http://www.ncbi.nlm.nih.gov/protein/19527220","Fig4")</f>
        <v>Fig4</v>
      </c>
      <c r="D2493" s="10">
        <f t="shared" si="38"/>
        <v>3.2165745665548209</v>
      </c>
      <c r="F2493" s="8" t="str">
        <f>HYPERLINK("https://esbl.nhlbi.nih.gov/Databases/mpkFractions/proteomic_fractions_log_files/Yang_log_img/19527220.jpg","show blot")</f>
        <v>show blot</v>
      </c>
      <c r="H2493" s="8" t="str">
        <f>HYPERLINK("https://esbl.nhlbi.nih.gov/Databases/mpkFractions/proteomic_fractions_linear_files/Yang_linear_img/19527220.jpg","show blot")</f>
        <v>show blot</v>
      </c>
      <c r="J2493" s="5" t="s">
        <v>4962</v>
      </c>
      <c r="L2493" s="11">
        <v>3.2165745665548209</v>
      </c>
      <c r="N2493" s="12"/>
    </row>
    <row r="2494" spans="1:14" s="5" customFormat="1" ht="15" customHeight="1" x14ac:dyDescent="0.25">
      <c r="A2494" s="9" t="s">
        <v>4963</v>
      </c>
      <c r="C2494" s="9" t="str">
        <f>HYPERLINK("http://www.ncbi.nlm.nih.gov/protein/31560300","Fignl1")</f>
        <v>Fignl1</v>
      </c>
      <c r="D2494" s="10">
        <f t="shared" si="38"/>
        <v>4.2197456713207586</v>
      </c>
      <c r="F2494" s="8" t="str">
        <f>HYPERLINK("https://esbl.nhlbi.nih.gov/Databases/mpkFractions/proteomic_fractions_log_files/Yang_log_img/31560300.jpg","show blot")</f>
        <v>show blot</v>
      </c>
      <c r="H2494" s="8" t="str">
        <f>HYPERLINK("https://esbl.nhlbi.nih.gov/Databases/mpkFractions/proteomic_fractions_linear_files/Yang_linear_img/31560300.jpg","show blot")</f>
        <v>show blot</v>
      </c>
      <c r="J2494" s="5" t="s">
        <v>4964</v>
      </c>
      <c r="L2494" s="11">
        <v>4.2197456713207586</v>
      </c>
      <c r="N2494" s="12"/>
    </row>
    <row r="2495" spans="1:14" s="5" customFormat="1" ht="15" customHeight="1" x14ac:dyDescent="0.25">
      <c r="A2495" s="9" t="s">
        <v>4965</v>
      </c>
      <c r="C2495" s="9" t="str">
        <f>HYPERLINK("http://www.ncbi.nlm.nih.gov/protein/227330595","Fip1l1")</f>
        <v>Fip1l1</v>
      </c>
      <c r="D2495" s="10">
        <f t="shared" si="38"/>
        <v>2.390611325238714</v>
      </c>
      <c r="F2495" s="8" t="str">
        <f>HYPERLINK("https://esbl.nhlbi.nih.gov/Databases/mpkFractions/proteomic_fractions_log_files/Yang_log_img/227330595.jpg","show blot")</f>
        <v>show blot</v>
      </c>
      <c r="H2495" s="8" t="str">
        <f>HYPERLINK("https://esbl.nhlbi.nih.gov/Databases/mpkFractions/proteomic_fractions_linear_files/Yang_linear_img/227330595.jpg","show blot")</f>
        <v>show blot</v>
      </c>
      <c r="J2495" s="5" t="s">
        <v>4966</v>
      </c>
      <c r="L2495" s="11">
        <v>2.390611325238714</v>
      </c>
      <c r="N2495" s="12"/>
    </row>
    <row r="2496" spans="1:14" s="5" customFormat="1" ht="15" customHeight="1" x14ac:dyDescent="0.25">
      <c r="A2496" s="9" t="s">
        <v>4967</v>
      </c>
      <c r="C2496" s="9" t="str">
        <f>HYPERLINK("http://www.ncbi.nlm.nih.gov/protein/227330598","Fip1l1")</f>
        <v>Fip1l1</v>
      </c>
      <c r="D2496" s="10">
        <f t="shared" si="38"/>
        <v>2.390611325238714</v>
      </c>
      <c r="F2496" s="8" t="str">
        <f>HYPERLINK("https://esbl.nhlbi.nih.gov/Databases/mpkFractions/proteomic_fractions_log_files/Yang_log_img/227330598.jpg","show blot")</f>
        <v>show blot</v>
      </c>
      <c r="H2496" s="8" t="str">
        <f>HYPERLINK("https://esbl.nhlbi.nih.gov/Databases/mpkFractions/proteomic_fractions_linear_files/Yang_linear_img/227330598.jpg","show blot")</f>
        <v>show blot</v>
      </c>
      <c r="J2496" s="5" t="s">
        <v>4968</v>
      </c>
      <c r="L2496" s="11">
        <v>2.390611325238714</v>
      </c>
      <c r="N2496" s="12"/>
    </row>
    <row r="2497" spans="1:14" s="5" customFormat="1" ht="15" customHeight="1" x14ac:dyDescent="0.25">
      <c r="A2497" s="9" t="s">
        <v>4969</v>
      </c>
      <c r="C2497" s="9" t="str">
        <f>HYPERLINK("http://www.ncbi.nlm.nih.gov/protein/31560210","Fip1l1")</f>
        <v>Fip1l1</v>
      </c>
      <c r="D2497" s="10">
        <f t="shared" si="38"/>
        <v>2.390611325238714</v>
      </c>
      <c r="F2497" s="8" t="str">
        <f>HYPERLINK("https://esbl.nhlbi.nih.gov/Databases/mpkFractions/proteomic_fractions_log_files/Yang_log_img/31560210.jpg","show blot")</f>
        <v>show blot</v>
      </c>
      <c r="H2497" s="8" t="str">
        <f>HYPERLINK("https://esbl.nhlbi.nih.gov/Databases/mpkFractions/proteomic_fractions_linear_files/Yang_linear_img/31560210.jpg","show blot")</f>
        <v>show blot</v>
      </c>
      <c r="J2497" s="5" t="s">
        <v>4970</v>
      </c>
      <c r="L2497" s="11">
        <v>2.390611325238714</v>
      </c>
      <c r="N2497" s="12"/>
    </row>
    <row r="2498" spans="1:14" s="5" customFormat="1" ht="15" customHeight="1" x14ac:dyDescent="0.25">
      <c r="A2498" s="9" t="s">
        <v>4971</v>
      </c>
      <c r="C2498" s="9" t="str">
        <f>HYPERLINK("http://www.ncbi.nlm.nih.gov/protein/13384998","Fis1")</f>
        <v>Fis1</v>
      </c>
      <c r="D2498" s="10">
        <f t="shared" si="38"/>
        <v>6.0146076787682743</v>
      </c>
      <c r="F2498" s="8" t="str">
        <f>HYPERLINK("https://esbl.nhlbi.nih.gov/Databases/mpkFractions/proteomic_fractions_log_files/Yang_log_img/13384998.jpg","show blot")</f>
        <v>show blot</v>
      </c>
      <c r="H2498" s="8" t="str">
        <f>HYPERLINK("https://esbl.nhlbi.nih.gov/Databases/mpkFractions/proteomic_fractions_linear_files/Yang_linear_img/13384998.jpg","show blot")</f>
        <v>show blot</v>
      </c>
      <c r="J2498" s="5" t="s">
        <v>4972</v>
      </c>
      <c r="L2498" s="11">
        <v>6.0146076787682743</v>
      </c>
      <c r="N2498" s="12"/>
    </row>
    <row r="2499" spans="1:14" s="5" customFormat="1" ht="15" customHeight="1" x14ac:dyDescent="0.25">
      <c r="A2499" s="9" t="s">
        <v>4973</v>
      </c>
      <c r="C2499" s="9" t="str">
        <f>HYPERLINK("http://www.ncbi.nlm.nih.gov/protein/253735731","Fis1")</f>
        <v>Fis1</v>
      </c>
      <c r="D2499" s="10">
        <f t="shared" si="38"/>
        <v>6.0146076787682743</v>
      </c>
      <c r="F2499" s="8" t="str">
        <f>HYPERLINK("https://esbl.nhlbi.nih.gov/Databases/mpkFractions/proteomic_fractions_log_files/Yang_log_img/253735731.jpg","show blot")</f>
        <v>show blot</v>
      </c>
      <c r="H2499" s="8" t="str">
        <f>HYPERLINK("https://esbl.nhlbi.nih.gov/Databases/mpkFractions/proteomic_fractions_linear_files/Yang_linear_img/253735731.jpg","show blot")</f>
        <v>show blot</v>
      </c>
      <c r="J2499" s="5" t="s">
        <v>4974</v>
      </c>
      <c r="L2499" s="11">
        <v>6.0146076787682743</v>
      </c>
      <c r="N2499" s="12"/>
    </row>
    <row r="2500" spans="1:14" s="5" customFormat="1" ht="15" customHeight="1" x14ac:dyDescent="0.25">
      <c r="A2500" s="9" t="s">
        <v>4975</v>
      </c>
      <c r="C2500" s="9" t="str">
        <f>HYPERLINK("http://www.ncbi.nlm.nih.gov/protein/27734174","Fitm2")</f>
        <v>Fitm2</v>
      </c>
      <c r="D2500" s="10">
        <f t="shared" si="38"/>
        <v>3.8324289388992598</v>
      </c>
      <c r="F2500" s="8" t="str">
        <f>HYPERLINK("https://esbl.nhlbi.nih.gov/Databases/mpkFractions/proteomic_fractions_log_files/Yang_log_img/27734174.jpg","show blot")</f>
        <v>show blot</v>
      </c>
      <c r="H2500" s="8" t="str">
        <f>HYPERLINK("https://esbl.nhlbi.nih.gov/Databases/mpkFractions/proteomic_fractions_linear_files/Yang_linear_img/27734174.jpg","show blot")</f>
        <v>show blot</v>
      </c>
      <c r="J2500" s="5" t="s">
        <v>4976</v>
      </c>
      <c r="L2500" s="11">
        <v>3.8324289388992598</v>
      </c>
      <c r="N2500" s="12"/>
    </row>
    <row r="2501" spans="1:14" s="5" customFormat="1" ht="15" customHeight="1" x14ac:dyDescent="0.25">
      <c r="A2501" s="9" t="s">
        <v>4977</v>
      </c>
      <c r="C2501" s="9" t="str">
        <f>HYPERLINK("http://www.ncbi.nlm.nih.gov/protein/160333154","Fiz1")</f>
        <v>Fiz1</v>
      </c>
      <c r="D2501" s="10">
        <f t="shared" ref="D2501:D2564" si="39">L2501</f>
        <v>2.2777160531419418</v>
      </c>
      <c r="F2501" s="8" t="str">
        <f>HYPERLINK("https://esbl.nhlbi.nih.gov/Databases/mpkFractions/proteomic_fractions_log_files/Yang_log_img/160333154.jpg","show blot")</f>
        <v>show blot</v>
      </c>
      <c r="H2501" s="8" t="str">
        <f>HYPERLINK("https://esbl.nhlbi.nih.gov/Databases/mpkFractions/proteomic_fractions_linear_files/Yang_linear_img/160333154.jpg","show blot")</f>
        <v>show blot</v>
      </c>
      <c r="J2501" s="5" t="s">
        <v>4978</v>
      </c>
      <c r="L2501" s="11">
        <v>2.2777160531419418</v>
      </c>
      <c r="N2501" s="12"/>
    </row>
    <row r="2502" spans="1:14" s="5" customFormat="1" ht="15" customHeight="1" x14ac:dyDescent="0.25">
      <c r="A2502" s="9" t="s">
        <v>4979</v>
      </c>
      <c r="C2502" s="9" t="str">
        <f>HYPERLINK("http://www.ncbi.nlm.nih.gov/protein/227116320","Fkbp15")</f>
        <v>Fkbp15</v>
      </c>
      <c r="D2502" s="10">
        <f t="shared" si="39"/>
        <v>3.2619664462435911</v>
      </c>
      <c r="F2502" s="8" t="str">
        <f>HYPERLINK("https://esbl.nhlbi.nih.gov/Databases/mpkFractions/proteomic_fractions_log_files/Yang_log_img/227116320.jpg","show blot")</f>
        <v>show blot</v>
      </c>
      <c r="H2502" s="8" t="str">
        <f>HYPERLINK("https://esbl.nhlbi.nih.gov/Databases/mpkFractions/proteomic_fractions_linear_files/Yang_linear_img/227116320.jpg","show blot")</f>
        <v>show blot</v>
      </c>
      <c r="J2502" s="5" t="s">
        <v>4980</v>
      </c>
      <c r="L2502" s="11">
        <v>3.2619664462435911</v>
      </c>
      <c r="N2502" s="12"/>
    </row>
    <row r="2503" spans="1:14" s="5" customFormat="1" ht="15" customHeight="1" x14ac:dyDescent="0.25">
      <c r="A2503" s="9" t="s">
        <v>4981</v>
      </c>
      <c r="C2503" s="9" t="str">
        <f>HYPERLINK("http://www.ncbi.nlm.nih.gov/protein/6679803","Fkbp1a")</f>
        <v>Fkbp1a</v>
      </c>
      <c r="D2503" s="10">
        <f t="shared" si="39"/>
        <v>6.0552373707002261</v>
      </c>
      <c r="F2503" s="8" t="str">
        <f>HYPERLINK("https://esbl.nhlbi.nih.gov/Databases/mpkFractions/proteomic_fractions_log_files/Yang_log_img/6679803.jpg","show blot")</f>
        <v>show blot</v>
      </c>
      <c r="H2503" s="8" t="str">
        <f>HYPERLINK("https://esbl.nhlbi.nih.gov/Databases/mpkFractions/proteomic_fractions_linear_files/Yang_linear_img/6679803.jpg","show blot")</f>
        <v>show blot</v>
      </c>
      <c r="J2503" s="5" t="s">
        <v>4982</v>
      </c>
      <c r="L2503" s="11">
        <v>6.0552373707002261</v>
      </c>
      <c r="N2503" s="12"/>
    </row>
    <row r="2504" spans="1:14" s="5" customFormat="1" ht="15" customHeight="1" x14ac:dyDescent="0.25">
      <c r="A2504" s="9" t="s">
        <v>4983</v>
      </c>
      <c r="C2504" s="9" t="str">
        <f>HYPERLINK("http://www.ncbi.nlm.nih.gov/protein/123173728","Fkbp1b")</f>
        <v>Fkbp1b</v>
      </c>
      <c r="D2504" s="10">
        <f t="shared" si="39"/>
        <v>4.5448486657963318</v>
      </c>
      <c r="F2504" s="8" t="str">
        <f>HYPERLINK("https://esbl.nhlbi.nih.gov/Databases/mpkFractions/proteomic_fractions_log_files/Yang_log_img/123173728.jpg","show blot")</f>
        <v>show blot</v>
      </c>
      <c r="H2504" s="8" t="str">
        <f>HYPERLINK("https://esbl.nhlbi.nih.gov/Databases/mpkFractions/proteomic_fractions_linear_files/Yang_linear_img/123173728.jpg","show blot")</f>
        <v>show blot</v>
      </c>
      <c r="J2504" s="5" t="s">
        <v>4984</v>
      </c>
      <c r="L2504" s="11">
        <v>4.5448486657963318</v>
      </c>
      <c r="N2504" s="12"/>
    </row>
    <row r="2505" spans="1:14" s="5" customFormat="1" ht="15" customHeight="1" x14ac:dyDescent="0.25">
      <c r="A2505" s="9" t="s">
        <v>4985</v>
      </c>
      <c r="C2505" s="9" t="str">
        <f>HYPERLINK("http://www.ncbi.nlm.nih.gov/protein/261824055;6679805","Fkbp2")</f>
        <v>Fkbp2</v>
      </c>
      <c r="D2505" s="10">
        <f t="shared" si="39"/>
        <v>5.5824873620091582</v>
      </c>
      <c r="F2505" s="8" t="str">
        <f>HYPERLINK("https://esbl.nhlbi.nih.gov/Databases/mpkFractions/proteomic_fractions_log_files/Yang_log_img/261824055;6679805.jpg","show blot")</f>
        <v>show blot</v>
      </c>
      <c r="H2505" s="8" t="str">
        <f>HYPERLINK("https://esbl.nhlbi.nih.gov/Databases/mpkFractions/proteomic_fractions_linear_files/Yang_linear_img/261824055;6679805.jpg","show blot")</f>
        <v>show blot</v>
      </c>
      <c r="J2505" s="5" t="s">
        <v>4986</v>
      </c>
      <c r="L2505" s="11">
        <v>5.5824873620091582</v>
      </c>
      <c r="N2505" s="12"/>
    </row>
    <row r="2506" spans="1:14" s="5" customFormat="1" ht="15" customHeight="1" x14ac:dyDescent="0.25">
      <c r="A2506" s="9" t="s">
        <v>4987</v>
      </c>
      <c r="C2506" s="9" t="str">
        <f>HYPERLINK("http://www.ncbi.nlm.nih.gov/protein/6679805","Fkbp2")</f>
        <v>Fkbp2</v>
      </c>
      <c r="D2506" s="10">
        <f t="shared" si="39"/>
        <v>5.5824873620091582</v>
      </c>
      <c r="F2506" s="8" t="str">
        <f>HYPERLINK("https://esbl.nhlbi.nih.gov/Databases/mpkFractions/proteomic_fractions_log_files/Yang_log_img/6679805.jpg","show blot")</f>
        <v>show blot</v>
      </c>
      <c r="H2506" s="8" t="str">
        <f>HYPERLINK("https://esbl.nhlbi.nih.gov/Databases/mpkFractions/proteomic_fractions_linear_files/Yang_linear_img/6679805.jpg","show blot")</f>
        <v>show blot</v>
      </c>
      <c r="J2506" s="5" t="s">
        <v>4986</v>
      </c>
      <c r="L2506" s="11">
        <v>5.5824873620091582</v>
      </c>
      <c r="N2506" s="12"/>
    </row>
    <row r="2507" spans="1:14" s="5" customFormat="1" ht="15" customHeight="1" x14ac:dyDescent="0.25">
      <c r="A2507" s="9" t="s">
        <v>4988</v>
      </c>
      <c r="C2507" s="9" t="str">
        <f>HYPERLINK("http://www.ncbi.nlm.nih.gov/protein/7305061","Fkbp3")</f>
        <v>Fkbp3</v>
      </c>
      <c r="D2507" s="10">
        <f t="shared" si="39"/>
        <v>6.0262240640588427</v>
      </c>
      <c r="F2507" s="8" t="str">
        <f>HYPERLINK("https://esbl.nhlbi.nih.gov/Databases/mpkFractions/proteomic_fractions_log_files/Yang_log_img/7305061.jpg","show blot")</f>
        <v>show blot</v>
      </c>
      <c r="H2507" s="8" t="str">
        <f>HYPERLINK("https://esbl.nhlbi.nih.gov/Databases/mpkFractions/proteomic_fractions_linear_files/Yang_linear_img/7305061.jpg","show blot")</f>
        <v>show blot</v>
      </c>
      <c r="J2507" s="5" t="s">
        <v>4989</v>
      </c>
      <c r="L2507" s="11">
        <v>6.0262240640588427</v>
      </c>
      <c r="N2507" s="12"/>
    </row>
    <row r="2508" spans="1:14" s="5" customFormat="1" ht="15" customHeight="1" x14ac:dyDescent="0.25">
      <c r="A2508" s="9" t="s">
        <v>4990</v>
      </c>
      <c r="C2508" s="9" t="str">
        <f>HYPERLINK("http://www.ncbi.nlm.nih.gov/protein/6753882","Fkbp4")</f>
        <v>Fkbp4</v>
      </c>
      <c r="D2508" s="10">
        <f t="shared" si="39"/>
        <v>6.356859448181325</v>
      </c>
      <c r="F2508" s="8" t="str">
        <f>HYPERLINK("https://esbl.nhlbi.nih.gov/Databases/mpkFractions/proteomic_fractions_log_files/Yang_log_img/6753882.jpg","show blot")</f>
        <v>show blot</v>
      </c>
      <c r="H2508" s="8" t="str">
        <f>HYPERLINK("https://esbl.nhlbi.nih.gov/Databases/mpkFractions/proteomic_fractions_linear_files/Yang_linear_img/6753882.jpg","show blot")</f>
        <v>show blot</v>
      </c>
      <c r="J2508" s="5" t="s">
        <v>4991</v>
      </c>
      <c r="L2508" s="11">
        <v>6.356859448181325</v>
      </c>
      <c r="N2508" s="12"/>
    </row>
    <row r="2509" spans="1:14" s="5" customFormat="1" ht="15" customHeight="1" x14ac:dyDescent="0.25">
      <c r="A2509" s="9" t="s">
        <v>4992</v>
      </c>
      <c r="C2509" s="9" t="str">
        <f>HYPERLINK("http://www.ncbi.nlm.nih.gov/protein/6753884","Fkbp5")</f>
        <v>Fkbp5</v>
      </c>
      <c r="D2509" s="10">
        <f t="shared" si="39"/>
        <v>6.0535712812825446</v>
      </c>
      <c r="F2509" s="8" t="str">
        <f>HYPERLINK("https://esbl.nhlbi.nih.gov/Databases/mpkFractions/proteomic_fractions_log_files/Yang_log_img/6753884.jpg","show blot")</f>
        <v>show blot</v>
      </c>
      <c r="H2509" s="8" t="str">
        <f>HYPERLINK("https://esbl.nhlbi.nih.gov/Databases/mpkFractions/proteomic_fractions_linear_files/Yang_linear_img/6753884.jpg","show blot")</f>
        <v>show blot</v>
      </c>
      <c r="J2509" s="5" t="s">
        <v>4993</v>
      </c>
      <c r="L2509" s="11">
        <v>6.0535712812825446</v>
      </c>
      <c r="N2509" s="12"/>
    </row>
    <row r="2510" spans="1:14" s="5" customFormat="1" ht="15" customHeight="1" x14ac:dyDescent="0.25">
      <c r="A2510" s="9" t="s">
        <v>4994</v>
      </c>
      <c r="C2510" s="9" t="str">
        <f>HYPERLINK("http://www.ncbi.nlm.nih.gov/protein/161484656","Fkbp8")</f>
        <v>Fkbp8</v>
      </c>
      <c r="D2510" s="10">
        <f t="shared" si="39"/>
        <v>4.7430992628426587</v>
      </c>
      <c r="F2510" s="8" t="str">
        <f>HYPERLINK("https://esbl.nhlbi.nih.gov/Databases/mpkFractions/proteomic_fractions_log_files/Yang_log_img/161484656.jpg","show blot")</f>
        <v>show blot</v>
      </c>
      <c r="H2510" s="8" t="str">
        <f>HYPERLINK("https://esbl.nhlbi.nih.gov/Databases/mpkFractions/proteomic_fractions_linear_files/Yang_linear_img/161484656.jpg","show blot")</f>
        <v>show blot</v>
      </c>
      <c r="J2510" s="5" t="s">
        <v>4995</v>
      </c>
      <c r="L2510" s="11">
        <v>4.7430992628426587</v>
      </c>
      <c r="N2510" s="12"/>
    </row>
    <row r="2511" spans="1:14" s="5" customFormat="1" ht="15" customHeight="1" x14ac:dyDescent="0.25">
      <c r="A2511" s="9" t="s">
        <v>4996</v>
      </c>
      <c r="C2511" s="9" t="str">
        <f>HYPERLINK("http://www.ncbi.nlm.nih.gov/protein/161484658","Fkbp8")</f>
        <v>Fkbp8</v>
      </c>
      <c r="D2511" s="10">
        <f t="shared" si="39"/>
        <v>4.7430992628426587</v>
      </c>
      <c r="F2511" s="8" t="str">
        <f>HYPERLINK("https://esbl.nhlbi.nih.gov/Databases/mpkFractions/proteomic_fractions_log_files/Yang_log_img/161484658.jpg","show blot")</f>
        <v>show blot</v>
      </c>
      <c r="H2511" s="8" t="str">
        <f>HYPERLINK("https://esbl.nhlbi.nih.gov/Databases/mpkFractions/proteomic_fractions_linear_files/Yang_linear_img/161484658.jpg","show blot")</f>
        <v>show blot</v>
      </c>
      <c r="J2511" s="5" t="s">
        <v>4997</v>
      </c>
      <c r="L2511" s="11">
        <v>4.7430992628426587</v>
      </c>
      <c r="N2511" s="12"/>
    </row>
    <row r="2512" spans="1:14" s="5" customFormat="1" ht="15" customHeight="1" x14ac:dyDescent="0.25">
      <c r="A2512" s="9" t="s">
        <v>4998</v>
      </c>
      <c r="C2512" s="9" t="str">
        <f>HYPERLINK("http://www.ncbi.nlm.nih.gov/protein/172072617","Fkbp9")</f>
        <v>Fkbp9</v>
      </c>
      <c r="D2512" s="10">
        <f t="shared" si="39"/>
        <v>3.553675337946431</v>
      </c>
      <c r="F2512" s="8" t="str">
        <f>HYPERLINK("https://esbl.nhlbi.nih.gov/Databases/mpkFractions/proteomic_fractions_log_files/Yang_log_img/172072617.jpg","show blot")</f>
        <v>show blot</v>
      </c>
      <c r="H2512" s="8" t="str">
        <f>HYPERLINK("https://esbl.nhlbi.nih.gov/Databases/mpkFractions/proteomic_fractions_linear_files/Yang_linear_img/172072617.jpg","show blot")</f>
        <v>show blot</v>
      </c>
      <c r="J2512" s="5" t="s">
        <v>4999</v>
      </c>
      <c r="L2512" s="11">
        <v>3.553675337946431</v>
      </c>
      <c r="N2512" s="12"/>
    </row>
    <row r="2513" spans="1:14" s="5" customFormat="1" ht="15" customHeight="1" x14ac:dyDescent="0.25">
      <c r="A2513" s="9" t="s">
        <v>5000</v>
      </c>
      <c r="C2513" s="9" t="str">
        <f>HYPERLINK("http://www.ncbi.nlm.nih.gov/protein/89337262","Flad1")</f>
        <v>Flad1</v>
      </c>
      <c r="D2513" s="10">
        <f t="shared" si="39"/>
        <v>4.3465158125213224</v>
      </c>
      <c r="F2513" s="8" t="str">
        <f>HYPERLINK("https://esbl.nhlbi.nih.gov/Databases/mpkFractions/proteomic_fractions_log_files/Yang_log_img/89337262.jpg","show blot")</f>
        <v>show blot</v>
      </c>
      <c r="H2513" s="8" t="str">
        <f>HYPERLINK("https://esbl.nhlbi.nih.gov/Databases/mpkFractions/proteomic_fractions_linear_files/Yang_linear_img/89337262.jpg","show blot")</f>
        <v>show blot</v>
      </c>
      <c r="J2513" s="5" t="s">
        <v>5001</v>
      </c>
      <c r="L2513" s="11">
        <v>4.3465158125213224</v>
      </c>
      <c r="N2513" s="12"/>
    </row>
    <row r="2514" spans="1:14" s="5" customFormat="1" ht="15" customHeight="1" x14ac:dyDescent="0.25">
      <c r="A2514" s="9" t="s">
        <v>5002</v>
      </c>
      <c r="C2514" s="9" t="str">
        <f>HYPERLINK("http://www.ncbi.nlm.nih.gov/protein/405778335","Flcn")</f>
        <v>Flcn</v>
      </c>
      <c r="D2514" s="10">
        <f t="shared" si="39"/>
        <v>2.7507690721301938</v>
      </c>
      <c r="F2514" s="8" t="str">
        <f>HYPERLINK("https://esbl.nhlbi.nih.gov/Databases/mpkFractions/proteomic_fractions_log_files/Yang_log_img/405778335.jpg","show blot")</f>
        <v>show blot</v>
      </c>
      <c r="H2514" s="8" t="str">
        <f>HYPERLINK("https://esbl.nhlbi.nih.gov/Databases/mpkFractions/proteomic_fractions_linear_files/Yang_linear_img/405778335.jpg","show blot")</f>
        <v>show blot</v>
      </c>
      <c r="J2514" s="5" t="s">
        <v>5003</v>
      </c>
      <c r="L2514" s="11">
        <v>2.7507690721301938</v>
      </c>
      <c r="N2514" s="12"/>
    </row>
    <row r="2515" spans="1:14" s="5" customFormat="1" ht="15" customHeight="1" x14ac:dyDescent="0.25">
      <c r="A2515" s="9" t="s">
        <v>5004</v>
      </c>
      <c r="C2515" s="9" t="str">
        <f>HYPERLINK("http://www.ncbi.nlm.nih.gov/protein/84370015","Flg2")</f>
        <v>Flg2</v>
      </c>
      <c r="D2515" s="10">
        <f t="shared" si="39"/>
        <v>0.92399081412706219</v>
      </c>
      <c r="F2515" s="8" t="str">
        <f>HYPERLINK("https://esbl.nhlbi.nih.gov/Databases/mpkFractions/proteomic_fractions_log_files/Yang_log_img/84370015.jpg","show blot")</f>
        <v>show blot</v>
      </c>
      <c r="H2515" s="8" t="str">
        <f>HYPERLINK("https://esbl.nhlbi.nih.gov/Databases/mpkFractions/proteomic_fractions_linear_files/Yang_linear_img/84370015.jpg","show blot")</f>
        <v>show blot</v>
      </c>
      <c r="J2515" s="5" t="s">
        <v>5005</v>
      </c>
      <c r="L2515" s="11">
        <v>0.92399081412706219</v>
      </c>
      <c r="N2515" s="12"/>
    </row>
    <row r="2516" spans="1:14" s="5" customFormat="1" ht="15" customHeight="1" x14ac:dyDescent="0.25">
      <c r="A2516" s="9" t="s">
        <v>5006</v>
      </c>
      <c r="C2516" s="9" t="str">
        <f>HYPERLINK("http://www.ncbi.nlm.nih.gov/protein/11528490","Flii")</f>
        <v>Flii</v>
      </c>
      <c r="D2516" s="10">
        <f t="shared" si="39"/>
        <v>5.3227153422900937</v>
      </c>
      <c r="F2516" s="8" t="str">
        <f>HYPERLINK("https://esbl.nhlbi.nih.gov/Databases/mpkFractions/proteomic_fractions_log_files/Yang_log_img/11528490.jpg","show blot")</f>
        <v>show blot</v>
      </c>
      <c r="H2516" s="8" t="str">
        <f>HYPERLINK("https://esbl.nhlbi.nih.gov/Databases/mpkFractions/proteomic_fractions_linear_files/Yang_linear_img/11528490.jpg","show blot")</f>
        <v>show blot</v>
      </c>
      <c r="J2516" s="5" t="s">
        <v>5007</v>
      </c>
      <c r="L2516" s="11">
        <v>5.3227153422900937</v>
      </c>
      <c r="N2516" s="12"/>
    </row>
    <row r="2517" spans="1:14" s="5" customFormat="1" ht="15" customHeight="1" x14ac:dyDescent="0.25">
      <c r="A2517" s="9" t="s">
        <v>5008</v>
      </c>
      <c r="C2517" s="9" t="str">
        <f>HYPERLINK("http://www.ncbi.nlm.nih.gov/protein/125347376","Flna")</f>
        <v>Flna</v>
      </c>
      <c r="D2517" s="10">
        <f t="shared" si="39"/>
        <v>5.7541360342234178</v>
      </c>
      <c r="F2517" s="8" t="str">
        <f>HYPERLINK("https://esbl.nhlbi.nih.gov/Databases/mpkFractions/proteomic_fractions_log_files/Yang_log_img/125347376.jpg","show blot")</f>
        <v>show blot</v>
      </c>
      <c r="H2517" s="8" t="str">
        <f>HYPERLINK("https://esbl.nhlbi.nih.gov/Databases/mpkFractions/proteomic_fractions_linear_files/Yang_linear_img/125347376.jpg","show blot")</f>
        <v>show blot</v>
      </c>
      <c r="J2517" s="5" t="s">
        <v>5009</v>
      </c>
      <c r="L2517" s="11">
        <v>5.7541360342234178</v>
      </c>
      <c r="N2517" s="12"/>
    </row>
    <row r="2518" spans="1:14" s="5" customFormat="1" ht="15" customHeight="1" x14ac:dyDescent="0.25">
      <c r="A2518" s="9" t="s">
        <v>5010</v>
      </c>
      <c r="C2518" s="9" t="str">
        <f>HYPERLINK("http://www.ncbi.nlm.nih.gov/protein/145966915","Flnb")</f>
        <v>Flnb</v>
      </c>
      <c r="D2518" s="10">
        <f t="shared" si="39"/>
        <v>6.0823869335940204</v>
      </c>
      <c r="F2518" s="8" t="str">
        <f>HYPERLINK("https://esbl.nhlbi.nih.gov/Databases/mpkFractions/proteomic_fractions_log_files/Yang_log_img/145966915.jpg","show blot")</f>
        <v>show blot</v>
      </c>
      <c r="H2518" s="8" t="str">
        <f>HYPERLINK("https://esbl.nhlbi.nih.gov/Databases/mpkFractions/proteomic_fractions_linear_files/Yang_linear_img/145966915.jpg","show blot")</f>
        <v>show blot</v>
      </c>
      <c r="J2518" s="5" t="s">
        <v>5011</v>
      </c>
      <c r="L2518" s="11">
        <v>6.0823869335940204</v>
      </c>
      <c r="N2518" s="12"/>
    </row>
    <row r="2519" spans="1:14" s="5" customFormat="1" ht="15" customHeight="1" x14ac:dyDescent="0.25">
      <c r="A2519" s="9" t="s">
        <v>5012</v>
      </c>
      <c r="C2519" s="9" t="str">
        <f>HYPERLINK("http://www.ncbi.nlm.nih.gov/protein/124487139","Flnc")</f>
        <v>Flnc</v>
      </c>
      <c r="D2519" s="10">
        <f t="shared" si="39"/>
        <v>5.2442444224385563</v>
      </c>
      <c r="F2519" s="8" t="str">
        <f>HYPERLINK("https://esbl.nhlbi.nih.gov/Databases/mpkFractions/proteomic_fractions_log_files/Yang_log_img/124487139.jpg","show blot")</f>
        <v>show blot</v>
      </c>
      <c r="H2519" s="8" t="str">
        <f>HYPERLINK("https://esbl.nhlbi.nih.gov/Databases/mpkFractions/proteomic_fractions_linear_files/Yang_linear_img/124487139.jpg","show blot")</f>
        <v>show blot</v>
      </c>
      <c r="J2519" s="5" t="s">
        <v>5013</v>
      </c>
      <c r="L2519" s="11">
        <v>5.2442444224385563</v>
      </c>
      <c r="N2519" s="12"/>
    </row>
    <row r="2520" spans="1:14" s="5" customFormat="1" ht="15" customHeight="1" x14ac:dyDescent="0.25">
      <c r="A2520" s="9" t="s">
        <v>5014</v>
      </c>
      <c r="C2520" s="9" t="str">
        <f>HYPERLINK("http://www.ncbi.nlm.nih.gov/protein/6679809","Flot1")</f>
        <v>Flot1</v>
      </c>
      <c r="D2520" s="10">
        <f t="shared" si="39"/>
        <v>4.8344136801429967</v>
      </c>
      <c r="F2520" s="8" t="str">
        <f>HYPERLINK("https://esbl.nhlbi.nih.gov/Databases/mpkFractions/proteomic_fractions_log_files/Yang_log_img/6679809.jpg","show blot")</f>
        <v>show blot</v>
      </c>
      <c r="H2520" s="8" t="str">
        <f>HYPERLINK("https://esbl.nhlbi.nih.gov/Databases/mpkFractions/proteomic_fractions_linear_files/Yang_linear_img/6679809.jpg","show blot")</f>
        <v>show blot</v>
      </c>
      <c r="J2520" s="5" t="s">
        <v>5015</v>
      </c>
      <c r="L2520" s="11">
        <v>4.8344136801429967</v>
      </c>
      <c r="N2520" s="12"/>
    </row>
    <row r="2521" spans="1:14" s="5" customFormat="1" ht="15" customHeight="1" x14ac:dyDescent="0.25">
      <c r="A2521" s="9" t="s">
        <v>5016</v>
      </c>
      <c r="C2521" s="9" t="str">
        <f>HYPERLINK("http://www.ncbi.nlm.nih.gov/protein/6679811","Flot2")</f>
        <v>Flot2</v>
      </c>
      <c r="D2521" s="10">
        <f t="shared" si="39"/>
        <v>4.3986619110769416</v>
      </c>
      <c r="F2521" s="8" t="str">
        <f>HYPERLINK("https://esbl.nhlbi.nih.gov/Databases/mpkFractions/proteomic_fractions_log_files/Yang_log_img/6679811.jpg","show blot")</f>
        <v>show blot</v>
      </c>
      <c r="H2521" s="8" t="str">
        <f>HYPERLINK("https://esbl.nhlbi.nih.gov/Databases/mpkFractions/proteomic_fractions_linear_files/Yang_linear_img/6679811.jpg","show blot")</f>
        <v>show blot</v>
      </c>
      <c r="J2521" s="5" t="s">
        <v>5017</v>
      </c>
      <c r="L2521" s="11">
        <v>4.3986619110769416</v>
      </c>
      <c r="N2521" s="12"/>
    </row>
    <row r="2522" spans="1:14" s="5" customFormat="1" ht="15" customHeight="1" x14ac:dyDescent="0.25">
      <c r="A2522" s="9" t="s">
        <v>5018</v>
      </c>
      <c r="C2522" s="9" t="str">
        <f>HYPERLINK("http://www.ncbi.nlm.nih.gov/protein/94536791","Flot2")</f>
        <v>Flot2</v>
      </c>
      <c r="D2522" s="10">
        <f t="shared" si="39"/>
        <v>4.3986619110769416</v>
      </c>
      <c r="F2522" s="8" t="str">
        <f>HYPERLINK("https://esbl.nhlbi.nih.gov/Databases/mpkFractions/proteomic_fractions_log_files/Yang_log_img/94536791.jpg","show blot")</f>
        <v>show blot</v>
      </c>
      <c r="H2522" s="8" t="str">
        <f>HYPERLINK("https://esbl.nhlbi.nih.gov/Databases/mpkFractions/proteomic_fractions_linear_files/Yang_linear_img/94536791.jpg","show blot")</f>
        <v>show blot</v>
      </c>
      <c r="J2522" s="5" t="s">
        <v>5019</v>
      </c>
      <c r="L2522" s="11">
        <v>4.3986619110769416</v>
      </c>
      <c r="N2522" s="12"/>
    </row>
    <row r="2523" spans="1:14" s="5" customFormat="1" ht="15" customHeight="1" x14ac:dyDescent="0.25">
      <c r="A2523" s="9" t="s">
        <v>5020</v>
      </c>
      <c r="C2523" s="9" t="str">
        <f>HYPERLINK("http://www.ncbi.nlm.nih.gov/protein/34328180","Flt1")</f>
        <v>Flt1</v>
      </c>
      <c r="D2523" s="10">
        <f t="shared" si="39"/>
        <v>5.2084726593073407</v>
      </c>
      <c r="F2523" s="8" t="str">
        <f>HYPERLINK("https://esbl.nhlbi.nih.gov/Databases/mpkFractions/proteomic_fractions_log_files/Yang_log_img/34328180.jpg","show blot")</f>
        <v>show blot</v>
      </c>
      <c r="H2523" s="8" t="str">
        <f>HYPERLINK("https://esbl.nhlbi.nih.gov/Databases/mpkFractions/proteomic_fractions_linear_files/Yang_linear_img/34328180.jpg","show blot")</f>
        <v>show blot</v>
      </c>
      <c r="J2523" s="5" t="s">
        <v>5021</v>
      </c>
      <c r="L2523" s="11">
        <v>5.2084726593073407</v>
      </c>
      <c r="N2523" s="12"/>
    </row>
    <row r="2524" spans="1:14" s="5" customFormat="1" ht="15" customHeight="1" x14ac:dyDescent="0.25">
      <c r="A2524" s="9" t="s">
        <v>5022</v>
      </c>
      <c r="C2524" s="9" t="str">
        <f>HYPERLINK("http://www.ncbi.nlm.nih.gov/protein/122937353","Flt3")</f>
        <v>Flt3</v>
      </c>
      <c r="D2524" s="10">
        <f t="shared" si="39"/>
        <v>5.3373416895440728</v>
      </c>
      <c r="F2524" s="8" t="str">
        <f>HYPERLINK("https://esbl.nhlbi.nih.gov/Databases/mpkFractions/proteomic_fractions_log_files/Yang_log_img/122937353.jpg","show blot")</f>
        <v>show blot</v>
      </c>
      <c r="H2524" s="8" t="str">
        <f>HYPERLINK("https://esbl.nhlbi.nih.gov/Databases/mpkFractions/proteomic_fractions_linear_files/Yang_linear_img/122937353.jpg","show blot")</f>
        <v>show blot</v>
      </c>
      <c r="J2524" s="5" t="s">
        <v>5023</v>
      </c>
      <c r="L2524" s="11">
        <v>5.3373416895440728</v>
      </c>
      <c r="N2524" s="12"/>
    </row>
    <row r="2525" spans="1:14" s="5" customFormat="1" ht="15" customHeight="1" x14ac:dyDescent="0.25">
      <c r="A2525" s="9" t="s">
        <v>5024</v>
      </c>
      <c r="C2525" s="9" t="str">
        <f>HYPERLINK("http://www.ncbi.nlm.nih.gov/protein/6679813","Flt4")</f>
        <v>Flt4</v>
      </c>
      <c r="D2525" s="10">
        <f t="shared" si="39"/>
        <v>5.1997574274091276</v>
      </c>
      <c r="F2525" s="8" t="str">
        <f>HYPERLINK("https://esbl.nhlbi.nih.gov/Databases/mpkFractions/proteomic_fractions_log_files/Yang_log_img/6679813.jpg","show blot")</f>
        <v>show blot</v>
      </c>
      <c r="H2525" s="8" t="str">
        <f>HYPERLINK("https://esbl.nhlbi.nih.gov/Databases/mpkFractions/proteomic_fractions_linear_files/Yang_linear_img/6679813.jpg","show blot")</f>
        <v>show blot</v>
      </c>
      <c r="J2525" s="5" t="s">
        <v>5025</v>
      </c>
      <c r="L2525" s="11">
        <v>5.1997574274091276</v>
      </c>
      <c r="N2525" s="12"/>
    </row>
    <row r="2526" spans="1:14" s="5" customFormat="1" ht="15" customHeight="1" x14ac:dyDescent="0.25">
      <c r="A2526" s="9" t="s">
        <v>5026</v>
      </c>
      <c r="C2526" s="9" t="str">
        <f>HYPERLINK("http://www.ncbi.nlm.nih.gov/protein/21553307","Flywch2")</f>
        <v>Flywch2</v>
      </c>
      <c r="D2526" s="10">
        <f t="shared" si="39"/>
        <v>4.8283122779311638</v>
      </c>
      <c r="F2526" s="8" t="str">
        <f>HYPERLINK("https://esbl.nhlbi.nih.gov/Databases/mpkFractions/proteomic_fractions_log_files/Yang_log_img/21553307.jpg","show blot")</f>
        <v>show blot</v>
      </c>
      <c r="H2526" s="8" t="str">
        <f>HYPERLINK("https://esbl.nhlbi.nih.gov/Databases/mpkFractions/proteomic_fractions_linear_files/Yang_linear_img/21553307.jpg","show blot")</f>
        <v>show blot</v>
      </c>
      <c r="J2526" s="5" t="s">
        <v>5027</v>
      </c>
      <c r="L2526" s="11">
        <v>4.8283122779311638</v>
      </c>
      <c r="N2526" s="12"/>
    </row>
    <row r="2527" spans="1:14" s="5" customFormat="1" ht="15" customHeight="1" x14ac:dyDescent="0.25">
      <c r="A2527" s="9" t="s">
        <v>5028</v>
      </c>
      <c r="C2527" s="9" t="str">
        <f>HYPERLINK("http://www.ncbi.nlm.nih.gov/protein/112807205","Fmn1")</f>
        <v>Fmn1</v>
      </c>
      <c r="D2527" s="10">
        <f t="shared" si="39"/>
        <v>3.9810612743828391</v>
      </c>
      <c r="F2527" s="8" t="str">
        <f>HYPERLINK("https://esbl.nhlbi.nih.gov/Databases/mpkFractions/proteomic_fractions_log_files/Yang_log_img/112807205.jpg","show blot")</f>
        <v>show blot</v>
      </c>
      <c r="H2527" s="8" t="str">
        <f>HYPERLINK("https://esbl.nhlbi.nih.gov/Databases/mpkFractions/proteomic_fractions_linear_files/Yang_linear_img/112807205.jpg","show blot")</f>
        <v>show blot</v>
      </c>
      <c r="J2527" s="5" t="s">
        <v>5029</v>
      </c>
      <c r="L2527" s="11">
        <v>3.9810612743828391</v>
      </c>
      <c r="N2527" s="12"/>
    </row>
    <row r="2528" spans="1:14" s="5" customFormat="1" ht="15" customHeight="1" x14ac:dyDescent="0.25">
      <c r="A2528" s="9" t="s">
        <v>5030</v>
      </c>
      <c r="C2528" s="9" t="str">
        <f>HYPERLINK("http://www.ncbi.nlm.nih.gov/protein/112807211","Fmn1")</f>
        <v>Fmn1</v>
      </c>
      <c r="D2528" s="10">
        <f t="shared" si="39"/>
        <v>3.9810612743828391</v>
      </c>
      <c r="F2528" s="8" t="str">
        <f>HYPERLINK("https://esbl.nhlbi.nih.gov/Databases/mpkFractions/proteomic_fractions_log_files/Yang_log_img/112807211.jpg","show blot")</f>
        <v>show blot</v>
      </c>
      <c r="H2528" s="8" t="str">
        <f>HYPERLINK("https://esbl.nhlbi.nih.gov/Databases/mpkFractions/proteomic_fractions_linear_files/Yang_linear_img/112807211.jpg","show blot")</f>
        <v>show blot</v>
      </c>
      <c r="J2528" s="5" t="s">
        <v>5031</v>
      </c>
      <c r="L2528" s="11">
        <v>3.9810612743828391</v>
      </c>
      <c r="N2528" s="12"/>
    </row>
    <row r="2529" spans="1:14" s="5" customFormat="1" ht="15" customHeight="1" x14ac:dyDescent="0.25">
      <c r="A2529" s="9" t="s">
        <v>5032</v>
      </c>
      <c r="C2529" s="9" t="str">
        <f>HYPERLINK("http://www.ncbi.nlm.nih.gov/protein/118136288","Fmnl1")</f>
        <v>Fmnl1</v>
      </c>
      <c r="D2529" s="10">
        <f t="shared" si="39"/>
        <v>3.5738943775920249</v>
      </c>
      <c r="F2529" s="8" t="str">
        <f>HYPERLINK("https://esbl.nhlbi.nih.gov/Databases/mpkFractions/proteomic_fractions_log_files/Yang_log_img/118136288.jpg","show blot")</f>
        <v>show blot</v>
      </c>
      <c r="H2529" s="8" t="str">
        <f>HYPERLINK("https://esbl.nhlbi.nih.gov/Databases/mpkFractions/proteomic_fractions_linear_files/Yang_linear_img/118136288.jpg","show blot")</f>
        <v>show blot</v>
      </c>
      <c r="J2529" s="5" t="s">
        <v>5033</v>
      </c>
      <c r="L2529" s="11">
        <v>3.5738943775920249</v>
      </c>
      <c r="N2529" s="12"/>
    </row>
    <row r="2530" spans="1:14" s="5" customFormat="1" ht="15" customHeight="1" x14ac:dyDescent="0.25">
      <c r="A2530" s="9" t="s">
        <v>5034</v>
      </c>
      <c r="C2530" s="9" t="str">
        <f>HYPERLINK("http://www.ncbi.nlm.nih.gov/protein/118136290","Fmnl1")</f>
        <v>Fmnl1</v>
      </c>
      <c r="D2530" s="10">
        <f t="shared" si="39"/>
        <v>3.5738943775920249</v>
      </c>
      <c r="F2530" s="8" t="str">
        <f>HYPERLINK("https://esbl.nhlbi.nih.gov/Databases/mpkFractions/proteomic_fractions_log_files/Yang_log_img/118136290.jpg","show blot")</f>
        <v>show blot</v>
      </c>
      <c r="H2530" s="8" t="str">
        <f>HYPERLINK("https://esbl.nhlbi.nih.gov/Databases/mpkFractions/proteomic_fractions_linear_files/Yang_linear_img/118136290.jpg","show blot")</f>
        <v>show blot</v>
      </c>
      <c r="J2530" s="5" t="s">
        <v>5035</v>
      </c>
      <c r="L2530" s="11">
        <v>3.5738943775920249</v>
      </c>
      <c r="N2530" s="12"/>
    </row>
    <row r="2531" spans="1:14" s="5" customFormat="1" ht="15" customHeight="1" x14ac:dyDescent="0.25">
      <c r="A2531" s="9" t="s">
        <v>5036</v>
      </c>
      <c r="C2531" s="9" t="str">
        <f>HYPERLINK("http://www.ncbi.nlm.nih.gov/protein/124378048","Fmnl2")</f>
        <v>Fmnl2</v>
      </c>
      <c r="D2531" s="10">
        <f t="shared" si="39"/>
        <v>4.9243851224177657</v>
      </c>
      <c r="F2531" s="8" t="str">
        <f>HYPERLINK("https://esbl.nhlbi.nih.gov/Databases/mpkFractions/proteomic_fractions_log_files/Yang_log_img/124378048.jpg","show blot")</f>
        <v>show blot</v>
      </c>
      <c r="H2531" s="8" t="str">
        <f>HYPERLINK("https://esbl.nhlbi.nih.gov/Databases/mpkFractions/proteomic_fractions_linear_files/Yang_linear_img/124378048.jpg","show blot")</f>
        <v>show blot</v>
      </c>
      <c r="J2531" s="5" t="s">
        <v>5037</v>
      </c>
      <c r="L2531" s="11">
        <v>4.9243851224177657</v>
      </c>
      <c r="N2531" s="12"/>
    </row>
    <row r="2532" spans="1:14" s="5" customFormat="1" ht="15" customHeight="1" x14ac:dyDescent="0.25">
      <c r="A2532" s="9" t="s">
        <v>5038</v>
      </c>
      <c r="C2532" s="9" t="str">
        <f>HYPERLINK("http://www.ncbi.nlm.nih.gov/protein/38708163","Fmnl3")</f>
        <v>Fmnl3</v>
      </c>
      <c r="D2532" s="10">
        <f t="shared" si="39"/>
        <v>5.1293596241274253</v>
      </c>
      <c r="F2532" s="8" t="str">
        <f>HYPERLINK("https://esbl.nhlbi.nih.gov/Databases/mpkFractions/proteomic_fractions_log_files/Yang_log_img/38708163.jpg","show blot")</f>
        <v>show blot</v>
      </c>
      <c r="H2532" s="8" t="str">
        <f>HYPERLINK("https://esbl.nhlbi.nih.gov/Databases/mpkFractions/proteomic_fractions_linear_files/Yang_linear_img/38708163.jpg","show blot")</f>
        <v>show blot</v>
      </c>
      <c r="J2532" s="5" t="s">
        <v>5039</v>
      </c>
      <c r="L2532" s="11">
        <v>5.1293596241274253</v>
      </c>
      <c r="N2532" s="12"/>
    </row>
    <row r="2533" spans="1:14" s="5" customFormat="1" ht="15" customHeight="1" x14ac:dyDescent="0.25">
      <c r="A2533" s="9" t="s">
        <v>5040</v>
      </c>
      <c r="C2533" s="9" t="str">
        <f>HYPERLINK("http://www.ncbi.nlm.nih.gov/protein/31542819","Fmo2")</f>
        <v>Fmo2</v>
      </c>
      <c r="D2533" s="10">
        <f t="shared" si="39"/>
        <v>3.8757300445482241</v>
      </c>
      <c r="F2533" s="8" t="str">
        <f>HYPERLINK("https://esbl.nhlbi.nih.gov/Databases/mpkFractions/proteomic_fractions_log_files/Yang_log_img/31542819.jpg","show blot")</f>
        <v>show blot</v>
      </c>
      <c r="H2533" s="8" t="str">
        <f>HYPERLINK("https://esbl.nhlbi.nih.gov/Databases/mpkFractions/proteomic_fractions_linear_files/Yang_linear_img/31542819.jpg","show blot")</f>
        <v>show blot</v>
      </c>
      <c r="J2533" s="5" t="s">
        <v>5041</v>
      </c>
      <c r="L2533" s="11">
        <v>3.8757300445482241</v>
      </c>
      <c r="N2533" s="12"/>
    </row>
    <row r="2534" spans="1:14" s="5" customFormat="1" ht="15" customHeight="1" x14ac:dyDescent="0.25">
      <c r="A2534" s="9" t="s">
        <v>5042</v>
      </c>
      <c r="C2534" s="9" t="str">
        <f>HYPERLINK("http://www.ncbi.nlm.nih.gov/protein/51036613","Fmr1")</f>
        <v>Fmr1</v>
      </c>
      <c r="D2534" s="10">
        <f t="shared" si="39"/>
        <v>5.2185493038920407</v>
      </c>
      <c r="F2534" s="8" t="str">
        <f>HYPERLINK("https://esbl.nhlbi.nih.gov/Databases/mpkFractions/proteomic_fractions_log_files/Yang_log_img/51036613.jpg","show blot")</f>
        <v>show blot</v>
      </c>
      <c r="H2534" s="8" t="str">
        <f>HYPERLINK("https://esbl.nhlbi.nih.gov/Databases/mpkFractions/proteomic_fractions_linear_files/Yang_linear_img/51036613.jpg","show blot")</f>
        <v>show blot</v>
      </c>
      <c r="J2534" s="5" t="s">
        <v>5043</v>
      </c>
      <c r="L2534" s="11">
        <v>5.2185493038920407</v>
      </c>
      <c r="N2534" s="12"/>
    </row>
    <row r="2535" spans="1:14" s="5" customFormat="1" ht="15" customHeight="1" x14ac:dyDescent="0.25">
      <c r="A2535" s="9" t="s">
        <v>5044</v>
      </c>
      <c r="C2535" s="9" t="str">
        <f>HYPERLINK("http://www.ncbi.nlm.nih.gov/protein/449083336","Fn1")</f>
        <v>Fn1</v>
      </c>
      <c r="D2535" s="10">
        <f t="shared" si="39"/>
        <v>2.4137828884324719</v>
      </c>
      <c r="F2535" s="8" t="str">
        <f>HYPERLINK("https://esbl.nhlbi.nih.gov/Databases/mpkFractions/proteomic_fractions_log_files/Yang_log_img/449083336.jpg","show blot")</f>
        <v>show blot</v>
      </c>
      <c r="H2535" s="8" t="str">
        <f>HYPERLINK("https://esbl.nhlbi.nih.gov/Databases/mpkFractions/proteomic_fractions_linear_files/Yang_linear_img/449083336.jpg","show blot")</f>
        <v>show blot</v>
      </c>
      <c r="J2535" s="5" t="s">
        <v>5045</v>
      </c>
      <c r="L2535" s="11">
        <v>2.4137828884324719</v>
      </c>
      <c r="N2535" s="12"/>
    </row>
    <row r="2536" spans="1:14" s="5" customFormat="1" ht="15" customHeight="1" x14ac:dyDescent="0.25">
      <c r="A2536" s="9" t="s">
        <v>5046</v>
      </c>
      <c r="C2536" s="9" t="str">
        <f>HYPERLINK("http://www.ncbi.nlm.nih.gov/protein/449083339","Fn1")</f>
        <v>Fn1</v>
      </c>
      <c r="D2536" s="10">
        <f t="shared" si="39"/>
        <v>2.4137828884324719</v>
      </c>
      <c r="F2536" s="8" t="str">
        <f>HYPERLINK("https://esbl.nhlbi.nih.gov/Databases/mpkFractions/proteomic_fractions_log_files/Yang_log_img/449083339.jpg","show blot")</f>
        <v>show blot</v>
      </c>
      <c r="H2536" s="8" t="str">
        <f>HYPERLINK("https://esbl.nhlbi.nih.gov/Databases/mpkFractions/proteomic_fractions_linear_files/Yang_linear_img/449083339.jpg","show blot")</f>
        <v>show blot</v>
      </c>
      <c r="J2536" s="5" t="s">
        <v>5047</v>
      </c>
      <c r="L2536" s="11">
        <v>2.4137828884324719</v>
      </c>
      <c r="N2536" s="12"/>
    </row>
    <row r="2537" spans="1:14" s="5" customFormat="1" ht="15" customHeight="1" x14ac:dyDescent="0.25">
      <c r="A2537" s="9" t="s">
        <v>5048</v>
      </c>
      <c r="C2537" s="9" t="str">
        <f>HYPERLINK("http://www.ncbi.nlm.nih.gov/protein/449083341","Fn1")</f>
        <v>Fn1</v>
      </c>
      <c r="D2537" s="10">
        <f t="shared" si="39"/>
        <v>2.4137828884324719</v>
      </c>
      <c r="F2537" s="8" t="str">
        <f>HYPERLINK("https://esbl.nhlbi.nih.gov/Databases/mpkFractions/proteomic_fractions_log_files/Yang_log_img/449083341.jpg","show blot")</f>
        <v>show blot</v>
      </c>
      <c r="H2537" s="8" t="str">
        <f>HYPERLINK("https://esbl.nhlbi.nih.gov/Databases/mpkFractions/proteomic_fractions_linear_files/Yang_linear_img/449083341.jpg","show blot")</f>
        <v>show blot</v>
      </c>
      <c r="J2537" s="5" t="s">
        <v>5049</v>
      </c>
      <c r="L2537" s="11">
        <v>2.4137828884324719</v>
      </c>
      <c r="N2537" s="12"/>
    </row>
    <row r="2538" spans="1:14" s="5" customFormat="1" ht="15" customHeight="1" x14ac:dyDescent="0.25">
      <c r="A2538" s="9" t="s">
        <v>5050</v>
      </c>
      <c r="C2538" s="9" t="str">
        <f>HYPERLINK("http://www.ncbi.nlm.nih.gov/protein/449083343","Fn1")</f>
        <v>Fn1</v>
      </c>
      <c r="D2538" s="10">
        <f t="shared" si="39"/>
        <v>2.4137828884324719</v>
      </c>
      <c r="F2538" s="8" t="str">
        <f>HYPERLINK("https://esbl.nhlbi.nih.gov/Databases/mpkFractions/proteomic_fractions_log_files/Yang_log_img/449083343.jpg","show blot")</f>
        <v>show blot</v>
      </c>
      <c r="H2538" s="8" t="str">
        <f>HYPERLINK("https://esbl.nhlbi.nih.gov/Databases/mpkFractions/proteomic_fractions_linear_files/Yang_linear_img/449083343.jpg","show blot")</f>
        <v>show blot</v>
      </c>
      <c r="J2538" s="5" t="s">
        <v>5051</v>
      </c>
      <c r="L2538" s="11">
        <v>2.4137828884324719</v>
      </c>
      <c r="N2538" s="12"/>
    </row>
    <row r="2539" spans="1:14" s="5" customFormat="1" ht="15" customHeight="1" x14ac:dyDescent="0.25">
      <c r="A2539" s="9" t="s">
        <v>5052</v>
      </c>
      <c r="C2539" s="9" t="str">
        <f>HYPERLINK("http://www.ncbi.nlm.nih.gov/protein/449083345","Fn1")</f>
        <v>Fn1</v>
      </c>
      <c r="D2539" s="10">
        <f t="shared" si="39"/>
        <v>2.4137828884324719</v>
      </c>
      <c r="F2539" s="8" t="str">
        <f>HYPERLINK("https://esbl.nhlbi.nih.gov/Databases/mpkFractions/proteomic_fractions_log_files/Yang_log_img/449083345.jpg","show blot")</f>
        <v>show blot</v>
      </c>
      <c r="H2539" s="8" t="str">
        <f>HYPERLINK("https://esbl.nhlbi.nih.gov/Databases/mpkFractions/proteomic_fractions_linear_files/Yang_linear_img/449083345.jpg","show blot")</f>
        <v>show blot</v>
      </c>
      <c r="J2539" s="5" t="s">
        <v>5053</v>
      </c>
      <c r="L2539" s="11">
        <v>2.4137828884324719</v>
      </c>
      <c r="N2539" s="12"/>
    </row>
    <row r="2540" spans="1:14" s="5" customFormat="1" ht="15" customHeight="1" x14ac:dyDescent="0.25">
      <c r="A2540" s="9" t="s">
        <v>5054</v>
      </c>
      <c r="C2540" s="9" t="str">
        <f>HYPERLINK("http://www.ncbi.nlm.nih.gov/protein/449083347","Fn1")</f>
        <v>Fn1</v>
      </c>
      <c r="D2540" s="10">
        <f t="shared" si="39"/>
        <v>2.4137828884324719</v>
      </c>
      <c r="F2540" s="8" t="str">
        <f>HYPERLINK("https://esbl.nhlbi.nih.gov/Databases/mpkFractions/proteomic_fractions_log_files/Yang_log_img/449083347.jpg","show blot")</f>
        <v>show blot</v>
      </c>
      <c r="H2540" s="8" t="str">
        <f>HYPERLINK("https://esbl.nhlbi.nih.gov/Databases/mpkFractions/proteomic_fractions_linear_files/Yang_linear_img/449083347.jpg","show blot")</f>
        <v>show blot</v>
      </c>
      <c r="J2540" s="5" t="s">
        <v>5055</v>
      </c>
      <c r="L2540" s="11">
        <v>2.4137828884324719</v>
      </c>
      <c r="N2540" s="12"/>
    </row>
    <row r="2541" spans="1:14" s="5" customFormat="1" ht="15" customHeight="1" x14ac:dyDescent="0.25">
      <c r="A2541" s="9" t="s">
        <v>5056</v>
      </c>
      <c r="C2541" s="9" t="str">
        <f>HYPERLINK("http://www.ncbi.nlm.nih.gov/protein/46849812","Fn1")</f>
        <v>Fn1</v>
      </c>
      <c r="D2541" s="10">
        <f t="shared" si="39"/>
        <v>2.4137828884324719</v>
      </c>
      <c r="F2541" s="8" t="str">
        <f>HYPERLINK("https://esbl.nhlbi.nih.gov/Databases/mpkFractions/proteomic_fractions_log_files/Yang_log_img/46849812.jpg","show blot")</f>
        <v>show blot</v>
      </c>
      <c r="H2541" s="8" t="str">
        <f>HYPERLINK("https://esbl.nhlbi.nih.gov/Databases/mpkFractions/proteomic_fractions_linear_files/Yang_linear_img/46849812.jpg","show blot")</f>
        <v>show blot</v>
      </c>
      <c r="J2541" s="5" t="s">
        <v>5057</v>
      </c>
      <c r="L2541" s="11">
        <v>2.4137828884324719</v>
      </c>
      <c r="N2541" s="12"/>
    </row>
    <row r="2542" spans="1:14" s="5" customFormat="1" ht="15" customHeight="1" x14ac:dyDescent="0.25">
      <c r="A2542" s="9" t="s">
        <v>5058</v>
      </c>
      <c r="C2542" s="9" t="str">
        <f>HYPERLINK("http://www.ncbi.nlm.nih.gov/protein/11528496","Fn3k")</f>
        <v>Fn3k</v>
      </c>
      <c r="D2542" s="10">
        <f t="shared" si="39"/>
        <v>2.4978985045819728</v>
      </c>
      <c r="F2542" s="8" t="str">
        <f>HYPERLINK("https://esbl.nhlbi.nih.gov/Databases/mpkFractions/proteomic_fractions_log_files/Yang_log_img/11528496.jpg","show blot")</f>
        <v>show blot</v>
      </c>
      <c r="H2542" s="8" t="str">
        <f>HYPERLINK("https://esbl.nhlbi.nih.gov/Databases/mpkFractions/proteomic_fractions_linear_files/Yang_linear_img/11528496.jpg","show blot")</f>
        <v>show blot</v>
      </c>
      <c r="J2542" s="5" t="s">
        <v>5059</v>
      </c>
      <c r="L2542" s="11">
        <v>2.4978985045819728</v>
      </c>
      <c r="N2542" s="12"/>
    </row>
    <row r="2543" spans="1:14" s="5" customFormat="1" ht="15" customHeight="1" x14ac:dyDescent="0.25">
      <c r="A2543" s="9" t="s">
        <v>5060</v>
      </c>
      <c r="C2543" s="9" t="str">
        <f>HYPERLINK("http://www.ncbi.nlm.nih.gov/protein/84662727","Fn3k")</f>
        <v>Fn3k</v>
      </c>
      <c r="D2543" s="10">
        <f t="shared" si="39"/>
        <v>2.4978985045819728</v>
      </c>
      <c r="F2543" s="8" t="str">
        <f>HYPERLINK("https://esbl.nhlbi.nih.gov/Databases/mpkFractions/proteomic_fractions_log_files/Yang_log_img/84662727.jpg","show blot")</f>
        <v>show blot</v>
      </c>
      <c r="H2543" s="8" t="str">
        <f>HYPERLINK("https://esbl.nhlbi.nih.gov/Databases/mpkFractions/proteomic_fractions_linear_files/Yang_linear_img/84662727.jpg","show blot")</f>
        <v>show blot</v>
      </c>
      <c r="J2543" s="5" t="s">
        <v>5061</v>
      </c>
      <c r="L2543" s="11">
        <v>2.4978985045819728</v>
      </c>
      <c r="N2543" s="12"/>
    </row>
    <row r="2544" spans="1:14" s="5" customFormat="1" ht="15" customHeight="1" x14ac:dyDescent="0.25">
      <c r="A2544" s="9" t="s">
        <v>5062</v>
      </c>
      <c r="C2544" s="9" t="str">
        <f>HYPERLINK("http://www.ncbi.nlm.nih.gov/protein/253970463","Fn3krp")</f>
        <v>Fn3krp</v>
      </c>
      <c r="D2544" s="10">
        <f t="shared" si="39"/>
        <v>4.0610771150942089</v>
      </c>
      <c r="F2544" s="8" t="str">
        <f>HYPERLINK("https://esbl.nhlbi.nih.gov/Databases/mpkFractions/proteomic_fractions_log_files/Yang_log_img/253970463.jpg","show blot")</f>
        <v>show blot</v>
      </c>
      <c r="H2544" s="8" t="str">
        <f>HYPERLINK("https://esbl.nhlbi.nih.gov/Databases/mpkFractions/proteomic_fractions_linear_files/Yang_linear_img/253970463.jpg","show blot")</f>
        <v>show blot</v>
      </c>
      <c r="J2544" s="5" t="s">
        <v>5063</v>
      </c>
      <c r="L2544" s="11">
        <v>4.0610771150942089</v>
      </c>
      <c r="N2544" s="12"/>
    </row>
    <row r="2545" spans="1:14" s="5" customFormat="1" ht="15" customHeight="1" x14ac:dyDescent="0.25">
      <c r="A2545" s="9" t="s">
        <v>5064</v>
      </c>
      <c r="C2545" s="9" t="str">
        <f>HYPERLINK("http://www.ncbi.nlm.nih.gov/protein/294997322","Fnbp1")</f>
        <v>Fnbp1</v>
      </c>
      <c r="D2545" s="10">
        <f t="shared" si="39"/>
        <v>3.3340587862058721</v>
      </c>
      <c r="F2545" s="8" t="str">
        <f>HYPERLINK("https://esbl.nhlbi.nih.gov/Databases/mpkFractions/proteomic_fractions_log_files/Yang_log_img/294997322.jpg","show blot")</f>
        <v>show blot</v>
      </c>
      <c r="H2545" s="8" t="str">
        <f>HYPERLINK("https://esbl.nhlbi.nih.gov/Databases/mpkFractions/proteomic_fractions_linear_files/Yang_linear_img/294997322.jpg","show blot")</f>
        <v>show blot</v>
      </c>
      <c r="J2545" s="5" t="s">
        <v>5065</v>
      </c>
      <c r="L2545" s="11">
        <v>3.3340587862058721</v>
      </c>
      <c r="N2545" s="12"/>
    </row>
    <row r="2546" spans="1:14" s="5" customFormat="1" ht="15" customHeight="1" x14ac:dyDescent="0.25">
      <c r="A2546" s="9" t="s">
        <v>5066</v>
      </c>
      <c r="C2546" s="9" t="str">
        <f>HYPERLINK("http://www.ncbi.nlm.nih.gov/protein/294997326","Fnbp1")</f>
        <v>Fnbp1</v>
      </c>
      <c r="D2546" s="10">
        <f t="shared" si="39"/>
        <v>3.3340587862058721</v>
      </c>
      <c r="F2546" s="8" t="str">
        <f>HYPERLINK("https://esbl.nhlbi.nih.gov/Databases/mpkFractions/proteomic_fractions_log_files/Yang_log_img/294997326.jpg","show blot")</f>
        <v>show blot</v>
      </c>
      <c r="H2546" s="8" t="str">
        <f>HYPERLINK("https://esbl.nhlbi.nih.gov/Databases/mpkFractions/proteomic_fractions_linear_files/Yang_linear_img/294997326.jpg","show blot")</f>
        <v>show blot</v>
      </c>
      <c r="J2546" s="5" t="s">
        <v>5067</v>
      </c>
      <c r="L2546" s="11">
        <v>3.3340587862058721</v>
      </c>
      <c r="N2546" s="12"/>
    </row>
    <row r="2547" spans="1:14" s="5" customFormat="1" ht="15" customHeight="1" x14ac:dyDescent="0.25">
      <c r="A2547" s="9" t="s">
        <v>5068</v>
      </c>
      <c r="C2547" s="9" t="str">
        <f>HYPERLINK("http://www.ncbi.nlm.nih.gov/protein/294997328","Fnbp1")</f>
        <v>Fnbp1</v>
      </c>
      <c r="D2547" s="10">
        <f t="shared" si="39"/>
        <v>3.3340587862058721</v>
      </c>
      <c r="F2547" s="8" t="str">
        <f>HYPERLINK("https://esbl.nhlbi.nih.gov/Databases/mpkFractions/proteomic_fractions_log_files/Yang_log_img/294997328.jpg","show blot")</f>
        <v>show blot</v>
      </c>
      <c r="H2547" s="8" t="str">
        <f>HYPERLINK("https://esbl.nhlbi.nih.gov/Databases/mpkFractions/proteomic_fractions_linear_files/Yang_linear_img/294997328.jpg","show blot")</f>
        <v>show blot</v>
      </c>
      <c r="J2547" s="5" t="s">
        <v>5069</v>
      </c>
      <c r="L2547" s="11">
        <v>3.3340587862058721</v>
      </c>
      <c r="N2547" s="12"/>
    </row>
    <row r="2548" spans="1:14" s="5" customFormat="1" ht="15" customHeight="1" x14ac:dyDescent="0.25">
      <c r="A2548" s="9" t="s">
        <v>5070</v>
      </c>
      <c r="C2548" s="9" t="str">
        <f>HYPERLINK("http://www.ncbi.nlm.nih.gov/protein/84662770","Fnbp1")</f>
        <v>Fnbp1</v>
      </c>
      <c r="D2548" s="10">
        <f t="shared" si="39"/>
        <v>3.3340587862058721</v>
      </c>
      <c r="F2548" s="8" t="str">
        <f>HYPERLINK("https://esbl.nhlbi.nih.gov/Databases/mpkFractions/proteomic_fractions_log_files/Yang_log_img/84662770.jpg","show blot")</f>
        <v>show blot</v>
      </c>
      <c r="H2548" s="8" t="str">
        <f>HYPERLINK("https://esbl.nhlbi.nih.gov/Databases/mpkFractions/proteomic_fractions_linear_files/Yang_linear_img/84662770.jpg","show blot")</f>
        <v>show blot</v>
      </c>
      <c r="J2548" s="5" t="s">
        <v>5071</v>
      </c>
      <c r="L2548" s="11">
        <v>3.3340587862058721</v>
      </c>
      <c r="N2548" s="12"/>
    </row>
    <row r="2549" spans="1:14" s="5" customFormat="1" ht="15" customHeight="1" x14ac:dyDescent="0.25">
      <c r="A2549" s="9" t="s">
        <v>5072</v>
      </c>
      <c r="C2549" s="9" t="str">
        <f>HYPERLINK("http://www.ncbi.nlm.nih.gov/protein/167900464","Fnbp1l")</f>
        <v>Fnbp1l</v>
      </c>
      <c r="D2549" s="10">
        <f t="shared" si="39"/>
        <v>4.6767102248417602</v>
      </c>
      <c r="F2549" s="8" t="str">
        <f>HYPERLINK("https://esbl.nhlbi.nih.gov/Databases/mpkFractions/proteomic_fractions_log_files/Yang_log_img/167900464.jpg","show blot")</f>
        <v>show blot</v>
      </c>
      <c r="H2549" s="8" t="str">
        <f>HYPERLINK("https://esbl.nhlbi.nih.gov/Databases/mpkFractions/proteomic_fractions_linear_files/Yang_linear_img/167900464.jpg","show blot")</f>
        <v>show blot</v>
      </c>
      <c r="J2549" s="5" t="s">
        <v>5073</v>
      </c>
      <c r="L2549" s="11">
        <v>4.6767102248417602</v>
      </c>
      <c r="N2549" s="12"/>
    </row>
    <row r="2550" spans="1:14" s="5" customFormat="1" ht="15" customHeight="1" x14ac:dyDescent="0.25">
      <c r="A2550" s="9" t="s">
        <v>5074</v>
      </c>
      <c r="C2550" s="9" t="str">
        <f>HYPERLINK("http://www.ncbi.nlm.nih.gov/protein/167900466","Fnbp1l")</f>
        <v>Fnbp1l</v>
      </c>
      <c r="D2550" s="10">
        <f t="shared" si="39"/>
        <v>4.6767102248417602</v>
      </c>
      <c r="F2550" s="8" t="str">
        <f>HYPERLINK("https://esbl.nhlbi.nih.gov/Databases/mpkFractions/proteomic_fractions_log_files/Yang_log_img/167900466.jpg","show blot")</f>
        <v>show blot</v>
      </c>
      <c r="H2550" s="8" t="str">
        <f>HYPERLINK("https://esbl.nhlbi.nih.gov/Databases/mpkFractions/proteomic_fractions_linear_files/Yang_linear_img/167900466.jpg","show blot")</f>
        <v>show blot</v>
      </c>
      <c r="J2550" s="5" t="s">
        <v>5075</v>
      </c>
      <c r="L2550" s="11">
        <v>4.6767102248417602</v>
      </c>
      <c r="N2550" s="12"/>
    </row>
    <row r="2551" spans="1:14" s="5" customFormat="1" ht="15" customHeight="1" x14ac:dyDescent="0.25">
      <c r="A2551" s="9" t="s">
        <v>5076</v>
      </c>
      <c r="C2551" s="9" t="str">
        <f>HYPERLINK("http://www.ncbi.nlm.nih.gov/protein/9055220","Fnbp4")</f>
        <v>Fnbp4</v>
      </c>
      <c r="D2551" s="10">
        <f t="shared" si="39"/>
        <v>2.8100174724115661</v>
      </c>
      <c r="F2551" s="8" t="str">
        <f>HYPERLINK("https://esbl.nhlbi.nih.gov/Databases/mpkFractions/proteomic_fractions_log_files/Yang_log_img/9055220.jpg","show blot")</f>
        <v>show blot</v>
      </c>
      <c r="H2551" s="8" t="str">
        <f>HYPERLINK("https://esbl.nhlbi.nih.gov/Databases/mpkFractions/proteomic_fractions_linear_files/Yang_linear_img/9055220.jpg","show blot")</f>
        <v>show blot</v>
      </c>
      <c r="J2551" s="5" t="s">
        <v>5077</v>
      </c>
      <c r="L2551" s="11">
        <v>2.8100174724115661</v>
      </c>
      <c r="N2551" s="12"/>
    </row>
    <row r="2552" spans="1:14" s="5" customFormat="1" ht="15" customHeight="1" x14ac:dyDescent="0.25">
      <c r="A2552" s="9" t="s">
        <v>5078</v>
      </c>
      <c r="C2552" s="9" t="str">
        <f>HYPERLINK("http://www.ncbi.nlm.nih.gov/protein/170932548","Fndc3b")</f>
        <v>Fndc3b</v>
      </c>
      <c r="D2552" s="10">
        <f t="shared" si="39"/>
        <v>2.7785178872448868</v>
      </c>
      <c r="F2552" s="8" t="str">
        <f>HYPERLINK("https://esbl.nhlbi.nih.gov/Databases/mpkFractions/proteomic_fractions_log_files/Yang_log_img/170932548.jpg","show blot")</f>
        <v>show blot</v>
      </c>
      <c r="H2552" s="8" t="str">
        <f>HYPERLINK("https://esbl.nhlbi.nih.gov/Databases/mpkFractions/proteomic_fractions_linear_files/Yang_linear_img/170932548.jpg","show blot")</f>
        <v>show blot</v>
      </c>
      <c r="J2552" s="5" t="s">
        <v>5079</v>
      </c>
      <c r="L2552" s="11">
        <v>2.7785178872448868</v>
      </c>
      <c r="N2552" s="12"/>
    </row>
    <row r="2553" spans="1:14" s="5" customFormat="1" ht="15" customHeight="1" x14ac:dyDescent="0.25">
      <c r="A2553" s="9" t="s">
        <v>5080</v>
      </c>
      <c r="C2553" s="9" t="str">
        <f>HYPERLINK("http://www.ncbi.nlm.nih.gov/protein/6679821","Fnta")</f>
        <v>Fnta</v>
      </c>
      <c r="D2553" s="10">
        <f t="shared" si="39"/>
        <v>4.8624634220892311</v>
      </c>
      <c r="F2553" s="8" t="str">
        <f>HYPERLINK("https://esbl.nhlbi.nih.gov/Databases/mpkFractions/proteomic_fractions_log_files/Yang_log_img/6679821.jpg","show blot")</f>
        <v>show blot</v>
      </c>
      <c r="H2553" s="8" t="str">
        <f>HYPERLINK("https://esbl.nhlbi.nih.gov/Databases/mpkFractions/proteomic_fractions_linear_files/Yang_linear_img/6679821.jpg","show blot")</f>
        <v>show blot</v>
      </c>
      <c r="J2553" s="5" t="s">
        <v>5081</v>
      </c>
      <c r="L2553" s="11">
        <v>4.8624634220892311</v>
      </c>
      <c r="N2553" s="12"/>
    </row>
    <row r="2554" spans="1:14" s="5" customFormat="1" ht="15" customHeight="1" x14ac:dyDescent="0.25">
      <c r="A2554" s="9" t="s">
        <v>5082</v>
      </c>
      <c r="C2554" s="9" t="str">
        <f>HYPERLINK("http://www.ncbi.nlm.nih.gov/protein/22122343","Fntb")</f>
        <v>Fntb</v>
      </c>
      <c r="D2554" s="10">
        <f t="shared" si="39"/>
        <v>4.9412564712023324</v>
      </c>
      <c r="F2554" s="8" t="str">
        <f>HYPERLINK("https://esbl.nhlbi.nih.gov/Databases/mpkFractions/proteomic_fractions_log_files/Yang_log_img/22122343.jpg","show blot")</f>
        <v>show blot</v>
      </c>
      <c r="H2554" s="8" t="str">
        <f>HYPERLINK("https://esbl.nhlbi.nih.gov/Databases/mpkFractions/proteomic_fractions_linear_files/Yang_linear_img/22122343.jpg","show blot")</f>
        <v>show blot</v>
      </c>
      <c r="J2554" s="5" t="s">
        <v>5083</v>
      </c>
      <c r="L2554" s="11">
        <v>4.9412564712023324</v>
      </c>
      <c r="N2554" s="12"/>
    </row>
    <row r="2555" spans="1:14" s="5" customFormat="1" ht="15" customHeight="1" x14ac:dyDescent="0.25">
      <c r="A2555" s="9" t="s">
        <v>5084</v>
      </c>
      <c r="C2555" s="9" t="str">
        <f>HYPERLINK("http://www.ncbi.nlm.nih.gov/protein/124487123","Focad")</f>
        <v>Focad</v>
      </c>
      <c r="D2555" s="10">
        <f t="shared" si="39"/>
        <v>3.4079296426332299</v>
      </c>
      <c r="F2555" s="8" t="str">
        <f>HYPERLINK("https://esbl.nhlbi.nih.gov/Databases/mpkFractions/proteomic_fractions_log_files/Yang_log_img/124487123.jpg","show blot")</f>
        <v>show blot</v>
      </c>
      <c r="H2555" s="8" t="str">
        <f>HYPERLINK("https://esbl.nhlbi.nih.gov/Databases/mpkFractions/proteomic_fractions_linear_files/Yang_linear_img/124487123.jpg","show blot")</f>
        <v>show blot</v>
      </c>
      <c r="J2555" s="5" t="s">
        <v>5085</v>
      </c>
      <c r="L2555" s="11">
        <v>3.4079296426332299</v>
      </c>
      <c r="N2555" s="12"/>
    </row>
    <row r="2556" spans="1:14" s="5" customFormat="1" ht="15" customHeight="1" x14ac:dyDescent="0.25">
      <c r="A2556" s="9" t="s">
        <v>5086</v>
      </c>
      <c r="C2556" s="9" t="str">
        <f>HYPERLINK("http://www.ncbi.nlm.nih.gov/protein/21313614","Fopnl")</f>
        <v>Fopnl</v>
      </c>
      <c r="D2556" s="10">
        <f t="shared" si="39"/>
        <v>3.6754350045118351</v>
      </c>
      <c r="F2556" s="8" t="str">
        <f>HYPERLINK("https://esbl.nhlbi.nih.gov/Databases/mpkFractions/proteomic_fractions_log_files/Yang_log_img/21313614.jpg","show blot")</f>
        <v>show blot</v>
      </c>
      <c r="H2556" s="8" t="str">
        <f>HYPERLINK("https://esbl.nhlbi.nih.gov/Databases/mpkFractions/proteomic_fractions_linear_files/Yang_linear_img/21313614.jpg","show blot")</f>
        <v>show blot</v>
      </c>
      <c r="J2556" s="5" t="s">
        <v>5087</v>
      </c>
      <c r="L2556" s="11">
        <v>3.6754350045118351</v>
      </c>
      <c r="N2556" s="12"/>
    </row>
    <row r="2557" spans="1:14" s="5" customFormat="1" ht="15" customHeight="1" x14ac:dyDescent="0.25">
      <c r="A2557" s="9" t="s">
        <v>5088</v>
      </c>
      <c r="C2557" s="9" t="str">
        <f>HYPERLINK("http://www.ncbi.nlm.nih.gov/protein/34304111","Foxe1")</f>
        <v>Foxe1</v>
      </c>
      <c r="D2557" s="10">
        <f t="shared" si="39"/>
        <v>4.2187538756336176</v>
      </c>
      <c r="F2557" s="8" t="str">
        <f>HYPERLINK("https://esbl.nhlbi.nih.gov/Databases/mpkFractions/proteomic_fractions_log_files/Yang_log_img/34304111.jpg","show blot")</f>
        <v>show blot</v>
      </c>
      <c r="H2557" s="8" t="str">
        <f>HYPERLINK("https://esbl.nhlbi.nih.gov/Databases/mpkFractions/proteomic_fractions_linear_files/Yang_linear_img/34304111.jpg","show blot")</f>
        <v>show blot</v>
      </c>
      <c r="J2557" s="5" t="s">
        <v>5089</v>
      </c>
      <c r="L2557" s="11">
        <v>4.2187538756336176</v>
      </c>
      <c r="N2557" s="12"/>
    </row>
    <row r="2558" spans="1:14" s="5" customFormat="1" ht="15" customHeight="1" x14ac:dyDescent="0.25">
      <c r="A2558" s="9" t="s">
        <v>5090</v>
      </c>
      <c r="C2558" s="9" t="str">
        <f>HYPERLINK("http://www.ncbi.nlm.nih.gov/protein/172088163","Fpgs")</f>
        <v>Fpgs</v>
      </c>
      <c r="D2558" s="10">
        <f t="shared" si="39"/>
        <v>1.8475267489832889</v>
      </c>
      <c r="F2558" s="8" t="str">
        <f>HYPERLINK("https://esbl.nhlbi.nih.gov/Databases/mpkFractions/proteomic_fractions_log_files/Yang_log_img/172088163.jpg","show blot")</f>
        <v>show blot</v>
      </c>
      <c r="H2558" s="8" t="str">
        <f>HYPERLINK("https://esbl.nhlbi.nih.gov/Databases/mpkFractions/proteomic_fractions_linear_files/Yang_linear_img/172088163.jpg","show blot")</f>
        <v>show blot</v>
      </c>
      <c r="J2558" s="5" t="s">
        <v>5091</v>
      </c>
      <c r="L2558" s="11">
        <v>1.8475267489832889</v>
      </c>
      <c r="N2558" s="12"/>
    </row>
    <row r="2559" spans="1:14" s="5" customFormat="1" ht="15" customHeight="1" x14ac:dyDescent="0.25">
      <c r="A2559" s="9" t="s">
        <v>5092</v>
      </c>
      <c r="C2559" s="9" t="str">
        <f>HYPERLINK("http://www.ncbi.nlm.nih.gov/protein/126157515","Fras1")</f>
        <v>Fras1</v>
      </c>
      <c r="D2559" s="10">
        <f t="shared" si="39"/>
        <v>1.5669410607410901</v>
      </c>
      <c r="F2559" s="8" t="str">
        <f>HYPERLINK("https://esbl.nhlbi.nih.gov/Databases/mpkFractions/proteomic_fractions_log_files/Yang_log_img/126157515.jpg","show blot")</f>
        <v>show blot</v>
      </c>
      <c r="H2559" s="8" t="str">
        <f>HYPERLINK("https://esbl.nhlbi.nih.gov/Databases/mpkFractions/proteomic_fractions_linear_files/Yang_linear_img/126157515.jpg","show blot")</f>
        <v>show blot</v>
      </c>
      <c r="J2559" s="5" t="s">
        <v>5093</v>
      </c>
      <c r="L2559" s="11">
        <v>1.5669410607410901</v>
      </c>
      <c r="N2559" s="12"/>
    </row>
    <row r="2560" spans="1:14" s="5" customFormat="1" ht="15" customHeight="1" x14ac:dyDescent="0.25">
      <c r="A2560" s="9" t="s">
        <v>5094</v>
      </c>
      <c r="C2560" s="9" t="str">
        <f>HYPERLINK("http://www.ncbi.nlm.nih.gov/protein/71051607","Frem2")</f>
        <v>Frem2</v>
      </c>
      <c r="D2560" s="10">
        <f t="shared" si="39"/>
        <v>4.4528782033891963</v>
      </c>
      <c r="F2560" s="8" t="str">
        <f>HYPERLINK("https://esbl.nhlbi.nih.gov/Databases/mpkFractions/proteomic_fractions_log_files/Yang_log_img/71051607.jpg","show blot")</f>
        <v>show blot</v>
      </c>
      <c r="H2560" s="8" t="str">
        <f>HYPERLINK("https://esbl.nhlbi.nih.gov/Databases/mpkFractions/proteomic_fractions_linear_files/Yang_linear_img/71051607.jpg","show blot")</f>
        <v>show blot</v>
      </c>
      <c r="J2560" s="5" t="s">
        <v>5095</v>
      </c>
      <c r="L2560" s="11">
        <v>4.4528782033891963</v>
      </c>
      <c r="N2560" s="12"/>
    </row>
    <row r="2561" spans="1:14" s="5" customFormat="1" ht="15" customHeight="1" x14ac:dyDescent="0.25">
      <c r="A2561" s="9" t="s">
        <v>5096</v>
      </c>
      <c r="C2561" s="9" t="str">
        <f>HYPERLINK("http://www.ncbi.nlm.nih.gov/protein/225543552","Frg1")</f>
        <v>Frg1</v>
      </c>
      <c r="D2561" s="10">
        <f t="shared" si="39"/>
        <v>5.083488606344658</v>
      </c>
      <c r="F2561" s="8" t="str">
        <f>HYPERLINK("https://esbl.nhlbi.nih.gov/Databases/mpkFractions/proteomic_fractions_log_files/Yang_log_img/225543552.jpg","show blot")</f>
        <v>show blot</v>
      </c>
      <c r="H2561" s="8" t="str">
        <f>HYPERLINK("https://esbl.nhlbi.nih.gov/Databases/mpkFractions/proteomic_fractions_linear_files/Yang_linear_img/225543552.jpg","show blot")</f>
        <v>show blot</v>
      </c>
      <c r="J2561" s="5" t="s">
        <v>5097</v>
      </c>
      <c r="L2561" s="11">
        <v>5.083488606344658</v>
      </c>
      <c r="N2561" s="12"/>
    </row>
    <row r="2562" spans="1:14" s="5" customFormat="1" ht="15" customHeight="1" x14ac:dyDescent="0.25">
      <c r="A2562" s="9" t="s">
        <v>5098</v>
      </c>
      <c r="C2562" s="9" t="str">
        <f>HYPERLINK("http://www.ncbi.nlm.nih.gov/protein/31542823","Frk")</f>
        <v>Frk</v>
      </c>
      <c r="D2562" s="10">
        <f t="shared" si="39"/>
        <v>5.5911090475974143</v>
      </c>
      <c r="F2562" s="8" t="str">
        <f>HYPERLINK("https://esbl.nhlbi.nih.gov/Databases/mpkFractions/proteomic_fractions_log_files/Yang_log_img/31542823.jpg","show blot")</f>
        <v>show blot</v>
      </c>
      <c r="H2562" s="8" t="str">
        <f>HYPERLINK("https://esbl.nhlbi.nih.gov/Databases/mpkFractions/proteomic_fractions_linear_files/Yang_linear_img/31542823.jpg","show blot")</f>
        <v>show blot</v>
      </c>
      <c r="J2562" s="5" t="s">
        <v>5099</v>
      </c>
      <c r="L2562" s="11">
        <v>5.5911090475974143</v>
      </c>
      <c r="N2562" s="12"/>
    </row>
    <row r="2563" spans="1:14" s="5" customFormat="1" ht="15" customHeight="1" x14ac:dyDescent="0.25">
      <c r="A2563" s="9" t="s">
        <v>5100</v>
      </c>
      <c r="C2563" s="9" t="str">
        <f>HYPERLINK("http://www.ncbi.nlm.nih.gov/protein/13385676","Frmd8")</f>
        <v>Frmd8</v>
      </c>
      <c r="D2563" s="10">
        <f t="shared" si="39"/>
        <v>4.6572833101099453</v>
      </c>
      <c r="F2563" s="8" t="str">
        <f>HYPERLINK("https://esbl.nhlbi.nih.gov/Databases/mpkFractions/proteomic_fractions_log_files/Yang_log_img/13385676.jpg","show blot")</f>
        <v>show blot</v>
      </c>
      <c r="H2563" s="8" t="str">
        <f>HYPERLINK("https://esbl.nhlbi.nih.gov/Databases/mpkFractions/proteomic_fractions_linear_files/Yang_linear_img/13385676.jpg","show blot")</f>
        <v>show blot</v>
      </c>
      <c r="J2563" s="5" t="s">
        <v>5101</v>
      </c>
      <c r="L2563" s="11">
        <v>4.6572833101099453</v>
      </c>
      <c r="N2563" s="12"/>
    </row>
    <row r="2564" spans="1:14" s="5" customFormat="1" ht="15" customHeight="1" x14ac:dyDescent="0.25">
      <c r="A2564" s="9" t="s">
        <v>5102</v>
      </c>
      <c r="C2564" s="9" t="str">
        <f>HYPERLINK("http://www.ncbi.nlm.nih.gov/protein/124487185","Frmpd1")</f>
        <v>Frmpd1</v>
      </c>
      <c r="D2564" s="10">
        <f t="shared" si="39"/>
        <v>3.7224156854030639</v>
      </c>
      <c r="F2564" s="8" t="str">
        <f>HYPERLINK("https://esbl.nhlbi.nih.gov/Databases/mpkFractions/proteomic_fractions_log_files/Yang_log_img/124487185.jpg","show blot")</f>
        <v>show blot</v>
      </c>
      <c r="H2564" s="8" t="str">
        <f>HYPERLINK("https://esbl.nhlbi.nih.gov/Databases/mpkFractions/proteomic_fractions_linear_files/Yang_linear_img/124487185.jpg","show blot")</f>
        <v>show blot</v>
      </c>
      <c r="J2564" s="5" t="s">
        <v>5103</v>
      </c>
      <c r="L2564" s="11">
        <v>3.7224156854030639</v>
      </c>
      <c r="N2564" s="12"/>
    </row>
    <row r="2565" spans="1:14" s="5" customFormat="1" ht="15" customHeight="1" x14ac:dyDescent="0.25">
      <c r="A2565" s="9" t="s">
        <v>5104</v>
      </c>
      <c r="C2565" s="9" t="str">
        <f>HYPERLINK("http://www.ncbi.nlm.nih.gov/protein/85362701","Frmpd4")</f>
        <v>Frmpd4</v>
      </c>
      <c r="D2565" s="10">
        <f t="shared" ref="D2565:D2628" si="40">L2565</f>
        <v>3.470191361508753</v>
      </c>
      <c r="F2565" s="8" t="str">
        <f>HYPERLINK("https://esbl.nhlbi.nih.gov/Databases/mpkFractions/proteomic_fractions_log_files/Yang_log_img/85362701.jpg","show blot")</f>
        <v>show blot</v>
      </c>
      <c r="H2565" s="8" t="str">
        <f>HYPERLINK("https://esbl.nhlbi.nih.gov/Databases/mpkFractions/proteomic_fractions_linear_files/Yang_linear_img/85362701.jpg","show blot")</f>
        <v>show blot</v>
      </c>
      <c r="J2565" s="5" t="s">
        <v>5105</v>
      </c>
      <c r="L2565" s="11">
        <v>3.470191361508753</v>
      </c>
      <c r="N2565" s="12"/>
    </row>
    <row r="2566" spans="1:14" s="5" customFormat="1" ht="15" customHeight="1" x14ac:dyDescent="0.25">
      <c r="A2566" s="9" t="s">
        <v>5106</v>
      </c>
      <c r="C2566" s="9" t="str">
        <f>HYPERLINK("http://www.ncbi.nlm.nih.gov/protein/164698442","Frrs1")</f>
        <v>Frrs1</v>
      </c>
      <c r="D2566" s="10">
        <f t="shared" si="40"/>
        <v>3.9763881087203639</v>
      </c>
      <c r="F2566" s="8" t="str">
        <f>HYPERLINK("https://esbl.nhlbi.nih.gov/Databases/mpkFractions/proteomic_fractions_log_files/Yang_log_img/164698442.jpg","show blot")</f>
        <v>show blot</v>
      </c>
      <c r="H2566" s="8" t="str">
        <f>HYPERLINK("https://esbl.nhlbi.nih.gov/Databases/mpkFractions/proteomic_fractions_linear_files/Yang_linear_img/164698442.jpg","show blot")</f>
        <v>show blot</v>
      </c>
      <c r="J2566" s="5" t="s">
        <v>5107</v>
      </c>
      <c r="L2566" s="11">
        <v>3.9763881087203639</v>
      </c>
      <c r="N2566" s="12"/>
    </row>
    <row r="2567" spans="1:14" s="5" customFormat="1" ht="15" customHeight="1" x14ac:dyDescent="0.25">
      <c r="A2567" s="9" t="s">
        <v>5108</v>
      </c>
      <c r="C2567" s="9" t="str">
        <f>HYPERLINK("http://www.ncbi.nlm.nih.gov/protein/29244340","Frs2")</f>
        <v>Frs2</v>
      </c>
      <c r="D2567" s="10">
        <f t="shared" si="40"/>
        <v>2.5552005526275878</v>
      </c>
      <c r="F2567" s="8" t="str">
        <f>HYPERLINK("https://esbl.nhlbi.nih.gov/Databases/mpkFractions/proteomic_fractions_log_files/Yang_log_img/29244340.jpg","show blot")</f>
        <v>show blot</v>
      </c>
      <c r="H2567" s="8" t="str">
        <f>HYPERLINK("https://esbl.nhlbi.nih.gov/Databases/mpkFractions/proteomic_fractions_linear_files/Yang_linear_img/29244340.jpg","show blot")</f>
        <v>show blot</v>
      </c>
      <c r="J2567" s="5" t="s">
        <v>5109</v>
      </c>
      <c r="L2567" s="11">
        <v>2.5552005526275878</v>
      </c>
      <c r="N2567" s="12"/>
    </row>
    <row r="2568" spans="1:14" s="5" customFormat="1" ht="15" customHeight="1" x14ac:dyDescent="0.25">
      <c r="A2568" s="9" t="s">
        <v>5110</v>
      </c>
      <c r="C2568" s="9" t="str">
        <f>HYPERLINK("http://www.ncbi.nlm.nih.gov/protein/119964716","Fryl")</f>
        <v>Fryl</v>
      </c>
      <c r="D2568" s="10">
        <f t="shared" si="40"/>
        <v>2.491053577921682</v>
      </c>
      <c r="F2568" s="8" t="str">
        <f>HYPERLINK("https://esbl.nhlbi.nih.gov/Databases/mpkFractions/proteomic_fractions_log_files/Yang_log_img/119964716.jpg","show blot")</f>
        <v>show blot</v>
      </c>
      <c r="H2568" s="8" t="str">
        <f>HYPERLINK("https://esbl.nhlbi.nih.gov/Databases/mpkFractions/proteomic_fractions_linear_files/Yang_linear_img/119964716.jpg","show blot")</f>
        <v>show blot</v>
      </c>
      <c r="J2568" s="5" t="s">
        <v>5111</v>
      </c>
      <c r="L2568" s="11">
        <v>2.491053577921682</v>
      </c>
      <c r="N2568" s="12"/>
    </row>
    <row r="2569" spans="1:14" s="5" customFormat="1" ht="15" customHeight="1" x14ac:dyDescent="0.25">
      <c r="A2569" s="9" t="s">
        <v>5112</v>
      </c>
      <c r="C2569" s="9" t="str">
        <f>HYPERLINK("http://www.ncbi.nlm.nih.gov/protein/309264486","Fsip2")</f>
        <v>Fsip2</v>
      </c>
      <c r="D2569" s="10">
        <f t="shared" si="40"/>
        <v>2.505552885598727</v>
      </c>
      <c r="F2569" s="8" t="str">
        <f>HYPERLINK("https://esbl.nhlbi.nih.gov/Databases/mpkFractions/proteomic_fractions_log_files/Yang_log_img/309264486.jpg","show blot")</f>
        <v>show blot</v>
      </c>
      <c r="H2569" s="8" t="str">
        <f>HYPERLINK("https://esbl.nhlbi.nih.gov/Databases/mpkFractions/proteomic_fractions_linear_files/Yang_linear_img/309264486.jpg","show blot")</f>
        <v>show blot</v>
      </c>
      <c r="J2569" s="5" t="s">
        <v>5113</v>
      </c>
      <c r="L2569" s="11">
        <v>2.505552885598727</v>
      </c>
      <c r="N2569" s="12"/>
    </row>
    <row r="2570" spans="1:14" s="5" customFormat="1" ht="15" customHeight="1" x14ac:dyDescent="0.25">
      <c r="A2570" s="9" t="s">
        <v>5114</v>
      </c>
      <c r="C2570" s="9" t="str">
        <f>HYPERLINK("http://www.ncbi.nlm.nih.gov/protein/31560699","Fstl1")</f>
        <v>Fstl1</v>
      </c>
      <c r="D2570" s="10">
        <f t="shared" si="40"/>
        <v>5.7664984129300176</v>
      </c>
      <c r="F2570" s="8" t="str">
        <f>HYPERLINK("https://esbl.nhlbi.nih.gov/Databases/mpkFractions/proteomic_fractions_log_files/Yang_log_img/31560699.jpg","show blot")</f>
        <v>show blot</v>
      </c>
      <c r="H2570" s="8" t="str">
        <f>HYPERLINK("https://esbl.nhlbi.nih.gov/Databases/mpkFractions/proteomic_fractions_linear_files/Yang_linear_img/31560699.jpg","show blot")</f>
        <v>show blot</v>
      </c>
      <c r="J2570" s="5" t="s">
        <v>5115</v>
      </c>
      <c r="L2570" s="11">
        <v>5.7664984129300176</v>
      </c>
      <c r="N2570" s="12"/>
    </row>
    <row r="2571" spans="1:14" s="5" customFormat="1" ht="15" customHeight="1" x14ac:dyDescent="0.25">
      <c r="A2571" s="9" t="s">
        <v>5116</v>
      </c>
      <c r="C2571" s="9" t="str">
        <f>HYPERLINK("http://www.ncbi.nlm.nih.gov/protein/18252784","Ftcd")</f>
        <v>Ftcd</v>
      </c>
      <c r="D2571" s="10">
        <f t="shared" si="40"/>
        <v>4.1121251229724356</v>
      </c>
      <c r="F2571" s="8" t="str">
        <f>HYPERLINK("https://esbl.nhlbi.nih.gov/Databases/mpkFractions/proteomic_fractions_log_files/Yang_log_img/18252784.jpg","show blot")</f>
        <v>show blot</v>
      </c>
      <c r="H2571" s="8" t="str">
        <f>HYPERLINK("https://esbl.nhlbi.nih.gov/Databases/mpkFractions/proteomic_fractions_linear_files/Yang_linear_img/18252784.jpg","show blot")</f>
        <v>show blot</v>
      </c>
      <c r="J2571" s="5" t="s">
        <v>5117</v>
      </c>
      <c r="L2571" s="11">
        <v>4.1121251229724356</v>
      </c>
      <c r="N2571" s="12"/>
    </row>
    <row r="2572" spans="1:14" s="5" customFormat="1" ht="15" customHeight="1" x14ac:dyDescent="0.25">
      <c r="A2572" s="9" t="s">
        <v>5118</v>
      </c>
      <c r="C2572" s="9" t="str">
        <f>HYPERLINK("http://www.ncbi.nlm.nih.gov/protein/6753912","Fth1")</f>
        <v>Fth1</v>
      </c>
      <c r="D2572" s="10">
        <f t="shared" si="40"/>
        <v>6.6254988093480884</v>
      </c>
      <c r="F2572" s="8" t="str">
        <f>HYPERLINK("https://esbl.nhlbi.nih.gov/Databases/mpkFractions/proteomic_fractions_log_files/Yang_log_img/6753912.jpg","show blot")</f>
        <v>show blot</v>
      </c>
      <c r="H2572" s="8" t="str">
        <f>HYPERLINK("https://esbl.nhlbi.nih.gov/Databases/mpkFractions/proteomic_fractions_linear_files/Yang_linear_img/6753912.jpg","show blot")</f>
        <v>show blot</v>
      </c>
      <c r="J2572" s="5" t="s">
        <v>5119</v>
      </c>
      <c r="L2572" s="11">
        <v>6.6254988093480884</v>
      </c>
      <c r="N2572" s="12"/>
    </row>
    <row r="2573" spans="1:14" s="5" customFormat="1" ht="15" customHeight="1" x14ac:dyDescent="0.25">
      <c r="A2573" s="9" t="s">
        <v>5120</v>
      </c>
      <c r="C2573" s="9" t="str">
        <f>HYPERLINK("http://www.ncbi.nlm.nih.gov/protein/166851822","Fto")</f>
        <v>Fto</v>
      </c>
      <c r="D2573" s="10">
        <f t="shared" si="40"/>
        <v>5.0889199718434446</v>
      </c>
      <c r="F2573" s="8" t="str">
        <f>HYPERLINK("https://esbl.nhlbi.nih.gov/Databases/mpkFractions/proteomic_fractions_log_files/Yang_log_img/166851822.jpg","show blot")</f>
        <v>show blot</v>
      </c>
      <c r="H2573" s="8" t="str">
        <f>HYPERLINK("https://esbl.nhlbi.nih.gov/Databases/mpkFractions/proteomic_fractions_linear_files/Yang_linear_img/166851822.jpg","show blot")</f>
        <v>show blot</v>
      </c>
      <c r="J2573" s="5" t="s">
        <v>5121</v>
      </c>
      <c r="L2573" s="11">
        <v>5.0889199718434446</v>
      </c>
      <c r="N2573" s="12"/>
    </row>
    <row r="2574" spans="1:14" s="5" customFormat="1" ht="15" customHeight="1" x14ac:dyDescent="0.25">
      <c r="A2574" s="9" t="s">
        <v>5122</v>
      </c>
      <c r="C2574" s="9" t="str">
        <f>HYPERLINK("http://www.ncbi.nlm.nih.gov/protein/46877062","Ftsj1")</f>
        <v>Ftsj1</v>
      </c>
      <c r="D2574" s="10">
        <f t="shared" si="40"/>
        <v>3.1593289529732411</v>
      </c>
      <c r="F2574" s="8" t="str">
        <f>HYPERLINK("https://esbl.nhlbi.nih.gov/Databases/mpkFractions/proteomic_fractions_log_files/Yang_log_img/46877062.jpg","show blot")</f>
        <v>show blot</v>
      </c>
      <c r="H2574" s="8" t="str">
        <f>HYPERLINK("https://esbl.nhlbi.nih.gov/Databases/mpkFractions/proteomic_fractions_linear_files/Yang_linear_img/46877062.jpg","show blot")</f>
        <v>show blot</v>
      </c>
      <c r="J2574" s="5" t="s">
        <v>5123</v>
      </c>
      <c r="L2574" s="11">
        <v>3.1593289529732411</v>
      </c>
      <c r="N2574" s="12"/>
    </row>
    <row r="2575" spans="1:14" s="5" customFormat="1" ht="15" customHeight="1" x14ac:dyDescent="0.25">
      <c r="A2575" s="9" t="s">
        <v>5124</v>
      </c>
      <c r="C2575" s="9" t="str">
        <f>HYPERLINK("http://www.ncbi.nlm.nih.gov/protein/84662730","Fubp1")</f>
        <v>Fubp1</v>
      </c>
      <c r="D2575" s="10">
        <f t="shared" si="40"/>
        <v>5.4399661977822866</v>
      </c>
      <c r="F2575" s="8" t="str">
        <f>HYPERLINK("https://esbl.nhlbi.nih.gov/Databases/mpkFractions/proteomic_fractions_log_files/Yang_log_img/84662730.jpg","show blot")</f>
        <v>show blot</v>
      </c>
      <c r="H2575" s="8" t="str">
        <f>HYPERLINK("https://esbl.nhlbi.nih.gov/Databases/mpkFractions/proteomic_fractions_linear_files/Yang_linear_img/84662730.jpg","show blot")</f>
        <v>show blot</v>
      </c>
      <c r="J2575" s="5" t="s">
        <v>5125</v>
      </c>
      <c r="L2575" s="11">
        <v>5.4399661977822866</v>
      </c>
      <c r="N2575" s="12"/>
    </row>
    <row r="2576" spans="1:14" s="5" customFormat="1" ht="15" customHeight="1" x14ac:dyDescent="0.25">
      <c r="A2576" s="9" t="s">
        <v>5126</v>
      </c>
      <c r="C2576" s="9" t="str">
        <f>HYPERLINK("http://www.ncbi.nlm.nih.gov/protein/224922832","Fubp3")</f>
        <v>Fubp3</v>
      </c>
      <c r="D2576" s="10">
        <f t="shared" si="40"/>
        <v>5.0650205022316426</v>
      </c>
      <c r="F2576" s="8" t="str">
        <f>HYPERLINK("https://esbl.nhlbi.nih.gov/Databases/mpkFractions/proteomic_fractions_log_files/Yang_log_img/224922832.jpg","show blot")</f>
        <v>show blot</v>
      </c>
      <c r="H2576" s="8" t="str">
        <f>HYPERLINK("https://esbl.nhlbi.nih.gov/Databases/mpkFractions/proteomic_fractions_linear_files/Yang_linear_img/224922832.jpg","show blot")</f>
        <v>show blot</v>
      </c>
      <c r="J2576" s="5" t="s">
        <v>5127</v>
      </c>
      <c r="L2576" s="11">
        <v>5.0650205022316426</v>
      </c>
      <c r="N2576" s="12"/>
    </row>
    <row r="2577" spans="1:14" s="5" customFormat="1" ht="15" customHeight="1" x14ac:dyDescent="0.25">
      <c r="A2577" s="9" t="s">
        <v>5128</v>
      </c>
      <c r="C2577" s="9" t="str">
        <f>HYPERLINK("http://www.ncbi.nlm.nih.gov/protein/169808427","Fuca1")</f>
        <v>Fuca1</v>
      </c>
      <c r="D2577" s="10">
        <f t="shared" si="40"/>
        <v>3.8489957584605881</v>
      </c>
      <c r="F2577" s="8" t="str">
        <f>HYPERLINK("https://esbl.nhlbi.nih.gov/Databases/mpkFractions/proteomic_fractions_log_files/Yang_log_img/169808427.jpg","show blot")</f>
        <v>show blot</v>
      </c>
      <c r="H2577" s="8" t="str">
        <f>HYPERLINK("https://esbl.nhlbi.nih.gov/Databases/mpkFractions/proteomic_fractions_linear_files/Yang_linear_img/169808427.jpg","show blot")</f>
        <v>show blot</v>
      </c>
      <c r="J2577" s="5" t="s">
        <v>5129</v>
      </c>
      <c r="L2577" s="11">
        <v>3.8489957584605881</v>
      </c>
      <c r="N2577" s="12"/>
    </row>
    <row r="2578" spans="1:14" s="5" customFormat="1" ht="15" customHeight="1" x14ac:dyDescent="0.25">
      <c r="A2578" s="9" t="s">
        <v>5130</v>
      </c>
      <c r="C2578" s="9" t="str">
        <f>HYPERLINK("http://www.ncbi.nlm.nih.gov/protein/31541791","Fuca2")</f>
        <v>Fuca2</v>
      </c>
      <c r="D2578" s="10">
        <f t="shared" si="40"/>
        <v>4.1456947286458581</v>
      </c>
      <c r="F2578" s="8" t="str">
        <f>HYPERLINK("https://esbl.nhlbi.nih.gov/Databases/mpkFractions/proteomic_fractions_log_files/Yang_log_img/31541791.jpg","show blot")</f>
        <v>show blot</v>
      </c>
      <c r="H2578" s="8" t="str">
        <f>HYPERLINK("https://esbl.nhlbi.nih.gov/Databases/mpkFractions/proteomic_fractions_linear_files/Yang_linear_img/31541791.jpg","show blot")</f>
        <v>show blot</v>
      </c>
      <c r="J2578" s="5" t="s">
        <v>5131</v>
      </c>
      <c r="L2578" s="11">
        <v>4.1456947286458581</v>
      </c>
      <c r="N2578" s="12"/>
    </row>
    <row r="2579" spans="1:14" s="5" customFormat="1" ht="15" customHeight="1" x14ac:dyDescent="0.25">
      <c r="A2579" s="9" t="s">
        <v>5132</v>
      </c>
      <c r="C2579" s="9" t="str">
        <f>HYPERLINK("http://www.ncbi.nlm.nih.gov/protein/31981686","Fuk")</f>
        <v>Fuk</v>
      </c>
      <c r="D2579" s="10">
        <f t="shared" si="40"/>
        <v>5.09445568107623</v>
      </c>
      <c r="F2579" s="8" t="str">
        <f>HYPERLINK("https://esbl.nhlbi.nih.gov/Databases/mpkFractions/proteomic_fractions_log_files/Yang_log_img/31981686.jpg","show blot")</f>
        <v>show blot</v>
      </c>
      <c r="H2579" s="8" t="str">
        <f>HYPERLINK("https://esbl.nhlbi.nih.gov/Databases/mpkFractions/proteomic_fractions_linear_files/Yang_linear_img/31981686.jpg","show blot")</f>
        <v>show blot</v>
      </c>
      <c r="J2579" s="5" t="s">
        <v>5133</v>
      </c>
      <c r="L2579" s="11">
        <v>5.09445568107623</v>
      </c>
      <c r="N2579" s="12"/>
    </row>
    <row r="2580" spans="1:14" s="5" customFormat="1" ht="15" customHeight="1" x14ac:dyDescent="0.25">
      <c r="A2580" s="9" t="s">
        <v>5134</v>
      </c>
      <c r="C2580" s="9" t="str">
        <f>HYPERLINK("http://www.ncbi.nlm.nih.gov/protein/262050556","Fundc2")</f>
        <v>Fundc2</v>
      </c>
      <c r="D2580" s="10">
        <f t="shared" si="40"/>
        <v>5.2571454189964841</v>
      </c>
      <c r="F2580" s="8" t="str">
        <f>HYPERLINK("https://esbl.nhlbi.nih.gov/Databases/mpkFractions/proteomic_fractions_log_files/Yang_log_img/262050556.jpg","show blot")</f>
        <v>show blot</v>
      </c>
      <c r="H2580" s="8" t="str">
        <f>HYPERLINK("https://esbl.nhlbi.nih.gov/Databases/mpkFractions/proteomic_fractions_linear_files/Yang_linear_img/262050556.jpg","show blot")</f>
        <v>show blot</v>
      </c>
      <c r="J2580" s="5" t="s">
        <v>5135</v>
      </c>
      <c r="L2580" s="11">
        <v>5.2571454189964841</v>
      </c>
      <c r="N2580" s="12"/>
    </row>
    <row r="2581" spans="1:14" s="5" customFormat="1" ht="15" customHeight="1" x14ac:dyDescent="0.25">
      <c r="A2581" s="9" t="s">
        <v>5136</v>
      </c>
      <c r="C2581" s="9" t="str">
        <f>HYPERLINK("http://www.ncbi.nlm.nih.gov/protein/124377998","Fuom")</f>
        <v>Fuom</v>
      </c>
      <c r="D2581" s="10">
        <f t="shared" si="40"/>
        <v>3.7739780716092231</v>
      </c>
      <c r="F2581" s="8" t="str">
        <f>HYPERLINK("https://esbl.nhlbi.nih.gov/Databases/mpkFractions/proteomic_fractions_log_files/Yang_log_img/124377998.jpg","show blot")</f>
        <v>show blot</v>
      </c>
      <c r="H2581" s="8" t="str">
        <f>HYPERLINK("https://esbl.nhlbi.nih.gov/Databases/mpkFractions/proteomic_fractions_linear_files/Yang_linear_img/124377998.jpg","show blot")</f>
        <v>show blot</v>
      </c>
      <c r="J2581" s="5" t="s">
        <v>5137</v>
      </c>
      <c r="L2581" s="11">
        <v>3.7739780716092231</v>
      </c>
      <c r="N2581" s="12"/>
    </row>
    <row r="2582" spans="1:14" s="5" customFormat="1" ht="15" customHeight="1" x14ac:dyDescent="0.25">
      <c r="A2582" s="9" t="s">
        <v>5138</v>
      </c>
      <c r="C2582" s="9" t="str">
        <f>HYPERLINK("http://www.ncbi.nlm.nih.gov/protein/20982845","Fus")</f>
        <v>Fus</v>
      </c>
      <c r="D2582" s="10">
        <f t="shared" si="40"/>
        <v>5.6897232229399473</v>
      </c>
      <c r="F2582" s="8" t="str">
        <f>HYPERLINK("https://esbl.nhlbi.nih.gov/Databases/mpkFractions/proteomic_fractions_log_files/Yang_log_img/20982845.jpg","show blot")</f>
        <v>show blot</v>
      </c>
      <c r="H2582" s="8" t="str">
        <f>HYPERLINK("https://esbl.nhlbi.nih.gov/Databases/mpkFractions/proteomic_fractions_linear_files/Yang_linear_img/20982845.jpg","show blot")</f>
        <v>show blot</v>
      </c>
      <c r="J2582" s="5" t="s">
        <v>5139</v>
      </c>
      <c r="L2582" s="11">
        <v>5.6897232229399473</v>
      </c>
      <c r="N2582" s="12"/>
    </row>
    <row r="2583" spans="1:14" s="5" customFormat="1" ht="15" customHeight="1" x14ac:dyDescent="0.25">
      <c r="A2583" s="9" t="s">
        <v>5140</v>
      </c>
      <c r="C2583" s="9" t="str">
        <f>HYPERLINK("http://www.ncbi.nlm.nih.gov/protein/31560444","Fut8")</f>
        <v>Fut8</v>
      </c>
      <c r="D2583" s="10">
        <f t="shared" si="40"/>
        <v>2.5884414857662681</v>
      </c>
      <c r="F2583" s="8" t="str">
        <f>HYPERLINK("https://esbl.nhlbi.nih.gov/Databases/mpkFractions/proteomic_fractions_log_files/Yang_log_img/31560444.jpg","show blot")</f>
        <v>show blot</v>
      </c>
      <c r="H2583" s="8" t="str">
        <f>HYPERLINK("https://esbl.nhlbi.nih.gov/Databases/mpkFractions/proteomic_fractions_linear_files/Yang_linear_img/31560444.jpg","show blot")</f>
        <v>show blot</v>
      </c>
      <c r="J2583" s="5" t="s">
        <v>5141</v>
      </c>
      <c r="L2583" s="11">
        <v>2.5884414857662681</v>
      </c>
      <c r="N2583" s="12"/>
    </row>
    <row r="2584" spans="1:14" s="5" customFormat="1" ht="15" customHeight="1" x14ac:dyDescent="0.25">
      <c r="A2584" s="9" t="s">
        <v>5142</v>
      </c>
      <c r="C2584" s="9" t="str">
        <f>HYPERLINK("http://www.ncbi.nlm.nih.gov/protein/6679863","Fxn")</f>
        <v>Fxn</v>
      </c>
      <c r="D2584" s="10">
        <f t="shared" si="40"/>
        <v>4.6870092312820972</v>
      </c>
      <c r="F2584" s="8" t="str">
        <f>HYPERLINK("https://esbl.nhlbi.nih.gov/Databases/mpkFractions/proteomic_fractions_log_files/Yang_log_img/6679863.jpg","show blot")</f>
        <v>show blot</v>
      </c>
      <c r="H2584" s="8" t="str">
        <f>HYPERLINK("https://esbl.nhlbi.nih.gov/Databases/mpkFractions/proteomic_fractions_linear_files/Yang_linear_img/6679863.jpg","show blot")</f>
        <v>show blot</v>
      </c>
      <c r="J2584" s="5" t="s">
        <v>5143</v>
      </c>
      <c r="L2584" s="11">
        <v>4.6870092312820972</v>
      </c>
      <c r="N2584" s="12"/>
    </row>
    <row r="2585" spans="1:14" s="5" customFormat="1" ht="15" customHeight="1" x14ac:dyDescent="0.25">
      <c r="A2585" s="9" t="s">
        <v>5144</v>
      </c>
      <c r="C2585" s="9" t="str">
        <f>HYPERLINK("http://www.ncbi.nlm.nih.gov/protein/17998694","Fxr1")</f>
        <v>Fxr1</v>
      </c>
      <c r="D2585" s="10">
        <f t="shared" si="40"/>
        <v>5.6473240460093113</v>
      </c>
      <c r="F2585" s="8" t="str">
        <f>HYPERLINK("https://esbl.nhlbi.nih.gov/Databases/mpkFractions/proteomic_fractions_log_files/Yang_log_img/17998694.jpg","show blot")</f>
        <v>show blot</v>
      </c>
      <c r="H2585" s="8" t="str">
        <f>HYPERLINK("https://esbl.nhlbi.nih.gov/Databases/mpkFractions/proteomic_fractions_linear_files/Yang_linear_img/17998694.jpg","show blot")</f>
        <v>show blot</v>
      </c>
      <c r="J2585" s="5" t="s">
        <v>5145</v>
      </c>
      <c r="L2585" s="11">
        <v>5.6473240460093113</v>
      </c>
      <c r="N2585" s="12"/>
    </row>
    <row r="2586" spans="1:14" s="5" customFormat="1" ht="15" customHeight="1" x14ac:dyDescent="0.25">
      <c r="A2586" s="9" t="s">
        <v>5146</v>
      </c>
      <c r="C2586" s="9" t="str">
        <f>HYPERLINK("http://www.ncbi.nlm.nih.gov/protein/163954941","Fxr1")</f>
        <v>Fxr1</v>
      </c>
      <c r="D2586" s="10">
        <f t="shared" si="40"/>
        <v>5.6473240460093113</v>
      </c>
      <c r="F2586" s="8" t="str">
        <f>HYPERLINK("https://esbl.nhlbi.nih.gov/Databases/mpkFractions/proteomic_fractions_log_files/Yang_log_img/163954941.jpg","show blot")</f>
        <v>show blot</v>
      </c>
      <c r="H2586" s="8" t="str">
        <f>HYPERLINK("https://esbl.nhlbi.nih.gov/Databases/mpkFractions/proteomic_fractions_linear_files/Yang_linear_img/163954941.jpg","show blot")</f>
        <v>show blot</v>
      </c>
      <c r="J2586" s="5" t="s">
        <v>5147</v>
      </c>
      <c r="L2586" s="11">
        <v>5.6473240460093113</v>
      </c>
      <c r="N2586" s="12"/>
    </row>
    <row r="2587" spans="1:14" s="5" customFormat="1" ht="15" customHeight="1" x14ac:dyDescent="0.25">
      <c r="A2587" s="9" t="s">
        <v>5148</v>
      </c>
      <c r="C2587" s="9" t="str">
        <f>HYPERLINK("http://www.ncbi.nlm.nih.gov/protein/163954943","Fxr1")</f>
        <v>Fxr1</v>
      </c>
      <c r="D2587" s="10">
        <f t="shared" si="40"/>
        <v>5.6473240460093113</v>
      </c>
      <c r="F2587" s="8" t="str">
        <f>HYPERLINK("https://esbl.nhlbi.nih.gov/Databases/mpkFractions/proteomic_fractions_log_files/Yang_log_img/163954943.jpg","show blot")</f>
        <v>show blot</v>
      </c>
      <c r="H2587" s="8" t="str">
        <f>HYPERLINK("https://esbl.nhlbi.nih.gov/Databases/mpkFractions/proteomic_fractions_linear_files/Yang_linear_img/163954943.jpg","show blot")</f>
        <v>show blot</v>
      </c>
      <c r="J2587" s="5" t="s">
        <v>5149</v>
      </c>
      <c r="L2587" s="11">
        <v>5.6473240460093113</v>
      </c>
      <c r="N2587" s="12"/>
    </row>
    <row r="2588" spans="1:14" s="5" customFormat="1" ht="15" customHeight="1" x14ac:dyDescent="0.25">
      <c r="A2588" s="9" t="s">
        <v>5150</v>
      </c>
      <c r="C2588" s="9" t="str">
        <f>HYPERLINK("http://www.ncbi.nlm.nih.gov/protein/83921589","Fxr2")</f>
        <v>Fxr2</v>
      </c>
      <c r="D2588" s="10">
        <f t="shared" si="40"/>
        <v>5.2128328891000013</v>
      </c>
      <c r="F2588" s="8" t="str">
        <f>HYPERLINK("https://esbl.nhlbi.nih.gov/Databases/mpkFractions/proteomic_fractions_log_files/Yang_log_img/83921589.jpg","show blot")</f>
        <v>show blot</v>
      </c>
      <c r="H2588" s="8" t="str">
        <f>HYPERLINK("https://esbl.nhlbi.nih.gov/Databases/mpkFractions/proteomic_fractions_linear_files/Yang_linear_img/83921589.jpg","show blot")</f>
        <v>show blot</v>
      </c>
      <c r="J2588" s="5" t="s">
        <v>5151</v>
      </c>
      <c r="L2588" s="11">
        <v>5.2128328891000013</v>
      </c>
      <c r="N2588" s="12"/>
    </row>
    <row r="2589" spans="1:14" s="5" customFormat="1" ht="15" customHeight="1" x14ac:dyDescent="0.25">
      <c r="A2589" s="9" t="s">
        <v>5152</v>
      </c>
      <c r="C2589" s="9" t="str">
        <f>HYPERLINK("http://www.ncbi.nlm.nih.gov/protein/16554570","Fxyd2")</f>
        <v>Fxyd2</v>
      </c>
      <c r="D2589" s="10">
        <f t="shared" si="40"/>
        <v>5.1033440517024369</v>
      </c>
      <c r="F2589" s="8" t="str">
        <f>HYPERLINK("https://esbl.nhlbi.nih.gov/Databases/mpkFractions/proteomic_fractions_log_files/Yang_log_img/16554570.jpg","show blot")</f>
        <v>show blot</v>
      </c>
      <c r="H2589" s="8" t="str">
        <f>HYPERLINK("https://esbl.nhlbi.nih.gov/Databases/mpkFractions/proteomic_fractions_linear_files/Yang_linear_img/16554570.jpg","show blot")</f>
        <v>show blot</v>
      </c>
      <c r="J2589" s="5" t="s">
        <v>5153</v>
      </c>
      <c r="L2589" s="11">
        <v>5.1033440517024369</v>
      </c>
      <c r="N2589" s="12"/>
    </row>
    <row r="2590" spans="1:14" s="5" customFormat="1" ht="15" customHeight="1" x14ac:dyDescent="0.25">
      <c r="A2590" s="9" t="s">
        <v>5154</v>
      </c>
      <c r="C2590" s="9" t="str">
        <f>HYPERLINK("http://www.ncbi.nlm.nih.gov/protein/16554572","Fxyd2")</f>
        <v>Fxyd2</v>
      </c>
      <c r="D2590" s="10">
        <f t="shared" si="40"/>
        <v>5.1033440517024369</v>
      </c>
      <c r="F2590" s="8" t="str">
        <f>HYPERLINK("https://esbl.nhlbi.nih.gov/Databases/mpkFractions/proteomic_fractions_log_files/Yang_log_img/16554572.jpg","show blot")</f>
        <v>show blot</v>
      </c>
      <c r="H2590" s="8" t="str">
        <f>HYPERLINK("https://esbl.nhlbi.nih.gov/Databases/mpkFractions/proteomic_fractions_linear_files/Yang_linear_img/16554572.jpg","show blot")</f>
        <v>show blot</v>
      </c>
      <c r="J2590" s="5" t="s">
        <v>5155</v>
      </c>
      <c r="L2590" s="11">
        <v>5.1033440517024369</v>
      </c>
      <c r="N2590" s="12"/>
    </row>
    <row r="2591" spans="1:14" s="5" customFormat="1" ht="15" customHeight="1" x14ac:dyDescent="0.25">
      <c r="A2591" s="9" t="s">
        <v>5156</v>
      </c>
      <c r="C2591" s="9" t="str">
        <f>HYPERLINK("http://www.ncbi.nlm.nih.gov/protein/16258807","Fxyd4")</f>
        <v>Fxyd4</v>
      </c>
      <c r="D2591" s="10">
        <f t="shared" si="40"/>
        <v>4.2747910054388631</v>
      </c>
      <c r="F2591" s="8" t="str">
        <f>HYPERLINK("https://esbl.nhlbi.nih.gov/Databases/mpkFractions/proteomic_fractions_log_files/Yang_log_img/16258807.jpg","show blot")</f>
        <v>show blot</v>
      </c>
      <c r="H2591" s="8" t="str">
        <f>HYPERLINK("https://esbl.nhlbi.nih.gov/Databases/mpkFractions/proteomic_fractions_linear_files/Yang_linear_img/16258807.jpg","show blot")</f>
        <v>show blot</v>
      </c>
      <c r="J2591" s="5" t="s">
        <v>5157</v>
      </c>
      <c r="L2591" s="11">
        <v>4.2747910054388631</v>
      </c>
      <c r="N2591" s="12"/>
    </row>
    <row r="2592" spans="1:14" s="5" customFormat="1" ht="15" customHeight="1" x14ac:dyDescent="0.25">
      <c r="A2592" s="9" t="s">
        <v>5158</v>
      </c>
      <c r="C2592" s="9" t="str">
        <f>HYPERLINK("http://www.ncbi.nlm.nih.gov/protein/159131876","Fyco1")</f>
        <v>Fyco1</v>
      </c>
      <c r="D2592" s="10">
        <f t="shared" si="40"/>
        <v>4.7217692273216807</v>
      </c>
      <c r="F2592" s="8" t="str">
        <f>HYPERLINK("https://esbl.nhlbi.nih.gov/Databases/mpkFractions/proteomic_fractions_log_files/Yang_log_img/159131876.jpg","show blot")</f>
        <v>show blot</v>
      </c>
      <c r="H2592" s="8" t="str">
        <f>HYPERLINK("https://esbl.nhlbi.nih.gov/Databases/mpkFractions/proteomic_fractions_linear_files/Yang_linear_img/159131876.jpg","show blot")</f>
        <v>show blot</v>
      </c>
      <c r="J2592" s="5" t="s">
        <v>5159</v>
      </c>
      <c r="L2592" s="11">
        <v>4.7217692273216807</v>
      </c>
      <c r="N2592" s="12"/>
    </row>
    <row r="2593" spans="1:14" s="5" customFormat="1" ht="15" customHeight="1" x14ac:dyDescent="0.25">
      <c r="A2593" s="9" t="s">
        <v>5160</v>
      </c>
      <c r="C2593" s="9" t="str">
        <f>HYPERLINK("http://www.ncbi.nlm.nih.gov/protein/171543837","Fyn")</f>
        <v>Fyn</v>
      </c>
      <c r="D2593" s="10">
        <f t="shared" si="40"/>
        <v>5.3976148482000861</v>
      </c>
      <c r="F2593" s="8" t="str">
        <f>HYPERLINK("https://esbl.nhlbi.nih.gov/Databases/mpkFractions/proteomic_fractions_log_files/Yang_log_img/171543837.jpg","show blot")</f>
        <v>show blot</v>
      </c>
      <c r="H2593" s="8" t="str">
        <f>HYPERLINK("https://esbl.nhlbi.nih.gov/Databases/mpkFractions/proteomic_fractions_linear_files/Yang_linear_img/171543837.jpg","show blot")</f>
        <v>show blot</v>
      </c>
      <c r="J2593" s="5" t="s">
        <v>5161</v>
      </c>
      <c r="L2593" s="11">
        <v>5.3976148482000861</v>
      </c>
      <c r="N2593" s="12"/>
    </row>
    <row r="2594" spans="1:14" s="5" customFormat="1" ht="15" customHeight="1" x14ac:dyDescent="0.25">
      <c r="A2594" s="9" t="s">
        <v>5162</v>
      </c>
      <c r="C2594" s="9" t="str">
        <f>HYPERLINK("http://www.ncbi.nlm.nih.gov/protein/171543841","Fyn")</f>
        <v>Fyn</v>
      </c>
      <c r="D2594" s="10">
        <f t="shared" si="40"/>
        <v>5.3976148482000861</v>
      </c>
      <c r="F2594" s="8" t="str">
        <f>HYPERLINK("https://esbl.nhlbi.nih.gov/Databases/mpkFractions/proteomic_fractions_log_files/Yang_log_img/171543841.jpg","show blot")</f>
        <v>show blot</v>
      </c>
      <c r="H2594" s="8" t="str">
        <f>HYPERLINK("https://esbl.nhlbi.nih.gov/Databases/mpkFractions/proteomic_fractions_linear_files/Yang_linear_img/171543841.jpg","show blot")</f>
        <v>show blot</v>
      </c>
      <c r="J2594" s="5" t="s">
        <v>5163</v>
      </c>
      <c r="L2594" s="11">
        <v>5.3976148482000861</v>
      </c>
      <c r="N2594" s="12"/>
    </row>
    <row r="2595" spans="1:14" s="5" customFormat="1" ht="15" customHeight="1" x14ac:dyDescent="0.25">
      <c r="A2595" s="9" t="s">
        <v>5164</v>
      </c>
      <c r="C2595" s="9" t="str">
        <f>HYPERLINK("http://www.ncbi.nlm.nih.gov/protein/226823218","Fyttd1")</f>
        <v>Fyttd1</v>
      </c>
      <c r="D2595" s="10">
        <f t="shared" si="40"/>
        <v>3.4323988588005321</v>
      </c>
      <c r="F2595" s="8" t="str">
        <f>HYPERLINK("https://esbl.nhlbi.nih.gov/Databases/mpkFractions/proteomic_fractions_log_files/Yang_log_img/226823218.jpg","show blot")</f>
        <v>show blot</v>
      </c>
      <c r="H2595" s="8" t="str">
        <f>HYPERLINK("https://esbl.nhlbi.nih.gov/Databases/mpkFractions/proteomic_fractions_linear_files/Yang_linear_img/226823218.jpg","show blot")</f>
        <v>show blot</v>
      </c>
      <c r="J2595" s="5" t="s">
        <v>5165</v>
      </c>
      <c r="L2595" s="11">
        <v>3.4323988588005321</v>
      </c>
      <c r="N2595" s="12"/>
    </row>
    <row r="2596" spans="1:14" s="5" customFormat="1" ht="15" customHeight="1" x14ac:dyDescent="0.25">
      <c r="A2596" s="9" t="s">
        <v>5166</v>
      </c>
      <c r="C2596" s="9" t="str">
        <f>HYPERLINK("http://www.ncbi.nlm.nih.gov/protein/31541947","Fyttd1")</f>
        <v>Fyttd1</v>
      </c>
      <c r="D2596" s="10">
        <f t="shared" si="40"/>
        <v>3.4323988588005321</v>
      </c>
      <c r="F2596" s="8" t="str">
        <f>HYPERLINK("https://esbl.nhlbi.nih.gov/Databases/mpkFractions/proteomic_fractions_log_files/Yang_log_img/31541947.jpg","show blot")</f>
        <v>show blot</v>
      </c>
      <c r="H2596" s="8" t="str">
        <f>HYPERLINK("https://esbl.nhlbi.nih.gov/Databases/mpkFractions/proteomic_fractions_linear_files/Yang_linear_img/31541947.jpg","show blot")</f>
        <v>show blot</v>
      </c>
      <c r="J2596" s="5" t="s">
        <v>5167</v>
      </c>
      <c r="L2596" s="11">
        <v>3.4323988588005321</v>
      </c>
      <c r="N2596" s="12"/>
    </row>
    <row r="2597" spans="1:14" s="5" customFormat="1" ht="15" customHeight="1" x14ac:dyDescent="0.25">
      <c r="A2597" s="9" t="s">
        <v>5168</v>
      </c>
      <c r="C2597" s="9" t="str">
        <f>HYPERLINK("http://www.ncbi.nlm.nih.gov/protein/7305075","G3bp1")</f>
        <v>G3bp1</v>
      </c>
      <c r="D2597" s="10">
        <f t="shared" si="40"/>
        <v>6.0444879030397871</v>
      </c>
      <c r="F2597" s="8" t="str">
        <f>HYPERLINK("https://esbl.nhlbi.nih.gov/Databases/mpkFractions/proteomic_fractions_log_files/Yang_log_img/7305075.jpg","show blot")</f>
        <v>show blot</v>
      </c>
      <c r="H2597" s="8" t="str">
        <f>HYPERLINK("https://esbl.nhlbi.nih.gov/Databases/mpkFractions/proteomic_fractions_linear_files/Yang_linear_img/7305075.jpg","show blot")</f>
        <v>show blot</v>
      </c>
      <c r="J2597" s="5" t="s">
        <v>5169</v>
      </c>
      <c r="L2597" s="11">
        <v>6.0444879030397871</v>
      </c>
      <c r="N2597" s="12"/>
    </row>
    <row r="2598" spans="1:14" s="5" customFormat="1" ht="15" customHeight="1" x14ac:dyDescent="0.25">
      <c r="A2598" s="9" t="s">
        <v>5170</v>
      </c>
      <c r="C2598" s="9" t="str">
        <f>HYPERLINK("http://www.ncbi.nlm.nih.gov/protein/124248570","G3bp2")</f>
        <v>G3bp2</v>
      </c>
      <c r="D2598" s="10">
        <f t="shared" si="40"/>
        <v>5.6690724289092316</v>
      </c>
      <c r="F2598" s="8" t="str">
        <f>HYPERLINK("https://esbl.nhlbi.nih.gov/Databases/mpkFractions/proteomic_fractions_log_files/Yang_log_img/124248570.jpg","show blot")</f>
        <v>show blot</v>
      </c>
      <c r="H2598" s="8" t="str">
        <f>HYPERLINK("https://esbl.nhlbi.nih.gov/Databases/mpkFractions/proteomic_fractions_linear_files/Yang_linear_img/124248570.jpg","show blot")</f>
        <v>show blot</v>
      </c>
      <c r="J2598" s="5" t="s">
        <v>5171</v>
      </c>
      <c r="L2598" s="11">
        <v>5.6690724289092316</v>
      </c>
      <c r="N2598" s="12"/>
    </row>
    <row r="2599" spans="1:14" s="5" customFormat="1" ht="15" customHeight="1" x14ac:dyDescent="0.25">
      <c r="A2599" s="9" t="s">
        <v>5172</v>
      </c>
      <c r="C2599" s="9" t="str">
        <f>HYPERLINK("http://www.ncbi.nlm.nih.gov/protein/31982757","G3bp2")</f>
        <v>G3bp2</v>
      </c>
      <c r="D2599" s="10">
        <f t="shared" si="40"/>
        <v>5.6690724289092316</v>
      </c>
      <c r="F2599" s="8" t="str">
        <f>HYPERLINK("https://esbl.nhlbi.nih.gov/Databases/mpkFractions/proteomic_fractions_log_files/Yang_log_img/31982757.jpg","show blot")</f>
        <v>show blot</v>
      </c>
      <c r="H2599" s="8" t="str">
        <f>HYPERLINK("https://esbl.nhlbi.nih.gov/Databases/mpkFractions/proteomic_fractions_linear_files/Yang_linear_img/31982757.jpg","show blot")</f>
        <v>show blot</v>
      </c>
      <c r="J2599" s="5" t="s">
        <v>5173</v>
      </c>
      <c r="L2599" s="11">
        <v>5.6690724289092316</v>
      </c>
      <c r="N2599" s="12"/>
    </row>
    <row r="2600" spans="1:14" s="5" customFormat="1" ht="15" customHeight="1" x14ac:dyDescent="0.25">
      <c r="A2600" s="9" t="s">
        <v>5174</v>
      </c>
      <c r="C2600" s="9" t="str">
        <f>HYPERLINK("http://www.ncbi.nlm.nih.gov/protein/227330582","G6pd2")</f>
        <v>G6pd2</v>
      </c>
      <c r="D2600" s="10">
        <f t="shared" si="40"/>
        <v>5.3634615098012643</v>
      </c>
      <c r="F2600" s="8" t="str">
        <f>HYPERLINK("https://esbl.nhlbi.nih.gov/Databases/mpkFractions/proteomic_fractions_log_files/Yang_log_img/227330582.jpg","show blot")</f>
        <v>show blot</v>
      </c>
      <c r="H2600" s="8" t="str">
        <f>HYPERLINK("https://esbl.nhlbi.nih.gov/Databases/mpkFractions/proteomic_fractions_linear_files/Yang_linear_img/227330582.jpg","show blot")</f>
        <v>show blot</v>
      </c>
      <c r="J2600" s="5" t="s">
        <v>5175</v>
      </c>
      <c r="L2600" s="11">
        <v>5.3634615098012643</v>
      </c>
      <c r="N2600" s="12"/>
    </row>
    <row r="2601" spans="1:14" s="5" customFormat="1" ht="15" customHeight="1" x14ac:dyDescent="0.25">
      <c r="A2601" s="9" t="s">
        <v>5176</v>
      </c>
      <c r="C2601" s="9" t="str">
        <f>HYPERLINK("http://www.ncbi.nlm.nih.gov/protein/6996917","G6pdx")</f>
        <v>G6pdx</v>
      </c>
      <c r="D2601" s="10">
        <f t="shared" si="40"/>
        <v>5.825990552073895</v>
      </c>
      <c r="F2601" s="8" t="str">
        <f>HYPERLINK("https://esbl.nhlbi.nih.gov/Databases/mpkFractions/proteomic_fractions_log_files/Yang_log_img/6996917.jpg","show blot")</f>
        <v>show blot</v>
      </c>
      <c r="H2601" s="8" t="str">
        <f>HYPERLINK("https://esbl.nhlbi.nih.gov/Databases/mpkFractions/proteomic_fractions_linear_files/Yang_linear_img/6996917.jpg","show blot")</f>
        <v>show blot</v>
      </c>
      <c r="J2601" s="5" t="s">
        <v>5177</v>
      </c>
      <c r="L2601" s="11">
        <v>5.825990552073895</v>
      </c>
      <c r="N2601" s="12"/>
    </row>
    <row r="2602" spans="1:14" s="5" customFormat="1" ht="15" customHeight="1" x14ac:dyDescent="0.25">
      <c r="A2602" s="9" t="s">
        <v>5178</v>
      </c>
      <c r="C2602" s="9" t="str">
        <f>HYPERLINK("http://www.ncbi.nlm.nih.gov/protein/226693367","Gaa")</f>
        <v>Gaa</v>
      </c>
      <c r="D2602" s="10">
        <f t="shared" si="40"/>
        <v>4.6160001252865879</v>
      </c>
      <c r="F2602" s="8" t="str">
        <f>HYPERLINK("https://esbl.nhlbi.nih.gov/Databases/mpkFractions/proteomic_fractions_log_files/Yang_log_img/226693367.jpg","show blot")</f>
        <v>show blot</v>
      </c>
      <c r="H2602" s="8" t="str">
        <f>HYPERLINK("https://esbl.nhlbi.nih.gov/Databases/mpkFractions/proteomic_fractions_linear_files/Yang_linear_img/226693367.jpg","show blot")</f>
        <v>show blot</v>
      </c>
      <c r="J2602" s="5" t="s">
        <v>5179</v>
      </c>
      <c r="L2602" s="11">
        <v>4.6160001252865879</v>
      </c>
      <c r="N2602" s="12"/>
    </row>
    <row r="2603" spans="1:14" s="5" customFormat="1" ht="15" customHeight="1" x14ac:dyDescent="0.25">
      <c r="A2603" s="9" t="s">
        <v>5180</v>
      </c>
      <c r="C2603" s="9" t="str">
        <f>HYPERLINK("http://www.ncbi.nlm.nih.gov/protein/31542871","Gab1")</f>
        <v>Gab1</v>
      </c>
      <c r="D2603" s="10">
        <f t="shared" si="40"/>
        <v>3.9520501569701958</v>
      </c>
      <c r="F2603" s="8" t="str">
        <f>HYPERLINK("https://esbl.nhlbi.nih.gov/Databases/mpkFractions/proteomic_fractions_log_files/Yang_log_img/31542871.jpg","show blot")</f>
        <v>show blot</v>
      </c>
      <c r="H2603" s="8" t="str">
        <f>HYPERLINK("https://esbl.nhlbi.nih.gov/Databases/mpkFractions/proteomic_fractions_linear_files/Yang_linear_img/31542871.jpg","show blot")</f>
        <v>show blot</v>
      </c>
      <c r="J2603" s="5" t="s">
        <v>5181</v>
      </c>
      <c r="L2603" s="11">
        <v>3.9520501569701958</v>
      </c>
      <c r="N2603" s="12"/>
    </row>
    <row r="2604" spans="1:14" s="5" customFormat="1" ht="15" customHeight="1" x14ac:dyDescent="0.25">
      <c r="A2604" s="9" t="s">
        <v>5182</v>
      </c>
      <c r="C2604" s="9" t="str">
        <f>HYPERLINK("http://www.ncbi.nlm.nih.gov/protein/9789961","Gabarap")</f>
        <v>Gabarap</v>
      </c>
      <c r="D2604" s="10">
        <f t="shared" si="40"/>
        <v>4.9244097659465478</v>
      </c>
      <c r="F2604" s="8" t="str">
        <f>HYPERLINK("https://esbl.nhlbi.nih.gov/Databases/mpkFractions/proteomic_fractions_log_files/Yang_log_img/9789961.jpg","show blot")</f>
        <v>show blot</v>
      </c>
      <c r="H2604" s="8" t="str">
        <f>HYPERLINK("https://esbl.nhlbi.nih.gov/Databases/mpkFractions/proteomic_fractions_linear_files/Yang_linear_img/9789961.jpg","show blot")</f>
        <v>show blot</v>
      </c>
      <c r="J2604" s="5" t="s">
        <v>5183</v>
      </c>
      <c r="L2604" s="11">
        <v>4.9244097659465478</v>
      </c>
      <c r="N2604" s="12"/>
    </row>
    <row r="2605" spans="1:14" s="5" customFormat="1" ht="15" customHeight="1" x14ac:dyDescent="0.25">
      <c r="A2605" s="9" t="s">
        <v>5184</v>
      </c>
      <c r="C2605" s="9" t="str">
        <f>HYPERLINK("http://www.ncbi.nlm.nih.gov/protein/10181206","Gabarapl1")</f>
        <v>Gabarapl1</v>
      </c>
      <c r="D2605" s="10">
        <f t="shared" si="40"/>
        <v>4.9250760065437236</v>
      </c>
      <c r="F2605" s="8" t="str">
        <f>HYPERLINK("https://esbl.nhlbi.nih.gov/Databases/mpkFractions/proteomic_fractions_log_files/Yang_log_img/10181206.jpg","show blot")</f>
        <v>show blot</v>
      </c>
      <c r="H2605" s="8" t="str">
        <f>HYPERLINK("https://esbl.nhlbi.nih.gov/Databases/mpkFractions/proteomic_fractions_linear_files/Yang_linear_img/10181206.jpg","show blot")</f>
        <v>show blot</v>
      </c>
      <c r="J2605" s="5" t="s">
        <v>5185</v>
      </c>
      <c r="L2605" s="11">
        <v>4.9250760065437236</v>
      </c>
      <c r="N2605" s="12"/>
    </row>
    <row r="2606" spans="1:14" s="5" customFormat="1" ht="15" customHeight="1" x14ac:dyDescent="0.25">
      <c r="A2606" s="9" t="s">
        <v>5186</v>
      </c>
      <c r="C2606" s="9" t="str">
        <f>HYPERLINK("http://www.ncbi.nlm.nih.gov/protein/31542873","Gabarapl2")</f>
        <v>Gabarapl2</v>
      </c>
      <c r="D2606" s="10">
        <f t="shared" si="40"/>
        <v>5.1953293622830943</v>
      </c>
      <c r="F2606" s="8" t="str">
        <f>HYPERLINK("https://esbl.nhlbi.nih.gov/Databases/mpkFractions/proteomic_fractions_log_files/Yang_log_img/31542873.jpg","show blot")</f>
        <v>show blot</v>
      </c>
      <c r="H2606" s="8" t="str">
        <f>HYPERLINK("https://esbl.nhlbi.nih.gov/Databases/mpkFractions/proteomic_fractions_linear_files/Yang_linear_img/31542873.jpg","show blot")</f>
        <v>show blot</v>
      </c>
      <c r="J2606" s="5" t="s">
        <v>5187</v>
      </c>
      <c r="L2606" s="11">
        <v>5.1953293622830943</v>
      </c>
      <c r="N2606" s="12"/>
    </row>
    <row r="2607" spans="1:14" s="5" customFormat="1" ht="15" customHeight="1" x14ac:dyDescent="0.25">
      <c r="A2607" s="9" t="s">
        <v>5188</v>
      </c>
      <c r="C2607" s="9" t="str">
        <f>HYPERLINK("http://www.ncbi.nlm.nih.gov/protein/34328119","Gabpa")</f>
        <v>Gabpa</v>
      </c>
      <c r="D2607" s="10">
        <f t="shared" si="40"/>
        <v>4.9821772627647549</v>
      </c>
      <c r="F2607" s="8" t="str">
        <f>HYPERLINK("https://esbl.nhlbi.nih.gov/Databases/mpkFractions/proteomic_fractions_log_files/Yang_log_img/34328119.jpg","show blot")</f>
        <v>show blot</v>
      </c>
      <c r="H2607" s="8" t="str">
        <f>HYPERLINK("https://esbl.nhlbi.nih.gov/Databases/mpkFractions/proteomic_fractions_linear_files/Yang_linear_img/34328119.jpg","show blot")</f>
        <v>show blot</v>
      </c>
      <c r="J2607" s="5" t="s">
        <v>5189</v>
      </c>
      <c r="L2607" s="11">
        <v>4.9821772627647549</v>
      </c>
      <c r="N2607" s="12"/>
    </row>
    <row r="2608" spans="1:14" s="5" customFormat="1" ht="15" customHeight="1" x14ac:dyDescent="0.25">
      <c r="A2608" s="9" t="s">
        <v>5190</v>
      </c>
      <c r="C2608" s="9" t="str">
        <f>HYPERLINK("http://www.ncbi.nlm.nih.gov/protein/407728605","Gabpb1")</f>
        <v>Gabpb1</v>
      </c>
      <c r="D2608" s="10">
        <f t="shared" si="40"/>
        <v>3.674695360026663</v>
      </c>
      <c r="F2608" s="8" t="str">
        <f>HYPERLINK("https://esbl.nhlbi.nih.gov/Databases/mpkFractions/proteomic_fractions_log_files/Yang_log_img/407728605.jpg","show blot")</f>
        <v>show blot</v>
      </c>
      <c r="H2608" s="8" t="str">
        <f>HYPERLINK("https://esbl.nhlbi.nih.gov/Databases/mpkFractions/proteomic_fractions_linear_files/Yang_linear_img/407728605.jpg","show blot")</f>
        <v>show blot</v>
      </c>
      <c r="J2608" s="5" t="s">
        <v>5191</v>
      </c>
      <c r="L2608" s="11">
        <v>3.674695360026663</v>
      </c>
      <c r="N2608" s="12"/>
    </row>
    <row r="2609" spans="1:14" s="5" customFormat="1" ht="15" customHeight="1" x14ac:dyDescent="0.25">
      <c r="A2609" s="9" t="s">
        <v>5192</v>
      </c>
      <c r="C2609" s="9" t="str">
        <f>HYPERLINK("http://www.ncbi.nlm.nih.gov/protein/46575942","Gabpb1")</f>
        <v>Gabpb1</v>
      </c>
      <c r="D2609" s="10">
        <f t="shared" si="40"/>
        <v>3.674695360026663</v>
      </c>
      <c r="F2609" s="8" t="str">
        <f>HYPERLINK("https://esbl.nhlbi.nih.gov/Databases/mpkFractions/proteomic_fractions_log_files/Yang_log_img/46575942.jpg","show blot")</f>
        <v>show blot</v>
      </c>
      <c r="H2609" s="8" t="str">
        <f>HYPERLINK("https://esbl.nhlbi.nih.gov/Databases/mpkFractions/proteomic_fractions_linear_files/Yang_linear_img/46575942.jpg","show blot")</f>
        <v>show blot</v>
      </c>
      <c r="J2609" s="5" t="s">
        <v>5193</v>
      </c>
      <c r="L2609" s="11">
        <v>3.674695360026663</v>
      </c>
      <c r="N2609" s="12"/>
    </row>
    <row r="2610" spans="1:14" s="5" customFormat="1" ht="15" customHeight="1" x14ac:dyDescent="0.25">
      <c r="A2610" s="9" t="s">
        <v>5194</v>
      </c>
      <c r="C2610" s="9" t="str">
        <f>HYPERLINK("http://www.ncbi.nlm.nih.gov/protein/6678980","Gadd45b")</f>
        <v>Gadd45b</v>
      </c>
      <c r="D2610" s="10">
        <f t="shared" si="40"/>
        <v>3.3096538211652859</v>
      </c>
      <c r="F2610" s="8" t="str">
        <f>HYPERLINK("https://esbl.nhlbi.nih.gov/Databases/mpkFractions/proteomic_fractions_log_files/Yang_log_img/6678980.jpg","show blot")</f>
        <v>show blot</v>
      </c>
      <c r="H2610" s="8" t="str">
        <f>HYPERLINK("https://esbl.nhlbi.nih.gov/Databases/mpkFractions/proteomic_fractions_linear_files/Yang_linear_img/6678980.jpg","show blot")</f>
        <v>show blot</v>
      </c>
      <c r="J2610" s="5" t="s">
        <v>5195</v>
      </c>
      <c r="L2610" s="11">
        <v>3.3096538211652859</v>
      </c>
      <c r="N2610" s="12"/>
    </row>
    <row r="2611" spans="1:14" s="5" customFormat="1" ht="15" customHeight="1" x14ac:dyDescent="0.25">
      <c r="A2611" s="9" t="s">
        <v>5196</v>
      </c>
      <c r="C2611" s="9" t="str">
        <f>HYPERLINK("http://www.ncbi.nlm.nih.gov/protein/269315840","Gadd45gip1")</f>
        <v>Gadd45gip1</v>
      </c>
      <c r="D2611" s="10">
        <f t="shared" si="40"/>
        <v>4.2404076974328921</v>
      </c>
      <c r="F2611" s="8" t="str">
        <f>HYPERLINK("https://esbl.nhlbi.nih.gov/Databases/mpkFractions/proteomic_fractions_log_files/Yang_log_img/269315840.jpg","show blot")</f>
        <v>show blot</v>
      </c>
      <c r="H2611" s="8" t="str">
        <f>HYPERLINK("https://esbl.nhlbi.nih.gov/Databases/mpkFractions/proteomic_fractions_linear_files/Yang_linear_img/269315840.jpg","show blot")</f>
        <v>show blot</v>
      </c>
      <c r="J2611" s="5" t="s">
        <v>5197</v>
      </c>
      <c r="L2611" s="11">
        <v>4.2404076974328921</v>
      </c>
      <c r="N2611" s="12"/>
    </row>
    <row r="2612" spans="1:14" s="5" customFormat="1" ht="15" customHeight="1" x14ac:dyDescent="0.25">
      <c r="A2612" s="9" t="s">
        <v>5198</v>
      </c>
      <c r="C2612" s="9" t="str">
        <f>HYPERLINK("http://www.ncbi.nlm.nih.gov/protein/51317387","Gak")</f>
        <v>Gak</v>
      </c>
      <c r="D2612" s="10">
        <f t="shared" si="40"/>
        <v>3.8951463095853471</v>
      </c>
      <c r="F2612" s="8" t="str">
        <f>HYPERLINK("https://esbl.nhlbi.nih.gov/Databases/mpkFractions/proteomic_fractions_log_files/Yang_log_img/51317387.jpg","show blot")</f>
        <v>show blot</v>
      </c>
      <c r="H2612" s="8" t="str">
        <f>HYPERLINK("https://esbl.nhlbi.nih.gov/Databases/mpkFractions/proteomic_fractions_linear_files/Yang_linear_img/51317387.jpg","show blot")</f>
        <v>show blot</v>
      </c>
      <c r="J2612" s="5" t="s">
        <v>5199</v>
      </c>
      <c r="L2612" s="11">
        <v>3.8951463095853471</v>
      </c>
      <c r="N2612" s="12"/>
    </row>
    <row r="2613" spans="1:14" s="5" customFormat="1" ht="15" customHeight="1" x14ac:dyDescent="0.25">
      <c r="A2613" s="9" t="s">
        <v>5200</v>
      </c>
      <c r="C2613" s="9" t="str">
        <f>HYPERLINK("http://www.ncbi.nlm.nih.gov/protein/93102411","Galc")</f>
        <v>Galc</v>
      </c>
      <c r="D2613" s="10">
        <f t="shared" si="40"/>
        <v>4.939789304461458</v>
      </c>
      <c r="F2613" s="8" t="str">
        <f>HYPERLINK("https://esbl.nhlbi.nih.gov/Databases/mpkFractions/proteomic_fractions_log_files/Yang_log_img/93102411.jpg","show blot")</f>
        <v>show blot</v>
      </c>
      <c r="H2613" s="8" t="str">
        <f>HYPERLINK("https://esbl.nhlbi.nih.gov/Databases/mpkFractions/proteomic_fractions_linear_files/Yang_linear_img/93102411.jpg","show blot")</f>
        <v>show blot</v>
      </c>
      <c r="J2613" s="5" t="s">
        <v>5201</v>
      </c>
      <c r="L2613" s="11">
        <v>4.939789304461458</v>
      </c>
      <c r="N2613" s="12"/>
    </row>
    <row r="2614" spans="1:14" s="5" customFormat="1" ht="15" customHeight="1" x14ac:dyDescent="0.25">
      <c r="A2614" s="9" t="s">
        <v>5202</v>
      </c>
      <c r="C2614" s="9" t="str">
        <f>HYPERLINK("http://www.ncbi.nlm.nih.gov/protein/30409988","Gale")</f>
        <v>Gale</v>
      </c>
      <c r="D2614" s="10">
        <f t="shared" si="40"/>
        <v>4.916112544373167</v>
      </c>
      <c r="F2614" s="8" t="str">
        <f>HYPERLINK("https://esbl.nhlbi.nih.gov/Databases/mpkFractions/proteomic_fractions_log_files/Yang_log_img/30409988.jpg","show blot")</f>
        <v>show blot</v>
      </c>
      <c r="H2614" s="8" t="str">
        <f>HYPERLINK("https://esbl.nhlbi.nih.gov/Databases/mpkFractions/proteomic_fractions_linear_files/Yang_linear_img/30409988.jpg","show blot")</f>
        <v>show blot</v>
      </c>
      <c r="J2614" s="5" t="s">
        <v>5203</v>
      </c>
      <c r="L2614" s="11">
        <v>4.916112544373167</v>
      </c>
      <c r="N2614" s="12"/>
    </row>
    <row r="2615" spans="1:14" s="5" customFormat="1" ht="15" customHeight="1" x14ac:dyDescent="0.25">
      <c r="A2615" s="9" t="s">
        <v>5204</v>
      </c>
      <c r="C2615" s="9" t="str">
        <f>HYPERLINK("http://www.ncbi.nlm.nih.gov/protein/93102413","Galk1")</f>
        <v>Galk1</v>
      </c>
      <c r="D2615" s="10">
        <f t="shared" si="40"/>
        <v>6.1071227566046762</v>
      </c>
      <c r="F2615" s="8" t="str">
        <f>HYPERLINK("https://esbl.nhlbi.nih.gov/Databases/mpkFractions/proteomic_fractions_log_files/Yang_log_img/93102413.jpg","show blot")</f>
        <v>show blot</v>
      </c>
      <c r="H2615" s="8" t="str">
        <f>HYPERLINK("https://esbl.nhlbi.nih.gov/Databases/mpkFractions/proteomic_fractions_linear_files/Yang_linear_img/93102413.jpg","show blot")</f>
        <v>show blot</v>
      </c>
      <c r="J2615" s="5" t="s">
        <v>5205</v>
      </c>
      <c r="L2615" s="11">
        <v>6.1071227566046762</v>
      </c>
      <c r="N2615" s="12"/>
    </row>
    <row r="2616" spans="1:14" s="5" customFormat="1" ht="15" customHeight="1" x14ac:dyDescent="0.25">
      <c r="A2616" s="9" t="s">
        <v>5206</v>
      </c>
      <c r="C2616" s="9" t="str">
        <f>HYPERLINK("http://www.ncbi.nlm.nih.gov/protein/30424748","Galk2")</f>
        <v>Galk2</v>
      </c>
      <c r="D2616" s="10">
        <f t="shared" si="40"/>
        <v>4.6131914282072417</v>
      </c>
      <c r="F2616" s="8" t="str">
        <f>HYPERLINK("https://esbl.nhlbi.nih.gov/Databases/mpkFractions/proteomic_fractions_log_files/Yang_log_img/30424748.jpg","show blot")</f>
        <v>show blot</v>
      </c>
      <c r="H2616" s="8" t="str">
        <f>HYPERLINK("https://esbl.nhlbi.nih.gov/Databases/mpkFractions/proteomic_fractions_linear_files/Yang_linear_img/30424748.jpg","show blot")</f>
        <v>show blot</v>
      </c>
      <c r="J2616" s="5" t="s">
        <v>5207</v>
      </c>
      <c r="L2616" s="11">
        <v>4.6131914282072417</v>
      </c>
      <c r="N2616" s="12"/>
    </row>
    <row r="2617" spans="1:14" s="5" customFormat="1" ht="15" customHeight="1" x14ac:dyDescent="0.25">
      <c r="A2617" s="9" t="s">
        <v>5208</v>
      </c>
      <c r="C2617" s="9" t="str">
        <f>HYPERLINK("http://www.ncbi.nlm.nih.gov/protein/28892785","Galm")</f>
        <v>Galm</v>
      </c>
      <c r="D2617" s="10">
        <f t="shared" si="40"/>
        <v>5.0612162057576402</v>
      </c>
      <c r="F2617" s="8" t="str">
        <f>HYPERLINK("https://esbl.nhlbi.nih.gov/Databases/mpkFractions/proteomic_fractions_log_files/Yang_log_img/28892785.jpg","show blot")</f>
        <v>show blot</v>
      </c>
      <c r="H2617" s="8" t="str">
        <f>HYPERLINK("https://esbl.nhlbi.nih.gov/Databases/mpkFractions/proteomic_fractions_linear_files/Yang_linear_img/28892785.jpg","show blot")</f>
        <v>show blot</v>
      </c>
      <c r="J2617" s="5" t="s">
        <v>5209</v>
      </c>
      <c r="L2617" s="11">
        <v>5.0612162057576402</v>
      </c>
      <c r="N2617" s="12"/>
    </row>
    <row r="2618" spans="1:14" s="5" customFormat="1" ht="15" customHeight="1" x14ac:dyDescent="0.25">
      <c r="A2618" s="9" t="s">
        <v>5210</v>
      </c>
      <c r="C2618" s="9" t="str">
        <f>HYPERLINK("http://www.ncbi.nlm.nih.gov/protein/302370951","Galns")</f>
        <v>Galns</v>
      </c>
      <c r="D2618" s="10">
        <f t="shared" si="40"/>
        <v>4.3803716048902821</v>
      </c>
      <c r="F2618" s="8" t="str">
        <f>HYPERLINK("https://esbl.nhlbi.nih.gov/Databases/mpkFractions/proteomic_fractions_log_files/Yang_log_img/302370951.jpg","show blot")</f>
        <v>show blot</v>
      </c>
      <c r="H2618" s="8" t="str">
        <f>HYPERLINK("https://esbl.nhlbi.nih.gov/Databases/mpkFractions/proteomic_fractions_linear_files/Yang_linear_img/302370951.jpg","show blot")</f>
        <v>show blot</v>
      </c>
      <c r="J2618" s="5" t="s">
        <v>5211</v>
      </c>
      <c r="L2618" s="11">
        <v>4.3803716048902821</v>
      </c>
      <c r="N2618" s="12"/>
    </row>
    <row r="2619" spans="1:14" s="5" customFormat="1" ht="15" customHeight="1" x14ac:dyDescent="0.25">
      <c r="A2619" s="9" t="s">
        <v>5212</v>
      </c>
      <c r="C2619" s="9" t="str">
        <f>HYPERLINK("http://www.ncbi.nlm.nih.gov/protein/171184398","Galns")</f>
        <v>Galns</v>
      </c>
      <c r="D2619" s="10">
        <f t="shared" si="40"/>
        <v>4.3803716048902821</v>
      </c>
      <c r="F2619" s="8" t="str">
        <f>HYPERLINK("https://esbl.nhlbi.nih.gov/Databases/mpkFractions/proteomic_fractions_log_files/Yang_log_img/171184398.jpg","show blot")</f>
        <v>show blot</v>
      </c>
      <c r="H2619" s="8" t="str">
        <f>HYPERLINK("https://esbl.nhlbi.nih.gov/Databases/mpkFractions/proteomic_fractions_linear_files/Yang_linear_img/171184398.jpg","show blot")</f>
        <v>show blot</v>
      </c>
      <c r="J2619" s="5" t="s">
        <v>5213</v>
      </c>
      <c r="L2619" s="11">
        <v>4.3803716048902821</v>
      </c>
      <c r="N2619" s="12"/>
    </row>
    <row r="2620" spans="1:14" s="5" customFormat="1" ht="15" customHeight="1" x14ac:dyDescent="0.25">
      <c r="A2620" s="9" t="s">
        <v>5214</v>
      </c>
      <c r="C2620" s="9" t="str">
        <f>HYPERLINK("http://www.ncbi.nlm.nih.gov/protein/237874259","Galnt1")</f>
        <v>Galnt1</v>
      </c>
      <c r="D2620" s="10">
        <f t="shared" si="40"/>
        <v>3.7166590834074569</v>
      </c>
      <c r="F2620" s="8" t="str">
        <f>HYPERLINK("https://esbl.nhlbi.nih.gov/Databases/mpkFractions/proteomic_fractions_log_files/Yang_log_img/237874259.jpg","show blot")</f>
        <v>show blot</v>
      </c>
      <c r="H2620" s="8" t="str">
        <f>HYPERLINK("https://esbl.nhlbi.nih.gov/Databases/mpkFractions/proteomic_fractions_linear_files/Yang_linear_img/237874259.jpg","show blot")</f>
        <v>show blot</v>
      </c>
      <c r="J2620" s="5" t="s">
        <v>5215</v>
      </c>
      <c r="L2620" s="11">
        <v>3.7166590834074569</v>
      </c>
      <c r="N2620" s="12"/>
    </row>
    <row r="2621" spans="1:14" s="5" customFormat="1" ht="15" customHeight="1" x14ac:dyDescent="0.25">
      <c r="A2621" s="9" t="s">
        <v>5216</v>
      </c>
      <c r="C2621" s="9" t="str">
        <f>HYPERLINK("http://www.ncbi.nlm.nih.gov/protein/76677928","Galnt13")</f>
        <v>Galnt13</v>
      </c>
      <c r="D2621" s="10">
        <f t="shared" si="40"/>
        <v>3.7103380451637871</v>
      </c>
      <c r="F2621" s="8" t="str">
        <f>HYPERLINK("https://esbl.nhlbi.nih.gov/Databases/mpkFractions/proteomic_fractions_log_files/Yang_log_img/76677928.jpg","show blot")</f>
        <v>show blot</v>
      </c>
      <c r="H2621" s="8" t="str">
        <f>HYPERLINK("https://esbl.nhlbi.nih.gov/Databases/mpkFractions/proteomic_fractions_linear_files/Yang_linear_img/76677928.jpg","show blot")</f>
        <v>show blot</v>
      </c>
      <c r="J2621" s="5" t="s">
        <v>5217</v>
      </c>
      <c r="L2621" s="11">
        <v>3.7103380451637871</v>
      </c>
      <c r="N2621" s="12"/>
    </row>
    <row r="2622" spans="1:14" s="5" customFormat="1" ht="15" customHeight="1" x14ac:dyDescent="0.25">
      <c r="A2622" s="9" t="s">
        <v>5218</v>
      </c>
      <c r="C2622" s="9" t="str">
        <f>HYPERLINK("http://www.ncbi.nlm.nih.gov/protein/46877109","Galnt2")</f>
        <v>Galnt2</v>
      </c>
      <c r="D2622" s="10">
        <f t="shared" si="40"/>
        <v>4.3408903555110134</v>
      </c>
      <c r="F2622" s="8" t="str">
        <f>HYPERLINK("https://esbl.nhlbi.nih.gov/Databases/mpkFractions/proteomic_fractions_log_files/Yang_log_img/46877109.jpg","show blot")</f>
        <v>show blot</v>
      </c>
      <c r="H2622" s="8" t="str">
        <f>HYPERLINK("https://esbl.nhlbi.nih.gov/Databases/mpkFractions/proteomic_fractions_linear_files/Yang_linear_img/46877109.jpg","show blot")</f>
        <v>show blot</v>
      </c>
      <c r="J2622" s="5" t="s">
        <v>5219</v>
      </c>
      <c r="L2622" s="11">
        <v>4.3408903555110134</v>
      </c>
      <c r="N2622" s="12"/>
    </row>
    <row r="2623" spans="1:14" s="5" customFormat="1" ht="15" customHeight="1" x14ac:dyDescent="0.25">
      <c r="A2623" s="9" t="s">
        <v>5220</v>
      </c>
      <c r="C2623" s="9" t="str">
        <f>HYPERLINK("http://www.ncbi.nlm.nih.gov/protein/162951828","Galnt3")</f>
        <v>Galnt3</v>
      </c>
      <c r="D2623" s="10">
        <f t="shared" si="40"/>
        <v>5.1182966413420159</v>
      </c>
      <c r="F2623" s="8" t="str">
        <f>HYPERLINK("https://esbl.nhlbi.nih.gov/Databases/mpkFractions/proteomic_fractions_log_files/Yang_log_img/162951828.jpg","show blot")</f>
        <v>show blot</v>
      </c>
      <c r="H2623" s="8" t="str">
        <f>HYPERLINK("https://esbl.nhlbi.nih.gov/Databases/mpkFractions/proteomic_fractions_linear_files/Yang_linear_img/162951828.jpg","show blot")</f>
        <v>show blot</v>
      </c>
      <c r="J2623" s="5" t="s">
        <v>5221</v>
      </c>
      <c r="L2623" s="11">
        <v>5.1182966413420159</v>
      </c>
      <c r="N2623" s="12"/>
    </row>
    <row r="2624" spans="1:14" s="5" customFormat="1" ht="15" customHeight="1" x14ac:dyDescent="0.25">
      <c r="A2624" s="9" t="s">
        <v>5222</v>
      </c>
      <c r="C2624" s="9" t="str">
        <f>HYPERLINK("http://www.ncbi.nlm.nih.gov/protein/7657112","Galnt4")</f>
        <v>Galnt4</v>
      </c>
      <c r="D2624" s="10">
        <f t="shared" si="40"/>
        <v>2.6132650694913</v>
      </c>
      <c r="F2624" s="8" t="str">
        <f>HYPERLINK("https://esbl.nhlbi.nih.gov/Databases/mpkFractions/proteomic_fractions_log_files/Yang_log_img/7657112.jpg","show blot")</f>
        <v>show blot</v>
      </c>
      <c r="H2624" s="8" t="str">
        <f>HYPERLINK("https://esbl.nhlbi.nih.gov/Databases/mpkFractions/proteomic_fractions_linear_files/Yang_linear_img/7657112.jpg","show blot")</f>
        <v>show blot</v>
      </c>
      <c r="J2624" s="5" t="s">
        <v>5223</v>
      </c>
      <c r="L2624" s="11">
        <v>2.6132650694913</v>
      </c>
      <c r="N2624" s="12"/>
    </row>
    <row r="2625" spans="1:14" s="5" customFormat="1" ht="15" customHeight="1" x14ac:dyDescent="0.25">
      <c r="A2625" s="9" t="s">
        <v>5224</v>
      </c>
      <c r="C2625" s="9" t="str">
        <f>HYPERLINK("http://www.ncbi.nlm.nih.gov/protein/269784707","Galnt7")</f>
        <v>Galnt7</v>
      </c>
      <c r="D2625" s="10">
        <f t="shared" si="40"/>
        <v>2.9481270187726478</v>
      </c>
      <c r="F2625" s="8" t="str">
        <f>HYPERLINK("https://esbl.nhlbi.nih.gov/Databases/mpkFractions/proteomic_fractions_log_files/Yang_log_img/269784707.jpg","show blot")</f>
        <v>show blot</v>
      </c>
      <c r="H2625" s="8" t="str">
        <f>HYPERLINK("https://esbl.nhlbi.nih.gov/Databases/mpkFractions/proteomic_fractions_linear_files/Yang_linear_img/269784707.jpg","show blot")</f>
        <v>show blot</v>
      </c>
      <c r="J2625" s="5" t="s">
        <v>5225</v>
      </c>
      <c r="L2625" s="11">
        <v>2.9481270187726478</v>
      </c>
      <c r="N2625" s="12"/>
    </row>
    <row r="2626" spans="1:14" s="5" customFormat="1" ht="15" customHeight="1" x14ac:dyDescent="0.25">
      <c r="A2626" s="9" t="s">
        <v>5226</v>
      </c>
      <c r="C2626" s="9" t="str">
        <f>HYPERLINK("http://www.ncbi.nlm.nih.gov/protein/269784709","Galnt7")</f>
        <v>Galnt7</v>
      </c>
      <c r="D2626" s="10">
        <f t="shared" si="40"/>
        <v>2.9481270187726478</v>
      </c>
      <c r="F2626" s="8" t="str">
        <f>HYPERLINK("https://esbl.nhlbi.nih.gov/Databases/mpkFractions/proteomic_fractions_log_files/Yang_log_img/269784709.jpg","show blot")</f>
        <v>show blot</v>
      </c>
      <c r="H2626" s="8" t="str">
        <f>HYPERLINK("https://esbl.nhlbi.nih.gov/Databases/mpkFractions/proteomic_fractions_linear_files/Yang_linear_img/269784709.jpg","show blot")</f>
        <v>show blot</v>
      </c>
      <c r="J2626" s="5" t="s">
        <v>5227</v>
      </c>
      <c r="L2626" s="11">
        <v>2.9481270187726478</v>
      </c>
      <c r="N2626" s="12"/>
    </row>
    <row r="2627" spans="1:14" s="5" customFormat="1" ht="15" customHeight="1" x14ac:dyDescent="0.25">
      <c r="A2627" s="9" t="s">
        <v>5228</v>
      </c>
      <c r="C2627" s="9" t="str">
        <f>HYPERLINK("http://www.ncbi.nlm.nih.gov/protein/6753944","Gamt")</f>
        <v>Gamt</v>
      </c>
      <c r="D2627" s="10">
        <f t="shared" si="40"/>
        <v>4.1764530913676499</v>
      </c>
      <c r="F2627" s="8" t="str">
        <f>HYPERLINK("https://esbl.nhlbi.nih.gov/Databases/mpkFractions/proteomic_fractions_log_files/Yang_log_img/6753944.jpg","show blot")</f>
        <v>show blot</v>
      </c>
      <c r="H2627" s="8" t="str">
        <f>HYPERLINK("https://esbl.nhlbi.nih.gov/Databases/mpkFractions/proteomic_fractions_linear_files/Yang_linear_img/6753944.jpg","show blot")</f>
        <v>show blot</v>
      </c>
      <c r="J2627" s="5" t="s">
        <v>5229</v>
      </c>
      <c r="L2627" s="11">
        <v>4.1764530913676499</v>
      </c>
      <c r="N2627" s="12"/>
    </row>
    <row r="2628" spans="1:14" s="5" customFormat="1" ht="15" customHeight="1" x14ac:dyDescent="0.25">
      <c r="A2628" s="9" t="s">
        <v>5230</v>
      </c>
      <c r="C2628" s="9" t="str">
        <f>HYPERLINK("http://www.ncbi.nlm.nih.gov/protein/6679891","Ganab")</f>
        <v>Ganab</v>
      </c>
      <c r="D2628" s="10">
        <f t="shared" si="40"/>
        <v>6.0731244192583862</v>
      </c>
      <c r="F2628" s="8" t="str">
        <f>HYPERLINK("https://esbl.nhlbi.nih.gov/Databases/mpkFractions/proteomic_fractions_log_files/Yang_log_img/6679891.jpg","show blot")</f>
        <v>show blot</v>
      </c>
      <c r="H2628" s="8" t="str">
        <f>HYPERLINK("https://esbl.nhlbi.nih.gov/Databases/mpkFractions/proteomic_fractions_linear_files/Yang_linear_img/6679891.jpg","show blot")</f>
        <v>show blot</v>
      </c>
      <c r="J2628" s="5" t="s">
        <v>5231</v>
      </c>
      <c r="L2628" s="11">
        <v>6.0731244192583862</v>
      </c>
      <c r="N2628" s="12"/>
    </row>
    <row r="2629" spans="1:14" s="5" customFormat="1" ht="15" customHeight="1" x14ac:dyDescent="0.25">
      <c r="A2629" s="9" t="s">
        <v>5232</v>
      </c>
      <c r="C2629" s="9" t="str">
        <f>HYPERLINK("http://www.ncbi.nlm.nih.gov/protein/6679939","Gapdhs")</f>
        <v>Gapdhs</v>
      </c>
      <c r="D2629" s="10">
        <f t="shared" ref="D2629:D2692" si="41">L2629</f>
        <v>6.5614204467047799</v>
      </c>
      <c r="F2629" s="8" t="str">
        <f>HYPERLINK("https://esbl.nhlbi.nih.gov/Databases/mpkFractions/proteomic_fractions_log_files/Yang_log_img/6679939.jpg","show blot")</f>
        <v>show blot</v>
      </c>
      <c r="H2629" s="8" t="str">
        <f>HYPERLINK("https://esbl.nhlbi.nih.gov/Databases/mpkFractions/proteomic_fractions_linear_files/Yang_linear_img/6679939.jpg","show blot")</f>
        <v>show blot</v>
      </c>
      <c r="J2629" s="5" t="s">
        <v>5233</v>
      </c>
      <c r="L2629" s="11">
        <v>6.5614204467047799</v>
      </c>
      <c r="N2629" s="12"/>
    </row>
    <row r="2630" spans="1:14" s="5" customFormat="1" ht="15" customHeight="1" x14ac:dyDescent="0.25">
      <c r="A2630" s="9" t="s">
        <v>5234</v>
      </c>
      <c r="C2630" s="9" t="str">
        <f>HYPERLINK("http://www.ncbi.nlm.nih.gov/protein/40254514","Gapvd1")</f>
        <v>Gapvd1</v>
      </c>
      <c r="D2630" s="10">
        <f t="shared" si="41"/>
        <v>3.7587328490407281</v>
      </c>
      <c r="F2630" s="8" t="str">
        <f>HYPERLINK("https://esbl.nhlbi.nih.gov/Databases/mpkFractions/proteomic_fractions_log_files/Yang_log_img/40254514.jpg","show blot")</f>
        <v>show blot</v>
      </c>
      <c r="H2630" s="8" t="str">
        <f>HYPERLINK("https://esbl.nhlbi.nih.gov/Databases/mpkFractions/proteomic_fractions_linear_files/Yang_linear_img/40254514.jpg","show blot")</f>
        <v>show blot</v>
      </c>
      <c r="J2630" s="5" t="s">
        <v>5235</v>
      </c>
      <c r="L2630" s="11">
        <v>3.7587328490407281</v>
      </c>
      <c r="N2630" s="12"/>
    </row>
    <row r="2631" spans="1:14" s="5" customFormat="1" ht="15" customHeight="1" x14ac:dyDescent="0.25">
      <c r="A2631" s="9" t="s">
        <v>5236</v>
      </c>
      <c r="C2631" s="9" t="str">
        <f>HYPERLINK("http://www.ncbi.nlm.nih.gov/protein/13384710","Gar1")</f>
        <v>Gar1</v>
      </c>
      <c r="D2631" s="10">
        <f t="shared" si="41"/>
        <v>4.0044269929874972</v>
      </c>
      <c r="F2631" s="8" t="str">
        <f>HYPERLINK("https://esbl.nhlbi.nih.gov/Databases/mpkFractions/proteomic_fractions_log_files/Yang_log_img/13384710.jpg","show blot")</f>
        <v>show blot</v>
      </c>
      <c r="H2631" s="8" t="str">
        <f>HYPERLINK("https://esbl.nhlbi.nih.gov/Databases/mpkFractions/proteomic_fractions_linear_files/Yang_linear_img/13384710.jpg","show blot")</f>
        <v>show blot</v>
      </c>
      <c r="J2631" s="5" t="s">
        <v>5237</v>
      </c>
      <c r="L2631" s="11">
        <v>4.0044269929874972</v>
      </c>
      <c r="N2631" s="12"/>
    </row>
    <row r="2632" spans="1:14" s="5" customFormat="1" ht="15" customHeight="1" x14ac:dyDescent="0.25">
      <c r="A2632" s="9" t="s">
        <v>5238</v>
      </c>
      <c r="C2632" s="9" t="str">
        <f>HYPERLINK("http://www.ncbi.nlm.nih.gov/protein/93102417","Gars")</f>
        <v>Gars</v>
      </c>
      <c r="D2632" s="10">
        <f t="shared" si="41"/>
        <v>5.4838294972349457</v>
      </c>
      <c r="F2632" s="8" t="str">
        <f>HYPERLINK("https://esbl.nhlbi.nih.gov/Databases/mpkFractions/proteomic_fractions_log_files/Yang_log_img/93102417.jpg","show blot")</f>
        <v>show blot</v>
      </c>
      <c r="H2632" s="8" t="str">
        <f>HYPERLINK("https://esbl.nhlbi.nih.gov/Databases/mpkFractions/proteomic_fractions_linear_files/Yang_linear_img/93102417.jpg","show blot")</f>
        <v>show blot</v>
      </c>
      <c r="J2632" s="5" t="s">
        <v>5239</v>
      </c>
      <c r="L2632" s="11">
        <v>5.4838294972349457</v>
      </c>
      <c r="N2632" s="12"/>
    </row>
    <row r="2633" spans="1:14" s="5" customFormat="1" ht="15" customHeight="1" x14ac:dyDescent="0.25">
      <c r="A2633" s="9" t="s">
        <v>5240</v>
      </c>
      <c r="C2633" s="9" t="str">
        <f>HYPERLINK("http://www.ncbi.nlm.nih.gov/protein/93102415","Gart")</f>
        <v>Gart</v>
      </c>
      <c r="D2633" s="10">
        <f t="shared" si="41"/>
        <v>5.6420356721889142</v>
      </c>
      <c r="F2633" s="8" t="str">
        <f>HYPERLINK("https://esbl.nhlbi.nih.gov/Databases/mpkFractions/proteomic_fractions_log_files/Yang_log_img/93102415.jpg","show blot")</f>
        <v>show blot</v>
      </c>
      <c r="H2633" s="8" t="str">
        <f>HYPERLINK("https://esbl.nhlbi.nih.gov/Databases/mpkFractions/proteomic_fractions_linear_files/Yang_linear_img/93102415.jpg","show blot")</f>
        <v>show blot</v>
      </c>
      <c r="J2633" s="5" t="s">
        <v>5241</v>
      </c>
      <c r="L2633" s="11">
        <v>5.6420356721889142</v>
      </c>
      <c r="N2633" s="12"/>
    </row>
    <row r="2634" spans="1:14" s="5" customFormat="1" ht="15" customHeight="1" x14ac:dyDescent="0.25">
      <c r="A2634" s="9" t="s">
        <v>5242</v>
      </c>
      <c r="C2634" s="9" t="str">
        <f>HYPERLINK("http://www.ncbi.nlm.nih.gov/protein/6679943","Gas2")</f>
        <v>Gas2</v>
      </c>
      <c r="D2634" s="10">
        <f t="shared" si="41"/>
        <v>5.1508503666450904</v>
      </c>
      <c r="F2634" s="8" t="str">
        <f>HYPERLINK("https://esbl.nhlbi.nih.gov/Databases/mpkFractions/proteomic_fractions_log_files/Yang_log_img/6679943.jpg","show blot")</f>
        <v>show blot</v>
      </c>
      <c r="H2634" s="8" t="str">
        <f>HYPERLINK("https://esbl.nhlbi.nih.gov/Databases/mpkFractions/proteomic_fractions_linear_files/Yang_linear_img/6679943.jpg","show blot")</f>
        <v>show blot</v>
      </c>
      <c r="J2634" s="5" t="s">
        <v>5243</v>
      </c>
      <c r="L2634" s="11">
        <v>5.1508503666450904</v>
      </c>
      <c r="N2634" s="12"/>
    </row>
    <row r="2635" spans="1:14" s="5" customFormat="1" ht="15" customHeight="1" x14ac:dyDescent="0.25">
      <c r="A2635" s="9" t="s">
        <v>5244</v>
      </c>
      <c r="C2635" s="9" t="str">
        <f>HYPERLINK("http://www.ncbi.nlm.nih.gov/protein/120407058","Gas2l3")</f>
        <v>Gas2l3</v>
      </c>
      <c r="D2635" s="10">
        <f t="shared" si="41"/>
        <v>4.825686691264389</v>
      </c>
      <c r="F2635" s="8" t="str">
        <f>HYPERLINK("https://esbl.nhlbi.nih.gov/Databases/mpkFractions/proteomic_fractions_log_files/Yang_log_img/120407058.jpg","show blot")</f>
        <v>show blot</v>
      </c>
      <c r="H2635" s="8" t="str">
        <f>HYPERLINK("https://esbl.nhlbi.nih.gov/Databases/mpkFractions/proteomic_fractions_linear_files/Yang_linear_img/120407058.jpg","show blot")</f>
        <v>show blot</v>
      </c>
      <c r="J2635" s="5" t="s">
        <v>5245</v>
      </c>
      <c r="L2635" s="11">
        <v>4.825686691264389</v>
      </c>
      <c r="N2635" s="12"/>
    </row>
    <row r="2636" spans="1:14" s="5" customFormat="1" ht="15" customHeight="1" x14ac:dyDescent="0.25">
      <c r="A2636" s="9" t="s">
        <v>5246</v>
      </c>
      <c r="C2636" s="9" t="str">
        <f>HYPERLINK("http://www.ncbi.nlm.nih.gov/protein/21314854","Gatad2b")</f>
        <v>Gatad2b</v>
      </c>
      <c r="D2636" s="10">
        <f t="shared" si="41"/>
        <v>4.8703244209655239</v>
      </c>
      <c r="F2636" s="8" t="str">
        <f>HYPERLINK("https://esbl.nhlbi.nih.gov/Databases/mpkFractions/proteomic_fractions_log_files/Yang_log_img/21314854.jpg","show blot")</f>
        <v>show blot</v>
      </c>
      <c r="H2636" s="8" t="str">
        <f>HYPERLINK("https://esbl.nhlbi.nih.gov/Databases/mpkFractions/proteomic_fractions_linear_files/Yang_linear_img/21314854.jpg","show blot")</f>
        <v>show blot</v>
      </c>
      <c r="J2636" s="5" t="s">
        <v>5247</v>
      </c>
      <c r="L2636" s="11">
        <v>4.8703244209655239</v>
      </c>
      <c r="N2636" s="12"/>
    </row>
    <row r="2637" spans="1:14" s="5" customFormat="1" ht="15" customHeight="1" x14ac:dyDescent="0.25">
      <c r="A2637" s="9" t="s">
        <v>5248</v>
      </c>
      <c r="C2637" s="9" t="str">
        <f>HYPERLINK("http://www.ncbi.nlm.nih.gov/protein/116734815","Gba")</f>
        <v>Gba</v>
      </c>
      <c r="D2637" s="10">
        <f t="shared" si="41"/>
        <v>4.885972852359747</v>
      </c>
      <c r="F2637" s="8" t="str">
        <f>HYPERLINK("https://esbl.nhlbi.nih.gov/Databases/mpkFractions/proteomic_fractions_log_files/Yang_log_img/116734815.jpg","show blot")</f>
        <v>show blot</v>
      </c>
      <c r="H2637" s="8" t="str">
        <f>HYPERLINK("https://esbl.nhlbi.nih.gov/Databases/mpkFractions/proteomic_fractions_linear_files/Yang_linear_img/116734815.jpg","show blot")</f>
        <v>show blot</v>
      </c>
      <c r="J2637" s="5" t="s">
        <v>5249</v>
      </c>
      <c r="L2637" s="11">
        <v>4.885972852359747</v>
      </c>
      <c r="N2637" s="12"/>
    </row>
    <row r="2638" spans="1:14" s="5" customFormat="1" ht="15" customHeight="1" x14ac:dyDescent="0.25">
      <c r="A2638" s="9" t="s">
        <v>5250</v>
      </c>
      <c r="C2638" s="9" t="str">
        <f>HYPERLINK("http://www.ncbi.nlm.nih.gov/protein/116734815;6679955","Gba")</f>
        <v>Gba</v>
      </c>
      <c r="D2638" s="10">
        <f t="shared" si="41"/>
        <v>4.885972852359747</v>
      </c>
      <c r="F2638" s="8" t="str">
        <f>HYPERLINK("https://esbl.nhlbi.nih.gov/Databases/mpkFractions/proteomic_fractions_log_files/Yang_log_img/116734815;6679955.jpg","show blot")</f>
        <v>show blot</v>
      </c>
      <c r="H2638" s="8" t="str">
        <f>HYPERLINK("https://esbl.nhlbi.nih.gov/Databases/mpkFractions/proteomic_fractions_linear_files/Yang_linear_img/116734815;6679955.jpg","show blot")</f>
        <v>show blot</v>
      </c>
      <c r="J2638" s="5" t="s">
        <v>5249</v>
      </c>
      <c r="L2638" s="11">
        <v>4.885972852359747</v>
      </c>
      <c r="N2638" s="12"/>
    </row>
    <row r="2639" spans="1:14" s="5" customFormat="1" ht="15" customHeight="1" x14ac:dyDescent="0.25">
      <c r="A2639" s="9" t="s">
        <v>5251</v>
      </c>
      <c r="C2639" s="9" t="str">
        <f>HYPERLINK("http://www.ncbi.nlm.nih.gov/protein/6679955;116734815","Gba")</f>
        <v>Gba</v>
      </c>
      <c r="D2639" s="10">
        <f t="shared" si="41"/>
        <v>4.885972852359747</v>
      </c>
      <c r="F2639" s="8" t="str">
        <f>HYPERLINK("https://esbl.nhlbi.nih.gov/Databases/mpkFractions/proteomic_fractions_log_files/Yang_log_img/6679955;116734815.jpg","show blot")</f>
        <v>show blot</v>
      </c>
      <c r="H2639" s="8" t="str">
        <f>HYPERLINK("https://esbl.nhlbi.nih.gov/Databases/mpkFractions/proteomic_fractions_linear_files/Yang_linear_img/6679955;116734815.jpg","show blot")</f>
        <v>show blot</v>
      </c>
      <c r="J2639" s="5" t="s">
        <v>5252</v>
      </c>
      <c r="L2639" s="11">
        <v>4.885972852359747</v>
      </c>
      <c r="N2639" s="12"/>
    </row>
    <row r="2640" spans="1:14" s="5" customFormat="1" ht="15" customHeight="1" x14ac:dyDescent="0.25">
      <c r="A2640" s="9" t="s">
        <v>5253</v>
      </c>
      <c r="C2640" s="9" t="str">
        <f>HYPERLINK("http://www.ncbi.nlm.nih.gov/protein/160298168","Gbas")</f>
        <v>Gbas</v>
      </c>
      <c r="D2640" s="10">
        <f t="shared" si="41"/>
        <v>4.8373824911606009</v>
      </c>
      <c r="F2640" s="8" t="str">
        <f>HYPERLINK("https://esbl.nhlbi.nih.gov/Databases/mpkFractions/proteomic_fractions_log_files/Yang_log_img/160298168.jpg","show blot")</f>
        <v>show blot</v>
      </c>
      <c r="H2640" s="8" t="str">
        <f>HYPERLINK("https://esbl.nhlbi.nih.gov/Databases/mpkFractions/proteomic_fractions_linear_files/Yang_linear_img/160298168.jpg","show blot")</f>
        <v>show blot</v>
      </c>
      <c r="J2640" s="5" t="s">
        <v>5254</v>
      </c>
      <c r="L2640" s="11">
        <v>4.8373824911606009</v>
      </c>
      <c r="N2640" s="12"/>
    </row>
    <row r="2641" spans="1:14" s="5" customFormat="1" ht="15" customHeight="1" x14ac:dyDescent="0.25">
      <c r="A2641" s="9" t="s">
        <v>5255</v>
      </c>
      <c r="C2641" s="9" t="str">
        <f>HYPERLINK("http://www.ncbi.nlm.nih.gov/protein/17975508","Gbe1")</f>
        <v>Gbe1</v>
      </c>
      <c r="D2641" s="10">
        <f t="shared" si="41"/>
        <v>4.6029934272515414</v>
      </c>
      <c r="F2641" s="8" t="str">
        <f>HYPERLINK("https://esbl.nhlbi.nih.gov/Databases/mpkFractions/proteomic_fractions_log_files/Yang_log_img/17975508.jpg","show blot")</f>
        <v>show blot</v>
      </c>
      <c r="H2641" s="8" t="str">
        <f>HYPERLINK("https://esbl.nhlbi.nih.gov/Databases/mpkFractions/proteomic_fractions_linear_files/Yang_linear_img/17975508.jpg","show blot")</f>
        <v>show blot</v>
      </c>
      <c r="J2641" s="5" t="s">
        <v>5256</v>
      </c>
      <c r="L2641" s="11">
        <v>4.6029934272515414</v>
      </c>
      <c r="N2641" s="12"/>
    </row>
    <row r="2642" spans="1:14" s="5" customFormat="1" ht="15" customHeight="1" x14ac:dyDescent="0.25">
      <c r="A2642" s="9" t="s">
        <v>5257</v>
      </c>
      <c r="C2642" s="9" t="str">
        <f>HYPERLINK("http://www.ncbi.nlm.nih.gov/protein/52138536","Gbf1")</f>
        <v>Gbf1</v>
      </c>
      <c r="D2642" s="10">
        <f t="shared" si="41"/>
        <v>4.532230710348343</v>
      </c>
      <c r="F2642" s="8" t="str">
        <f>HYPERLINK("https://esbl.nhlbi.nih.gov/Databases/mpkFractions/proteomic_fractions_log_files/Yang_log_img/52138536.jpg","show blot")</f>
        <v>show blot</v>
      </c>
      <c r="H2642" s="8" t="str">
        <f>HYPERLINK("https://esbl.nhlbi.nih.gov/Databases/mpkFractions/proteomic_fractions_linear_files/Yang_linear_img/52138536.jpg","show blot")</f>
        <v>show blot</v>
      </c>
      <c r="J2642" s="5" t="s">
        <v>5258</v>
      </c>
      <c r="L2642" s="11">
        <v>4.532230710348343</v>
      </c>
      <c r="N2642" s="12"/>
    </row>
    <row r="2643" spans="1:14" s="5" customFormat="1" ht="15" customHeight="1" x14ac:dyDescent="0.25">
      <c r="A2643" s="9" t="s">
        <v>5259</v>
      </c>
      <c r="C2643" s="9" t="str">
        <f>HYPERLINK("http://www.ncbi.nlm.nih.gov/protein/116812914","Gbp10")</f>
        <v>Gbp10</v>
      </c>
      <c r="D2643" s="10">
        <f t="shared" si="41"/>
        <v>3.9292622687409602</v>
      </c>
      <c r="F2643" s="8" t="str">
        <f>HYPERLINK("https://esbl.nhlbi.nih.gov/Databases/mpkFractions/proteomic_fractions_log_files/Yang_log_img/116812914.jpg","show blot")</f>
        <v>show blot</v>
      </c>
      <c r="H2643" s="8" t="str">
        <f>HYPERLINK("https://esbl.nhlbi.nih.gov/Databases/mpkFractions/proteomic_fractions_linear_files/Yang_linear_img/116812914.jpg","show blot")</f>
        <v>show blot</v>
      </c>
      <c r="J2643" s="5" t="s">
        <v>5260</v>
      </c>
      <c r="L2643" s="11">
        <v>3.9292622687409602</v>
      </c>
      <c r="N2643" s="12"/>
    </row>
    <row r="2644" spans="1:14" s="5" customFormat="1" ht="15" customHeight="1" x14ac:dyDescent="0.25">
      <c r="A2644" s="9" t="s">
        <v>5261</v>
      </c>
      <c r="C2644" s="9" t="str">
        <f>HYPERLINK("http://www.ncbi.nlm.nih.gov/protein/225007564","Gbp11")</f>
        <v>Gbp11</v>
      </c>
      <c r="D2644" s="10">
        <f t="shared" si="41"/>
        <v>3.8180740568059059</v>
      </c>
      <c r="F2644" s="8" t="str">
        <f>HYPERLINK("https://esbl.nhlbi.nih.gov/Databases/mpkFractions/proteomic_fractions_log_files/Yang_log_img/225007564.jpg","show blot")</f>
        <v>show blot</v>
      </c>
      <c r="H2644" s="8" t="str">
        <f>HYPERLINK("https://esbl.nhlbi.nih.gov/Databases/mpkFractions/proteomic_fractions_linear_files/Yang_linear_img/225007564.jpg","show blot")</f>
        <v>show blot</v>
      </c>
      <c r="J2644" s="5" t="s">
        <v>5262</v>
      </c>
      <c r="L2644" s="11">
        <v>3.8180740568059059</v>
      </c>
      <c r="N2644" s="12"/>
    </row>
    <row r="2645" spans="1:14" s="5" customFormat="1" ht="15" customHeight="1" x14ac:dyDescent="0.25">
      <c r="A2645" s="9" t="s">
        <v>5263</v>
      </c>
      <c r="C2645" s="9" t="str">
        <f>HYPERLINK("http://www.ncbi.nlm.nih.gov/protein/134053871","Gbp3")</f>
        <v>Gbp3</v>
      </c>
      <c r="D2645" s="10">
        <f t="shared" si="41"/>
        <v>2.445980705316479</v>
      </c>
      <c r="F2645" s="8" t="str">
        <f>HYPERLINK("https://esbl.nhlbi.nih.gov/Databases/mpkFractions/proteomic_fractions_log_files/Yang_log_img/134053871.jpg","show blot")</f>
        <v>show blot</v>
      </c>
      <c r="H2645" s="8" t="str">
        <f>HYPERLINK("https://esbl.nhlbi.nih.gov/Databases/mpkFractions/proteomic_fractions_linear_files/Yang_linear_img/134053871.jpg","show blot")</f>
        <v>show blot</v>
      </c>
      <c r="J2645" s="5" t="s">
        <v>5264</v>
      </c>
      <c r="L2645" s="11">
        <v>2.445980705316479</v>
      </c>
      <c r="N2645" s="12"/>
    </row>
    <row r="2646" spans="1:14" s="5" customFormat="1" ht="15" customHeight="1" x14ac:dyDescent="0.25">
      <c r="A2646" s="9" t="s">
        <v>5265</v>
      </c>
      <c r="C2646" s="9" t="str">
        <f>HYPERLINK("http://www.ncbi.nlm.nih.gov/protein/126157521","Gbp4")</f>
        <v>Gbp4</v>
      </c>
      <c r="D2646" s="10">
        <f t="shared" si="41"/>
        <v>4.1285163991130513</v>
      </c>
      <c r="F2646" s="8" t="str">
        <f>HYPERLINK("https://esbl.nhlbi.nih.gov/Databases/mpkFractions/proteomic_fractions_log_files/Yang_log_img/126157521.jpg","show blot")</f>
        <v>show blot</v>
      </c>
      <c r="H2646" s="8" t="str">
        <f>HYPERLINK("https://esbl.nhlbi.nih.gov/Databases/mpkFractions/proteomic_fractions_linear_files/Yang_linear_img/126157521.jpg","show blot")</f>
        <v>show blot</v>
      </c>
      <c r="J2646" s="5" t="s">
        <v>5266</v>
      </c>
      <c r="L2646" s="11">
        <v>4.1285163991130513</v>
      </c>
      <c r="N2646" s="12"/>
    </row>
    <row r="2647" spans="1:14" s="5" customFormat="1" ht="15" customHeight="1" x14ac:dyDescent="0.25">
      <c r="A2647" s="9" t="s">
        <v>5267</v>
      </c>
      <c r="C2647" s="9" t="str">
        <f>HYPERLINK("http://www.ncbi.nlm.nih.gov/protein/365192570","Gbp4")</f>
        <v>Gbp4</v>
      </c>
      <c r="D2647" s="10">
        <f t="shared" si="41"/>
        <v>4.1285163991130513</v>
      </c>
      <c r="F2647" s="8" t="str">
        <f>HYPERLINK("https://esbl.nhlbi.nih.gov/Databases/mpkFractions/proteomic_fractions_log_files/Yang_log_img/365192570.jpg","show blot")</f>
        <v>show blot</v>
      </c>
      <c r="H2647" s="8" t="str">
        <f>HYPERLINK("https://esbl.nhlbi.nih.gov/Databases/mpkFractions/proteomic_fractions_linear_files/Yang_linear_img/365192570.jpg","show blot")</f>
        <v>show blot</v>
      </c>
      <c r="J2647" s="5" t="s">
        <v>5268</v>
      </c>
      <c r="L2647" s="11">
        <v>4.1285163991130513</v>
      </c>
      <c r="N2647" s="12"/>
    </row>
    <row r="2648" spans="1:14" s="5" customFormat="1" ht="15" customHeight="1" x14ac:dyDescent="0.25">
      <c r="A2648" s="9" t="s">
        <v>5269</v>
      </c>
      <c r="C2648" s="9" t="str">
        <f>HYPERLINK("http://www.ncbi.nlm.nih.gov/protein/170650637","Gbp6")</f>
        <v>Gbp6</v>
      </c>
      <c r="D2648" s="10">
        <f t="shared" si="41"/>
        <v>3.9292622687409602</v>
      </c>
      <c r="F2648" s="8" t="str">
        <f>HYPERLINK("https://esbl.nhlbi.nih.gov/Databases/mpkFractions/proteomic_fractions_log_files/Yang_log_img/170650637.jpg","show blot")</f>
        <v>show blot</v>
      </c>
      <c r="H2648" s="8" t="str">
        <f>HYPERLINK("https://esbl.nhlbi.nih.gov/Databases/mpkFractions/proteomic_fractions_linear_files/Yang_linear_img/170650637.jpg","show blot")</f>
        <v>show blot</v>
      </c>
      <c r="J2648" s="5" t="s">
        <v>5270</v>
      </c>
      <c r="L2648" s="11">
        <v>3.9292622687409602</v>
      </c>
      <c r="N2648" s="12"/>
    </row>
    <row r="2649" spans="1:14" s="5" customFormat="1" ht="15" customHeight="1" x14ac:dyDescent="0.25">
      <c r="A2649" s="9" t="s">
        <v>5271</v>
      </c>
      <c r="C2649" s="9" t="str">
        <f>HYPERLINK("http://www.ncbi.nlm.nih.gov/protein/134031974","Gbp7")</f>
        <v>Gbp7</v>
      </c>
      <c r="D2649" s="10">
        <f t="shared" si="41"/>
        <v>2.4339161939150982</v>
      </c>
      <c r="F2649" s="8" t="str">
        <f>HYPERLINK("https://esbl.nhlbi.nih.gov/Databases/mpkFractions/proteomic_fractions_log_files/Yang_log_img/134031974.jpg","show blot")</f>
        <v>show blot</v>
      </c>
      <c r="H2649" s="8" t="str">
        <f>HYPERLINK("https://esbl.nhlbi.nih.gov/Databases/mpkFractions/proteomic_fractions_linear_files/Yang_linear_img/134031974.jpg","show blot")</f>
        <v>show blot</v>
      </c>
      <c r="J2649" s="5" t="s">
        <v>5272</v>
      </c>
      <c r="L2649" s="11">
        <v>2.4339161939150982</v>
      </c>
      <c r="N2649" s="12"/>
    </row>
    <row r="2650" spans="1:14" s="5" customFormat="1" ht="15" customHeight="1" x14ac:dyDescent="0.25">
      <c r="A2650" s="9" t="s">
        <v>5273</v>
      </c>
      <c r="C2650" s="9" t="str">
        <f>HYPERLINK("http://www.ncbi.nlm.nih.gov/protein/83776551","Gbp8")</f>
        <v>Gbp8</v>
      </c>
      <c r="D2650" s="10">
        <f t="shared" si="41"/>
        <v>3.9759680009052079</v>
      </c>
      <c r="F2650" s="8" t="str">
        <f>HYPERLINK("https://esbl.nhlbi.nih.gov/Databases/mpkFractions/proteomic_fractions_log_files/Yang_log_img/83776551.jpg","show blot")</f>
        <v>show blot</v>
      </c>
      <c r="H2650" s="8" t="str">
        <f>HYPERLINK("https://esbl.nhlbi.nih.gov/Databases/mpkFractions/proteomic_fractions_linear_files/Yang_linear_img/83776551.jpg","show blot")</f>
        <v>show blot</v>
      </c>
      <c r="J2650" s="5" t="s">
        <v>5274</v>
      </c>
      <c r="L2650" s="11">
        <v>3.9759680009052079</v>
      </c>
      <c r="N2650" s="12"/>
    </row>
    <row r="2651" spans="1:14" s="5" customFormat="1" ht="15" customHeight="1" x14ac:dyDescent="0.25">
      <c r="A2651" s="9" t="s">
        <v>5275</v>
      </c>
      <c r="C2651" s="9" t="str">
        <f>HYPERLINK("http://www.ncbi.nlm.nih.gov/protein/27370144","Gbp9")</f>
        <v>Gbp9</v>
      </c>
      <c r="D2651" s="10">
        <f t="shared" si="41"/>
        <v>4.1792671570917888</v>
      </c>
      <c r="F2651" s="8" t="str">
        <f>HYPERLINK("https://esbl.nhlbi.nih.gov/Databases/mpkFractions/proteomic_fractions_log_files/Yang_log_img/27370144.jpg","show blot")</f>
        <v>show blot</v>
      </c>
      <c r="H2651" s="8" t="str">
        <f>HYPERLINK("https://esbl.nhlbi.nih.gov/Databases/mpkFractions/proteomic_fractions_linear_files/Yang_linear_img/27370144.jpg","show blot")</f>
        <v>show blot</v>
      </c>
      <c r="J2651" s="5" t="s">
        <v>5276</v>
      </c>
      <c r="L2651" s="11">
        <v>4.1792671570917888</v>
      </c>
      <c r="N2651" s="12"/>
    </row>
    <row r="2652" spans="1:14" s="5" customFormat="1" ht="15" customHeight="1" x14ac:dyDescent="0.25">
      <c r="A2652" s="9" t="s">
        <v>5277</v>
      </c>
      <c r="C2652" s="9" t="str">
        <f>HYPERLINK("http://www.ncbi.nlm.nih.gov/protein/21704030","Gca")</f>
        <v>Gca</v>
      </c>
      <c r="D2652" s="10">
        <f t="shared" si="41"/>
        <v>4.8578082754061613</v>
      </c>
      <c r="F2652" s="8" t="str">
        <f>HYPERLINK("https://esbl.nhlbi.nih.gov/Databases/mpkFractions/proteomic_fractions_log_files/Yang_log_img/21704030.jpg","show blot")</f>
        <v>show blot</v>
      </c>
      <c r="H2652" s="8" t="str">
        <f>HYPERLINK("https://esbl.nhlbi.nih.gov/Databases/mpkFractions/proteomic_fractions_linear_files/Yang_linear_img/21704030.jpg","show blot")</f>
        <v>show blot</v>
      </c>
      <c r="J2652" s="5" t="s">
        <v>5278</v>
      </c>
      <c r="L2652" s="11">
        <v>4.8578082754061613</v>
      </c>
      <c r="N2652" s="12"/>
    </row>
    <row r="2653" spans="1:14" s="5" customFormat="1" ht="15" customHeight="1" x14ac:dyDescent="0.25">
      <c r="A2653" s="9" t="s">
        <v>5279</v>
      </c>
      <c r="C2653" s="9" t="str">
        <f>HYPERLINK("http://www.ncbi.nlm.nih.gov/protein/240120117","Gcat")</f>
        <v>Gcat</v>
      </c>
      <c r="D2653" s="10">
        <f t="shared" si="41"/>
        <v>4.9798414337757508</v>
      </c>
      <c r="F2653" s="8" t="str">
        <f>HYPERLINK("https://esbl.nhlbi.nih.gov/Databases/mpkFractions/proteomic_fractions_log_files/Yang_log_img/240120117.jpg","show blot")</f>
        <v>show blot</v>
      </c>
      <c r="H2653" s="8" t="str">
        <f>HYPERLINK("https://esbl.nhlbi.nih.gov/Databases/mpkFractions/proteomic_fractions_linear_files/Yang_linear_img/240120117.jpg","show blot")</f>
        <v>show blot</v>
      </c>
      <c r="J2653" s="5" t="s">
        <v>5280</v>
      </c>
      <c r="L2653" s="11">
        <v>4.9798414337757508</v>
      </c>
      <c r="N2653" s="12"/>
    </row>
    <row r="2654" spans="1:14" s="5" customFormat="1" ht="15" customHeight="1" x14ac:dyDescent="0.25">
      <c r="A2654" s="9" t="s">
        <v>5281</v>
      </c>
      <c r="C2654" s="9" t="str">
        <f>HYPERLINK("http://www.ncbi.nlm.nih.gov/protein/240120119","Gcat")</f>
        <v>Gcat</v>
      </c>
      <c r="D2654" s="10">
        <f t="shared" si="41"/>
        <v>4.9798414337757508</v>
      </c>
      <c r="F2654" s="8" t="str">
        <f>HYPERLINK("https://esbl.nhlbi.nih.gov/Databases/mpkFractions/proteomic_fractions_log_files/Yang_log_img/240120119.jpg","show blot")</f>
        <v>show blot</v>
      </c>
      <c r="H2654" s="8" t="str">
        <f>HYPERLINK("https://esbl.nhlbi.nih.gov/Databases/mpkFractions/proteomic_fractions_linear_files/Yang_linear_img/240120119.jpg","show blot")</f>
        <v>show blot</v>
      </c>
      <c r="J2654" s="5" t="s">
        <v>5282</v>
      </c>
      <c r="L2654" s="11">
        <v>4.9798414337757508</v>
      </c>
      <c r="N2654" s="12"/>
    </row>
    <row r="2655" spans="1:14" s="5" customFormat="1" ht="15" customHeight="1" x14ac:dyDescent="0.25">
      <c r="A2655" s="9" t="s">
        <v>5283</v>
      </c>
      <c r="C2655" s="9" t="str">
        <f>HYPERLINK("http://www.ncbi.nlm.nih.gov/protein/268370067","Gcc1")</f>
        <v>Gcc1</v>
      </c>
      <c r="D2655" s="10">
        <f t="shared" si="41"/>
        <v>3.5853912719802361</v>
      </c>
      <c r="F2655" s="8" t="str">
        <f>HYPERLINK("https://esbl.nhlbi.nih.gov/Databases/mpkFractions/proteomic_fractions_log_files/Yang_log_img/268370067.jpg","show blot")</f>
        <v>show blot</v>
      </c>
      <c r="H2655" s="8" t="str">
        <f>HYPERLINK("https://esbl.nhlbi.nih.gov/Databases/mpkFractions/proteomic_fractions_linear_files/Yang_linear_img/268370067.jpg","show blot")</f>
        <v>show blot</v>
      </c>
      <c r="J2655" s="5" t="s">
        <v>5284</v>
      </c>
      <c r="L2655" s="11">
        <v>3.5853912719802361</v>
      </c>
      <c r="N2655" s="12"/>
    </row>
    <row r="2656" spans="1:14" s="5" customFormat="1" ht="15" customHeight="1" x14ac:dyDescent="0.25">
      <c r="A2656" s="9" t="s">
        <v>5285</v>
      </c>
      <c r="C2656" s="9" t="str">
        <f>HYPERLINK("http://www.ncbi.nlm.nih.gov/protein/61742806","Gcc2")</f>
        <v>Gcc2</v>
      </c>
      <c r="D2656" s="10">
        <f t="shared" si="41"/>
        <v>4.3187695137289808</v>
      </c>
      <c r="F2656" s="8" t="str">
        <f>HYPERLINK("https://esbl.nhlbi.nih.gov/Databases/mpkFractions/proteomic_fractions_log_files/Yang_log_img/61742806.jpg","show blot")</f>
        <v>show blot</v>
      </c>
      <c r="H2656" s="8" t="str">
        <f>HYPERLINK("https://esbl.nhlbi.nih.gov/Databases/mpkFractions/proteomic_fractions_linear_files/Yang_linear_img/61742806.jpg","show blot")</f>
        <v>show blot</v>
      </c>
      <c r="J2656" s="5" t="s">
        <v>5286</v>
      </c>
      <c r="L2656" s="11">
        <v>4.3187695137289808</v>
      </c>
      <c r="N2656" s="12"/>
    </row>
    <row r="2657" spans="1:14" s="5" customFormat="1" ht="15" customHeight="1" x14ac:dyDescent="0.25">
      <c r="A2657" s="9" t="s">
        <v>5287</v>
      </c>
      <c r="C2657" s="9" t="str">
        <f>HYPERLINK("http://www.ncbi.nlm.nih.gov/protein/390190196","Gcdh")</f>
        <v>Gcdh</v>
      </c>
      <c r="D2657" s="10">
        <f t="shared" si="41"/>
        <v>3.9497560899861019</v>
      </c>
      <c r="F2657" s="8" t="str">
        <f>HYPERLINK("https://esbl.nhlbi.nih.gov/Databases/mpkFractions/proteomic_fractions_log_files/Yang_log_img/390190196.jpg","show blot")</f>
        <v>show blot</v>
      </c>
      <c r="H2657" s="8" t="str">
        <f>HYPERLINK("https://esbl.nhlbi.nih.gov/Databases/mpkFractions/proteomic_fractions_linear_files/Yang_linear_img/390190196.jpg","show blot")</f>
        <v>show blot</v>
      </c>
      <c r="J2657" s="5" t="s">
        <v>5288</v>
      </c>
      <c r="L2657" s="11">
        <v>3.9497560899861019</v>
      </c>
      <c r="N2657" s="12"/>
    </row>
    <row r="2658" spans="1:14" s="5" customFormat="1" ht="15" customHeight="1" x14ac:dyDescent="0.25">
      <c r="A2658" s="9" t="s">
        <v>5289</v>
      </c>
      <c r="C2658" s="9" t="str">
        <f>HYPERLINK("http://www.ncbi.nlm.nih.gov/protein/33468897","Gclc")</f>
        <v>Gclc</v>
      </c>
      <c r="D2658" s="10">
        <f t="shared" si="41"/>
        <v>4.6971417967379159</v>
      </c>
      <c r="F2658" s="8" t="str">
        <f>HYPERLINK("https://esbl.nhlbi.nih.gov/Databases/mpkFractions/proteomic_fractions_log_files/Yang_log_img/33468897.jpg","show blot")</f>
        <v>show blot</v>
      </c>
      <c r="H2658" s="8" t="str">
        <f>HYPERLINK("https://esbl.nhlbi.nih.gov/Databases/mpkFractions/proteomic_fractions_linear_files/Yang_linear_img/33468897.jpg","show blot")</f>
        <v>show blot</v>
      </c>
      <c r="J2658" s="5" t="s">
        <v>5290</v>
      </c>
      <c r="L2658" s="11">
        <v>4.6971417967379159</v>
      </c>
      <c r="N2658" s="12"/>
    </row>
    <row r="2659" spans="1:14" s="5" customFormat="1" ht="15" customHeight="1" x14ac:dyDescent="0.25">
      <c r="A2659" s="9" t="s">
        <v>5291</v>
      </c>
      <c r="C2659" s="9" t="str">
        <f>HYPERLINK("http://www.ncbi.nlm.nih.gov/protein/6680019","Gclm")</f>
        <v>Gclm</v>
      </c>
      <c r="D2659" s="10">
        <f t="shared" si="41"/>
        <v>5.472494848537246</v>
      </c>
      <c r="F2659" s="8" t="str">
        <f>HYPERLINK("https://esbl.nhlbi.nih.gov/Databases/mpkFractions/proteomic_fractions_log_files/Yang_log_img/6680019.jpg","show blot")</f>
        <v>show blot</v>
      </c>
      <c r="H2659" s="8" t="str">
        <f>HYPERLINK("https://esbl.nhlbi.nih.gov/Databases/mpkFractions/proteomic_fractions_linear_files/Yang_linear_img/6680019.jpg","show blot")</f>
        <v>show blot</v>
      </c>
      <c r="J2659" s="5" t="s">
        <v>5292</v>
      </c>
      <c r="L2659" s="11">
        <v>5.472494848537246</v>
      </c>
      <c r="N2659" s="12"/>
    </row>
    <row r="2660" spans="1:14" s="5" customFormat="1" ht="15" customHeight="1" x14ac:dyDescent="0.25">
      <c r="A2660" s="9" t="s">
        <v>5293</v>
      </c>
      <c r="C2660" s="9" t="str">
        <f>HYPERLINK("http://www.ncbi.nlm.nih.gov/protein/112807186","Gcn1l1")</f>
        <v>Gcn1l1</v>
      </c>
      <c r="D2660" s="10">
        <f t="shared" si="41"/>
        <v>5.4648832989403324</v>
      </c>
      <c r="F2660" s="8" t="str">
        <f>HYPERLINK("https://esbl.nhlbi.nih.gov/Databases/mpkFractions/proteomic_fractions_log_files/Yang_log_img/112807186.jpg","show blot")</f>
        <v>show blot</v>
      </c>
      <c r="H2660" s="8" t="str">
        <f>HYPERLINK("https://esbl.nhlbi.nih.gov/Databases/mpkFractions/proteomic_fractions_linear_files/Yang_linear_img/112807186.jpg","show blot")</f>
        <v>show blot</v>
      </c>
      <c r="J2660" s="5" t="s">
        <v>5294</v>
      </c>
      <c r="L2660" s="11">
        <v>5.4648832989403324</v>
      </c>
      <c r="N2660" s="12"/>
    </row>
    <row r="2661" spans="1:14" s="5" customFormat="1" ht="15" customHeight="1" x14ac:dyDescent="0.25">
      <c r="A2661" s="9" t="s">
        <v>5295</v>
      </c>
      <c r="C2661" s="9" t="str">
        <f>HYPERLINK("http://www.ncbi.nlm.nih.gov/protein/210147589","Gcnt1")</f>
        <v>Gcnt1</v>
      </c>
      <c r="D2661" s="10">
        <f t="shared" si="41"/>
        <v>3.4110078343776999</v>
      </c>
      <c r="F2661" s="8" t="str">
        <f>HYPERLINK("https://esbl.nhlbi.nih.gov/Databases/mpkFractions/proteomic_fractions_log_files/Yang_log_img/210147589.jpg","show blot")</f>
        <v>show blot</v>
      </c>
      <c r="H2661" s="8" t="str">
        <f>HYPERLINK("https://esbl.nhlbi.nih.gov/Databases/mpkFractions/proteomic_fractions_linear_files/Yang_linear_img/210147589.jpg","show blot")</f>
        <v>show blot</v>
      </c>
      <c r="J2661" s="5" t="s">
        <v>5296</v>
      </c>
      <c r="L2661" s="11">
        <v>3.4110078343776999</v>
      </c>
      <c r="N2661" s="12"/>
    </row>
    <row r="2662" spans="1:14" s="5" customFormat="1" ht="15" customHeight="1" x14ac:dyDescent="0.25">
      <c r="A2662" s="9" t="s">
        <v>5297</v>
      </c>
      <c r="C2662" s="9" t="str">
        <f>HYPERLINK("http://www.ncbi.nlm.nih.gov/protein/459352743","Gcnt1")</f>
        <v>Gcnt1</v>
      </c>
      <c r="D2662" s="10">
        <f t="shared" si="41"/>
        <v>3.4110078343776999</v>
      </c>
      <c r="F2662" s="8" t="str">
        <f>HYPERLINK("https://esbl.nhlbi.nih.gov/Databases/mpkFractions/proteomic_fractions_log_files/Yang_log_img/459352743.jpg","show blot")</f>
        <v>show blot</v>
      </c>
      <c r="H2662" s="8" t="str">
        <f>HYPERLINK("https://esbl.nhlbi.nih.gov/Databases/mpkFractions/proteomic_fractions_linear_files/Yang_linear_img/459352743.jpg","show blot")</f>
        <v>show blot</v>
      </c>
      <c r="J2662" s="5" t="s">
        <v>5296</v>
      </c>
      <c r="L2662" s="11">
        <v>3.4110078343776999</v>
      </c>
      <c r="N2662" s="12"/>
    </row>
    <row r="2663" spans="1:14" s="5" customFormat="1" ht="15" customHeight="1" x14ac:dyDescent="0.25">
      <c r="A2663" s="9" t="s">
        <v>5298</v>
      </c>
      <c r="C2663" s="9" t="str">
        <f>HYPERLINK("http://www.ncbi.nlm.nih.gov/protein/13386066","Gcsh")</f>
        <v>Gcsh</v>
      </c>
      <c r="D2663" s="10">
        <f t="shared" si="41"/>
        <v>4.6751392000238106</v>
      </c>
      <c r="F2663" s="8" t="str">
        <f>HYPERLINK("https://esbl.nhlbi.nih.gov/Databases/mpkFractions/proteomic_fractions_log_files/Yang_log_img/13386066.jpg","show blot")</f>
        <v>show blot</v>
      </c>
      <c r="H2663" s="8" t="str">
        <f>HYPERLINK("https://esbl.nhlbi.nih.gov/Databases/mpkFractions/proteomic_fractions_linear_files/Yang_linear_img/13386066.jpg","show blot")</f>
        <v>show blot</v>
      </c>
      <c r="J2663" s="5" t="s">
        <v>5299</v>
      </c>
      <c r="L2663" s="11">
        <v>4.6751392000238106</v>
      </c>
      <c r="N2663" s="12"/>
    </row>
    <row r="2664" spans="1:14" s="5" customFormat="1" ht="15" customHeight="1" x14ac:dyDescent="0.25">
      <c r="A2664" s="9" t="s">
        <v>5300</v>
      </c>
      <c r="C2664" s="9" t="str">
        <f>HYPERLINK("http://www.ncbi.nlm.nih.gov/protein/22094097","Gdap2")</f>
        <v>Gdap2</v>
      </c>
      <c r="D2664" s="10">
        <f t="shared" si="41"/>
        <v>3.795367371055042</v>
      </c>
      <c r="F2664" s="8" t="str">
        <f>HYPERLINK("https://esbl.nhlbi.nih.gov/Databases/mpkFractions/proteomic_fractions_log_files/Yang_log_img/22094097.jpg","show blot")</f>
        <v>show blot</v>
      </c>
      <c r="H2664" s="8" t="str">
        <f>HYPERLINK("https://esbl.nhlbi.nih.gov/Databases/mpkFractions/proteomic_fractions_linear_files/Yang_linear_img/22094097.jpg","show blot")</f>
        <v>show blot</v>
      </c>
      <c r="J2664" s="5" t="s">
        <v>5301</v>
      </c>
      <c r="L2664" s="11">
        <v>3.795367371055042</v>
      </c>
      <c r="N2664" s="12"/>
    </row>
    <row r="2665" spans="1:14" s="5" customFormat="1" ht="15" customHeight="1" x14ac:dyDescent="0.25">
      <c r="A2665" s="9" t="s">
        <v>5302</v>
      </c>
      <c r="C2665" s="9" t="str">
        <f>HYPERLINK("http://www.ncbi.nlm.nih.gov/protein/9625018","Gde1")</f>
        <v>Gde1</v>
      </c>
      <c r="D2665" s="10">
        <f t="shared" si="41"/>
        <v>3.0940386376122708</v>
      </c>
      <c r="F2665" s="8" t="str">
        <f>HYPERLINK("https://esbl.nhlbi.nih.gov/Databases/mpkFractions/proteomic_fractions_log_files/Yang_log_img/9625018.jpg","show blot")</f>
        <v>show blot</v>
      </c>
      <c r="H2665" s="8" t="str">
        <f>HYPERLINK("https://esbl.nhlbi.nih.gov/Databases/mpkFractions/proteomic_fractions_linear_files/Yang_linear_img/9625018.jpg","show blot")</f>
        <v>show blot</v>
      </c>
      <c r="J2665" s="5" t="s">
        <v>5303</v>
      </c>
      <c r="L2665" s="11">
        <v>3.0940386376122708</v>
      </c>
      <c r="N2665" s="12"/>
    </row>
    <row r="2666" spans="1:14" s="5" customFormat="1" ht="15" customHeight="1" x14ac:dyDescent="0.25">
      <c r="A2666" s="9" t="s">
        <v>5304</v>
      </c>
      <c r="C2666" s="9" t="str">
        <f>HYPERLINK("http://www.ncbi.nlm.nih.gov/protein/75677587","Gdf3")</f>
        <v>Gdf3</v>
      </c>
      <c r="D2666" s="10">
        <f t="shared" si="41"/>
        <v>5.5809750586885283</v>
      </c>
      <c r="F2666" s="8" t="str">
        <f>HYPERLINK("https://esbl.nhlbi.nih.gov/Databases/mpkFractions/proteomic_fractions_log_files/Yang_log_img/75677587.jpg","show blot")</f>
        <v>show blot</v>
      </c>
      <c r="H2666" s="8" t="str">
        <f>HYPERLINK("https://esbl.nhlbi.nih.gov/Databases/mpkFractions/proteomic_fractions_linear_files/Yang_linear_img/75677587.jpg","show blot")</f>
        <v>show blot</v>
      </c>
      <c r="J2666" s="5" t="s">
        <v>5305</v>
      </c>
      <c r="L2666" s="11">
        <v>5.5809750586885283</v>
      </c>
      <c r="N2666" s="12"/>
    </row>
    <row r="2667" spans="1:14" s="5" customFormat="1" ht="15" customHeight="1" x14ac:dyDescent="0.25">
      <c r="A2667" s="9" t="s">
        <v>5306</v>
      </c>
      <c r="C2667" s="9" t="str">
        <f>HYPERLINK("http://www.ncbi.nlm.nih.gov/protein/33859560","Gdi1")</f>
        <v>Gdi1</v>
      </c>
      <c r="D2667" s="10">
        <f t="shared" si="41"/>
        <v>6.5069276542102301</v>
      </c>
      <c r="F2667" s="8" t="str">
        <f>HYPERLINK("https://esbl.nhlbi.nih.gov/Databases/mpkFractions/proteomic_fractions_log_files/Yang_log_img/33859560.jpg","show blot")</f>
        <v>show blot</v>
      </c>
      <c r="H2667" s="8" t="str">
        <f>HYPERLINK("https://esbl.nhlbi.nih.gov/Databases/mpkFractions/proteomic_fractions_linear_files/Yang_linear_img/33859560.jpg","show blot")</f>
        <v>show blot</v>
      </c>
      <c r="J2667" s="5" t="s">
        <v>5307</v>
      </c>
      <c r="L2667" s="11">
        <v>6.5069276542102301</v>
      </c>
      <c r="N2667" s="12"/>
    </row>
    <row r="2668" spans="1:14" s="5" customFormat="1" ht="15" customHeight="1" x14ac:dyDescent="0.25">
      <c r="A2668" s="9" t="s">
        <v>5308</v>
      </c>
      <c r="C2668" s="9" t="str">
        <f>HYPERLINK("http://www.ncbi.nlm.nih.gov/protein/116089273","Gdi2")</f>
        <v>Gdi2</v>
      </c>
      <c r="D2668" s="10">
        <f t="shared" si="41"/>
        <v>6.7163882332487486</v>
      </c>
      <c r="F2668" s="8" t="str">
        <f>HYPERLINK("https://esbl.nhlbi.nih.gov/Databases/mpkFractions/proteomic_fractions_log_files/Yang_log_img/116089273.jpg","show blot")</f>
        <v>show blot</v>
      </c>
      <c r="H2668" s="8" t="str">
        <f>HYPERLINK("https://esbl.nhlbi.nih.gov/Databases/mpkFractions/proteomic_fractions_linear_files/Yang_linear_img/116089273.jpg","show blot")</f>
        <v>show blot</v>
      </c>
      <c r="J2668" s="5" t="s">
        <v>5309</v>
      </c>
      <c r="L2668" s="11">
        <v>6.7163882332487486</v>
      </c>
      <c r="N2668" s="12"/>
    </row>
    <row r="2669" spans="1:14" s="5" customFormat="1" ht="15" customHeight="1" x14ac:dyDescent="0.25">
      <c r="A2669" s="9" t="s">
        <v>5310</v>
      </c>
      <c r="C2669" s="9" t="str">
        <f>HYPERLINK("http://www.ncbi.nlm.nih.gov/protein/23956140","Gdpd1")</f>
        <v>Gdpd1</v>
      </c>
      <c r="D2669" s="10">
        <f t="shared" si="41"/>
        <v>4.5922498669249814</v>
      </c>
      <c r="F2669" s="8" t="str">
        <f>HYPERLINK("https://esbl.nhlbi.nih.gov/Databases/mpkFractions/proteomic_fractions_log_files/Yang_log_img/23956140.jpg","show blot")</f>
        <v>show blot</v>
      </c>
      <c r="H2669" s="8" t="str">
        <f>HYPERLINK("https://esbl.nhlbi.nih.gov/Databases/mpkFractions/proteomic_fractions_linear_files/Yang_linear_img/23956140.jpg","show blot")</f>
        <v>show blot</v>
      </c>
      <c r="J2669" s="5" t="s">
        <v>5311</v>
      </c>
      <c r="L2669" s="11">
        <v>4.5922498669249814</v>
      </c>
      <c r="N2669" s="12"/>
    </row>
    <row r="2670" spans="1:14" s="5" customFormat="1" ht="15" customHeight="1" x14ac:dyDescent="0.25">
      <c r="A2670" s="9" t="s">
        <v>5312</v>
      </c>
      <c r="C2670" s="9" t="str">
        <f>HYPERLINK("http://www.ncbi.nlm.nih.gov/protein/110431346","Gdpd3")</f>
        <v>Gdpd3</v>
      </c>
      <c r="D2670" s="10">
        <f t="shared" si="41"/>
        <v>4.873512568568561</v>
      </c>
      <c r="F2670" s="8" t="str">
        <f>HYPERLINK("https://esbl.nhlbi.nih.gov/Databases/mpkFractions/proteomic_fractions_log_files/Yang_log_img/110431346.jpg","show blot")</f>
        <v>show blot</v>
      </c>
      <c r="H2670" s="8" t="str">
        <f>HYPERLINK("https://esbl.nhlbi.nih.gov/Databases/mpkFractions/proteomic_fractions_linear_files/Yang_linear_img/110431346.jpg","show blot")</f>
        <v>show blot</v>
      </c>
      <c r="J2670" s="5" t="s">
        <v>5313</v>
      </c>
      <c r="L2670" s="11">
        <v>4.873512568568561</v>
      </c>
      <c r="N2670" s="12"/>
    </row>
    <row r="2671" spans="1:14" s="5" customFormat="1" ht="15" customHeight="1" x14ac:dyDescent="0.25">
      <c r="A2671" s="9" t="s">
        <v>5314</v>
      </c>
      <c r="C2671" s="9" t="str">
        <f>HYPERLINK("http://www.ncbi.nlm.nih.gov/protein/153792166","Gemin2")</f>
        <v>Gemin2</v>
      </c>
      <c r="D2671" s="10">
        <f t="shared" si="41"/>
        <v>3.9363433125062262</v>
      </c>
      <c r="F2671" s="8" t="str">
        <f>HYPERLINK("https://esbl.nhlbi.nih.gov/Databases/mpkFractions/proteomic_fractions_log_files/Yang_log_img/153792166.jpg","show blot")</f>
        <v>show blot</v>
      </c>
      <c r="H2671" s="8" t="str">
        <f>HYPERLINK("https://esbl.nhlbi.nih.gov/Databases/mpkFractions/proteomic_fractions_linear_files/Yang_linear_img/153792166.jpg","show blot")</f>
        <v>show blot</v>
      </c>
      <c r="J2671" s="5" t="s">
        <v>5315</v>
      </c>
      <c r="L2671" s="11">
        <v>3.9363433125062262</v>
      </c>
      <c r="N2671" s="12"/>
    </row>
    <row r="2672" spans="1:14" s="5" customFormat="1" ht="15" customHeight="1" x14ac:dyDescent="0.25">
      <c r="A2672" s="9" t="s">
        <v>5316</v>
      </c>
      <c r="C2672" s="9" t="str">
        <f>HYPERLINK("http://www.ncbi.nlm.nih.gov/protein/262331526","Gemin4")</f>
        <v>Gemin4</v>
      </c>
      <c r="D2672" s="10">
        <f t="shared" si="41"/>
        <v>4.3500340881683526</v>
      </c>
      <c r="F2672" s="8" t="str">
        <f>HYPERLINK("https://esbl.nhlbi.nih.gov/Databases/mpkFractions/proteomic_fractions_log_files/Yang_log_img/262331526.jpg","show blot")</f>
        <v>show blot</v>
      </c>
      <c r="H2672" s="8" t="str">
        <f>HYPERLINK("https://esbl.nhlbi.nih.gov/Databases/mpkFractions/proteomic_fractions_linear_files/Yang_linear_img/262331526.jpg","show blot")</f>
        <v>show blot</v>
      </c>
      <c r="J2672" s="5" t="s">
        <v>5317</v>
      </c>
      <c r="L2672" s="11">
        <v>4.3500340881683526</v>
      </c>
      <c r="N2672" s="12"/>
    </row>
    <row r="2673" spans="1:14" s="5" customFormat="1" ht="15" customHeight="1" x14ac:dyDescent="0.25">
      <c r="A2673" s="9" t="s">
        <v>5318</v>
      </c>
      <c r="C2673" s="9" t="str">
        <f>HYPERLINK("http://www.ncbi.nlm.nih.gov/protein/262263297","Gemin5")</f>
        <v>Gemin5</v>
      </c>
      <c r="D2673" s="10">
        <f t="shared" si="41"/>
        <v>4.0796022505938767</v>
      </c>
      <c r="F2673" s="8" t="str">
        <f>HYPERLINK("https://esbl.nhlbi.nih.gov/Databases/mpkFractions/proteomic_fractions_log_files/Yang_log_img/262263297.jpg","show blot")</f>
        <v>show blot</v>
      </c>
      <c r="H2673" s="8" t="str">
        <f>HYPERLINK("https://esbl.nhlbi.nih.gov/Databases/mpkFractions/proteomic_fractions_linear_files/Yang_linear_img/262263297.jpg","show blot")</f>
        <v>show blot</v>
      </c>
      <c r="J2673" s="5" t="s">
        <v>5319</v>
      </c>
      <c r="L2673" s="11">
        <v>4.0796022505938767</v>
      </c>
      <c r="N2673" s="12"/>
    </row>
    <row r="2674" spans="1:14" s="5" customFormat="1" ht="15" customHeight="1" x14ac:dyDescent="0.25">
      <c r="A2674" s="9" t="s">
        <v>5320</v>
      </c>
      <c r="C2674" s="9" t="str">
        <f>HYPERLINK("http://www.ncbi.nlm.nih.gov/protein/262263299","Gemin5")</f>
        <v>Gemin5</v>
      </c>
      <c r="D2674" s="10">
        <f t="shared" si="41"/>
        <v>4.0796022505938767</v>
      </c>
      <c r="F2674" s="8" t="str">
        <f>HYPERLINK("https://esbl.nhlbi.nih.gov/Databases/mpkFractions/proteomic_fractions_log_files/Yang_log_img/262263299.jpg","show blot")</f>
        <v>show blot</v>
      </c>
      <c r="H2674" s="8" t="str">
        <f>HYPERLINK("https://esbl.nhlbi.nih.gov/Databases/mpkFractions/proteomic_fractions_linear_files/Yang_linear_img/262263299.jpg","show blot")</f>
        <v>show blot</v>
      </c>
      <c r="J2674" s="5" t="s">
        <v>5321</v>
      </c>
      <c r="L2674" s="11">
        <v>4.0796022505938767</v>
      </c>
      <c r="N2674" s="12"/>
    </row>
    <row r="2675" spans="1:14" s="5" customFormat="1" ht="15" customHeight="1" x14ac:dyDescent="0.25">
      <c r="A2675" s="9" t="s">
        <v>5322</v>
      </c>
      <c r="C2675" s="9" t="str">
        <f>HYPERLINK("http://www.ncbi.nlm.nih.gov/protein/262263301","Gemin5")</f>
        <v>Gemin5</v>
      </c>
      <c r="D2675" s="10">
        <f t="shared" si="41"/>
        <v>4.0796022505938767</v>
      </c>
      <c r="F2675" s="8" t="str">
        <f>HYPERLINK("https://esbl.nhlbi.nih.gov/Databases/mpkFractions/proteomic_fractions_log_files/Yang_log_img/262263301.jpg","show blot")</f>
        <v>show blot</v>
      </c>
      <c r="H2675" s="8" t="str">
        <f>HYPERLINK("https://esbl.nhlbi.nih.gov/Databases/mpkFractions/proteomic_fractions_linear_files/Yang_linear_img/262263301.jpg","show blot")</f>
        <v>show blot</v>
      </c>
      <c r="J2675" s="5" t="s">
        <v>5323</v>
      </c>
      <c r="L2675" s="11">
        <v>4.0796022505938767</v>
      </c>
      <c r="N2675" s="12"/>
    </row>
    <row r="2676" spans="1:14" s="5" customFormat="1" ht="15" customHeight="1" x14ac:dyDescent="0.25">
      <c r="A2676" s="9" t="s">
        <v>5324</v>
      </c>
      <c r="C2676" s="9" t="str">
        <f>HYPERLINK("http://www.ncbi.nlm.nih.gov/protein/262263303","Gemin5")</f>
        <v>Gemin5</v>
      </c>
      <c r="D2676" s="10">
        <f t="shared" si="41"/>
        <v>4.0796022505938767</v>
      </c>
      <c r="F2676" s="8" t="str">
        <f>HYPERLINK("https://esbl.nhlbi.nih.gov/Databases/mpkFractions/proteomic_fractions_log_files/Yang_log_img/262263303.jpg","show blot")</f>
        <v>show blot</v>
      </c>
      <c r="H2676" s="8" t="str">
        <f>HYPERLINK("https://esbl.nhlbi.nih.gov/Databases/mpkFractions/proteomic_fractions_linear_files/Yang_linear_img/262263303.jpg","show blot")</f>
        <v>show blot</v>
      </c>
      <c r="J2676" s="5" t="s">
        <v>5325</v>
      </c>
      <c r="L2676" s="11">
        <v>4.0796022505938767</v>
      </c>
      <c r="N2676" s="12"/>
    </row>
    <row r="2677" spans="1:14" s="5" customFormat="1" ht="15" customHeight="1" x14ac:dyDescent="0.25">
      <c r="A2677" s="9" t="s">
        <v>5326</v>
      </c>
      <c r="C2677" s="9" t="str">
        <f>HYPERLINK("http://www.ncbi.nlm.nih.gov/protein/21313050","Gemin6")</f>
        <v>Gemin6</v>
      </c>
      <c r="D2677" s="10">
        <f t="shared" si="41"/>
        <v>3.6577338476268708</v>
      </c>
      <c r="F2677" s="8" t="str">
        <f>HYPERLINK("https://esbl.nhlbi.nih.gov/Databases/mpkFractions/proteomic_fractions_log_files/Yang_log_img/21313050.jpg","show blot")</f>
        <v>show blot</v>
      </c>
      <c r="H2677" s="8" t="str">
        <f>HYPERLINK("https://esbl.nhlbi.nih.gov/Databases/mpkFractions/proteomic_fractions_linear_files/Yang_linear_img/21313050.jpg","show blot")</f>
        <v>show blot</v>
      </c>
      <c r="J2677" s="5" t="s">
        <v>5327</v>
      </c>
      <c r="L2677" s="11">
        <v>3.6577338476268708</v>
      </c>
      <c r="N2677" s="12"/>
    </row>
    <row r="2678" spans="1:14" s="5" customFormat="1" ht="15" customHeight="1" x14ac:dyDescent="0.25">
      <c r="A2678" s="9" t="s">
        <v>5328</v>
      </c>
      <c r="C2678" s="9" t="str">
        <f>HYPERLINK("http://www.ncbi.nlm.nih.gov/protein/21312380","Gemin7")</f>
        <v>Gemin7</v>
      </c>
      <c r="D2678" s="10">
        <f t="shared" si="41"/>
        <v>4.1974190025813796</v>
      </c>
      <c r="F2678" s="8" t="str">
        <f>HYPERLINK("https://esbl.nhlbi.nih.gov/Databases/mpkFractions/proteomic_fractions_log_files/Yang_log_img/21312380.jpg","show blot")</f>
        <v>show blot</v>
      </c>
      <c r="H2678" s="8" t="str">
        <f>HYPERLINK("https://esbl.nhlbi.nih.gov/Databases/mpkFractions/proteomic_fractions_linear_files/Yang_linear_img/21312380.jpg","show blot")</f>
        <v>show blot</v>
      </c>
      <c r="J2678" s="5" t="s">
        <v>5329</v>
      </c>
      <c r="L2678" s="11">
        <v>4.1974190025813796</v>
      </c>
      <c r="N2678" s="12"/>
    </row>
    <row r="2679" spans="1:14" s="5" customFormat="1" ht="15" customHeight="1" x14ac:dyDescent="0.25">
      <c r="A2679" s="9" t="s">
        <v>5330</v>
      </c>
      <c r="C2679" s="9" t="str">
        <f>HYPERLINK("http://www.ncbi.nlm.nih.gov/protein/254281178","Get4")</f>
        <v>Get4</v>
      </c>
      <c r="D2679" s="10">
        <f t="shared" si="41"/>
        <v>5.3299917332994147</v>
      </c>
      <c r="F2679" s="8" t="str">
        <f>HYPERLINK("https://esbl.nhlbi.nih.gov/Databases/mpkFractions/proteomic_fractions_log_files/Yang_log_img/254281178.jpg","show blot")</f>
        <v>show blot</v>
      </c>
      <c r="H2679" s="8" t="str">
        <f>HYPERLINK("https://esbl.nhlbi.nih.gov/Databases/mpkFractions/proteomic_fractions_linear_files/Yang_linear_img/254281178.jpg","show blot")</f>
        <v>show blot</v>
      </c>
      <c r="J2679" s="5" t="s">
        <v>5331</v>
      </c>
      <c r="L2679" s="11">
        <v>5.3299917332994147</v>
      </c>
      <c r="N2679" s="12"/>
    </row>
    <row r="2680" spans="1:14" s="5" customFormat="1" ht="15" customHeight="1" x14ac:dyDescent="0.25">
      <c r="A2680" s="9" t="s">
        <v>5332</v>
      </c>
      <c r="C2680" s="9" t="str">
        <f>HYPERLINK("http://www.ncbi.nlm.nih.gov/protein/27229052","Get4")</f>
        <v>Get4</v>
      </c>
      <c r="D2680" s="10">
        <f t="shared" si="41"/>
        <v>5.3299917332994147</v>
      </c>
      <c r="F2680" s="8" t="str">
        <f>HYPERLINK("https://esbl.nhlbi.nih.gov/Databases/mpkFractions/proteomic_fractions_log_files/Yang_log_img/27229052.jpg","show blot")</f>
        <v>show blot</v>
      </c>
      <c r="H2680" s="8" t="str">
        <f>HYPERLINK("https://esbl.nhlbi.nih.gov/Databases/mpkFractions/proteomic_fractions_linear_files/Yang_linear_img/27229052.jpg","show blot")</f>
        <v>show blot</v>
      </c>
      <c r="J2680" s="5" t="s">
        <v>5333</v>
      </c>
      <c r="L2680" s="11">
        <v>5.3299917332994147</v>
      </c>
      <c r="N2680" s="12"/>
    </row>
    <row r="2681" spans="1:14" s="5" customFormat="1" ht="15" customHeight="1" x14ac:dyDescent="0.25">
      <c r="A2681" s="9" t="s">
        <v>5334</v>
      </c>
      <c r="C2681" s="9" t="str">
        <f>HYPERLINK("http://www.ncbi.nlm.nih.gov/protein/196115327","Gfap")</f>
        <v>Gfap</v>
      </c>
      <c r="D2681" s="10">
        <f t="shared" si="41"/>
        <v>3.898462145779503</v>
      </c>
      <c r="F2681" s="8" t="str">
        <f>HYPERLINK("https://esbl.nhlbi.nih.gov/Databases/mpkFractions/proteomic_fractions_log_files/Yang_log_img/196115327.jpg","show blot")</f>
        <v>show blot</v>
      </c>
      <c r="H2681" s="8" t="str">
        <f>HYPERLINK("https://esbl.nhlbi.nih.gov/Databases/mpkFractions/proteomic_fractions_linear_files/Yang_linear_img/196115327.jpg","show blot")</f>
        <v>show blot</v>
      </c>
      <c r="J2681" s="5" t="s">
        <v>5335</v>
      </c>
      <c r="L2681" s="11">
        <v>3.898462145779503</v>
      </c>
      <c r="N2681" s="12"/>
    </row>
    <row r="2682" spans="1:14" s="5" customFormat="1" ht="15" customHeight="1" x14ac:dyDescent="0.25">
      <c r="A2682" s="9" t="s">
        <v>5336</v>
      </c>
      <c r="C2682" s="9" t="str">
        <f>HYPERLINK("http://www.ncbi.nlm.nih.gov/protein/84000448","Gfap")</f>
        <v>Gfap</v>
      </c>
      <c r="D2682" s="10">
        <f t="shared" si="41"/>
        <v>3.898462145779503</v>
      </c>
      <c r="F2682" s="8" t="str">
        <f>HYPERLINK("https://esbl.nhlbi.nih.gov/Databases/mpkFractions/proteomic_fractions_log_files/Yang_log_img/84000448.jpg","show blot")</f>
        <v>show blot</v>
      </c>
      <c r="H2682" s="8" t="str">
        <f>HYPERLINK("https://esbl.nhlbi.nih.gov/Databases/mpkFractions/proteomic_fractions_linear_files/Yang_linear_img/84000448.jpg","show blot")</f>
        <v>show blot</v>
      </c>
      <c r="J2682" s="5" t="s">
        <v>5337</v>
      </c>
      <c r="L2682" s="11">
        <v>3.898462145779503</v>
      </c>
      <c r="N2682" s="12"/>
    </row>
    <row r="2683" spans="1:14" s="5" customFormat="1" ht="15" customHeight="1" x14ac:dyDescent="0.25">
      <c r="A2683" s="9" t="s">
        <v>5338</v>
      </c>
      <c r="C2683" s="9" t="str">
        <f>HYPERLINK("http://www.ncbi.nlm.nih.gov/protein/46909575","Gfer")</f>
        <v>Gfer</v>
      </c>
      <c r="D2683" s="10">
        <f t="shared" si="41"/>
        <v>2.8151967923267391</v>
      </c>
      <c r="F2683" s="8" t="str">
        <f>HYPERLINK("https://esbl.nhlbi.nih.gov/Databases/mpkFractions/proteomic_fractions_log_files/Yang_log_img/46909575.jpg","show blot")</f>
        <v>show blot</v>
      </c>
      <c r="H2683" s="8" t="str">
        <f>HYPERLINK("https://esbl.nhlbi.nih.gov/Databases/mpkFractions/proteomic_fractions_linear_files/Yang_linear_img/46909575.jpg","show blot")</f>
        <v>show blot</v>
      </c>
      <c r="J2683" s="5" t="s">
        <v>5339</v>
      </c>
      <c r="L2683" s="11">
        <v>2.8151967923267391</v>
      </c>
      <c r="N2683" s="12"/>
    </row>
    <row r="2684" spans="1:14" s="5" customFormat="1" ht="15" customHeight="1" x14ac:dyDescent="0.25">
      <c r="A2684" s="9" t="s">
        <v>5340</v>
      </c>
      <c r="C2684" s="9" t="str">
        <f>HYPERLINK("http://www.ncbi.nlm.nih.gov/protein/170650599","Gfm1")</f>
        <v>Gfm1</v>
      </c>
      <c r="D2684" s="10">
        <f t="shared" si="41"/>
        <v>4.5443959924275044</v>
      </c>
      <c r="F2684" s="8" t="str">
        <f>HYPERLINK("https://esbl.nhlbi.nih.gov/Databases/mpkFractions/proteomic_fractions_log_files/Yang_log_img/170650599.jpg","show blot")</f>
        <v>show blot</v>
      </c>
      <c r="H2684" s="8" t="str">
        <f>HYPERLINK("https://esbl.nhlbi.nih.gov/Databases/mpkFractions/proteomic_fractions_linear_files/Yang_linear_img/170650599.jpg","show blot")</f>
        <v>show blot</v>
      </c>
      <c r="J2684" s="5" t="s">
        <v>5341</v>
      </c>
      <c r="L2684" s="11">
        <v>4.5443959924275044</v>
      </c>
      <c r="N2684" s="12"/>
    </row>
    <row r="2685" spans="1:14" s="5" customFormat="1" ht="15" customHeight="1" x14ac:dyDescent="0.25">
      <c r="A2685" s="9" t="s">
        <v>5342</v>
      </c>
      <c r="C2685" s="9" t="str">
        <f>HYPERLINK("http://www.ncbi.nlm.nih.gov/protein/225690549","Gfm2")</f>
        <v>Gfm2</v>
      </c>
      <c r="D2685" s="10">
        <f t="shared" si="41"/>
        <v>2.8254629311152959</v>
      </c>
      <c r="F2685" s="8" t="str">
        <f>HYPERLINK("https://esbl.nhlbi.nih.gov/Databases/mpkFractions/proteomic_fractions_log_files/Yang_log_img/225690549.jpg","show blot")</f>
        <v>show blot</v>
      </c>
      <c r="H2685" s="8" t="str">
        <f>HYPERLINK("https://esbl.nhlbi.nih.gov/Databases/mpkFractions/proteomic_fractions_linear_files/Yang_linear_img/225690549.jpg","show blot")</f>
        <v>show blot</v>
      </c>
      <c r="J2685" s="5" t="s">
        <v>5343</v>
      </c>
      <c r="L2685" s="11">
        <v>2.8254629311152959</v>
      </c>
      <c r="N2685" s="12"/>
    </row>
    <row r="2686" spans="1:14" s="5" customFormat="1" ht="15" customHeight="1" x14ac:dyDescent="0.25">
      <c r="A2686" s="9" t="s">
        <v>5344</v>
      </c>
      <c r="C2686" s="9" t="str">
        <f>HYPERLINK("http://www.ncbi.nlm.nih.gov/protein/225690556","Gfm2")</f>
        <v>Gfm2</v>
      </c>
      <c r="D2686" s="10">
        <f t="shared" si="41"/>
        <v>2.8254629311152959</v>
      </c>
      <c r="F2686" s="8" t="str">
        <f>HYPERLINK("https://esbl.nhlbi.nih.gov/Databases/mpkFractions/proteomic_fractions_log_files/Yang_log_img/225690556.jpg","show blot")</f>
        <v>show blot</v>
      </c>
      <c r="H2686" s="8" t="str">
        <f>HYPERLINK("https://esbl.nhlbi.nih.gov/Databases/mpkFractions/proteomic_fractions_linear_files/Yang_linear_img/225690556.jpg","show blot")</f>
        <v>show blot</v>
      </c>
      <c r="J2686" s="5" t="s">
        <v>5345</v>
      </c>
      <c r="L2686" s="11">
        <v>2.8254629311152959</v>
      </c>
      <c r="N2686" s="12"/>
    </row>
    <row r="2687" spans="1:14" s="5" customFormat="1" ht="15" customHeight="1" x14ac:dyDescent="0.25">
      <c r="A2687" s="9" t="s">
        <v>5346</v>
      </c>
      <c r="C2687" s="9" t="str">
        <f>HYPERLINK("http://www.ncbi.nlm.nih.gov/protein/407228375","Gfm2")</f>
        <v>Gfm2</v>
      </c>
      <c r="D2687" s="10">
        <f t="shared" si="41"/>
        <v>2.8254629311152959</v>
      </c>
      <c r="F2687" s="8" t="str">
        <f>HYPERLINK("https://esbl.nhlbi.nih.gov/Databases/mpkFractions/proteomic_fractions_log_files/Yang_log_img/407228375.jpg","show blot")</f>
        <v>show blot</v>
      </c>
      <c r="H2687" s="8" t="str">
        <f>HYPERLINK("https://esbl.nhlbi.nih.gov/Databases/mpkFractions/proteomic_fractions_linear_files/Yang_linear_img/407228375.jpg","show blot")</f>
        <v>show blot</v>
      </c>
      <c r="J2687" s="5" t="s">
        <v>5347</v>
      </c>
      <c r="L2687" s="11">
        <v>2.8254629311152959</v>
      </c>
      <c r="N2687" s="12"/>
    </row>
    <row r="2688" spans="1:14" s="5" customFormat="1" ht="15" customHeight="1" x14ac:dyDescent="0.25">
      <c r="A2688" s="9" t="s">
        <v>5348</v>
      </c>
      <c r="C2688" s="9" t="str">
        <f>HYPERLINK("http://www.ncbi.nlm.nih.gov/protein/407228398","Gfm2")</f>
        <v>Gfm2</v>
      </c>
      <c r="D2688" s="10">
        <f t="shared" si="41"/>
        <v>2.8254629311152959</v>
      </c>
      <c r="F2688" s="8" t="str">
        <f>HYPERLINK("https://esbl.nhlbi.nih.gov/Databases/mpkFractions/proteomic_fractions_log_files/Yang_log_img/407228398.jpg","show blot")</f>
        <v>show blot</v>
      </c>
      <c r="H2688" s="8" t="str">
        <f>HYPERLINK("https://esbl.nhlbi.nih.gov/Databases/mpkFractions/proteomic_fractions_linear_files/Yang_linear_img/407228398.jpg","show blot")</f>
        <v>show blot</v>
      </c>
      <c r="J2688" s="5" t="s">
        <v>5349</v>
      </c>
      <c r="L2688" s="11">
        <v>2.8254629311152959</v>
      </c>
      <c r="N2688" s="12"/>
    </row>
    <row r="2689" spans="1:14" s="5" customFormat="1" ht="15" customHeight="1" x14ac:dyDescent="0.25">
      <c r="A2689" s="9" t="s">
        <v>5350</v>
      </c>
      <c r="C2689" s="9" t="str">
        <f>HYPERLINK("http://www.ncbi.nlm.nih.gov/protein/21312610","Gfod2")</f>
        <v>Gfod2</v>
      </c>
      <c r="D2689" s="10">
        <f t="shared" si="41"/>
        <v>4.1468631228941346</v>
      </c>
      <c r="F2689" s="8" t="str">
        <f>HYPERLINK("https://esbl.nhlbi.nih.gov/Databases/mpkFractions/proteomic_fractions_log_files/Yang_log_img/21312610.jpg","show blot")</f>
        <v>show blot</v>
      </c>
      <c r="H2689" s="8" t="str">
        <f>HYPERLINK("https://esbl.nhlbi.nih.gov/Databases/mpkFractions/proteomic_fractions_linear_files/Yang_linear_img/21312610.jpg","show blot")</f>
        <v>show blot</v>
      </c>
      <c r="J2689" s="5" t="s">
        <v>5351</v>
      </c>
      <c r="L2689" s="11">
        <v>4.1468631228941346</v>
      </c>
      <c r="N2689" s="12"/>
    </row>
    <row r="2690" spans="1:14" s="5" customFormat="1" ht="15" customHeight="1" x14ac:dyDescent="0.25">
      <c r="A2690" s="9" t="s">
        <v>5352</v>
      </c>
      <c r="C2690" s="9" t="str">
        <f>HYPERLINK("http://www.ncbi.nlm.nih.gov/protein/7305085","Gfpt1")</f>
        <v>Gfpt1</v>
      </c>
      <c r="D2690" s="10">
        <f t="shared" si="41"/>
        <v>5.4350095104105618</v>
      </c>
      <c r="F2690" s="8" t="str">
        <f>HYPERLINK("https://esbl.nhlbi.nih.gov/Databases/mpkFractions/proteomic_fractions_log_files/Yang_log_img/7305085.jpg","show blot")</f>
        <v>show blot</v>
      </c>
      <c r="H2690" s="8" t="str">
        <f>HYPERLINK("https://esbl.nhlbi.nih.gov/Databases/mpkFractions/proteomic_fractions_linear_files/Yang_linear_img/7305085.jpg","show blot")</f>
        <v>show blot</v>
      </c>
      <c r="J2690" s="5" t="s">
        <v>5353</v>
      </c>
      <c r="L2690" s="11">
        <v>5.4350095104105618</v>
      </c>
      <c r="N2690" s="12"/>
    </row>
    <row r="2691" spans="1:14" s="5" customFormat="1" ht="15" customHeight="1" x14ac:dyDescent="0.25">
      <c r="A2691" s="9" t="s">
        <v>5354</v>
      </c>
      <c r="C2691" s="9" t="str">
        <f>HYPERLINK("http://www.ncbi.nlm.nih.gov/protein/7305087","Gfpt2")</f>
        <v>Gfpt2</v>
      </c>
      <c r="D2691" s="10">
        <f t="shared" si="41"/>
        <v>4.4563018535735042</v>
      </c>
      <c r="F2691" s="8" t="str">
        <f>HYPERLINK("https://esbl.nhlbi.nih.gov/Databases/mpkFractions/proteomic_fractions_log_files/Yang_log_img/7305087.jpg","show blot")</f>
        <v>show blot</v>
      </c>
      <c r="H2691" s="8" t="str">
        <f>HYPERLINK("https://esbl.nhlbi.nih.gov/Databases/mpkFractions/proteomic_fractions_linear_files/Yang_linear_img/7305087.jpg","show blot")</f>
        <v>show blot</v>
      </c>
      <c r="J2691" s="5" t="s">
        <v>5355</v>
      </c>
      <c r="L2691" s="11">
        <v>4.4563018535735042</v>
      </c>
      <c r="N2691" s="12"/>
    </row>
    <row r="2692" spans="1:14" s="5" customFormat="1" ht="15" customHeight="1" x14ac:dyDescent="0.25">
      <c r="A2692" s="9" t="s">
        <v>5356</v>
      </c>
      <c r="C2692" s="9" t="str">
        <f>HYPERLINK("http://www.ncbi.nlm.nih.gov/protein/22122347","Gga1")</f>
        <v>Gga1</v>
      </c>
      <c r="D2692" s="10">
        <f t="shared" si="41"/>
        <v>4.2014888263731009</v>
      </c>
      <c r="F2692" s="8" t="str">
        <f>HYPERLINK("https://esbl.nhlbi.nih.gov/Databases/mpkFractions/proteomic_fractions_log_files/Yang_log_img/22122347.jpg","show blot")</f>
        <v>show blot</v>
      </c>
      <c r="H2692" s="8" t="str">
        <f>HYPERLINK("https://esbl.nhlbi.nih.gov/Databases/mpkFractions/proteomic_fractions_linear_files/Yang_linear_img/22122347.jpg","show blot")</f>
        <v>show blot</v>
      </c>
      <c r="J2692" s="5" t="s">
        <v>5357</v>
      </c>
      <c r="L2692" s="11">
        <v>4.2014888263731009</v>
      </c>
      <c r="N2692" s="12"/>
    </row>
    <row r="2693" spans="1:14" s="5" customFormat="1" ht="15" customHeight="1" x14ac:dyDescent="0.25">
      <c r="A2693" s="9" t="s">
        <v>5358</v>
      </c>
      <c r="C2693" s="9" t="str">
        <f>HYPERLINK("http://www.ncbi.nlm.nih.gov/protein/21703924","Ggact")</f>
        <v>Ggact</v>
      </c>
      <c r="D2693" s="10">
        <f t="shared" ref="D2693:D2756" si="42">L2693</f>
        <v>4.1294242871568256</v>
      </c>
      <c r="F2693" s="8" t="str">
        <f>HYPERLINK("https://esbl.nhlbi.nih.gov/Databases/mpkFractions/proteomic_fractions_log_files/Yang_log_img/21703924.jpg","show blot")</f>
        <v>show blot</v>
      </c>
      <c r="H2693" s="8" t="str">
        <f>HYPERLINK("https://esbl.nhlbi.nih.gov/Databases/mpkFractions/proteomic_fractions_linear_files/Yang_linear_img/21703924.jpg","show blot")</f>
        <v>show blot</v>
      </c>
      <c r="J2693" s="5" t="s">
        <v>5359</v>
      </c>
      <c r="L2693" s="11">
        <v>4.1294242871568256</v>
      </c>
      <c r="N2693" s="12"/>
    </row>
    <row r="2694" spans="1:14" s="5" customFormat="1" ht="15" customHeight="1" x14ac:dyDescent="0.25">
      <c r="A2694" s="9" t="s">
        <v>5360</v>
      </c>
      <c r="C2694" s="9" t="str">
        <f>HYPERLINK("http://www.ncbi.nlm.nih.gov/protein/21311849","Ggct")</f>
        <v>Ggct</v>
      </c>
      <c r="D2694" s="10">
        <f t="shared" si="42"/>
        <v>4.845060487475088</v>
      </c>
      <c r="F2694" s="8" t="str">
        <f>HYPERLINK("https://esbl.nhlbi.nih.gov/Databases/mpkFractions/proteomic_fractions_log_files/Yang_log_img/21311849.jpg","show blot")</f>
        <v>show blot</v>
      </c>
      <c r="H2694" s="8" t="str">
        <f>HYPERLINK("https://esbl.nhlbi.nih.gov/Databases/mpkFractions/proteomic_fractions_linear_files/Yang_linear_img/21311849.jpg","show blot")</f>
        <v>show blot</v>
      </c>
      <c r="J2694" s="5" t="s">
        <v>5361</v>
      </c>
      <c r="L2694" s="11">
        <v>4.845060487475088</v>
      </c>
      <c r="N2694" s="12"/>
    </row>
    <row r="2695" spans="1:14" s="5" customFormat="1" ht="15" customHeight="1" x14ac:dyDescent="0.25">
      <c r="A2695" s="9" t="s">
        <v>5362</v>
      </c>
      <c r="C2695" s="9" t="str">
        <f>HYPERLINK("http://www.ncbi.nlm.nih.gov/protein/9790009","Ggcx")</f>
        <v>Ggcx</v>
      </c>
      <c r="D2695" s="10">
        <f t="shared" si="42"/>
        <v>1.6475798408147631</v>
      </c>
      <c r="F2695" s="8" t="str">
        <f>HYPERLINK("https://esbl.nhlbi.nih.gov/Databases/mpkFractions/proteomic_fractions_log_files/Yang_log_img/9790009.jpg","show blot")</f>
        <v>show blot</v>
      </c>
      <c r="H2695" s="8" t="str">
        <f>HYPERLINK("https://esbl.nhlbi.nih.gov/Databases/mpkFractions/proteomic_fractions_linear_files/Yang_linear_img/9790009.jpg","show blot")</f>
        <v>show blot</v>
      </c>
      <c r="J2695" s="5" t="s">
        <v>5363</v>
      </c>
      <c r="L2695" s="11">
        <v>1.6475798408147631</v>
      </c>
      <c r="N2695" s="12"/>
    </row>
    <row r="2696" spans="1:14" s="5" customFormat="1" ht="15" customHeight="1" x14ac:dyDescent="0.25">
      <c r="A2696" s="9" t="s">
        <v>5364</v>
      </c>
      <c r="C2696" s="9" t="str">
        <f>HYPERLINK("http://www.ncbi.nlm.nih.gov/protein/6806915","Ggps1")</f>
        <v>Ggps1</v>
      </c>
      <c r="D2696" s="10">
        <f t="shared" si="42"/>
        <v>4.5799788567547388</v>
      </c>
      <c r="F2696" s="8" t="str">
        <f>HYPERLINK("https://esbl.nhlbi.nih.gov/Databases/mpkFractions/proteomic_fractions_log_files/Yang_log_img/6806915.jpg","show blot")</f>
        <v>show blot</v>
      </c>
      <c r="H2696" s="8" t="str">
        <f>HYPERLINK("https://esbl.nhlbi.nih.gov/Databases/mpkFractions/proteomic_fractions_linear_files/Yang_linear_img/6806915.jpg","show blot")</f>
        <v>show blot</v>
      </c>
      <c r="J2696" s="5" t="s">
        <v>5365</v>
      </c>
      <c r="L2696" s="11">
        <v>4.5799788567547388</v>
      </c>
      <c r="N2696" s="12"/>
    </row>
    <row r="2697" spans="1:14" s="5" customFormat="1" ht="15" customHeight="1" x14ac:dyDescent="0.25">
      <c r="A2697" s="9" t="s">
        <v>5366</v>
      </c>
      <c r="C2697" s="9" t="str">
        <f>HYPERLINK("http://www.ncbi.nlm.nih.gov/protein/6679995","Ggt1")</f>
        <v>Ggt1</v>
      </c>
      <c r="D2697" s="10">
        <f t="shared" si="42"/>
        <v>2.5853312632735568</v>
      </c>
      <c r="F2697" s="8" t="str">
        <f>HYPERLINK("https://esbl.nhlbi.nih.gov/Databases/mpkFractions/proteomic_fractions_log_files/Yang_log_img/6679995.jpg","show blot")</f>
        <v>show blot</v>
      </c>
      <c r="H2697" s="8" t="str">
        <f>HYPERLINK("https://esbl.nhlbi.nih.gov/Databases/mpkFractions/proteomic_fractions_linear_files/Yang_linear_img/6679995.jpg","show blot")</f>
        <v>show blot</v>
      </c>
      <c r="J2697" s="5" t="s">
        <v>5367</v>
      </c>
      <c r="L2697" s="11">
        <v>2.5853312632735568</v>
      </c>
      <c r="N2697" s="12"/>
    </row>
    <row r="2698" spans="1:14" s="5" customFormat="1" ht="15" customHeight="1" x14ac:dyDescent="0.25">
      <c r="A2698" s="9" t="s">
        <v>5368</v>
      </c>
      <c r="C2698" s="9" t="str">
        <f>HYPERLINK("http://www.ncbi.nlm.nih.gov/protein/6679997","Gh")</f>
        <v>Gh</v>
      </c>
      <c r="D2698" s="10">
        <f t="shared" si="42"/>
        <v>4.3539722514864883</v>
      </c>
      <c r="F2698" s="8" t="str">
        <f>HYPERLINK("https://esbl.nhlbi.nih.gov/Databases/mpkFractions/proteomic_fractions_log_files/Yang_log_img/6679997.jpg","show blot")</f>
        <v>show blot</v>
      </c>
      <c r="H2698" s="8" t="str">
        <f>HYPERLINK("https://esbl.nhlbi.nih.gov/Databases/mpkFractions/proteomic_fractions_linear_files/Yang_linear_img/6679997.jpg","show blot")</f>
        <v>show blot</v>
      </c>
      <c r="J2698" s="5" t="s">
        <v>5369</v>
      </c>
      <c r="L2698" s="11">
        <v>4.3539722514864883</v>
      </c>
      <c r="N2698" s="12"/>
    </row>
    <row r="2699" spans="1:14" s="5" customFormat="1" ht="15" customHeight="1" x14ac:dyDescent="0.25">
      <c r="A2699" s="9" t="s">
        <v>5370</v>
      </c>
      <c r="C2699" s="9" t="str">
        <f>HYPERLINK("http://www.ncbi.nlm.nih.gov/protein/17505218","Ghitm")</f>
        <v>Ghitm</v>
      </c>
      <c r="D2699" s="10">
        <f t="shared" si="42"/>
        <v>3.9253617771825948</v>
      </c>
      <c r="F2699" s="8" t="str">
        <f>HYPERLINK("https://esbl.nhlbi.nih.gov/Databases/mpkFractions/proteomic_fractions_log_files/Yang_log_img/17505218.jpg","show blot")</f>
        <v>show blot</v>
      </c>
      <c r="H2699" s="8" t="str">
        <f>HYPERLINK("https://esbl.nhlbi.nih.gov/Databases/mpkFractions/proteomic_fractions_linear_files/Yang_linear_img/17505218.jpg","show blot")</f>
        <v>show blot</v>
      </c>
      <c r="J2699" s="5" t="s">
        <v>5371</v>
      </c>
      <c r="L2699" s="11">
        <v>3.9253617771825948</v>
      </c>
      <c r="N2699" s="12"/>
    </row>
    <row r="2700" spans="1:14" s="5" customFormat="1" ht="15" customHeight="1" x14ac:dyDescent="0.25">
      <c r="A2700" s="9" t="s">
        <v>5372</v>
      </c>
      <c r="C2700" s="9" t="str">
        <f>HYPERLINK("http://www.ncbi.nlm.nih.gov/protein/254939696","Gid4")</f>
        <v>Gid4</v>
      </c>
      <c r="D2700" s="10">
        <f t="shared" si="42"/>
        <v>3.6345157079157029</v>
      </c>
      <c r="F2700" s="8" t="str">
        <f>HYPERLINK("https://esbl.nhlbi.nih.gov/Databases/mpkFractions/proteomic_fractions_log_files/Yang_log_img/254939696.jpg","show blot")</f>
        <v>show blot</v>
      </c>
      <c r="H2700" s="8" t="str">
        <f>HYPERLINK("https://esbl.nhlbi.nih.gov/Databases/mpkFractions/proteomic_fractions_linear_files/Yang_linear_img/254939696.jpg","show blot")</f>
        <v>show blot</v>
      </c>
      <c r="J2700" s="5" t="s">
        <v>5373</v>
      </c>
      <c r="L2700" s="11">
        <v>3.6345157079157029</v>
      </c>
      <c r="N2700" s="12"/>
    </row>
    <row r="2701" spans="1:14" s="5" customFormat="1" ht="15" customHeight="1" x14ac:dyDescent="0.25">
      <c r="A2701" s="9" t="s">
        <v>5374</v>
      </c>
      <c r="C2701" s="9" t="str">
        <f>HYPERLINK("http://www.ncbi.nlm.nih.gov/protein/58037443","Gid8")</f>
        <v>Gid8</v>
      </c>
      <c r="D2701" s="10">
        <f t="shared" si="42"/>
        <v>4.3389160350897251</v>
      </c>
      <c r="F2701" s="8" t="str">
        <f>HYPERLINK("https://esbl.nhlbi.nih.gov/Databases/mpkFractions/proteomic_fractions_log_files/Yang_log_img/58037443.jpg","show blot")</f>
        <v>show blot</v>
      </c>
      <c r="H2701" s="8" t="str">
        <f>HYPERLINK("https://esbl.nhlbi.nih.gov/Databases/mpkFractions/proteomic_fractions_linear_files/Yang_linear_img/58037443.jpg","show blot")</f>
        <v>show blot</v>
      </c>
      <c r="J2701" s="5" t="s">
        <v>5375</v>
      </c>
      <c r="L2701" s="11">
        <v>4.3389160350897251</v>
      </c>
      <c r="N2701" s="12"/>
    </row>
    <row r="2702" spans="1:14" s="5" customFormat="1" ht="15" customHeight="1" x14ac:dyDescent="0.25">
      <c r="A2702" s="9" t="s">
        <v>5376</v>
      </c>
      <c r="C2702" s="9" t="str">
        <f>HYPERLINK("http://www.ncbi.nlm.nih.gov/protein/159032014","Gigyf2")</f>
        <v>Gigyf2</v>
      </c>
      <c r="D2702" s="10">
        <f t="shared" si="42"/>
        <v>4.380662913757849</v>
      </c>
      <c r="F2702" s="8" t="str">
        <f>HYPERLINK("https://esbl.nhlbi.nih.gov/Databases/mpkFractions/proteomic_fractions_log_files/Yang_log_img/159032014.jpg","show blot")</f>
        <v>show blot</v>
      </c>
      <c r="H2702" s="8" t="str">
        <f>HYPERLINK("https://esbl.nhlbi.nih.gov/Databases/mpkFractions/proteomic_fractions_linear_files/Yang_linear_img/159032014.jpg","show blot")</f>
        <v>show blot</v>
      </c>
      <c r="J2702" s="5" t="s">
        <v>5377</v>
      </c>
      <c r="L2702" s="11">
        <v>4.380662913757849</v>
      </c>
      <c r="N2702" s="12"/>
    </row>
    <row r="2703" spans="1:14" s="5" customFormat="1" ht="15" customHeight="1" x14ac:dyDescent="0.25">
      <c r="A2703" s="9" t="s">
        <v>5378</v>
      </c>
      <c r="C2703" s="9" t="str">
        <f>HYPERLINK("http://www.ncbi.nlm.nih.gov/protein/159032016","Gigyf2")</f>
        <v>Gigyf2</v>
      </c>
      <c r="D2703" s="10">
        <f t="shared" si="42"/>
        <v>4.380662913757849</v>
      </c>
      <c r="F2703" s="8" t="str">
        <f>HYPERLINK("https://esbl.nhlbi.nih.gov/Databases/mpkFractions/proteomic_fractions_log_files/Yang_log_img/159032016.jpg","show blot")</f>
        <v>show blot</v>
      </c>
      <c r="H2703" s="8" t="str">
        <f>HYPERLINK("https://esbl.nhlbi.nih.gov/Databases/mpkFractions/proteomic_fractions_linear_files/Yang_linear_img/159032016.jpg","show blot")</f>
        <v>show blot</v>
      </c>
      <c r="J2703" s="5" t="s">
        <v>5379</v>
      </c>
      <c r="L2703" s="11">
        <v>4.380662913757849</v>
      </c>
      <c r="N2703" s="12"/>
    </row>
    <row r="2704" spans="1:14" s="5" customFormat="1" ht="15" customHeight="1" x14ac:dyDescent="0.25">
      <c r="A2704" s="9" t="s">
        <v>5380</v>
      </c>
      <c r="C2704" s="9" t="str">
        <f>HYPERLINK("http://www.ncbi.nlm.nih.gov/protein/254553278","Gins1")</f>
        <v>Gins1</v>
      </c>
      <c r="D2704" s="10">
        <f t="shared" si="42"/>
        <v>4.7247668067465769</v>
      </c>
      <c r="F2704" s="8" t="str">
        <f>HYPERLINK("https://esbl.nhlbi.nih.gov/Databases/mpkFractions/proteomic_fractions_log_files/Yang_log_img/254553278.jpg","show blot")</f>
        <v>show blot</v>
      </c>
      <c r="H2704" s="8" t="str">
        <f>HYPERLINK("https://esbl.nhlbi.nih.gov/Databases/mpkFractions/proteomic_fractions_linear_files/Yang_linear_img/254553278.jpg","show blot")</f>
        <v>show blot</v>
      </c>
      <c r="J2704" s="5" t="s">
        <v>5381</v>
      </c>
      <c r="L2704" s="11">
        <v>4.7247668067465769</v>
      </c>
      <c r="N2704" s="12"/>
    </row>
    <row r="2705" spans="1:14" s="5" customFormat="1" ht="15" customHeight="1" x14ac:dyDescent="0.25">
      <c r="A2705" s="9" t="s">
        <v>5382</v>
      </c>
      <c r="C2705" s="9" t="str">
        <f>HYPERLINK("http://www.ncbi.nlm.nih.gov/protein/254553280","Gins1")</f>
        <v>Gins1</v>
      </c>
      <c r="D2705" s="10">
        <f t="shared" si="42"/>
        <v>4.7247668067465769</v>
      </c>
      <c r="F2705" s="8" t="str">
        <f>HYPERLINK("https://esbl.nhlbi.nih.gov/Databases/mpkFractions/proteomic_fractions_log_files/Yang_log_img/254553280.jpg","show blot")</f>
        <v>show blot</v>
      </c>
      <c r="H2705" s="8" t="str">
        <f>HYPERLINK("https://esbl.nhlbi.nih.gov/Databases/mpkFractions/proteomic_fractions_linear_files/Yang_linear_img/254553280.jpg","show blot")</f>
        <v>show blot</v>
      </c>
      <c r="J2705" s="5" t="s">
        <v>5383</v>
      </c>
      <c r="L2705" s="11">
        <v>4.7247668067465769</v>
      </c>
      <c r="N2705" s="12"/>
    </row>
    <row r="2706" spans="1:14" s="5" customFormat="1" ht="15" customHeight="1" x14ac:dyDescent="0.25">
      <c r="A2706" s="9" t="s">
        <v>5384</v>
      </c>
      <c r="C2706" s="9" t="str">
        <f>HYPERLINK("http://www.ncbi.nlm.nih.gov/protein/124249060","Gins2")</f>
        <v>Gins2</v>
      </c>
      <c r="D2706" s="10">
        <f t="shared" si="42"/>
        <v>2.990325375144117</v>
      </c>
      <c r="F2706" s="8" t="str">
        <f>HYPERLINK("https://esbl.nhlbi.nih.gov/Databases/mpkFractions/proteomic_fractions_log_files/Yang_log_img/124249060.jpg","show blot")</f>
        <v>show blot</v>
      </c>
      <c r="H2706" s="8" t="str">
        <f>HYPERLINK("https://esbl.nhlbi.nih.gov/Databases/mpkFractions/proteomic_fractions_linear_files/Yang_linear_img/124249060.jpg","show blot")</f>
        <v>show blot</v>
      </c>
      <c r="J2706" s="5" t="s">
        <v>5385</v>
      </c>
      <c r="L2706" s="11">
        <v>2.990325375144117</v>
      </c>
      <c r="N2706" s="12"/>
    </row>
    <row r="2707" spans="1:14" s="5" customFormat="1" ht="15" customHeight="1" x14ac:dyDescent="0.25">
      <c r="A2707" s="9" t="s">
        <v>5386</v>
      </c>
      <c r="C2707" s="9" t="str">
        <f>HYPERLINK("http://www.ncbi.nlm.nih.gov/protein/21313504","Gins3")</f>
        <v>Gins3</v>
      </c>
      <c r="D2707" s="10">
        <f t="shared" si="42"/>
        <v>5.0835553174565788</v>
      </c>
      <c r="F2707" s="8" t="str">
        <f>HYPERLINK("https://esbl.nhlbi.nih.gov/Databases/mpkFractions/proteomic_fractions_log_files/Yang_log_img/21313504.jpg","show blot")</f>
        <v>show blot</v>
      </c>
      <c r="H2707" s="8" t="str">
        <f>HYPERLINK("https://esbl.nhlbi.nih.gov/Databases/mpkFractions/proteomic_fractions_linear_files/Yang_linear_img/21313504.jpg","show blot")</f>
        <v>show blot</v>
      </c>
      <c r="J2707" s="5" t="s">
        <v>5387</v>
      </c>
      <c r="L2707" s="11">
        <v>5.0835553174565788</v>
      </c>
      <c r="N2707" s="12"/>
    </row>
    <row r="2708" spans="1:14" s="5" customFormat="1" ht="15" customHeight="1" x14ac:dyDescent="0.25">
      <c r="A2708" s="9" t="s">
        <v>5388</v>
      </c>
      <c r="C2708" s="9" t="str">
        <f>HYPERLINK("http://www.ncbi.nlm.nih.gov/protein/13195660","Gins4")</f>
        <v>Gins4</v>
      </c>
      <c r="D2708" s="10">
        <f t="shared" si="42"/>
        <v>4.9738783657108367</v>
      </c>
      <c r="F2708" s="8" t="str">
        <f>HYPERLINK("https://esbl.nhlbi.nih.gov/Databases/mpkFractions/proteomic_fractions_log_files/Yang_log_img/13195660.jpg","show blot")</f>
        <v>show blot</v>
      </c>
      <c r="H2708" s="8" t="str">
        <f>HYPERLINK("https://esbl.nhlbi.nih.gov/Databases/mpkFractions/proteomic_fractions_linear_files/Yang_linear_img/13195660.jpg","show blot")</f>
        <v>show blot</v>
      </c>
      <c r="J2708" s="5" t="s">
        <v>5389</v>
      </c>
      <c r="L2708" s="11">
        <v>4.9738783657108367</v>
      </c>
      <c r="N2708" s="12"/>
    </row>
    <row r="2709" spans="1:14" s="5" customFormat="1" ht="15" customHeight="1" x14ac:dyDescent="0.25">
      <c r="A2709" s="9" t="s">
        <v>5390</v>
      </c>
      <c r="C2709" s="9" t="str">
        <f>HYPERLINK("http://www.ncbi.nlm.nih.gov/protein/9055336","Gipc1")</f>
        <v>Gipc1</v>
      </c>
      <c r="D2709" s="10">
        <f t="shared" si="42"/>
        <v>5.6309554942250664</v>
      </c>
      <c r="F2709" s="8" t="str">
        <f>HYPERLINK("https://esbl.nhlbi.nih.gov/Databases/mpkFractions/proteomic_fractions_log_files/Yang_log_img/9055336.jpg","show blot")</f>
        <v>show blot</v>
      </c>
      <c r="H2709" s="8" t="str">
        <f>HYPERLINK("https://esbl.nhlbi.nih.gov/Databases/mpkFractions/proteomic_fractions_linear_files/Yang_linear_img/9055336.jpg","show blot")</f>
        <v>show blot</v>
      </c>
      <c r="J2709" s="5" t="s">
        <v>5391</v>
      </c>
      <c r="L2709" s="11">
        <v>5.6309554942250664</v>
      </c>
      <c r="N2709" s="12"/>
    </row>
    <row r="2710" spans="1:14" s="5" customFormat="1" ht="15" customHeight="1" x14ac:dyDescent="0.25">
      <c r="A2710" s="9" t="s">
        <v>5392</v>
      </c>
      <c r="C2710" s="9" t="str">
        <f>HYPERLINK("http://www.ncbi.nlm.nih.gov/protein/8394258","Gipc2")</f>
        <v>Gipc2</v>
      </c>
      <c r="D2710" s="10">
        <f t="shared" si="42"/>
        <v>5.6829128906123909</v>
      </c>
      <c r="F2710" s="8" t="str">
        <f>HYPERLINK("https://esbl.nhlbi.nih.gov/Databases/mpkFractions/proteomic_fractions_log_files/Yang_log_img/8394258.jpg","show blot")</f>
        <v>show blot</v>
      </c>
      <c r="H2710" s="8" t="str">
        <f>HYPERLINK("https://esbl.nhlbi.nih.gov/Databases/mpkFractions/proteomic_fractions_linear_files/Yang_linear_img/8394258.jpg","show blot")</f>
        <v>show blot</v>
      </c>
      <c r="J2710" s="5" t="s">
        <v>5393</v>
      </c>
      <c r="L2710" s="11">
        <v>5.6829128906123909</v>
      </c>
      <c r="N2710" s="12"/>
    </row>
    <row r="2711" spans="1:14" s="5" customFormat="1" ht="15" customHeight="1" x14ac:dyDescent="0.25">
      <c r="A2711" s="9" t="s">
        <v>5394</v>
      </c>
      <c r="C2711" s="9" t="str">
        <f>HYPERLINK("http://www.ncbi.nlm.nih.gov/protein/22507363","Gipc3")</f>
        <v>Gipc3</v>
      </c>
      <c r="D2711" s="10">
        <f t="shared" si="42"/>
        <v>4.5960011882437133</v>
      </c>
      <c r="F2711" s="8" t="str">
        <f>HYPERLINK("https://esbl.nhlbi.nih.gov/Databases/mpkFractions/proteomic_fractions_log_files/Yang_log_img/22507363.jpg","show blot")</f>
        <v>show blot</v>
      </c>
      <c r="H2711" s="8" t="str">
        <f>HYPERLINK("https://esbl.nhlbi.nih.gov/Databases/mpkFractions/proteomic_fractions_linear_files/Yang_linear_img/22507363.jpg","show blot")</f>
        <v>show blot</v>
      </c>
      <c r="J2711" s="5" t="s">
        <v>5395</v>
      </c>
      <c r="L2711" s="11">
        <v>4.5960011882437133</v>
      </c>
      <c r="N2711" s="12"/>
    </row>
    <row r="2712" spans="1:14" s="5" customFormat="1" ht="15" customHeight="1" x14ac:dyDescent="0.25">
      <c r="A2712" s="9" t="s">
        <v>5396</v>
      </c>
      <c r="C2712" s="9" t="str">
        <f>HYPERLINK("http://www.ncbi.nlm.nih.gov/protein/51921285","Git1")</f>
        <v>Git1</v>
      </c>
      <c r="D2712" s="10">
        <f t="shared" si="42"/>
        <v>4.4216011375254123</v>
      </c>
      <c r="F2712" s="8" t="str">
        <f>HYPERLINK("https://esbl.nhlbi.nih.gov/Databases/mpkFractions/proteomic_fractions_log_files/Yang_log_img/51921285.jpg","show blot")</f>
        <v>show blot</v>
      </c>
      <c r="H2712" s="8" t="str">
        <f>HYPERLINK("https://esbl.nhlbi.nih.gov/Databases/mpkFractions/proteomic_fractions_linear_files/Yang_linear_img/51921285.jpg","show blot")</f>
        <v>show blot</v>
      </c>
      <c r="J2712" s="5" t="s">
        <v>5397</v>
      </c>
      <c r="L2712" s="11">
        <v>4.4216011375254123</v>
      </c>
      <c r="N2712" s="12"/>
    </row>
    <row r="2713" spans="1:14" s="5" customFormat="1" ht="15" customHeight="1" x14ac:dyDescent="0.25">
      <c r="A2713" s="9" t="s">
        <v>5398</v>
      </c>
      <c r="C2713" s="9" t="str">
        <f>HYPERLINK("http://www.ncbi.nlm.nih.gov/protein/116517290","Git2")</f>
        <v>Git2</v>
      </c>
      <c r="D2713" s="10">
        <f t="shared" si="42"/>
        <v>3.2291392402273491</v>
      </c>
      <c r="F2713" s="8" t="str">
        <f>HYPERLINK("https://esbl.nhlbi.nih.gov/Databases/mpkFractions/proteomic_fractions_log_files/Yang_log_img/116517290.jpg","show blot")</f>
        <v>show blot</v>
      </c>
      <c r="H2713" s="8" t="str">
        <f>HYPERLINK("https://esbl.nhlbi.nih.gov/Databases/mpkFractions/proteomic_fractions_linear_files/Yang_linear_img/116517290.jpg","show blot")</f>
        <v>show blot</v>
      </c>
      <c r="J2713" s="5" t="s">
        <v>5399</v>
      </c>
      <c r="L2713" s="11">
        <v>3.2291392402273491</v>
      </c>
      <c r="N2713" s="12"/>
    </row>
    <row r="2714" spans="1:14" s="5" customFormat="1" ht="15" customHeight="1" x14ac:dyDescent="0.25">
      <c r="A2714" s="9" t="s">
        <v>5400</v>
      </c>
      <c r="C2714" s="9" t="str">
        <f>HYPERLINK("http://www.ncbi.nlm.nih.gov/protein/116517295","Git2")</f>
        <v>Git2</v>
      </c>
      <c r="D2714" s="10">
        <f t="shared" si="42"/>
        <v>3.2291392402273491</v>
      </c>
      <c r="F2714" s="8" t="str">
        <f>HYPERLINK("https://esbl.nhlbi.nih.gov/Databases/mpkFractions/proteomic_fractions_log_files/Yang_log_img/116517295.jpg","show blot")</f>
        <v>show blot</v>
      </c>
      <c r="H2714" s="8" t="str">
        <f>HYPERLINK("https://esbl.nhlbi.nih.gov/Databases/mpkFractions/proteomic_fractions_linear_files/Yang_linear_img/116517295.jpg","show blot")</f>
        <v>show blot</v>
      </c>
      <c r="J2714" s="5" t="s">
        <v>5401</v>
      </c>
      <c r="L2714" s="11">
        <v>3.2291392402273491</v>
      </c>
      <c r="N2714" s="12"/>
    </row>
    <row r="2715" spans="1:14" s="5" customFormat="1" ht="15" customHeight="1" x14ac:dyDescent="0.25">
      <c r="A2715" s="9" t="s">
        <v>5402</v>
      </c>
      <c r="C2715" s="9" t="str">
        <f>HYPERLINK("http://www.ncbi.nlm.nih.gov/protein/116517297","Git2")</f>
        <v>Git2</v>
      </c>
      <c r="D2715" s="10">
        <f t="shared" si="42"/>
        <v>3.2291392402273491</v>
      </c>
      <c r="F2715" s="8" t="str">
        <f>HYPERLINK("https://esbl.nhlbi.nih.gov/Databases/mpkFractions/proteomic_fractions_log_files/Yang_log_img/116517297.jpg","show blot")</f>
        <v>show blot</v>
      </c>
      <c r="H2715" s="8" t="str">
        <f>HYPERLINK("https://esbl.nhlbi.nih.gov/Databases/mpkFractions/proteomic_fractions_linear_files/Yang_linear_img/116517297.jpg","show blot")</f>
        <v>show blot</v>
      </c>
      <c r="J2715" s="5" t="s">
        <v>5403</v>
      </c>
      <c r="L2715" s="11">
        <v>3.2291392402273491</v>
      </c>
      <c r="N2715" s="12"/>
    </row>
    <row r="2716" spans="1:14" s="5" customFormat="1" ht="15" customHeight="1" x14ac:dyDescent="0.25">
      <c r="A2716" s="9" t="s">
        <v>5404</v>
      </c>
      <c r="C2716" s="9" t="str">
        <f>HYPERLINK("http://www.ncbi.nlm.nih.gov/protein/6754000","Gk2")</f>
        <v>Gk2</v>
      </c>
      <c r="D2716" s="10">
        <f t="shared" si="42"/>
        <v>3.5982690496995362</v>
      </c>
      <c r="F2716" s="8" t="str">
        <f>HYPERLINK("https://esbl.nhlbi.nih.gov/Databases/mpkFractions/proteomic_fractions_log_files/Yang_log_img/6754000.jpg","show blot")</f>
        <v>show blot</v>
      </c>
      <c r="H2716" s="8" t="str">
        <f>HYPERLINK("https://esbl.nhlbi.nih.gov/Databases/mpkFractions/proteomic_fractions_linear_files/Yang_linear_img/6754000.jpg","show blot")</f>
        <v>show blot</v>
      </c>
      <c r="J2716" s="5" t="s">
        <v>5405</v>
      </c>
      <c r="L2716" s="11">
        <v>3.5982690496995362</v>
      </c>
      <c r="N2716" s="12"/>
    </row>
    <row r="2717" spans="1:14" s="5" customFormat="1" ht="15" customHeight="1" x14ac:dyDescent="0.25">
      <c r="A2717" s="9" t="s">
        <v>5406</v>
      </c>
      <c r="C2717" s="9" t="str">
        <f>HYPERLINK("http://www.ncbi.nlm.nih.gov/protein/9789999","Gkap1")</f>
        <v>Gkap1</v>
      </c>
      <c r="D2717" s="10">
        <f t="shared" si="42"/>
        <v>3.9135779500615819</v>
      </c>
      <c r="F2717" s="8" t="str">
        <f>HYPERLINK("https://esbl.nhlbi.nih.gov/Databases/mpkFractions/proteomic_fractions_log_files/Yang_log_img/9789999.jpg","show blot")</f>
        <v>show blot</v>
      </c>
      <c r="H2717" s="8" t="str">
        <f>HYPERLINK("https://esbl.nhlbi.nih.gov/Databases/mpkFractions/proteomic_fractions_linear_files/Yang_linear_img/9789999.jpg","show blot")</f>
        <v>show blot</v>
      </c>
      <c r="J2717" s="5" t="s">
        <v>5407</v>
      </c>
      <c r="L2717" s="11">
        <v>3.9135779500615819</v>
      </c>
      <c r="N2717" s="12"/>
    </row>
    <row r="2718" spans="1:14" s="5" customFormat="1" ht="15" customHeight="1" x14ac:dyDescent="0.25">
      <c r="A2718" s="9" t="s">
        <v>5408</v>
      </c>
      <c r="C2718" s="9" t="str">
        <f>HYPERLINK("http://www.ncbi.nlm.nih.gov/protein/133778924","Gla")</f>
        <v>Gla</v>
      </c>
      <c r="D2718" s="10">
        <f t="shared" si="42"/>
        <v>4.0454308342408591</v>
      </c>
      <c r="F2718" s="8" t="str">
        <f>HYPERLINK("https://esbl.nhlbi.nih.gov/Databases/mpkFractions/proteomic_fractions_log_files/Yang_log_img/133778924.jpg","show blot")</f>
        <v>show blot</v>
      </c>
      <c r="H2718" s="8" t="str">
        <f>HYPERLINK("https://esbl.nhlbi.nih.gov/Databases/mpkFractions/proteomic_fractions_linear_files/Yang_linear_img/133778924.jpg","show blot")</f>
        <v>show blot</v>
      </c>
      <c r="J2718" s="5" t="s">
        <v>5409</v>
      </c>
      <c r="L2718" s="11">
        <v>4.0454308342408591</v>
      </c>
      <c r="N2718" s="12"/>
    </row>
    <row r="2719" spans="1:14" s="5" customFormat="1" ht="15" customHeight="1" x14ac:dyDescent="0.25">
      <c r="A2719" s="9" t="s">
        <v>5410</v>
      </c>
      <c r="C2719" s="9" t="str">
        <f>HYPERLINK("http://www.ncbi.nlm.nih.gov/protein/6753190","Glb1")</f>
        <v>Glb1</v>
      </c>
      <c r="D2719" s="10">
        <f t="shared" si="42"/>
        <v>4.6907563672267436</v>
      </c>
      <c r="F2719" s="8" t="str">
        <f>HYPERLINK("https://esbl.nhlbi.nih.gov/Databases/mpkFractions/proteomic_fractions_log_files/Yang_log_img/6753190.jpg","show blot")</f>
        <v>show blot</v>
      </c>
      <c r="H2719" s="8" t="str">
        <f>HYPERLINK("https://esbl.nhlbi.nih.gov/Databases/mpkFractions/proteomic_fractions_linear_files/Yang_linear_img/6753190.jpg","show blot")</f>
        <v>show blot</v>
      </c>
      <c r="J2719" s="5" t="s">
        <v>5411</v>
      </c>
      <c r="L2719" s="11">
        <v>4.6907563672267436</v>
      </c>
      <c r="N2719" s="12"/>
    </row>
    <row r="2720" spans="1:14" s="5" customFormat="1" ht="15" customHeight="1" x14ac:dyDescent="0.25">
      <c r="A2720" s="9" t="s">
        <v>5412</v>
      </c>
      <c r="C2720" s="9" t="str">
        <f>HYPERLINK("http://www.ncbi.nlm.nih.gov/protein/65301488","Glce")</f>
        <v>Glce</v>
      </c>
      <c r="D2720" s="10">
        <f t="shared" si="42"/>
        <v>3.1181723173289901</v>
      </c>
      <c r="F2720" s="8" t="str">
        <f>HYPERLINK("https://esbl.nhlbi.nih.gov/Databases/mpkFractions/proteomic_fractions_log_files/Yang_log_img/65301488.jpg","show blot")</f>
        <v>show blot</v>
      </c>
      <c r="H2720" s="8" t="str">
        <f>HYPERLINK("https://esbl.nhlbi.nih.gov/Databases/mpkFractions/proteomic_fractions_linear_files/Yang_linear_img/65301488.jpg","show blot")</f>
        <v>show blot</v>
      </c>
      <c r="J2720" s="5" t="s">
        <v>5413</v>
      </c>
      <c r="L2720" s="11">
        <v>3.1181723173289901</v>
      </c>
      <c r="N2720" s="12"/>
    </row>
    <row r="2721" spans="1:14" s="5" customFormat="1" ht="15" customHeight="1" x14ac:dyDescent="0.25">
      <c r="A2721" s="9" t="s">
        <v>5414</v>
      </c>
      <c r="C2721" s="9" t="str">
        <f>HYPERLINK("http://www.ncbi.nlm.nih.gov/protein/58037369","Gle1")</f>
        <v>Gle1</v>
      </c>
      <c r="D2721" s="10">
        <f t="shared" si="42"/>
        <v>4.0300717857953208</v>
      </c>
      <c r="F2721" s="8" t="str">
        <f>HYPERLINK("https://esbl.nhlbi.nih.gov/Databases/mpkFractions/proteomic_fractions_log_files/Yang_log_img/58037369.jpg","show blot")</f>
        <v>show blot</v>
      </c>
      <c r="H2721" s="8" t="str">
        <f>HYPERLINK("https://esbl.nhlbi.nih.gov/Databases/mpkFractions/proteomic_fractions_linear_files/Yang_linear_img/58037369.jpg","show blot")</f>
        <v>show blot</v>
      </c>
      <c r="J2721" s="5" t="s">
        <v>5415</v>
      </c>
      <c r="L2721" s="11">
        <v>4.0300717857953208</v>
      </c>
      <c r="N2721" s="12"/>
    </row>
    <row r="2722" spans="1:14" s="5" customFormat="1" ht="15" customHeight="1" x14ac:dyDescent="0.25">
      <c r="A2722" s="9" t="s">
        <v>5416</v>
      </c>
      <c r="C2722" s="9" t="str">
        <f>HYPERLINK("http://www.ncbi.nlm.nih.gov/protein/6677905","Glg1")</f>
        <v>Glg1</v>
      </c>
      <c r="D2722" s="10">
        <f t="shared" si="42"/>
        <v>5.0223953547344591</v>
      </c>
      <c r="F2722" s="8" t="str">
        <f>HYPERLINK("https://esbl.nhlbi.nih.gov/Databases/mpkFractions/proteomic_fractions_log_files/Yang_log_img/6677905.jpg","show blot")</f>
        <v>show blot</v>
      </c>
      <c r="H2722" s="8" t="str">
        <f>HYPERLINK("https://esbl.nhlbi.nih.gov/Databases/mpkFractions/proteomic_fractions_linear_files/Yang_linear_img/6677905.jpg","show blot")</f>
        <v>show blot</v>
      </c>
      <c r="J2722" s="5" t="s">
        <v>5417</v>
      </c>
      <c r="L2722" s="11">
        <v>5.0223953547344591</v>
      </c>
      <c r="N2722" s="12"/>
    </row>
    <row r="2723" spans="1:14" s="5" customFormat="1" ht="15" customHeight="1" x14ac:dyDescent="0.25">
      <c r="A2723" s="9" t="s">
        <v>5418</v>
      </c>
      <c r="C2723" s="9" t="str">
        <f>HYPERLINK("http://www.ncbi.nlm.nih.gov/protein/47059151","Glipr2")</f>
        <v>Glipr2</v>
      </c>
      <c r="D2723" s="10">
        <f t="shared" si="42"/>
        <v>4.0630656831539396</v>
      </c>
      <c r="F2723" s="8" t="str">
        <f>HYPERLINK("https://esbl.nhlbi.nih.gov/Databases/mpkFractions/proteomic_fractions_log_files/Yang_log_img/47059151.jpg","show blot")</f>
        <v>show blot</v>
      </c>
      <c r="H2723" s="8" t="str">
        <f>HYPERLINK("https://esbl.nhlbi.nih.gov/Databases/mpkFractions/proteomic_fractions_linear_files/Yang_linear_img/47059151.jpg","show blot")</f>
        <v>show blot</v>
      </c>
      <c r="J2723" s="5" t="s">
        <v>5419</v>
      </c>
      <c r="L2723" s="11">
        <v>4.0630656831539396</v>
      </c>
      <c r="N2723" s="12"/>
    </row>
    <row r="2724" spans="1:14" s="5" customFormat="1" ht="15" customHeight="1" x14ac:dyDescent="0.25">
      <c r="A2724" s="9" t="s">
        <v>5420</v>
      </c>
      <c r="C2724" s="9" t="str">
        <f>HYPERLINK("http://www.ncbi.nlm.nih.gov/protein/239985596","Glmn")</f>
        <v>Glmn</v>
      </c>
      <c r="D2724" s="10">
        <f t="shared" si="42"/>
        <v>2.5693756244223032</v>
      </c>
      <c r="F2724" s="8" t="str">
        <f>HYPERLINK("https://esbl.nhlbi.nih.gov/Databases/mpkFractions/proteomic_fractions_log_files/Yang_log_img/239985596.jpg","show blot")</f>
        <v>show blot</v>
      </c>
      <c r="H2724" s="8" t="str">
        <f>HYPERLINK("https://esbl.nhlbi.nih.gov/Databases/mpkFractions/proteomic_fractions_linear_files/Yang_linear_img/239985596.jpg","show blot")</f>
        <v>show blot</v>
      </c>
      <c r="J2724" s="5" t="s">
        <v>5421</v>
      </c>
      <c r="L2724" s="11">
        <v>2.5693756244223032</v>
      </c>
      <c r="N2724" s="12"/>
    </row>
    <row r="2725" spans="1:14" s="5" customFormat="1" ht="15" customHeight="1" x14ac:dyDescent="0.25">
      <c r="A2725" s="9" t="s">
        <v>5422</v>
      </c>
      <c r="C2725" s="9" t="str">
        <f>HYPERLINK("http://www.ncbi.nlm.nih.gov/protein/239985605","Glmn")</f>
        <v>Glmn</v>
      </c>
      <c r="D2725" s="10">
        <f t="shared" si="42"/>
        <v>2.5693756244223032</v>
      </c>
      <c r="F2725" s="8" t="str">
        <f>HYPERLINK("https://esbl.nhlbi.nih.gov/Databases/mpkFractions/proteomic_fractions_log_files/Yang_log_img/239985605.jpg","show blot")</f>
        <v>show blot</v>
      </c>
      <c r="H2725" s="8" t="str">
        <f>HYPERLINK("https://esbl.nhlbi.nih.gov/Databases/mpkFractions/proteomic_fractions_linear_files/Yang_linear_img/239985605.jpg","show blot")</f>
        <v>show blot</v>
      </c>
      <c r="J2725" s="5" t="s">
        <v>5423</v>
      </c>
      <c r="L2725" s="11">
        <v>2.5693756244223032</v>
      </c>
      <c r="N2725" s="12"/>
    </row>
    <row r="2726" spans="1:14" s="5" customFormat="1" ht="15" customHeight="1" x14ac:dyDescent="0.25">
      <c r="A2726" s="9" t="s">
        <v>5424</v>
      </c>
      <c r="C2726" s="9" t="str">
        <f>HYPERLINK("http://www.ncbi.nlm.nih.gov/protein/165932331","Glo1")</f>
        <v>Glo1</v>
      </c>
      <c r="D2726" s="10">
        <f t="shared" si="42"/>
        <v>5.9741546506831806</v>
      </c>
      <c r="F2726" s="8" t="str">
        <f>HYPERLINK("https://esbl.nhlbi.nih.gov/Databases/mpkFractions/proteomic_fractions_log_files/Yang_log_img/165932331.jpg","show blot")</f>
        <v>show blot</v>
      </c>
      <c r="H2726" s="8" t="str">
        <f>HYPERLINK("https://esbl.nhlbi.nih.gov/Databases/mpkFractions/proteomic_fractions_linear_files/Yang_linear_img/165932331.jpg","show blot")</f>
        <v>show blot</v>
      </c>
      <c r="J2726" s="5" t="s">
        <v>5425</v>
      </c>
      <c r="L2726" s="11">
        <v>5.9741546506831806</v>
      </c>
      <c r="N2726" s="12"/>
    </row>
    <row r="2727" spans="1:14" s="5" customFormat="1" ht="15" customHeight="1" x14ac:dyDescent="0.25">
      <c r="A2727" s="9" t="s">
        <v>5426</v>
      </c>
      <c r="C2727" s="9" t="str">
        <f>HYPERLINK("http://www.ncbi.nlm.nih.gov/protein/255003777","Glod4")</f>
        <v>Glod4</v>
      </c>
      <c r="D2727" s="10">
        <f t="shared" si="42"/>
        <v>5.8507506711523893</v>
      </c>
      <c r="F2727" s="8" t="str">
        <f>HYPERLINK("https://esbl.nhlbi.nih.gov/Databases/mpkFractions/proteomic_fractions_log_files/Yang_log_img/255003777.jpg","show blot")</f>
        <v>show blot</v>
      </c>
      <c r="H2727" s="8" t="str">
        <f>HYPERLINK("https://esbl.nhlbi.nih.gov/Databases/mpkFractions/proteomic_fractions_linear_files/Yang_linear_img/255003777.jpg","show blot")</f>
        <v>show blot</v>
      </c>
      <c r="J2727" s="5" t="s">
        <v>5427</v>
      </c>
      <c r="L2727" s="11">
        <v>5.8507506711523893</v>
      </c>
      <c r="N2727" s="12"/>
    </row>
    <row r="2728" spans="1:14" s="5" customFormat="1" ht="15" customHeight="1" x14ac:dyDescent="0.25">
      <c r="A2728" s="9" t="s">
        <v>5428</v>
      </c>
      <c r="C2728" s="9" t="str">
        <f>HYPERLINK("http://www.ncbi.nlm.nih.gov/protein/31981458","Glrx")</f>
        <v>Glrx</v>
      </c>
      <c r="D2728" s="10">
        <f t="shared" si="42"/>
        <v>4.5499187933548209</v>
      </c>
      <c r="F2728" s="8" t="str">
        <f>HYPERLINK("https://esbl.nhlbi.nih.gov/Databases/mpkFractions/proteomic_fractions_log_files/Yang_log_img/31981458.jpg","show blot")</f>
        <v>show blot</v>
      </c>
      <c r="H2728" s="8" t="str">
        <f>HYPERLINK("https://esbl.nhlbi.nih.gov/Databases/mpkFractions/proteomic_fractions_linear_files/Yang_linear_img/31981458.jpg","show blot")</f>
        <v>show blot</v>
      </c>
      <c r="J2728" s="5" t="s">
        <v>5429</v>
      </c>
      <c r="L2728" s="11">
        <v>4.5499187933548209</v>
      </c>
      <c r="N2728" s="12"/>
    </row>
    <row r="2729" spans="1:14" s="5" customFormat="1" ht="15" customHeight="1" x14ac:dyDescent="0.25">
      <c r="A2729" s="9" t="s">
        <v>5430</v>
      </c>
      <c r="C2729" s="9" t="str">
        <f>HYPERLINK("http://www.ncbi.nlm.nih.gov/protein/31981269","Glrx3")</f>
        <v>Glrx3</v>
      </c>
      <c r="D2729" s="10">
        <f t="shared" si="42"/>
        <v>5.2914449972077877</v>
      </c>
      <c r="F2729" s="8" t="str">
        <f>HYPERLINK("https://esbl.nhlbi.nih.gov/Databases/mpkFractions/proteomic_fractions_log_files/Yang_log_img/31981269.jpg","show blot")</f>
        <v>show blot</v>
      </c>
      <c r="H2729" s="8" t="str">
        <f>HYPERLINK("https://esbl.nhlbi.nih.gov/Databases/mpkFractions/proteomic_fractions_linear_files/Yang_linear_img/31981269.jpg","show blot")</f>
        <v>show blot</v>
      </c>
      <c r="J2729" s="5" t="s">
        <v>5431</v>
      </c>
      <c r="L2729" s="11">
        <v>5.2914449972077877</v>
      </c>
      <c r="N2729" s="12"/>
    </row>
    <row r="2730" spans="1:14" s="5" customFormat="1" ht="15" customHeight="1" x14ac:dyDescent="0.25">
      <c r="A2730" s="9" t="s">
        <v>5432</v>
      </c>
      <c r="C2730" s="9" t="str">
        <f>HYPERLINK("http://www.ncbi.nlm.nih.gov/protein/21312153","Glrx5")</f>
        <v>Glrx5</v>
      </c>
      <c r="D2730" s="10">
        <f t="shared" si="42"/>
        <v>5.4011997071863247</v>
      </c>
      <c r="F2730" s="8" t="str">
        <f>HYPERLINK("https://esbl.nhlbi.nih.gov/Databases/mpkFractions/proteomic_fractions_log_files/Yang_log_img/21312153.jpg","show blot")</f>
        <v>show blot</v>
      </c>
      <c r="H2730" s="8" t="str">
        <f>HYPERLINK("https://esbl.nhlbi.nih.gov/Databases/mpkFractions/proteomic_fractions_linear_files/Yang_linear_img/21312153.jpg","show blot")</f>
        <v>show blot</v>
      </c>
      <c r="J2730" s="5" t="s">
        <v>5433</v>
      </c>
      <c r="L2730" s="11">
        <v>5.4011997071863247</v>
      </c>
      <c r="N2730" s="12"/>
    </row>
    <row r="2731" spans="1:14" s="5" customFormat="1" ht="15" customHeight="1" x14ac:dyDescent="0.25">
      <c r="A2731" s="9" t="s">
        <v>5434</v>
      </c>
      <c r="C2731" s="9" t="str">
        <f>HYPERLINK("http://www.ncbi.nlm.nih.gov/protein/124487313","Gls")</f>
        <v>Gls</v>
      </c>
      <c r="D2731" s="10">
        <f t="shared" si="42"/>
        <v>4.9490277536824703</v>
      </c>
      <c r="F2731" s="8" t="str">
        <f>HYPERLINK("https://esbl.nhlbi.nih.gov/Databases/mpkFractions/proteomic_fractions_log_files/Yang_log_img/124487313.jpg","show blot")</f>
        <v>show blot</v>
      </c>
      <c r="H2731" s="8" t="str">
        <f>HYPERLINK("https://esbl.nhlbi.nih.gov/Databases/mpkFractions/proteomic_fractions_linear_files/Yang_linear_img/124487313.jpg","show blot")</f>
        <v>show blot</v>
      </c>
      <c r="J2731" s="5" t="s">
        <v>5435</v>
      </c>
      <c r="L2731" s="11">
        <v>4.9490277536824703</v>
      </c>
      <c r="N2731" s="12"/>
    </row>
    <row r="2732" spans="1:14" s="5" customFormat="1" ht="15" customHeight="1" x14ac:dyDescent="0.25">
      <c r="A2732" s="9" t="s">
        <v>5436</v>
      </c>
      <c r="C2732" s="9" t="str">
        <f>HYPERLINK("http://www.ncbi.nlm.nih.gov/protein/164607135","Gls")</f>
        <v>Gls</v>
      </c>
      <c r="D2732" s="10">
        <f t="shared" si="42"/>
        <v>4.9490277536824703</v>
      </c>
      <c r="F2732" s="8" t="str">
        <f>HYPERLINK("https://esbl.nhlbi.nih.gov/Databases/mpkFractions/proteomic_fractions_log_files/Yang_log_img/164607135.jpg","show blot")</f>
        <v>show blot</v>
      </c>
      <c r="H2732" s="8" t="str">
        <f>HYPERLINK("https://esbl.nhlbi.nih.gov/Databases/mpkFractions/proteomic_fractions_linear_files/Yang_linear_img/164607135.jpg","show blot")</f>
        <v>show blot</v>
      </c>
      <c r="J2732" s="5" t="s">
        <v>5437</v>
      </c>
      <c r="L2732" s="11">
        <v>4.9490277536824703</v>
      </c>
      <c r="N2732" s="12"/>
    </row>
    <row r="2733" spans="1:14" s="5" customFormat="1" ht="15" customHeight="1" x14ac:dyDescent="0.25">
      <c r="A2733" s="9" t="s">
        <v>5438</v>
      </c>
      <c r="C2733" s="9" t="str">
        <f>HYPERLINK("http://www.ncbi.nlm.nih.gov/protein/170784829","Glt25d1")</f>
        <v>Glt25d1</v>
      </c>
      <c r="D2733" s="10">
        <f t="shared" si="42"/>
        <v>3.923095313096042</v>
      </c>
      <c r="F2733" s="8" t="str">
        <f>HYPERLINK("https://esbl.nhlbi.nih.gov/Databases/mpkFractions/proteomic_fractions_log_files/Yang_log_img/170784829.jpg","show blot")</f>
        <v>show blot</v>
      </c>
      <c r="H2733" s="8" t="str">
        <f>HYPERLINK("https://esbl.nhlbi.nih.gov/Databases/mpkFractions/proteomic_fractions_linear_files/Yang_linear_img/170784829.jpg","show blot")</f>
        <v>show blot</v>
      </c>
      <c r="J2733" s="5" t="s">
        <v>5439</v>
      </c>
      <c r="L2733" s="11">
        <v>3.923095313096042</v>
      </c>
      <c r="N2733" s="12"/>
    </row>
    <row r="2734" spans="1:14" s="5" customFormat="1" ht="15" customHeight="1" x14ac:dyDescent="0.25">
      <c r="A2734" s="9" t="s">
        <v>5440</v>
      </c>
      <c r="C2734" s="9" t="str">
        <f>HYPERLINK("http://www.ncbi.nlm.nih.gov/protein/31560404","Gltp")</f>
        <v>Gltp</v>
      </c>
      <c r="D2734" s="10">
        <f t="shared" si="42"/>
        <v>5.5464517606571624</v>
      </c>
      <c r="F2734" s="8" t="str">
        <f>HYPERLINK("https://esbl.nhlbi.nih.gov/Databases/mpkFractions/proteomic_fractions_log_files/Yang_log_img/31560404.jpg","show blot")</f>
        <v>show blot</v>
      </c>
      <c r="H2734" s="8" t="str">
        <f>HYPERLINK("https://esbl.nhlbi.nih.gov/Databases/mpkFractions/proteomic_fractions_linear_files/Yang_linear_img/31560404.jpg","show blot")</f>
        <v>show blot</v>
      </c>
      <c r="J2734" s="5" t="s">
        <v>5441</v>
      </c>
      <c r="L2734" s="11">
        <v>5.5464517606571624</v>
      </c>
      <c r="N2734" s="12"/>
    </row>
    <row r="2735" spans="1:14" s="5" customFormat="1" ht="15" customHeight="1" x14ac:dyDescent="0.25">
      <c r="A2735" s="9" t="s">
        <v>5442</v>
      </c>
      <c r="C2735" s="9" t="str">
        <f>HYPERLINK("http://www.ncbi.nlm.nih.gov/protein/228480230","Gltscr2")</f>
        <v>Gltscr2</v>
      </c>
      <c r="D2735" s="10">
        <f t="shared" si="42"/>
        <v>2.876027724269691</v>
      </c>
      <c r="F2735" s="8" t="str">
        <f>HYPERLINK("https://esbl.nhlbi.nih.gov/Databases/mpkFractions/proteomic_fractions_log_files/Yang_log_img/228480230.jpg","show blot")</f>
        <v>show blot</v>
      </c>
      <c r="H2735" s="8" t="str">
        <f>HYPERLINK("https://esbl.nhlbi.nih.gov/Databases/mpkFractions/proteomic_fractions_linear_files/Yang_linear_img/228480230.jpg","show blot")</f>
        <v>show blot</v>
      </c>
      <c r="J2735" s="5" t="s">
        <v>5443</v>
      </c>
      <c r="L2735" s="11">
        <v>2.876027724269691</v>
      </c>
      <c r="N2735" s="12"/>
    </row>
    <row r="2736" spans="1:14" s="5" customFormat="1" ht="15" customHeight="1" x14ac:dyDescent="0.25">
      <c r="A2736" s="9" t="s">
        <v>5444</v>
      </c>
      <c r="C2736" s="9" t="str">
        <f>HYPERLINK("http://www.ncbi.nlm.nih.gov/protein/6680027","Glud1")</f>
        <v>Glud1</v>
      </c>
      <c r="D2736" s="10">
        <f t="shared" si="42"/>
        <v>6.1860159543037838</v>
      </c>
      <c r="F2736" s="8" t="str">
        <f>HYPERLINK("https://esbl.nhlbi.nih.gov/Databases/mpkFractions/proteomic_fractions_log_files/Yang_log_img/6680027.jpg","show blot")</f>
        <v>show blot</v>
      </c>
      <c r="H2736" s="8" t="str">
        <f>HYPERLINK("https://esbl.nhlbi.nih.gov/Databases/mpkFractions/proteomic_fractions_linear_files/Yang_linear_img/6680027.jpg","show blot")</f>
        <v>show blot</v>
      </c>
      <c r="J2736" s="5" t="s">
        <v>5445</v>
      </c>
      <c r="L2736" s="11">
        <v>6.1860159543037838</v>
      </c>
      <c r="N2736" s="12"/>
    </row>
    <row r="2737" spans="1:14" s="5" customFormat="1" ht="15" customHeight="1" x14ac:dyDescent="0.25">
      <c r="A2737" s="9" t="s">
        <v>5446</v>
      </c>
      <c r="C2737" s="9" t="str">
        <f>HYPERLINK("http://www.ncbi.nlm.nih.gov/protein/119392066","Glyr1")</f>
        <v>Glyr1</v>
      </c>
      <c r="D2737" s="10">
        <f t="shared" si="42"/>
        <v>4.6727310141109006</v>
      </c>
      <c r="F2737" s="8" t="str">
        <f>HYPERLINK("https://esbl.nhlbi.nih.gov/Databases/mpkFractions/proteomic_fractions_log_files/Yang_log_img/119392066.jpg","show blot")</f>
        <v>show blot</v>
      </c>
      <c r="H2737" s="8" t="str">
        <f>HYPERLINK("https://esbl.nhlbi.nih.gov/Databases/mpkFractions/proteomic_fractions_linear_files/Yang_linear_img/119392066.jpg","show blot")</f>
        <v>show blot</v>
      </c>
      <c r="J2737" s="5" t="s">
        <v>5447</v>
      </c>
      <c r="L2737" s="11">
        <v>4.6727310141109006</v>
      </c>
      <c r="N2737" s="12"/>
    </row>
    <row r="2738" spans="1:14" s="5" customFormat="1" ht="15" customHeight="1" x14ac:dyDescent="0.25">
      <c r="A2738" s="9" t="s">
        <v>5448</v>
      </c>
      <c r="C2738" s="9" t="str">
        <f>HYPERLINK("http://www.ncbi.nlm.nih.gov/protein/119392074","Glyr1")</f>
        <v>Glyr1</v>
      </c>
      <c r="D2738" s="10">
        <f t="shared" si="42"/>
        <v>4.6727310141109006</v>
      </c>
      <c r="F2738" s="8" t="str">
        <f>HYPERLINK("https://esbl.nhlbi.nih.gov/Databases/mpkFractions/proteomic_fractions_log_files/Yang_log_img/119392074.jpg","show blot")</f>
        <v>show blot</v>
      </c>
      <c r="H2738" s="8" t="str">
        <f>HYPERLINK("https://esbl.nhlbi.nih.gov/Databases/mpkFractions/proteomic_fractions_linear_files/Yang_linear_img/119392074.jpg","show blot")</f>
        <v>show blot</v>
      </c>
      <c r="J2738" s="5" t="s">
        <v>5449</v>
      </c>
      <c r="L2738" s="11">
        <v>4.6727310141109006</v>
      </c>
      <c r="N2738" s="12"/>
    </row>
    <row r="2739" spans="1:14" s="5" customFormat="1" ht="15" customHeight="1" x14ac:dyDescent="0.25">
      <c r="A2739" s="9" t="s">
        <v>5450</v>
      </c>
      <c r="C2739" s="9" t="str">
        <f>HYPERLINK("http://www.ncbi.nlm.nih.gov/protein/309269122","Gm10015")</f>
        <v>Gm10015</v>
      </c>
      <c r="D2739" s="10">
        <f t="shared" si="42"/>
        <v>5.7772407420395089</v>
      </c>
      <c r="F2739" s="8" t="str">
        <f>HYPERLINK("https://esbl.nhlbi.nih.gov/Databases/mpkFractions/proteomic_fractions_log_files/Yang_log_img/309269122.jpg","show blot")</f>
        <v>show blot</v>
      </c>
      <c r="H2739" s="8" t="str">
        <f>HYPERLINK("https://esbl.nhlbi.nih.gov/Databases/mpkFractions/proteomic_fractions_linear_files/Yang_linear_img/309269122.jpg","show blot")</f>
        <v>show blot</v>
      </c>
      <c r="J2739" s="5" t="s">
        <v>5451</v>
      </c>
      <c r="L2739" s="11">
        <v>5.7772407420395089</v>
      </c>
      <c r="N2739" s="12"/>
    </row>
    <row r="2740" spans="1:14" s="5" customFormat="1" ht="15" customHeight="1" x14ac:dyDescent="0.25">
      <c r="A2740" s="9" t="s">
        <v>5452</v>
      </c>
      <c r="C2740" s="9" t="str">
        <f>HYPERLINK("http://www.ncbi.nlm.nih.gov/protein/407261621","Gm10015")</f>
        <v>Gm10015</v>
      </c>
      <c r="D2740" s="10">
        <f t="shared" si="42"/>
        <v>5.7772407420395089</v>
      </c>
      <c r="F2740" s="8" t="str">
        <f>HYPERLINK("https://esbl.nhlbi.nih.gov/Databases/mpkFractions/proteomic_fractions_log_files/Yang_log_img/407261621.jpg","show blot")</f>
        <v>show blot</v>
      </c>
      <c r="H2740" s="8" t="str">
        <f>HYPERLINK("https://esbl.nhlbi.nih.gov/Databases/mpkFractions/proteomic_fractions_linear_files/Yang_linear_img/407261621.jpg","show blot")</f>
        <v>show blot</v>
      </c>
      <c r="J2740" s="5" t="s">
        <v>5451</v>
      </c>
      <c r="L2740" s="11">
        <v>5.7772407420395089</v>
      </c>
      <c r="N2740" s="12"/>
    </row>
    <row r="2741" spans="1:14" s="5" customFormat="1" ht="15" customHeight="1" x14ac:dyDescent="0.25">
      <c r="A2741" s="9" t="s">
        <v>5453</v>
      </c>
      <c r="C2741" s="9" t="str">
        <f>HYPERLINK("http://www.ncbi.nlm.nih.gov/protein/309262801","Gm10029")</f>
        <v>Gm10029</v>
      </c>
      <c r="D2741" s="10">
        <f t="shared" si="42"/>
        <v>6.6823444414205797</v>
      </c>
      <c r="F2741" s="8" t="str">
        <f>HYPERLINK("https://esbl.nhlbi.nih.gov/Databases/mpkFractions/proteomic_fractions_log_files/Yang_log_img/309262801.jpg","show blot")</f>
        <v>show blot</v>
      </c>
      <c r="H2741" s="8" t="str">
        <f>HYPERLINK("https://esbl.nhlbi.nih.gov/Databases/mpkFractions/proteomic_fractions_linear_files/Yang_linear_img/309262801.jpg","show blot")</f>
        <v>show blot</v>
      </c>
      <c r="J2741" s="5" t="s">
        <v>5454</v>
      </c>
      <c r="L2741" s="11">
        <v>6.6823444414205797</v>
      </c>
      <c r="N2741" s="12"/>
    </row>
    <row r="2742" spans="1:14" s="5" customFormat="1" ht="15" customHeight="1" x14ac:dyDescent="0.25">
      <c r="A2742" s="9" t="s">
        <v>5455</v>
      </c>
      <c r="C2742" s="9" t="str">
        <f>HYPERLINK("http://www.ncbi.nlm.nih.gov/protein/309266791","Gm10045")</f>
        <v>Gm10045</v>
      </c>
      <c r="D2742" s="10">
        <f t="shared" si="42"/>
        <v>6.7855869037989773</v>
      </c>
      <c r="F2742" s="8" t="str">
        <f>HYPERLINK("https://esbl.nhlbi.nih.gov/Databases/mpkFractions/proteomic_fractions_log_files/Yang_log_img/309266791.jpg","show blot")</f>
        <v>show blot</v>
      </c>
      <c r="H2742" s="8" t="str">
        <f>HYPERLINK("https://esbl.nhlbi.nih.gov/Databases/mpkFractions/proteomic_fractions_linear_files/Yang_linear_img/309266791.jpg","show blot")</f>
        <v>show blot</v>
      </c>
      <c r="J2742" s="5" t="s">
        <v>5456</v>
      </c>
      <c r="L2742" s="11">
        <v>6.7855869037989773</v>
      </c>
      <c r="N2742" s="12"/>
    </row>
    <row r="2743" spans="1:14" s="5" customFormat="1" ht="15" customHeight="1" x14ac:dyDescent="0.25">
      <c r="A2743" s="9" t="s">
        <v>5457</v>
      </c>
      <c r="C2743" s="9" t="str">
        <f>HYPERLINK("http://www.ncbi.nlm.nih.gov/protein/309270949","Gm10045")</f>
        <v>Gm10045</v>
      </c>
      <c r="D2743" s="10">
        <f t="shared" si="42"/>
        <v>6.7855869037989773</v>
      </c>
      <c r="F2743" s="8" t="str">
        <f>HYPERLINK("https://esbl.nhlbi.nih.gov/Databases/mpkFractions/proteomic_fractions_log_files/Yang_log_img/309270949.jpg","show blot")</f>
        <v>show blot</v>
      </c>
      <c r="H2743" s="8" t="str">
        <f>HYPERLINK("https://esbl.nhlbi.nih.gov/Databases/mpkFractions/proteomic_fractions_linear_files/Yang_linear_img/309270949.jpg","show blot")</f>
        <v>show blot</v>
      </c>
      <c r="J2743" s="5" t="s">
        <v>5456</v>
      </c>
      <c r="L2743" s="11">
        <v>6.7855869037989773</v>
      </c>
      <c r="N2743" s="12"/>
    </row>
    <row r="2744" spans="1:14" s="5" customFormat="1" ht="15" customHeight="1" x14ac:dyDescent="0.25">
      <c r="A2744" s="9" t="s">
        <v>5458</v>
      </c>
      <c r="C2744" s="9" t="str">
        <f>HYPERLINK("http://www.ncbi.nlm.nih.gov/protein/309265470","Gm10051")</f>
        <v>Gm10051</v>
      </c>
      <c r="D2744" s="10">
        <f t="shared" si="42"/>
        <v>6.5048613868535163</v>
      </c>
      <c r="F2744" s="8" t="str">
        <f>HYPERLINK("https://esbl.nhlbi.nih.gov/Databases/mpkFractions/proteomic_fractions_log_files/Yang_log_img/309265470.jpg","show blot")</f>
        <v>show blot</v>
      </c>
      <c r="H2744" s="8" t="str">
        <f>HYPERLINK("https://esbl.nhlbi.nih.gov/Databases/mpkFractions/proteomic_fractions_linear_files/Yang_linear_img/309265470.jpg","show blot")</f>
        <v>show blot</v>
      </c>
      <c r="J2744" s="5" t="s">
        <v>5459</v>
      </c>
      <c r="L2744" s="11">
        <v>6.5048613868535163</v>
      </c>
      <c r="N2744" s="12"/>
    </row>
    <row r="2745" spans="1:14" s="5" customFormat="1" ht="15" customHeight="1" x14ac:dyDescent="0.25">
      <c r="A2745" s="9" t="s">
        <v>5460</v>
      </c>
      <c r="C2745" s="9" t="str">
        <f>HYPERLINK("http://www.ncbi.nlm.nih.gov/protein/149258678","Gm10063")</f>
        <v>Gm10063</v>
      </c>
      <c r="D2745" s="10">
        <f t="shared" si="42"/>
        <v>6.6099749177263014</v>
      </c>
      <c r="F2745" s="8" t="str">
        <f>HYPERLINK("https://esbl.nhlbi.nih.gov/Databases/mpkFractions/proteomic_fractions_log_files/Yang_log_img/149258678.jpg","show blot")</f>
        <v>show blot</v>
      </c>
      <c r="H2745" s="8" t="str">
        <f>HYPERLINK("https://esbl.nhlbi.nih.gov/Databases/mpkFractions/proteomic_fractions_linear_files/Yang_linear_img/149258678.jpg","show blot")</f>
        <v>show blot</v>
      </c>
      <c r="J2745" s="5" t="s">
        <v>5461</v>
      </c>
      <c r="L2745" s="11">
        <v>6.6099749177263014</v>
      </c>
      <c r="N2745" s="12"/>
    </row>
    <row r="2746" spans="1:14" s="5" customFormat="1" ht="15" customHeight="1" x14ac:dyDescent="0.25">
      <c r="A2746" s="9" t="s">
        <v>5462</v>
      </c>
      <c r="C2746" s="9" t="str">
        <f>HYPERLINK("http://www.ncbi.nlm.nih.gov/protein/149251177","Gm10071")</f>
        <v>Gm10071</v>
      </c>
      <c r="D2746" s="10">
        <f t="shared" si="42"/>
        <v>6.998754842460059</v>
      </c>
      <c r="F2746" s="8" t="str">
        <f>HYPERLINK("https://esbl.nhlbi.nih.gov/Databases/mpkFractions/proteomic_fractions_log_files/Yang_log_img/149251177.jpg","show blot")</f>
        <v>show blot</v>
      </c>
      <c r="H2746" s="8" t="str">
        <f>HYPERLINK("https://esbl.nhlbi.nih.gov/Databases/mpkFractions/proteomic_fractions_linear_files/Yang_linear_img/149251177.jpg","show blot")</f>
        <v>show blot</v>
      </c>
      <c r="J2746" s="5" t="s">
        <v>5463</v>
      </c>
      <c r="L2746" s="11">
        <v>6.998754842460059</v>
      </c>
      <c r="N2746" s="12"/>
    </row>
    <row r="2747" spans="1:14" s="5" customFormat="1" ht="15" customHeight="1" x14ac:dyDescent="0.25">
      <c r="A2747" s="9" t="s">
        <v>5464</v>
      </c>
      <c r="C2747" s="9" t="str">
        <f>HYPERLINK("http://www.ncbi.nlm.nih.gov/protein/215490077","Gm10094")</f>
        <v>Gm10094</v>
      </c>
      <c r="D2747" s="10">
        <f t="shared" si="42"/>
        <v>4.3420066460944966</v>
      </c>
      <c r="F2747" s="8" t="str">
        <f>HYPERLINK("https://esbl.nhlbi.nih.gov/Databases/mpkFractions/proteomic_fractions_log_files/Yang_log_img/215490077.jpg","show blot")</f>
        <v>show blot</v>
      </c>
      <c r="H2747" s="8" t="str">
        <f>HYPERLINK("https://esbl.nhlbi.nih.gov/Databases/mpkFractions/proteomic_fractions_linear_files/Yang_linear_img/215490077.jpg","show blot")</f>
        <v>show blot</v>
      </c>
      <c r="J2747" s="5" t="s">
        <v>5465</v>
      </c>
      <c r="L2747" s="11">
        <v>4.3420066460944966</v>
      </c>
      <c r="N2747" s="12"/>
    </row>
    <row r="2748" spans="1:14" s="5" customFormat="1" ht="15" customHeight="1" x14ac:dyDescent="0.25">
      <c r="A2748" s="9" t="s">
        <v>5466</v>
      </c>
      <c r="C2748" s="9" t="str">
        <f>HYPERLINK("http://www.ncbi.nlm.nih.gov/protein/309262120","Gm10145")</f>
        <v>Gm10145</v>
      </c>
      <c r="D2748" s="10">
        <f t="shared" si="42"/>
        <v>5.7779874255451924</v>
      </c>
      <c r="F2748" s="8" t="str">
        <f>HYPERLINK("https://esbl.nhlbi.nih.gov/Databases/mpkFractions/proteomic_fractions_log_files/Yang_log_img/309262120.jpg","show blot")</f>
        <v>show blot</v>
      </c>
      <c r="H2748" s="8" t="str">
        <f>HYPERLINK("https://esbl.nhlbi.nih.gov/Databases/mpkFractions/proteomic_fractions_linear_files/Yang_linear_img/309262120.jpg","show blot")</f>
        <v>show blot</v>
      </c>
      <c r="J2748" s="5" t="s">
        <v>5451</v>
      </c>
      <c r="L2748" s="11">
        <v>5.7779874255451924</v>
      </c>
      <c r="N2748" s="12"/>
    </row>
    <row r="2749" spans="1:14" s="5" customFormat="1" ht="15" customHeight="1" x14ac:dyDescent="0.25">
      <c r="A2749" s="9" t="s">
        <v>5467</v>
      </c>
      <c r="C2749" s="9" t="str">
        <f>HYPERLINK("http://www.ncbi.nlm.nih.gov/protein/309265879","Gm10166")</f>
        <v>Gm10166</v>
      </c>
      <c r="D2749" s="10">
        <f t="shared" si="42"/>
        <v>6.7483421877605192</v>
      </c>
      <c r="F2749" s="8" t="str">
        <f>HYPERLINK("https://esbl.nhlbi.nih.gov/Databases/mpkFractions/proteomic_fractions_log_files/Yang_log_img/309265879.jpg","show blot")</f>
        <v>show blot</v>
      </c>
      <c r="H2749" s="8" t="str">
        <f>HYPERLINK("https://esbl.nhlbi.nih.gov/Databases/mpkFractions/proteomic_fractions_linear_files/Yang_linear_img/309265879.jpg","show blot")</f>
        <v>show blot</v>
      </c>
      <c r="J2749" s="5" t="s">
        <v>5468</v>
      </c>
      <c r="L2749" s="11">
        <v>6.7483421877605192</v>
      </c>
      <c r="N2749" s="12"/>
    </row>
    <row r="2750" spans="1:14" s="5" customFormat="1" ht="15" customHeight="1" x14ac:dyDescent="0.25">
      <c r="A2750" s="9" t="s">
        <v>5469</v>
      </c>
      <c r="C2750" s="9" t="str">
        <f>HYPERLINK("http://www.ncbi.nlm.nih.gov/protein/407263363","Gm10166")</f>
        <v>Gm10166</v>
      </c>
      <c r="D2750" s="10">
        <f t="shared" si="42"/>
        <v>6.7483421877605192</v>
      </c>
      <c r="F2750" s="8" t="str">
        <f>HYPERLINK("https://esbl.nhlbi.nih.gov/Databases/mpkFractions/proteomic_fractions_log_files/Yang_log_img/407263363.jpg","show blot")</f>
        <v>show blot</v>
      </c>
      <c r="H2750" s="8" t="str">
        <f>HYPERLINK("https://esbl.nhlbi.nih.gov/Databases/mpkFractions/proteomic_fractions_linear_files/Yang_linear_img/407263363.jpg","show blot")</f>
        <v>show blot</v>
      </c>
      <c r="J2750" s="5" t="s">
        <v>5470</v>
      </c>
      <c r="L2750" s="11">
        <v>6.7483421877605192</v>
      </c>
      <c r="N2750" s="12"/>
    </row>
    <row r="2751" spans="1:14" s="5" customFormat="1" ht="15" customHeight="1" x14ac:dyDescent="0.25">
      <c r="A2751" s="9" t="s">
        <v>5471</v>
      </c>
      <c r="C2751" s="9" t="str">
        <f>HYPERLINK("http://www.ncbi.nlm.nih.gov/protein/309265700","Gm10224")</f>
        <v>Gm10224</v>
      </c>
      <c r="D2751" s="10">
        <f t="shared" si="42"/>
        <v>6.3383975341037431</v>
      </c>
      <c r="F2751" s="8" t="str">
        <f>HYPERLINK("https://esbl.nhlbi.nih.gov/Databases/mpkFractions/proteomic_fractions_log_files/Yang_log_img/309265700.jpg","show blot")</f>
        <v>show blot</v>
      </c>
      <c r="H2751" s="8" t="str">
        <f>HYPERLINK("https://esbl.nhlbi.nih.gov/Databases/mpkFractions/proteomic_fractions_linear_files/Yang_linear_img/309265700.jpg","show blot")</f>
        <v>show blot</v>
      </c>
      <c r="J2751" s="5" t="s">
        <v>5472</v>
      </c>
      <c r="L2751" s="11">
        <v>6.3383975341037431</v>
      </c>
      <c r="N2751" s="12"/>
    </row>
    <row r="2752" spans="1:14" s="5" customFormat="1" ht="15" customHeight="1" x14ac:dyDescent="0.25">
      <c r="A2752" s="9" t="s">
        <v>5473</v>
      </c>
      <c r="C2752" s="9" t="str">
        <f>HYPERLINK("http://www.ncbi.nlm.nih.gov/protein/407262232","Gm10237")</f>
        <v>Gm10237</v>
      </c>
      <c r="D2752" s="10">
        <f t="shared" si="42"/>
        <v>6.6070161851071489</v>
      </c>
      <c r="F2752" s="8" t="str">
        <f>HYPERLINK("https://esbl.nhlbi.nih.gov/Databases/mpkFractions/proteomic_fractions_log_files/Yang_log_img/407262232.jpg","show blot")</f>
        <v>show blot</v>
      </c>
      <c r="H2752" s="8" t="str">
        <f>HYPERLINK("https://esbl.nhlbi.nih.gov/Databases/mpkFractions/proteomic_fractions_linear_files/Yang_linear_img/407262232.jpg","show blot")</f>
        <v>show blot</v>
      </c>
      <c r="J2752" s="5" t="s">
        <v>5454</v>
      </c>
      <c r="L2752" s="11">
        <v>6.6070161851071489</v>
      </c>
      <c r="N2752" s="12"/>
    </row>
    <row r="2753" spans="1:14" s="5" customFormat="1" ht="15" customHeight="1" x14ac:dyDescent="0.25">
      <c r="A2753" s="9" t="s">
        <v>5474</v>
      </c>
      <c r="C2753" s="9" t="str">
        <f>HYPERLINK("http://www.ncbi.nlm.nih.gov/protein/407262068","Gm10257")</f>
        <v>Gm10257</v>
      </c>
      <c r="D2753" s="10">
        <f t="shared" si="42"/>
        <v>7.7667529567654761</v>
      </c>
      <c r="F2753" s="8" t="str">
        <f>HYPERLINK("https://esbl.nhlbi.nih.gov/Databases/mpkFractions/proteomic_fractions_log_files/Yang_log_img/407262068.jpg","show blot")</f>
        <v>show blot</v>
      </c>
      <c r="H2753" s="8" t="str">
        <f>HYPERLINK("https://esbl.nhlbi.nih.gov/Databases/mpkFractions/proteomic_fractions_linear_files/Yang_linear_img/407262068.jpg","show blot")</f>
        <v>show blot</v>
      </c>
      <c r="J2753" s="5" t="s">
        <v>5475</v>
      </c>
      <c r="L2753" s="11">
        <v>7.7667529567654761</v>
      </c>
      <c r="N2753" s="12"/>
    </row>
    <row r="2754" spans="1:14" s="5" customFormat="1" ht="15" customHeight="1" x14ac:dyDescent="0.25">
      <c r="A2754" s="9" t="s">
        <v>5476</v>
      </c>
      <c r="C2754" s="9" t="str">
        <f>HYPERLINK("http://www.ncbi.nlm.nih.gov/protein/309267049","Gm10294")</f>
        <v>Gm10294</v>
      </c>
      <c r="D2754" s="10">
        <f t="shared" si="42"/>
        <v>6.6707690831722886</v>
      </c>
      <c r="F2754" s="8" t="str">
        <f>HYPERLINK("https://esbl.nhlbi.nih.gov/Databases/mpkFractions/proteomic_fractions_log_files/Yang_log_img/309267049.jpg","show blot")</f>
        <v>show blot</v>
      </c>
      <c r="H2754" s="8" t="str">
        <f>HYPERLINK("https://esbl.nhlbi.nih.gov/Databases/mpkFractions/proteomic_fractions_linear_files/Yang_linear_img/309267049.jpg","show blot")</f>
        <v>show blot</v>
      </c>
      <c r="J2754" s="5" t="s">
        <v>5468</v>
      </c>
      <c r="L2754" s="11">
        <v>6.6707690831722886</v>
      </c>
      <c r="N2754" s="12"/>
    </row>
    <row r="2755" spans="1:14" s="5" customFormat="1" ht="15" customHeight="1" x14ac:dyDescent="0.25">
      <c r="A2755" s="9" t="s">
        <v>5477</v>
      </c>
      <c r="C2755" s="9" t="str">
        <f>HYPERLINK("http://www.ncbi.nlm.nih.gov/protein/407263409","Gm10294")</f>
        <v>Gm10294</v>
      </c>
      <c r="D2755" s="10">
        <f t="shared" si="42"/>
        <v>6.6707690831722886</v>
      </c>
      <c r="F2755" s="8" t="str">
        <f>HYPERLINK("https://esbl.nhlbi.nih.gov/Databases/mpkFractions/proteomic_fractions_log_files/Yang_log_img/407263409.jpg","show blot")</f>
        <v>show blot</v>
      </c>
      <c r="H2755" s="8" t="str">
        <f>HYPERLINK("https://esbl.nhlbi.nih.gov/Databases/mpkFractions/proteomic_fractions_linear_files/Yang_linear_img/407263409.jpg","show blot")</f>
        <v>show blot</v>
      </c>
      <c r="J2755" s="5" t="s">
        <v>5468</v>
      </c>
      <c r="L2755" s="11">
        <v>6.6707690831722886</v>
      </c>
      <c r="N2755" s="12"/>
    </row>
    <row r="2756" spans="1:14" s="5" customFormat="1" ht="15" customHeight="1" x14ac:dyDescent="0.25">
      <c r="A2756" s="9" t="s">
        <v>5478</v>
      </c>
      <c r="C2756" s="9" t="str">
        <f>HYPERLINK("http://www.ncbi.nlm.nih.gov/protein/82995559","Gm10349")</f>
        <v>Gm10349</v>
      </c>
      <c r="D2756" s="10">
        <f t="shared" si="42"/>
        <v>5.9075426339796788</v>
      </c>
      <c r="F2756" s="8" t="str">
        <f>HYPERLINK("https://esbl.nhlbi.nih.gov/Databases/mpkFractions/proteomic_fractions_log_files/Yang_log_img/82995559.jpg","show blot")</f>
        <v>show blot</v>
      </c>
      <c r="H2756" s="8" t="str">
        <f>HYPERLINK("https://esbl.nhlbi.nih.gov/Databases/mpkFractions/proteomic_fractions_linear_files/Yang_linear_img/82995559.jpg","show blot")</f>
        <v>show blot</v>
      </c>
      <c r="J2756" s="5" t="s">
        <v>5479</v>
      </c>
      <c r="L2756" s="11">
        <v>5.9075426339796788</v>
      </c>
      <c r="N2756" s="12"/>
    </row>
    <row r="2757" spans="1:14" s="5" customFormat="1" ht="15" customHeight="1" x14ac:dyDescent="0.25">
      <c r="A2757" s="9" t="s">
        <v>5480</v>
      </c>
      <c r="C2757" s="9" t="str">
        <f>HYPERLINK("http://www.ncbi.nlm.nih.gov/protein/309263288","Gm10362")</f>
        <v>Gm10362</v>
      </c>
      <c r="D2757" s="10">
        <f t="shared" ref="D2757:D2820" si="43">L2757</f>
        <v>6.6036894841874583</v>
      </c>
      <c r="F2757" s="8" t="str">
        <f>HYPERLINK("https://esbl.nhlbi.nih.gov/Databases/mpkFractions/proteomic_fractions_log_files/Yang_log_img/309263288.jpg","show blot")</f>
        <v>show blot</v>
      </c>
      <c r="H2757" s="8" t="str">
        <f>HYPERLINK("https://esbl.nhlbi.nih.gov/Databases/mpkFractions/proteomic_fractions_linear_files/Yang_linear_img/309263288.jpg","show blot")</f>
        <v>show blot</v>
      </c>
      <c r="J2757" s="5" t="s">
        <v>5468</v>
      </c>
      <c r="L2757" s="11">
        <v>6.6036894841874583</v>
      </c>
      <c r="N2757" s="12"/>
    </row>
    <row r="2758" spans="1:14" s="5" customFormat="1" ht="15" customHeight="1" x14ac:dyDescent="0.25">
      <c r="A2758" s="9" t="s">
        <v>5481</v>
      </c>
      <c r="C2758" s="9" t="str">
        <f>HYPERLINK("http://www.ncbi.nlm.nih.gov/protein/309270584","Gm10362")</f>
        <v>Gm10362</v>
      </c>
      <c r="D2758" s="10">
        <f t="shared" si="43"/>
        <v>6.6036894841874583</v>
      </c>
      <c r="F2758" s="8" t="str">
        <f>HYPERLINK("https://esbl.nhlbi.nih.gov/Databases/mpkFractions/proteomic_fractions_log_files/Yang_log_img/309270584.jpg","show blot")</f>
        <v>show blot</v>
      </c>
      <c r="H2758" s="8" t="str">
        <f>HYPERLINK("https://esbl.nhlbi.nih.gov/Databases/mpkFractions/proteomic_fractions_linear_files/Yang_linear_img/309270584.jpg","show blot")</f>
        <v>show blot</v>
      </c>
      <c r="J2758" s="5" t="s">
        <v>5468</v>
      </c>
      <c r="L2758" s="11">
        <v>6.6036894841874583</v>
      </c>
      <c r="N2758" s="12"/>
    </row>
    <row r="2759" spans="1:14" s="5" customFormat="1" ht="15" customHeight="1" x14ac:dyDescent="0.25">
      <c r="A2759" s="9" t="s">
        <v>5482</v>
      </c>
      <c r="C2759" s="9" t="str">
        <f>HYPERLINK("http://www.ncbi.nlm.nih.gov/protein/82902507","Gm10420")</f>
        <v>Gm10420</v>
      </c>
      <c r="D2759" s="10">
        <f t="shared" si="43"/>
        <v>6.8861274814349658</v>
      </c>
      <c r="F2759" s="8" t="str">
        <f>HYPERLINK("https://esbl.nhlbi.nih.gov/Databases/mpkFractions/proteomic_fractions_log_files/Yang_log_img/82902507.jpg","show blot")</f>
        <v>show blot</v>
      </c>
      <c r="H2759" s="8" t="str">
        <f>HYPERLINK("https://esbl.nhlbi.nih.gov/Databases/mpkFractions/proteomic_fractions_linear_files/Yang_linear_img/82902507.jpg","show blot")</f>
        <v>show blot</v>
      </c>
      <c r="J2759" s="5" t="s">
        <v>5483</v>
      </c>
      <c r="L2759" s="11">
        <v>6.8861274814349658</v>
      </c>
      <c r="N2759" s="12"/>
    </row>
    <row r="2760" spans="1:14" s="5" customFormat="1" ht="15" customHeight="1" x14ac:dyDescent="0.25">
      <c r="A2760" s="9" t="s">
        <v>5484</v>
      </c>
      <c r="C2760" s="9" t="str">
        <f>HYPERLINK("http://www.ncbi.nlm.nih.gov/protein/169808401","Gm10639")</f>
        <v>Gm10639</v>
      </c>
      <c r="D2760" s="10">
        <f t="shared" si="43"/>
        <v>4.1677730070717747</v>
      </c>
      <c r="F2760" s="8" t="str">
        <f>HYPERLINK("https://esbl.nhlbi.nih.gov/Databases/mpkFractions/proteomic_fractions_log_files/Yang_log_img/169808401.jpg","show blot")</f>
        <v>show blot</v>
      </c>
      <c r="H2760" s="8" t="str">
        <f>HYPERLINK("https://esbl.nhlbi.nih.gov/Databases/mpkFractions/proteomic_fractions_linear_files/Yang_linear_img/169808401.jpg","show blot")</f>
        <v>show blot</v>
      </c>
      <c r="J2760" s="5" t="s">
        <v>5485</v>
      </c>
      <c r="L2760" s="11">
        <v>4.1677730070717747</v>
      </c>
      <c r="N2760" s="12"/>
    </row>
    <row r="2761" spans="1:14" s="5" customFormat="1" ht="15" customHeight="1" x14ac:dyDescent="0.25">
      <c r="A2761" s="9" t="s">
        <v>5486</v>
      </c>
      <c r="C2761" s="9" t="str">
        <f>HYPERLINK("http://www.ncbi.nlm.nih.gov/protein/149251263","Gm10705")</f>
        <v>Gm10705</v>
      </c>
      <c r="D2761" s="10">
        <f t="shared" si="43"/>
        <v>5.7831574751763926</v>
      </c>
      <c r="F2761" s="8" t="str">
        <f>HYPERLINK("https://esbl.nhlbi.nih.gov/Databases/mpkFractions/proteomic_fractions_log_files/Yang_log_img/149251263.jpg","show blot")</f>
        <v>show blot</v>
      </c>
      <c r="H2761" s="8" t="str">
        <f>HYPERLINK("https://esbl.nhlbi.nih.gov/Databases/mpkFractions/proteomic_fractions_linear_files/Yang_linear_img/149251263.jpg","show blot")</f>
        <v>show blot</v>
      </c>
      <c r="J2761" s="5" t="s">
        <v>5487</v>
      </c>
      <c r="L2761" s="11">
        <v>5.7831574751763926</v>
      </c>
      <c r="N2761" s="12"/>
    </row>
    <row r="2762" spans="1:14" s="5" customFormat="1" ht="15" customHeight="1" x14ac:dyDescent="0.25">
      <c r="A2762" s="9" t="s">
        <v>5488</v>
      </c>
      <c r="C2762" s="9" t="str">
        <f>HYPERLINK("http://www.ncbi.nlm.nih.gov/protein/377833873","Gm10705")</f>
        <v>Gm10705</v>
      </c>
      <c r="D2762" s="10">
        <f t="shared" si="43"/>
        <v>5.7831574751763926</v>
      </c>
      <c r="F2762" s="8" t="str">
        <f>HYPERLINK("https://esbl.nhlbi.nih.gov/Databases/mpkFractions/proteomic_fractions_log_files/Yang_log_img/377833873.jpg","show blot")</f>
        <v>show blot</v>
      </c>
      <c r="H2762" s="8" t="str">
        <f>HYPERLINK("https://esbl.nhlbi.nih.gov/Databases/mpkFractions/proteomic_fractions_linear_files/Yang_linear_img/377833873.jpg","show blot")</f>
        <v>show blot</v>
      </c>
      <c r="J2762" s="5" t="s">
        <v>5451</v>
      </c>
      <c r="L2762" s="11">
        <v>5.7831574751763926</v>
      </c>
      <c r="N2762" s="12"/>
    </row>
    <row r="2763" spans="1:14" s="5" customFormat="1" ht="15" customHeight="1" x14ac:dyDescent="0.25">
      <c r="A2763" s="9" t="s">
        <v>5489</v>
      </c>
      <c r="C2763" s="9" t="str">
        <f>HYPERLINK("http://www.ncbi.nlm.nih.gov/protein/309263481","Gm10913")</f>
        <v>Gm10913</v>
      </c>
      <c r="D2763" s="10">
        <f t="shared" si="43"/>
        <v>5.8653906142501651</v>
      </c>
      <c r="F2763" s="8" t="str">
        <f>HYPERLINK("https://esbl.nhlbi.nih.gov/Databases/mpkFractions/proteomic_fractions_log_files/Yang_log_img/309263481.jpg","show blot")</f>
        <v>show blot</v>
      </c>
      <c r="H2763" s="8" t="str">
        <f>HYPERLINK("https://esbl.nhlbi.nih.gov/Databases/mpkFractions/proteomic_fractions_linear_files/Yang_linear_img/309263481.jpg","show blot")</f>
        <v>show blot</v>
      </c>
      <c r="J2763" s="5" t="s">
        <v>5490</v>
      </c>
      <c r="L2763" s="11">
        <v>5.8653906142501651</v>
      </c>
      <c r="N2763" s="12"/>
    </row>
    <row r="2764" spans="1:14" s="5" customFormat="1" ht="15" customHeight="1" x14ac:dyDescent="0.25">
      <c r="A2764" s="9" t="s">
        <v>5491</v>
      </c>
      <c r="C2764" s="9" t="str">
        <f>HYPERLINK("http://www.ncbi.nlm.nih.gov/protein/407263845","Gm11397")</f>
        <v>Gm11397</v>
      </c>
      <c r="D2764" s="10">
        <f t="shared" si="43"/>
        <v>4.9717417944930604</v>
      </c>
      <c r="F2764" s="8" t="str">
        <f>HYPERLINK("https://esbl.nhlbi.nih.gov/Databases/mpkFractions/proteomic_fractions_log_files/Yang_log_img/407263845.jpg","show blot")</f>
        <v>show blot</v>
      </c>
      <c r="H2764" s="8" t="str">
        <f>HYPERLINK("https://esbl.nhlbi.nih.gov/Databases/mpkFractions/proteomic_fractions_linear_files/Yang_linear_img/407263845.jpg","show blot")</f>
        <v>show blot</v>
      </c>
      <c r="J2764" s="5" t="s">
        <v>5492</v>
      </c>
      <c r="L2764" s="11">
        <v>4.9717417944930604</v>
      </c>
      <c r="N2764" s="12"/>
    </row>
    <row r="2765" spans="1:14" s="5" customFormat="1" ht="15" customHeight="1" x14ac:dyDescent="0.25">
      <c r="A2765" s="9" t="s">
        <v>5493</v>
      </c>
      <c r="C2765" s="9" t="str">
        <f>HYPERLINK("http://www.ncbi.nlm.nih.gov/protein/149250406","Gm11449")</f>
        <v>Gm11449</v>
      </c>
      <c r="D2765" s="10">
        <f t="shared" si="43"/>
        <v>5.8984133947886361</v>
      </c>
      <c r="F2765" s="8" t="str">
        <f>HYPERLINK("https://esbl.nhlbi.nih.gov/Databases/mpkFractions/proteomic_fractions_log_files/Yang_log_img/149250406.jpg","show blot")</f>
        <v>show blot</v>
      </c>
      <c r="H2765" s="8" t="str">
        <f>HYPERLINK("https://esbl.nhlbi.nih.gov/Databases/mpkFractions/proteomic_fractions_linear_files/Yang_linear_img/149250406.jpg","show blot")</f>
        <v>show blot</v>
      </c>
      <c r="J2765" s="5" t="s">
        <v>5490</v>
      </c>
      <c r="L2765" s="11">
        <v>5.8984133947886361</v>
      </c>
      <c r="N2765" s="12"/>
    </row>
    <row r="2766" spans="1:14" s="5" customFormat="1" ht="15" customHeight="1" x14ac:dyDescent="0.25">
      <c r="A2766" s="9" t="s">
        <v>5494</v>
      </c>
      <c r="C2766" s="9" t="str">
        <f>HYPERLINK("http://www.ncbi.nlm.nih.gov/protein/309267799","Gm11686")</f>
        <v>Gm11686</v>
      </c>
      <c r="D2766" s="10">
        <f t="shared" si="43"/>
        <v>6.6137828759206512</v>
      </c>
      <c r="F2766" s="8" t="str">
        <f>HYPERLINK("https://esbl.nhlbi.nih.gov/Databases/mpkFractions/proteomic_fractions_log_files/Yang_log_img/309267799.jpg","show blot")</f>
        <v>show blot</v>
      </c>
      <c r="H2766" s="8" t="str">
        <f>HYPERLINK("https://esbl.nhlbi.nih.gov/Databases/mpkFractions/proteomic_fractions_linear_files/Yang_linear_img/309267799.jpg","show blot")</f>
        <v>show blot</v>
      </c>
      <c r="J2766" s="5" t="s">
        <v>5454</v>
      </c>
      <c r="L2766" s="11">
        <v>6.6137828759206512</v>
      </c>
      <c r="N2766" s="12"/>
    </row>
    <row r="2767" spans="1:14" s="5" customFormat="1" ht="15" customHeight="1" x14ac:dyDescent="0.25">
      <c r="A2767" s="9" t="s">
        <v>5495</v>
      </c>
      <c r="C2767" s="9" t="str">
        <f>HYPERLINK("http://www.ncbi.nlm.nih.gov/protein/309264602","Gm11686")</f>
        <v>Gm11686</v>
      </c>
      <c r="D2767" s="10">
        <f t="shared" si="43"/>
        <v>6.6137828759206512</v>
      </c>
      <c r="F2767" s="8" t="str">
        <f>HYPERLINK("https://esbl.nhlbi.nih.gov/Databases/mpkFractions/proteomic_fractions_log_files/Yang_log_img/309264602.jpg","show blot")</f>
        <v>show blot</v>
      </c>
      <c r="H2767" s="8" t="str">
        <f>HYPERLINK("https://esbl.nhlbi.nih.gov/Databases/mpkFractions/proteomic_fractions_linear_files/Yang_linear_img/309264602.jpg","show blot")</f>
        <v>show blot</v>
      </c>
      <c r="J2767" s="5" t="s">
        <v>5454</v>
      </c>
      <c r="L2767" s="11">
        <v>6.6137828759206512</v>
      </c>
      <c r="N2767" s="12"/>
    </row>
    <row r="2768" spans="1:14" s="5" customFormat="1" ht="15" customHeight="1" x14ac:dyDescent="0.25">
      <c r="A2768" s="9" t="s">
        <v>5496</v>
      </c>
      <c r="C2768" s="9" t="str">
        <f>HYPERLINK("http://www.ncbi.nlm.nih.gov/protein/309262452","Gm11703")</f>
        <v>Gm11703</v>
      </c>
      <c r="D2768" s="10">
        <f t="shared" si="43"/>
        <v>6.750352767416655</v>
      </c>
      <c r="F2768" s="8" t="str">
        <f>HYPERLINK("https://esbl.nhlbi.nih.gov/Databases/mpkFractions/proteomic_fractions_log_files/Yang_log_img/309262452.jpg","show blot")</f>
        <v>show blot</v>
      </c>
      <c r="H2768" s="8" t="str">
        <f>HYPERLINK("https://esbl.nhlbi.nih.gov/Databases/mpkFractions/proteomic_fractions_linear_files/Yang_linear_img/309262452.jpg","show blot")</f>
        <v>show blot</v>
      </c>
      <c r="J2768" s="5" t="s">
        <v>5456</v>
      </c>
      <c r="L2768" s="11">
        <v>6.750352767416655</v>
      </c>
      <c r="N2768" s="12"/>
    </row>
    <row r="2769" spans="1:14" s="5" customFormat="1" ht="15" customHeight="1" x14ac:dyDescent="0.25">
      <c r="A2769" s="9" t="s">
        <v>5497</v>
      </c>
      <c r="C2769" s="9" t="str">
        <f>HYPERLINK("http://www.ncbi.nlm.nih.gov/protein/309268070","Gm11787")</f>
        <v>Gm11787</v>
      </c>
      <c r="D2769" s="10">
        <f t="shared" si="43"/>
        <v>4.5388477421773263</v>
      </c>
      <c r="F2769" s="8" t="str">
        <f>HYPERLINK("https://esbl.nhlbi.nih.gov/Databases/mpkFractions/proteomic_fractions_log_files/Yang_log_img/309268070.jpg","show blot")</f>
        <v>show blot</v>
      </c>
      <c r="H2769" s="8" t="str">
        <f>HYPERLINK("https://esbl.nhlbi.nih.gov/Databases/mpkFractions/proteomic_fractions_linear_files/Yang_linear_img/309268070.jpg","show blot")</f>
        <v>show blot</v>
      </c>
      <c r="J2769" s="5" t="s">
        <v>5498</v>
      </c>
      <c r="L2769" s="11">
        <v>4.5388477421773263</v>
      </c>
      <c r="N2769" s="12"/>
    </row>
    <row r="2770" spans="1:14" s="5" customFormat="1" ht="15" customHeight="1" x14ac:dyDescent="0.25">
      <c r="A2770" s="9" t="s">
        <v>5499</v>
      </c>
      <c r="C2770" s="9" t="str">
        <f>HYPERLINK("http://www.ncbi.nlm.nih.gov/protein/149252067","Gm11810")</f>
        <v>Gm11810</v>
      </c>
      <c r="D2770" s="10">
        <f t="shared" si="43"/>
        <v>6.410189826990389</v>
      </c>
      <c r="F2770" s="8" t="str">
        <f>HYPERLINK("https://esbl.nhlbi.nih.gov/Databases/mpkFractions/proteomic_fractions_log_files/Yang_log_img/149252067.jpg","show blot")</f>
        <v>show blot</v>
      </c>
      <c r="H2770" s="8" t="str">
        <f>HYPERLINK("https://esbl.nhlbi.nih.gov/Databases/mpkFractions/proteomic_fractions_linear_files/Yang_linear_img/149252067.jpg","show blot")</f>
        <v>show blot</v>
      </c>
      <c r="J2770" s="5" t="s">
        <v>5454</v>
      </c>
      <c r="L2770" s="11">
        <v>6.410189826990389</v>
      </c>
      <c r="N2770" s="12"/>
    </row>
    <row r="2771" spans="1:14" s="5" customFormat="1" ht="15" customHeight="1" x14ac:dyDescent="0.25">
      <c r="A2771" s="9" t="s">
        <v>5500</v>
      </c>
      <c r="C2771" s="9" t="str">
        <f>HYPERLINK("http://www.ncbi.nlm.nih.gov/protein/309264937","Gm11810")</f>
        <v>Gm11810</v>
      </c>
      <c r="D2771" s="10">
        <f t="shared" si="43"/>
        <v>6.410189826990389</v>
      </c>
      <c r="F2771" s="8" t="str">
        <f>HYPERLINK("https://esbl.nhlbi.nih.gov/Databases/mpkFractions/proteomic_fractions_log_files/Yang_log_img/309264937.jpg","show blot")</f>
        <v>show blot</v>
      </c>
      <c r="H2771" s="8" t="str">
        <f>HYPERLINK("https://esbl.nhlbi.nih.gov/Databases/mpkFractions/proteomic_fractions_linear_files/Yang_linear_img/309264937.jpg","show blot")</f>
        <v>show blot</v>
      </c>
      <c r="J2771" s="5" t="s">
        <v>5454</v>
      </c>
      <c r="L2771" s="11">
        <v>6.410189826990389</v>
      </c>
      <c r="N2771" s="12"/>
    </row>
    <row r="2772" spans="1:14" s="5" customFormat="1" ht="15" customHeight="1" x14ac:dyDescent="0.25">
      <c r="A2772" s="9" t="s">
        <v>5501</v>
      </c>
      <c r="C2772" s="9" t="str">
        <f>HYPERLINK("http://www.ncbi.nlm.nih.gov/protein/309262489","Gm11964")</f>
        <v>Gm11964</v>
      </c>
      <c r="D2772" s="10">
        <f t="shared" si="43"/>
        <v>5.2817978229378806</v>
      </c>
      <c r="F2772" s="8" t="str">
        <f>HYPERLINK("https://esbl.nhlbi.nih.gov/Databases/mpkFractions/proteomic_fractions_log_files/Yang_log_img/309262489.jpg","show blot")</f>
        <v>show blot</v>
      </c>
      <c r="H2772" s="8" t="str">
        <f>HYPERLINK("https://esbl.nhlbi.nih.gov/Databases/mpkFractions/proteomic_fractions_linear_files/Yang_linear_img/309262489.jpg","show blot")</f>
        <v>show blot</v>
      </c>
      <c r="J2772" s="5" t="s">
        <v>5502</v>
      </c>
      <c r="L2772" s="11">
        <v>5.2817978229378806</v>
      </c>
      <c r="N2772" s="12"/>
    </row>
    <row r="2773" spans="1:14" s="5" customFormat="1" ht="15" customHeight="1" x14ac:dyDescent="0.25">
      <c r="A2773" s="9" t="s">
        <v>5503</v>
      </c>
      <c r="C2773" s="9" t="str">
        <f>HYPERLINK("http://www.ncbi.nlm.nih.gov/protein/82934691","Gm12271")</f>
        <v>Gm12271</v>
      </c>
      <c r="D2773" s="10">
        <f t="shared" si="43"/>
        <v>4.0455970505325816</v>
      </c>
      <c r="F2773" s="8" t="str">
        <f>HYPERLINK("https://esbl.nhlbi.nih.gov/Databases/mpkFractions/proteomic_fractions_log_files/Yang_log_img/82934691.jpg","show blot")</f>
        <v>show blot</v>
      </c>
      <c r="H2773" s="8" t="str">
        <f>HYPERLINK("https://esbl.nhlbi.nih.gov/Databases/mpkFractions/proteomic_fractions_linear_files/Yang_linear_img/82934691.jpg","show blot")</f>
        <v>show blot</v>
      </c>
      <c r="J2773" s="5" t="s">
        <v>5475</v>
      </c>
      <c r="L2773" s="11">
        <v>4.0455970505325816</v>
      </c>
      <c r="N2773" s="12"/>
    </row>
    <row r="2774" spans="1:14" s="5" customFormat="1" ht="15" customHeight="1" x14ac:dyDescent="0.25">
      <c r="A2774" s="9" t="s">
        <v>5504</v>
      </c>
      <c r="C2774" s="9" t="str">
        <f>HYPERLINK("http://www.ncbi.nlm.nih.gov/protein/407261175","Gm12508")</f>
        <v>Gm12508</v>
      </c>
      <c r="D2774" s="10">
        <f t="shared" si="43"/>
        <v>5.9666728162814557</v>
      </c>
      <c r="F2774" s="8" t="str">
        <f>HYPERLINK("https://esbl.nhlbi.nih.gov/Databases/mpkFractions/proteomic_fractions_log_files/Yang_log_img/407261175.jpg","show blot")</f>
        <v>show blot</v>
      </c>
      <c r="H2774" s="8" t="str">
        <f>HYPERLINK("https://esbl.nhlbi.nih.gov/Databases/mpkFractions/proteomic_fractions_linear_files/Yang_linear_img/407261175.jpg","show blot")</f>
        <v>show blot</v>
      </c>
      <c r="J2774" s="5" t="s">
        <v>5490</v>
      </c>
      <c r="L2774" s="11">
        <v>5.9666728162814557</v>
      </c>
      <c r="N2774" s="12"/>
    </row>
    <row r="2775" spans="1:14" s="5" customFormat="1" ht="15" customHeight="1" x14ac:dyDescent="0.25">
      <c r="A2775" s="9" t="s">
        <v>5505</v>
      </c>
      <c r="C2775" s="9" t="str">
        <f>HYPERLINK("http://www.ncbi.nlm.nih.gov/protein/407263120","Gm12508")</f>
        <v>Gm12508</v>
      </c>
      <c r="D2775" s="10">
        <f t="shared" si="43"/>
        <v>5.9666728162814557</v>
      </c>
      <c r="F2775" s="8" t="str">
        <f>HYPERLINK("https://esbl.nhlbi.nih.gov/Databases/mpkFractions/proteomic_fractions_log_files/Yang_log_img/407263120.jpg","show blot")</f>
        <v>show blot</v>
      </c>
      <c r="H2775" s="8" t="str">
        <f>HYPERLINK("https://esbl.nhlbi.nih.gov/Databases/mpkFractions/proteomic_fractions_linear_files/Yang_linear_img/407263120.jpg","show blot")</f>
        <v>show blot</v>
      </c>
      <c r="J2775" s="5" t="s">
        <v>5490</v>
      </c>
      <c r="L2775" s="11">
        <v>5.9666728162814557</v>
      </c>
      <c r="N2775" s="12"/>
    </row>
    <row r="2776" spans="1:14" s="5" customFormat="1" ht="15" customHeight="1" x14ac:dyDescent="0.25">
      <c r="A2776" s="9" t="s">
        <v>5506</v>
      </c>
      <c r="C2776" s="9" t="str">
        <f>HYPERLINK("http://www.ncbi.nlm.nih.gov/protein/149252501","Gm12538")</f>
        <v>Gm12538</v>
      </c>
      <c r="D2776" s="10">
        <f t="shared" si="43"/>
        <v>4.0070876635291279</v>
      </c>
      <c r="F2776" s="8" t="str">
        <f>HYPERLINK("https://esbl.nhlbi.nih.gov/Databases/mpkFractions/proteomic_fractions_log_files/Yang_log_img/149252501.jpg","show blot")</f>
        <v>show blot</v>
      </c>
      <c r="H2776" s="8" t="str">
        <f>HYPERLINK("https://esbl.nhlbi.nih.gov/Databases/mpkFractions/proteomic_fractions_linear_files/Yang_linear_img/149252501.jpg","show blot")</f>
        <v>show blot</v>
      </c>
      <c r="J2776" s="5" t="s">
        <v>5507</v>
      </c>
      <c r="L2776" s="11">
        <v>4.0070876635291279</v>
      </c>
      <c r="N2776" s="12"/>
    </row>
    <row r="2777" spans="1:14" s="5" customFormat="1" ht="15" customHeight="1" x14ac:dyDescent="0.25">
      <c r="A2777" s="9" t="s">
        <v>5508</v>
      </c>
      <c r="C2777" s="9" t="str">
        <f>HYPERLINK("http://www.ncbi.nlm.nih.gov/protein/124486606","Gm12657")</f>
        <v>Gm12657</v>
      </c>
      <c r="D2777" s="10">
        <f t="shared" si="43"/>
        <v>7.7667529567654761</v>
      </c>
      <c r="F2777" s="8" t="str">
        <f>HYPERLINK("https://esbl.nhlbi.nih.gov/Databases/mpkFractions/proteomic_fractions_log_files/Yang_log_img/124486606.jpg","show blot")</f>
        <v>show blot</v>
      </c>
      <c r="H2777" s="8" t="str">
        <f>HYPERLINK("https://esbl.nhlbi.nih.gov/Databases/mpkFractions/proteomic_fractions_linear_files/Yang_linear_img/124486606.jpg","show blot")</f>
        <v>show blot</v>
      </c>
      <c r="J2777" s="5" t="s">
        <v>5509</v>
      </c>
      <c r="L2777" s="11">
        <v>7.7667529567654761</v>
      </c>
      <c r="N2777" s="12"/>
    </row>
    <row r="2778" spans="1:14" s="5" customFormat="1" ht="15" customHeight="1" x14ac:dyDescent="0.25">
      <c r="A2778" s="9" t="s">
        <v>5510</v>
      </c>
      <c r="C2778" s="9" t="str">
        <f>HYPERLINK("http://www.ncbi.nlm.nih.gov/protein/407261198","Gm12666")</f>
        <v>Gm12666</v>
      </c>
      <c r="D2778" s="10">
        <f t="shared" si="43"/>
        <v>5.2138654766936483</v>
      </c>
      <c r="F2778" s="8" t="str">
        <f>HYPERLINK("https://esbl.nhlbi.nih.gov/Databases/mpkFractions/proteomic_fractions_log_files/Yang_log_img/407261198.jpg","show blot")</f>
        <v>show blot</v>
      </c>
      <c r="H2778" s="8" t="str">
        <f>HYPERLINK("https://esbl.nhlbi.nih.gov/Databases/mpkFractions/proteomic_fractions_linear_files/Yang_linear_img/407261198.jpg","show blot")</f>
        <v>show blot</v>
      </c>
      <c r="J2778" s="5" t="s">
        <v>5511</v>
      </c>
      <c r="L2778" s="11">
        <v>5.2138654766936483</v>
      </c>
      <c r="N2778" s="12"/>
    </row>
    <row r="2779" spans="1:14" s="5" customFormat="1" ht="15" customHeight="1" x14ac:dyDescent="0.25">
      <c r="A2779" s="9" t="s">
        <v>5512</v>
      </c>
      <c r="C2779" s="9" t="str">
        <f>HYPERLINK("http://www.ncbi.nlm.nih.gov/protein/149252780","Gm12693")</f>
        <v>Gm12693</v>
      </c>
      <c r="D2779" s="10">
        <f t="shared" si="43"/>
        <v>5.3229153527632711</v>
      </c>
      <c r="F2779" s="8" t="str">
        <f>HYPERLINK("https://esbl.nhlbi.nih.gov/Databases/mpkFractions/proteomic_fractions_log_files/Yang_log_img/149252780.jpg","show blot")</f>
        <v>show blot</v>
      </c>
      <c r="H2779" s="8" t="str">
        <f>HYPERLINK("https://esbl.nhlbi.nih.gov/Databases/mpkFractions/proteomic_fractions_linear_files/Yang_linear_img/149252780.jpg","show blot")</f>
        <v>show blot</v>
      </c>
      <c r="J2779" s="5" t="s">
        <v>5513</v>
      </c>
      <c r="L2779" s="11">
        <v>5.3229153527632711</v>
      </c>
      <c r="N2779" s="12"/>
    </row>
    <row r="2780" spans="1:14" s="5" customFormat="1" ht="15" customHeight="1" x14ac:dyDescent="0.25">
      <c r="A2780" s="9" t="s">
        <v>5514</v>
      </c>
      <c r="C2780" s="9" t="str">
        <f>HYPERLINK("http://www.ncbi.nlm.nih.gov/protein/124486863","Gm12695")</f>
        <v>Gm12695</v>
      </c>
      <c r="D2780" s="10">
        <f t="shared" si="43"/>
        <v>1.589264793087533</v>
      </c>
      <c r="F2780" s="8" t="str">
        <f>HYPERLINK("https://esbl.nhlbi.nih.gov/Databases/mpkFractions/proteomic_fractions_log_files/Yang_log_img/124486863.jpg","show blot")</f>
        <v>show blot</v>
      </c>
      <c r="H2780" s="8" t="str">
        <f>HYPERLINK("https://esbl.nhlbi.nih.gov/Databases/mpkFractions/proteomic_fractions_linear_files/Yang_linear_img/124486863.jpg","show blot")</f>
        <v>show blot</v>
      </c>
      <c r="J2780" s="5" t="s">
        <v>5515</v>
      </c>
      <c r="L2780" s="11">
        <v>1.589264793087533</v>
      </c>
      <c r="N2780" s="12"/>
    </row>
    <row r="2781" spans="1:14" s="5" customFormat="1" ht="15" customHeight="1" x14ac:dyDescent="0.25">
      <c r="A2781" s="9" t="s">
        <v>5516</v>
      </c>
      <c r="C2781" s="9" t="str">
        <f>HYPERLINK("http://www.ncbi.nlm.nih.gov/protein/309265873","Gm12770")</f>
        <v>Gm12770</v>
      </c>
      <c r="D2781" s="10">
        <f t="shared" si="43"/>
        <v>6.5135613596407422</v>
      </c>
      <c r="F2781" s="8" t="str">
        <f>HYPERLINK("https://esbl.nhlbi.nih.gov/Databases/mpkFractions/proteomic_fractions_log_files/Yang_log_img/309265873.jpg","show blot")</f>
        <v>show blot</v>
      </c>
      <c r="H2781" s="8" t="str">
        <f>HYPERLINK("https://esbl.nhlbi.nih.gov/Databases/mpkFractions/proteomic_fractions_linear_files/Yang_linear_img/309265873.jpg","show blot")</f>
        <v>show blot</v>
      </c>
      <c r="J2781" s="5" t="s">
        <v>5517</v>
      </c>
      <c r="L2781" s="11">
        <v>6.5135613596407422</v>
      </c>
      <c r="N2781" s="12"/>
    </row>
    <row r="2782" spans="1:14" s="5" customFormat="1" ht="15" customHeight="1" x14ac:dyDescent="0.25">
      <c r="A2782" s="9" t="s">
        <v>5518</v>
      </c>
      <c r="C2782" s="9" t="str">
        <f>HYPERLINK("http://www.ncbi.nlm.nih.gov/protein/309266996","Gm12816")</f>
        <v>Gm12816</v>
      </c>
      <c r="D2782" s="10">
        <f t="shared" si="43"/>
        <v>6.4927431350688449</v>
      </c>
      <c r="F2782" s="8" t="str">
        <f>HYPERLINK("https://esbl.nhlbi.nih.gov/Databases/mpkFractions/proteomic_fractions_log_files/Yang_log_img/309266996.jpg","show blot")</f>
        <v>show blot</v>
      </c>
      <c r="H2782" s="8" t="str">
        <f>HYPERLINK("https://esbl.nhlbi.nih.gov/Databases/mpkFractions/proteomic_fractions_linear_files/Yang_linear_img/309266996.jpg","show blot")</f>
        <v>show blot</v>
      </c>
      <c r="J2782" s="5" t="s">
        <v>5519</v>
      </c>
      <c r="L2782" s="11">
        <v>6.4927431350688449</v>
      </c>
      <c r="N2782" s="12"/>
    </row>
    <row r="2783" spans="1:14" s="5" customFormat="1" ht="15" customHeight="1" x14ac:dyDescent="0.25">
      <c r="A2783" s="9" t="s">
        <v>5520</v>
      </c>
      <c r="C2783" s="9" t="str">
        <f>HYPERLINK("http://www.ncbi.nlm.nih.gov/protein/309268181","Gm12816")</f>
        <v>Gm12816</v>
      </c>
      <c r="D2783" s="10">
        <f t="shared" si="43"/>
        <v>6.4927431350688449</v>
      </c>
      <c r="F2783" s="8" t="str">
        <f>HYPERLINK("https://esbl.nhlbi.nih.gov/Databases/mpkFractions/proteomic_fractions_log_files/Yang_log_img/309268181.jpg","show blot")</f>
        <v>show blot</v>
      </c>
      <c r="H2783" s="8" t="str">
        <f>HYPERLINK("https://esbl.nhlbi.nih.gov/Databases/mpkFractions/proteomic_fractions_linear_files/Yang_linear_img/309268181.jpg","show blot")</f>
        <v>show blot</v>
      </c>
      <c r="J2783" s="5" t="s">
        <v>5521</v>
      </c>
      <c r="L2783" s="11">
        <v>6.4927431350688449</v>
      </c>
      <c r="N2783" s="12"/>
    </row>
    <row r="2784" spans="1:14" s="5" customFormat="1" ht="15" customHeight="1" x14ac:dyDescent="0.25">
      <c r="A2784" s="9" t="s">
        <v>5522</v>
      </c>
      <c r="C2784" s="9" t="str">
        <f>HYPERLINK("http://www.ncbi.nlm.nih.gov/protein/309265057","Gm12854")</f>
        <v>Gm12854</v>
      </c>
      <c r="D2784" s="10">
        <f t="shared" si="43"/>
        <v>6.1495827524841893</v>
      </c>
      <c r="F2784" s="8" t="str">
        <f>HYPERLINK("https://esbl.nhlbi.nih.gov/Databases/mpkFractions/proteomic_fractions_log_files/Yang_log_img/309265057.jpg","show blot")</f>
        <v>show blot</v>
      </c>
      <c r="H2784" s="8" t="str">
        <f>HYPERLINK("https://esbl.nhlbi.nih.gov/Databases/mpkFractions/proteomic_fractions_linear_files/Yang_linear_img/309265057.jpg","show blot")</f>
        <v>show blot</v>
      </c>
      <c r="J2784" s="5" t="s">
        <v>5523</v>
      </c>
      <c r="L2784" s="11">
        <v>6.1495827524841893</v>
      </c>
      <c r="N2784" s="12"/>
    </row>
    <row r="2785" spans="1:14" s="5" customFormat="1" ht="15" customHeight="1" x14ac:dyDescent="0.25">
      <c r="A2785" s="9" t="s">
        <v>5524</v>
      </c>
      <c r="C2785" s="9" t="str">
        <f>HYPERLINK("http://www.ncbi.nlm.nih.gov/protein/150010657","Gm12942")</f>
        <v>Gm12942</v>
      </c>
      <c r="D2785" s="10">
        <f t="shared" si="43"/>
        <v>3.7877602072873189</v>
      </c>
      <c r="F2785" s="8" t="str">
        <f>HYPERLINK("https://esbl.nhlbi.nih.gov/Databases/mpkFractions/proteomic_fractions_log_files/Yang_log_img/150010657.jpg","show blot")</f>
        <v>show blot</v>
      </c>
      <c r="H2785" s="8" t="str">
        <f>HYPERLINK("https://esbl.nhlbi.nih.gov/Databases/mpkFractions/proteomic_fractions_linear_files/Yang_linear_img/150010657.jpg","show blot")</f>
        <v>show blot</v>
      </c>
      <c r="J2785" s="5" t="s">
        <v>5525</v>
      </c>
      <c r="L2785" s="11">
        <v>3.7877602072873189</v>
      </c>
      <c r="N2785" s="12"/>
    </row>
    <row r="2786" spans="1:14" s="5" customFormat="1" ht="15" customHeight="1" x14ac:dyDescent="0.25">
      <c r="A2786" s="9" t="s">
        <v>5526</v>
      </c>
      <c r="C2786" s="9" t="str">
        <f>HYPERLINK("http://www.ncbi.nlm.nih.gov/protein/377837161","Gm13035")</f>
        <v>Gm13035</v>
      </c>
      <c r="D2786" s="10">
        <f t="shared" si="43"/>
        <v>5.6381881805741907</v>
      </c>
      <c r="F2786" s="8" t="str">
        <f>HYPERLINK("https://esbl.nhlbi.nih.gov/Databases/mpkFractions/proteomic_fractions_log_files/Yang_log_img/377837161.jpg","show blot")</f>
        <v>show blot</v>
      </c>
      <c r="H2786" s="8" t="str">
        <f>HYPERLINK("https://esbl.nhlbi.nih.gov/Databases/mpkFractions/proteomic_fractions_linear_files/Yang_linear_img/377837161.jpg","show blot")</f>
        <v>show blot</v>
      </c>
      <c r="J2786" s="5" t="s">
        <v>5527</v>
      </c>
      <c r="L2786" s="11">
        <v>5.6381881805741907</v>
      </c>
      <c r="N2786" s="12"/>
    </row>
    <row r="2787" spans="1:14" s="5" customFormat="1" ht="15" customHeight="1" x14ac:dyDescent="0.25">
      <c r="A2787" s="9" t="s">
        <v>5528</v>
      </c>
      <c r="C2787" s="9" t="str">
        <f>HYPERLINK("http://www.ncbi.nlm.nih.gov/protein/309267134","Gm13149")</f>
        <v>Gm13149</v>
      </c>
      <c r="D2787" s="10">
        <f t="shared" si="43"/>
        <v>5.6381881805741907</v>
      </c>
      <c r="F2787" s="8" t="str">
        <f>HYPERLINK("https://esbl.nhlbi.nih.gov/Databases/mpkFractions/proteomic_fractions_log_files/Yang_log_img/309267134.jpg","show blot")</f>
        <v>show blot</v>
      </c>
      <c r="H2787" s="8" t="str">
        <f>HYPERLINK("https://esbl.nhlbi.nih.gov/Databases/mpkFractions/proteomic_fractions_linear_files/Yang_linear_img/309267134.jpg","show blot")</f>
        <v>show blot</v>
      </c>
      <c r="J2787" s="5" t="s">
        <v>5527</v>
      </c>
      <c r="L2787" s="11">
        <v>5.6381881805741907</v>
      </c>
      <c r="N2787" s="12"/>
    </row>
    <row r="2788" spans="1:14" s="5" customFormat="1" ht="15" customHeight="1" x14ac:dyDescent="0.25">
      <c r="A2788" s="9" t="s">
        <v>5529</v>
      </c>
      <c r="C2788" s="9" t="str">
        <f>HYPERLINK("http://www.ncbi.nlm.nih.gov/protein/82896218","Gm13202")</f>
        <v>Gm13202</v>
      </c>
      <c r="D2788" s="10">
        <f t="shared" si="43"/>
        <v>4.8944537682706244</v>
      </c>
      <c r="F2788" s="8" t="str">
        <f>HYPERLINK("https://esbl.nhlbi.nih.gov/Databases/mpkFractions/proteomic_fractions_log_files/Yang_log_img/82896218.jpg","show blot")</f>
        <v>show blot</v>
      </c>
      <c r="H2788" s="8" t="str">
        <f>HYPERLINK("https://esbl.nhlbi.nih.gov/Databases/mpkFractions/proteomic_fractions_linear_files/Yang_linear_img/82896218.jpg","show blot")</f>
        <v>show blot</v>
      </c>
      <c r="J2788" s="5" t="s">
        <v>5530</v>
      </c>
      <c r="L2788" s="11">
        <v>4.8944537682706244</v>
      </c>
      <c r="N2788" s="12"/>
    </row>
    <row r="2789" spans="1:14" s="5" customFormat="1" ht="15" customHeight="1" x14ac:dyDescent="0.25">
      <c r="A2789" s="9" t="s">
        <v>5531</v>
      </c>
      <c r="C2789" s="9" t="str">
        <f>HYPERLINK("http://www.ncbi.nlm.nih.gov/protein/377837182","Gm13202")</f>
        <v>Gm13202</v>
      </c>
      <c r="D2789" s="10">
        <f t="shared" si="43"/>
        <v>4.8944537682706244</v>
      </c>
      <c r="F2789" s="8" t="str">
        <f>HYPERLINK("https://esbl.nhlbi.nih.gov/Databases/mpkFractions/proteomic_fractions_log_files/Yang_log_img/377837182.jpg","show blot")</f>
        <v>show blot</v>
      </c>
      <c r="H2789" s="8" t="str">
        <f>HYPERLINK("https://esbl.nhlbi.nih.gov/Databases/mpkFractions/proteomic_fractions_linear_files/Yang_linear_img/377837182.jpg","show blot")</f>
        <v>show blot</v>
      </c>
      <c r="J2789" s="5" t="s">
        <v>5530</v>
      </c>
      <c r="L2789" s="11">
        <v>4.8944537682706244</v>
      </c>
      <c r="N2789" s="12"/>
    </row>
    <row r="2790" spans="1:14" s="5" customFormat="1" ht="15" customHeight="1" x14ac:dyDescent="0.25">
      <c r="A2790" s="9" t="s">
        <v>5532</v>
      </c>
      <c r="C2790" s="9" t="str">
        <f>HYPERLINK("http://www.ncbi.nlm.nih.gov/protein/63517178","Gm13213")</f>
        <v>Gm13213</v>
      </c>
      <c r="D2790" s="10">
        <f t="shared" si="43"/>
        <v>5.8984133947886361</v>
      </c>
      <c r="F2790" s="8" t="str">
        <f>HYPERLINK("https://esbl.nhlbi.nih.gov/Databases/mpkFractions/proteomic_fractions_log_files/Yang_log_img/63517178.jpg","show blot")</f>
        <v>show blot</v>
      </c>
      <c r="H2790" s="8" t="str">
        <f>HYPERLINK("https://esbl.nhlbi.nih.gov/Databases/mpkFractions/proteomic_fractions_linear_files/Yang_linear_img/63517178.jpg","show blot")</f>
        <v>show blot</v>
      </c>
      <c r="J2790" s="5" t="s">
        <v>5490</v>
      </c>
      <c r="L2790" s="11">
        <v>5.8984133947886361</v>
      </c>
      <c r="N2790" s="12"/>
    </row>
    <row r="2791" spans="1:14" s="5" customFormat="1" ht="15" customHeight="1" x14ac:dyDescent="0.25">
      <c r="A2791" s="9" t="s">
        <v>5533</v>
      </c>
      <c r="C2791" s="9" t="str">
        <f>HYPERLINK("http://www.ncbi.nlm.nih.gov/protein/309265127","Gm13213")</f>
        <v>Gm13213</v>
      </c>
      <c r="D2791" s="10">
        <f t="shared" si="43"/>
        <v>5.8984133947886361</v>
      </c>
      <c r="F2791" s="8" t="str">
        <f>HYPERLINK("https://esbl.nhlbi.nih.gov/Databases/mpkFractions/proteomic_fractions_log_files/Yang_log_img/309265127.jpg","show blot")</f>
        <v>show blot</v>
      </c>
      <c r="H2791" s="8" t="str">
        <f>HYPERLINK("https://esbl.nhlbi.nih.gov/Databases/mpkFractions/proteomic_fractions_linear_files/Yang_linear_img/309265127.jpg","show blot")</f>
        <v>show blot</v>
      </c>
      <c r="J2791" s="5" t="s">
        <v>5490</v>
      </c>
      <c r="L2791" s="11">
        <v>5.8984133947886361</v>
      </c>
      <c r="N2791" s="12"/>
    </row>
    <row r="2792" spans="1:14" s="5" customFormat="1" ht="15" customHeight="1" x14ac:dyDescent="0.25">
      <c r="A2792" s="9" t="s">
        <v>5534</v>
      </c>
      <c r="C2792" s="9" t="str">
        <f>HYPERLINK("http://www.ncbi.nlm.nih.gov/protein/94372927","Gm13229")</f>
        <v>Gm13229</v>
      </c>
      <c r="D2792" s="10">
        <f t="shared" si="43"/>
        <v>5.6381881805741907</v>
      </c>
      <c r="F2792" s="8" t="str">
        <f>HYPERLINK("https://esbl.nhlbi.nih.gov/Databases/mpkFractions/proteomic_fractions_log_files/Yang_log_img/94372927.jpg","show blot")</f>
        <v>show blot</v>
      </c>
      <c r="H2792" s="8" t="str">
        <f>HYPERLINK("https://esbl.nhlbi.nih.gov/Databases/mpkFractions/proteomic_fractions_linear_files/Yang_linear_img/94372927.jpg","show blot")</f>
        <v>show blot</v>
      </c>
      <c r="J2792" s="5" t="s">
        <v>5527</v>
      </c>
      <c r="L2792" s="11">
        <v>5.6381881805741907</v>
      </c>
      <c r="N2792" s="12"/>
    </row>
    <row r="2793" spans="1:14" s="5" customFormat="1" ht="15" customHeight="1" x14ac:dyDescent="0.25">
      <c r="A2793" s="9" t="s">
        <v>5535</v>
      </c>
      <c r="C2793" s="9" t="str">
        <f>HYPERLINK("http://www.ncbi.nlm.nih.gov/protein/309272470","Gm13249")</f>
        <v>Gm13249</v>
      </c>
      <c r="D2793" s="10">
        <f t="shared" si="43"/>
        <v>5.6381881805741907</v>
      </c>
      <c r="F2793" s="8" t="str">
        <f>HYPERLINK("https://esbl.nhlbi.nih.gov/Databases/mpkFractions/proteomic_fractions_log_files/Yang_log_img/309272470.jpg","show blot")</f>
        <v>show blot</v>
      </c>
      <c r="H2793" s="8" t="str">
        <f>HYPERLINK("https://esbl.nhlbi.nih.gov/Databases/mpkFractions/proteomic_fractions_linear_files/Yang_linear_img/309272470.jpg","show blot")</f>
        <v>show blot</v>
      </c>
      <c r="J2793" s="5" t="s">
        <v>5527</v>
      </c>
      <c r="L2793" s="11">
        <v>5.6381881805741907</v>
      </c>
      <c r="N2793" s="12"/>
    </row>
    <row r="2794" spans="1:14" s="5" customFormat="1" ht="15" customHeight="1" x14ac:dyDescent="0.25">
      <c r="A2794" s="9" t="s">
        <v>5536</v>
      </c>
      <c r="C2794" s="9" t="str">
        <f>HYPERLINK("http://www.ncbi.nlm.nih.gov/protein/407262645","Gm13249")</f>
        <v>Gm13249</v>
      </c>
      <c r="D2794" s="10">
        <f t="shared" si="43"/>
        <v>5.6381881805741907</v>
      </c>
      <c r="F2794" s="8" t="str">
        <f>HYPERLINK("https://esbl.nhlbi.nih.gov/Databases/mpkFractions/proteomic_fractions_log_files/Yang_log_img/407262645.jpg","show blot")</f>
        <v>show blot</v>
      </c>
      <c r="H2794" s="8" t="str">
        <f>HYPERLINK("https://esbl.nhlbi.nih.gov/Databases/mpkFractions/proteomic_fractions_linear_files/Yang_linear_img/407262645.jpg","show blot")</f>
        <v>show blot</v>
      </c>
      <c r="J2794" s="5" t="s">
        <v>5527</v>
      </c>
      <c r="L2794" s="11">
        <v>5.6381881805741907</v>
      </c>
      <c r="N2794" s="12"/>
    </row>
    <row r="2795" spans="1:14" s="5" customFormat="1" ht="15" customHeight="1" x14ac:dyDescent="0.25">
      <c r="A2795" s="9" t="s">
        <v>5537</v>
      </c>
      <c r="C2795" s="9" t="str">
        <f>HYPERLINK("http://www.ncbi.nlm.nih.gov/protein/407261047","Gm13552")</f>
        <v>Gm13552</v>
      </c>
      <c r="D2795" s="10">
        <f t="shared" si="43"/>
        <v>3.3598553119303181</v>
      </c>
      <c r="F2795" s="8" t="str">
        <f>HYPERLINK("https://esbl.nhlbi.nih.gov/Databases/mpkFractions/proteomic_fractions_log_files/Yang_log_img/407261047.jpg","show blot")</f>
        <v>show blot</v>
      </c>
      <c r="H2795" s="8" t="str">
        <f>HYPERLINK("https://esbl.nhlbi.nih.gov/Databases/mpkFractions/proteomic_fractions_linear_files/Yang_linear_img/407261047.jpg","show blot")</f>
        <v>show blot</v>
      </c>
      <c r="J2795" s="5" t="s">
        <v>5538</v>
      </c>
      <c r="L2795" s="11">
        <v>3.3598553119303181</v>
      </c>
      <c r="N2795" s="12"/>
    </row>
    <row r="2796" spans="1:14" s="5" customFormat="1" ht="15" customHeight="1" x14ac:dyDescent="0.25">
      <c r="A2796" s="9" t="s">
        <v>5539</v>
      </c>
      <c r="C2796" s="9" t="str">
        <f>HYPERLINK("http://www.ncbi.nlm.nih.gov/protein/309264473","Gm13653")</f>
        <v>Gm13653</v>
      </c>
      <c r="D2796" s="10">
        <f t="shared" si="43"/>
        <v>6.750352767416655</v>
      </c>
      <c r="F2796" s="8" t="str">
        <f>HYPERLINK("https://esbl.nhlbi.nih.gov/Databases/mpkFractions/proteomic_fractions_log_files/Yang_log_img/309264473.jpg","show blot")</f>
        <v>show blot</v>
      </c>
      <c r="H2796" s="8" t="str">
        <f>HYPERLINK("https://esbl.nhlbi.nih.gov/Databases/mpkFractions/proteomic_fractions_linear_files/Yang_linear_img/309264473.jpg","show blot")</f>
        <v>show blot</v>
      </c>
      <c r="J2796" s="5" t="s">
        <v>5456</v>
      </c>
      <c r="L2796" s="11">
        <v>6.750352767416655</v>
      </c>
      <c r="N2796" s="12"/>
    </row>
    <row r="2797" spans="1:14" s="5" customFormat="1" ht="15" customHeight="1" x14ac:dyDescent="0.25">
      <c r="A2797" s="9" t="s">
        <v>5540</v>
      </c>
      <c r="C2797" s="9" t="str">
        <f>HYPERLINK("http://www.ncbi.nlm.nih.gov/protein/82885184","Gm13777")</f>
        <v>Gm13777</v>
      </c>
      <c r="D2797" s="10">
        <f t="shared" si="43"/>
        <v>5.6381881805741907</v>
      </c>
      <c r="F2797" s="8" t="str">
        <f>HYPERLINK("https://esbl.nhlbi.nih.gov/Databases/mpkFractions/proteomic_fractions_log_files/Yang_log_img/82885184.jpg","show blot")</f>
        <v>show blot</v>
      </c>
      <c r="H2797" s="8" t="str">
        <f>HYPERLINK("https://esbl.nhlbi.nih.gov/Databases/mpkFractions/proteomic_fractions_linear_files/Yang_linear_img/82885184.jpg","show blot")</f>
        <v>show blot</v>
      </c>
      <c r="J2797" s="5" t="s">
        <v>5541</v>
      </c>
      <c r="L2797" s="11">
        <v>5.6381881805741907</v>
      </c>
      <c r="N2797" s="12"/>
    </row>
    <row r="2798" spans="1:14" s="5" customFormat="1" ht="15" customHeight="1" x14ac:dyDescent="0.25">
      <c r="A2798" s="9" t="s">
        <v>5542</v>
      </c>
      <c r="C2798" s="9" t="str">
        <f>HYPERLINK("http://www.ncbi.nlm.nih.gov/protein/82885753","Gm13981")</f>
        <v>Gm13981</v>
      </c>
      <c r="D2798" s="10">
        <f t="shared" si="43"/>
        <v>6.1116825600533886</v>
      </c>
      <c r="F2798" s="8" t="str">
        <f>HYPERLINK("https://esbl.nhlbi.nih.gov/Databases/mpkFractions/proteomic_fractions_log_files/Yang_log_img/82885753.jpg","show blot")</f>
        <v>show blot</v>
      </c>
      <c r="H2798" s="8" t="str">
        <f>HYPERLINK("https://esbl.nhlbi.nih.gov/Databases/mpkFractions/proteomic_fractions_linear_files/Yang_linear_img/82885753.jpg","show blot")</f>
        <v>show blot</v>
      </c>
      <c r="J2798" s="5" t="s">
        <v>5543</v>
      </c>
      <c r="L2798" s="11">
        <v>6.1116825600533886</v>
      </c>
      <c r="N2798" s="12"/>
    </row>
    <row r="2799" spans="1:14" s="5" customFormat="1" ht="15" customHeight="1" x14ac:dyDescent="0.25">
      <c r="A2799" s="9" t="s">
        <v>5544</v>
      </c>
      <c r="C2799" s="9" t="str">
        <f>HYPERLINK("http://www.ncbi.nlm.nih.gov/protein/309264633","Gm14217")</f>
        <v>Gm14217</v>
      </c>
      <c r="D2799" s="10">
        <f t="shared" si="43"/>
        <v>6.5386983219558736</v>
      </c>
      <c r="F2799" s="8" t="str">
        <f>HYPERLINK("https://esbl.nhlbi.nih.gov/Databases/mpkFractions/proteomic_fractions_log_files/Yang_log_img/309264633.jpg","show blot")</f>
        <v>show blot</v>
      </c>
      <c r="H2799" s="8" t="str">
        <f>HYPERLINK("https://esbl.nhlbi.nih.gov/Databases/mpkFractions/proteomic_fractions_linear_files/Yang_linear_img/309264633.jpg","show blot")</f>
        <v>show blot</v>
      </c>
      <c r="J2799" s="5" t="s">
        <v>5545</v>
      </c>
      <c r="L2799" s="11">
        <v>6.5386983219558736</v>
      </c>
      <c r="N2799" s="12"/>
    </row>
    <row r="2800" spans="1:14" s="5" customFormat="1" ht="15" customHeight="1" x14ac:dyDescent="0.25">
      <c r="A2800" s="9" t="s">
        <v>5546</v>
      </c>
      <c r="C2800" s="9" t="str">
        <f>HYPERLINK("http://www.ncbi.nlm.nih.gov/protein/309267832","Gm14217")</f>
        <v>Gm14217</v>
      </c>
      <c r="D2800" s="10">
        <f t="shared" si="43"/>
        <v>6.5386983219558736</v>
      </c>
      <c r="F2800" s="8" t="str">
        <f>HYPERLINK("https://esbl.nhlbi.nih.gov/Databases/mpkFractions/proteomic_fractions_log_files/Yang_log_img/309267832.jpg","show blot")</f>
        <v>show blot</v>
      </c>
      <c r="H2800" s="8" t="str">
        <f>HYPERLINK("https://esbl.nhlbi.nih.gov/Databases/mpkFractions/proteomic_fractions_linear_files/Yang_linear_img/309267832.jpg","show blot")</f>
        <v>show blot</v>
      </c>
      <c r="J2800" s="5" t="s">
        <v>5545</v>
      </c>
      <c r="L2800" s="11">
        <v>6.5386983219558736</v>
      </c>
      <c r="N2800" s="12"/>
    </row>
    <row r="2801" spans="1:14" s="5" customFormat="1" ht="15" customHeight="1" x14ac:dyDescent="0.25">
      <c r="A2801" s="9" t="s">
        <v>5547</v>
      </c>
      <c r="C2801" s="9" t="str">
        <f>HYPERLINK("http://www.ncbi.nlm.nih.gov/protein/309264642","Gm14277")</f>
        <v>Gm14277</v>
      </c>
      <c r="D2801" s="10">
        <f t="shared" si="43"/>
        <v>5.0729150543064589</v>
      </c>
      <c r="F2801" s="8" t="str">
        <f>HYPERLINK("https://esbl.nhlbi.nih.gov/Databases/mpkFractions/proteomic_fractions_log_files/Yang_log_img/309264642.jpg","show blot")</f>
        <v>show blot</v>
      </c>
      <c r="H2801" s="8" t="str">
        <f>HYPERLINK("https://esbl.nhlbi.nih.gov/Databases/mpkFractions/proteomic_fractions_linear_files/Yang_linear_img/309264642.jpg","show blot")</f>
        <v>show blot</v>
      </c>
      <c r="J2801" s="5" t="s">
        <v>5548</v>
      </c>
      <c r="L2801" s="11">
        <v>5.0729150543064589</v>
      </c>
      <c r="N2801" s="12"/>
    </row>
    <row r="2802" spans="1:14" s="5" customFormat="1" ht="15" customHeight="1" x14ac:dyDescent="0.25">
      <c r="A2802" s="9" t="s">
        <v>5549</v>
      </c>
      <c r="C2802" s="9" t="str">
        <f>HYPERLINK("http://www.ncbi.nlm.nih.gov/protein/149250385","Gm14279")</f>
        <v>Gm14279</v>
      </c>
      <c r="D2802" s="10">
        <f t="shared" si="43"/>
        <v>6.8567757506354763</v>
      </c>
      <c r="F2802" s="8" t="str">
        <f>HYPERLINK("https://esbl.nhlbi.nih.gov/Databases/mpkFractions/proteomic_fractions_log_files/Yang_log_img/149250385.jpg","show blot")</f>
        <v>show blot</v>
      </c>
      <c r="H2802" s="8" t="str">
        <f>HYPERLINK("https://esbl.nhlbi.nih.gov/Databases/mpkFractions/proteomic_fractions_linear_files/Yang_linear_img/149250385.jpg","show blot")</f>
        <v>show blot</v>
      </c>
      <c r="J2802" s="5" t="s">
        <v>5454</v>
      </c>
      <c r="L2802" s="11">
        <v>6.8567757506354763</v>
      </c>
      <c r="N2802" s="12"/>
    </row>
    <row r="2803" spans="1:14" s="5" customFormat="1" ht="15" customHeight="1" x14ac:dyDescent="0.25">
      <c r="A2803" s="9" t="s">
        <v>5550</v>
      </c>
      <c r="C2803" s="9" t="str">
        <f>HYPERLINK("http://www.ncbi.nlm.nih.gov/protein/309264679","Gm14407")</f>
        <v>Gm14407</v>
      </c>
      <c r="D2803" s="10">
        <f t="shared" si="43"/>
        <v>4.598111048546019</v>
      </c>
      <c r="F2803" s="8" t="str">
        <f>HYPERLINK("https://esbl.nhlbi.nih.gov/Databases/mpkFractions/proteomic_fractions_log_files/Yang_log_img/309264679.jpg","show blot")</f>
        <v>show blot</v>
      </c>
      <c r="H2803" s="8" t="str">
        <f>HYPERLINK("https://esbl.nhlbi.nih.gov/Databases/mpkFractions/proteomic_fractions_linear_files/Yang_linear_img/309264679.jpg","show blot")</f>
        <v>show blot</v>
      </c>
      <c r="J2803" s="5" t="s">
        <v>5543</v>
      </c>
      <c r="L2803" s="11">
        <v>4.598111048546019</v>
      </c>
      <c r="N2803" s="12"/>
    </row>
    <row r="2804" spans="1:14" s="5" customFormat="1" ht="15" customHeight="1" x14ac:dyDescent="0.25">
      <c r="A2804" s="9" t="s">
        <v>5551</v>
      </c>
      <c r="C2804" s="9" t="str">
        <f>HYPERLINK("http://www.ncbi.nlm.nih.gov/protein/82887979","Gm14439")</f>
        <v>Gm14439</v>
      </c>
      <c r="D2804" s="10">
        <f t="shared" si="43"/>
        <v>4.598111048546019</v>
      </c>
      <c r="F2804" s="8" t="str">
        <f>HYPERLINK("https://esbl.nhlbi.nih.gov/Databases/mpkFractions/proteomic_fractions_log_files/Yang_log_img/82887979.jpg","show blot")</f>
        <v>show blot</v>
      </c>
      <c r="H2804" s="8" t="str">
        <f>HYPERLINK("https://esbl.nhlbi.nih.gov/Databases/mpkFractions/proteomic_fractions_linear_files/Yang_linear_img/82887979.jpg","show blot")</f>
        <v>show blot</v>
      </c>
      <c r="J2804" s="5" t="s">
        <v>5543</v>
      </c>
      <c r="L2804" s="11">
        <v>4.598111048546019</v>
      </c>
      <c r="N2804" s="12"/>
    </row>
    <row r="2805" spans="1:14" s="5" customFormat="1" ht="15" customHeight="1" x14ac:dyDescent="0.25">
      <c r="A2805" s="9" t="s">
        <v>5552</v>
      </c>
      <c r="C2805" s="9" t="str">
        <f>HYPERLINK("http://www.ncbi.nlm.nih.gov/protein/160333495","Gm14446")</f>
        <v>Gm14446</v>
      </c>
      <c r="D2805" s="10">
        <f t="shared" si="43"/>
        <v>3.798964858960066</v>
      </c>
      <c r="F2805" s="8" t="str">
        <f>HYPERLINK("https://esbl.nhlbi.nih.gov/Databases/mpkFractions/proteomic_fractions_log_files/Yang_log_img/160333495.jpg","show blot")</f>
        <v>show blot</v>
      </c>
      <c r="H2805" s="8" t="str">
        <f>HYPERLINK("https://esbl.nhlbi.nih.gov/Databases/mpkFractions/proteomic_fractions_linear_files/Yang_linear_img/160333495.jpg","show blot")</f>
        <v>show blot</v>
      </c>
      <c r="J2805" s="5" t="s">
        <v>5553</v>
      </c>
      <c r="L2805" s="11">
        <v>3.798964858960066</v>
      </c>
      <c r="N2805" s="12"/>
    </row>
    <row r="2806" spans="1:14" s="5" customFormat="1" ht="15" customHeight="1" x14ac:dyDescent="0.25">
      <c r="A2806" s="9" t="s">
        <v>5554</v>
      </c>
      <c r="C2806" s="9" t="str">
        <f>HYPERLINK("http://www.ncbi.nlm.nih.gov/protein/160333500","Gm14446")</f>
        <v>Gm14446</v>
      </c>
      <c r="D2806" s="10">
        <f t="shared" si="43"/>
        <v>3.798964858960066</v>
      </c>
      <c r="F2806" s="8" t="str">
        <f>HYPERLINK("https://esbl.nhlbi.nih.gov/Databases/mpkFractions/proteomic_fractions_log_files/Yang_log_img/160333500.jpg","show blot")</f>
        <v>show blot</v>
      </c>
      <c r="H2806" s="8" t="str">
        <f>HYPERLINK("https://esbl.nhlbi.nih.gov/Databases/mpkFractions/proteomic_fractions_linear_files/Yang_linear_img/160333500.jpg","show blot")</f>
        <v>show blot</v>
      </c>
      <c r="J2806" s="5" t="s">
        <v>5555</v>
      </c>
      <c r="L2806" s="11">
        <v>3.798964858960066</v>
      </c>
      <c r="N2806" s="12"/>
    </row>
    <row r="2807" spans="1:14" s="5" customFormat="1" ht="15" customHeight="1" x14ac:dyDescent="0.25">
      <c r="A2807" s="9" t="s">
        <v>5556</v>
      </c>
      <c r="C2807" s="9" t="str">
        <f>HYPERLINK("http://www.ncbi.nlm.nih.gov/protein/407262426","Gm14517")</f>
        <v>Gm14517</v>
      </c>
      <c r="D2807" s="10">
        <f t="shared" si="43"/>
        <v>5.0719522021170667</v>
      </c>
      <c r="F2807" s="8" t="str">
        <f>HYPERLINK("https://esbl.nhlbi.nih.gov/Databases/mpkFractions/proteomic_fractions_log_files/Yang_log_img/407262426.jpg","show blot")</f>
        <v>show blot</v>
      </c>
      <c r="H2807" s="8" t="str">
        <f>HYPERLINK("https://esbl.nhlbi.nih.gov/Databases/mpkFractions/proteomic_fractions_linear_files/Yang_linear_img/407262426.jpg","show blot")</f>
        <v>show blot</v>
      </c>
      <c r="J2807" s="5" t="s">
        <v>5557</v>
      </c>
      <c r="L2807" s="11">
        <v>5.0719522021170667</v>
      </c>
      <c r="N2807" s="12"/>
    </row>
    <row r="2808" spans="1:14" s="5" customFormat="1" ht="15" customHeight="1" x14ac:dyDescent="0.25">
      <c r="A2808" s="9" t="s">
        <v>5558</v>
      </c>
      <c r="C2808" s="9" t="str">
        <f>HYPERLINK("http://www.ncbi.nlm.nih.gov/protein/309266821","Gm14535")</f>
        <v>Gm14535</v>
      </c>
      <c r="D2808" s="10">
        <f t="shared" si="43"/>
        <v>3.9422790862386532</v>
      </c>
      <c r="F2808" s="8" t="str">
        <f>HYPERLINK("https://esbl.nhlbi.nih.gov/Databases/mpkFractions/proteomic_fractions_log_files/Yang_log_img/309266821.jpg","show blot")</f>
        <v>show blot</v>
      </c>
      <c r="H2808" s="8" t="str">
        <f>HYPERLINK("https://esbl.nhlbi.nih.gov/Databases/mpkFractions/proteomic_fractions_linear_files/Yang_linear_img/309266821.jpg","show blot")</f>
        <v>show blot</v>
      </c>
      <c r="J2808" s="5" t="s">
        <v>5559</v>
      </c>
      <c r="L2808" s="11">
        <v>3.9422790862386532</v>
      </c>
      <c r="N2808" s="12"/>
    </row>
    <row r="2809" spans="1:14" s="5" customFormat="1" ht="15" customHeight="1" x14ac:dyDescent="0.25">
      <c r="A2809" s="9" t="s">
        <v>5560</v>
      </c>
      <c r="C2809" s="9" t="str">
        <f>HYPERLINK("http://www.ncbi.nlm.nih.gov/protein/149271597","Gm14680")</f>
        <v>Gm14680</v>
      </c>
      <c r="D2809" s="10">
        <f t="shared" si="43"/>
        <v>4.4528466104103064</v>
      </c>
      <c r="F2809" s="8" t="str">
        <f>HYPERLINK("https://esbl.nhlbi.nih.gov/Databases/mpkFractions/proteomic_fractions_log_files/Yang_log_img/149271597.jpg","show blot")</f>
        <v>show blot</v>
      </c>
      <c r="H2809" s="8" t="str">
        <f>HYPERLINK("https://esbl.nhlbi.nih.gov/Databases/mpkFractions/proteomic_fractions_linear_files/Yang_linear_img/149271597.jpg","show blot")</f>
        <v>show blot</v>
      </c>
      <c r="J2809" s="5" t="s">
        <v>5561</v>
      </c>
      <c r="L2809" s="11">
        <v>4.4528466104103064</v>
      </c>
      <c r="N2809" s="12"/>
    </row>
    <row r="2810" spans="1:14" s="5" customFormat="1" ht="15" customHeight="1" x14ac:dyDescent="0.25">
      <c r="A2810" s="9" t="s">
        <v>5562</v>
      </c>
      <c r="C2810" s="9" t="str">
        <f>HYPERLINK("http://www.ncbi.nlm.nih.gov/protein/309266900","Gm14925")</f>
        <v>Gm14925</v>
      </c>
      <c r="D2810" s="10">
        <f t="shared" si="43"/>
        <v>2.9960344864068822</v>
      </c>
      <c r="F2810" s="8" t="str">
        <f>HYPERLINK("https://esbl.nhlbi.nih.gov/Databases/mpkFractions/proteomic_fractions_log_files/Yang_log_img/309266900.jpg","show blot")</f>
        <v>show blot</v>
      </c>
      <c r="H2810" s="8" t="str">
        <f>HYPERLINK("https://esbl.nhlbi.nih.gov/Databases/mpkFractions/proteomic_fractions_linear_files/Yang_linear_img/309266900.jpg","show blot")</f>
        <v>show blot</v>
      </c>
      <c r="J2810" s="5" t="s">
        <v>5563</v>
      </c>
      <c r="L2810" s="11">
        <v>2.9960344864068822</v>
      </c>
      <c r="N2810" s="12"/>
    </row>
    <row r="2811" spans="1:14" s="5" customFormat="1" ht="15" customHeight="1" x14ac:dyDescent="0.25">
      <c r="A2811" s="9" t="s">
        <v>5564</v>
      </c>
      <c r="C2811" s="9" t="str">
        <f>HYPERLINK("http://www.ncbi.nlm.nih.gov/protein/149272225","Gm14958")</f>
        <v>Gm14958</v>
      </c>
      <c r="D2811" s="10">
        <f t="shared" si="43"/>
        <v>6.78195425651304</v>
      </c>
      <c r="F2811" s="8" t="str">
        <f>HYPERLINK("https://esbl.nhlbi.nih.gov/Databases/mpkFractions/proteomic_fractions_log_files/Yang_log_img/149272225.jpg","show blot")</f>
        <v>show blot</v>
      </c>
      <c r="H2811" s="8" t="str">
        <f>HYPERLINK("https://esbl.nhlbi.nih.gov/Databases/mpkFractions/proteomic_fractions_linear_files/Yang_linear_img/149272225.jpg","show blot")</f>
        <v>show blot</v>
      </c>
      <c r="J2811" s="5" t="s">
        <v>5565</v>
      </c>
      <c r="L2811" s="11">
        <v>6.78195425651304</v>
      </c>
      <c r="N2811" s="12"/>
    </row>
    <row r="2812" spans="1:14" s="5" customFormat="1" ht="15" customHeight="1" x14ac:dyDescent="0.25">
      <c r="A2812" s="9" t="s">
        <v>5566</v>
      </c>
      <c r="C2812" s="9" t="str">
        <f>HYPERLINK("http://www.ncbi.nlm.nih.gov/protein/309266944","Gm15032")</f>
        <v>Gm15032</v>
      </c>
      <c r="D2812" s="10">
        <f t="shared" si="43"/>
        <v>6.2275522762995088</v>
      </c>
      <c r="F2812" s="8" t="str">
        <f>HYPERLINK("https://esbl.nhlbi.nih.gov/Databases/mpkFractions/proteomic_fractions_log_files/Yang_log_img/309266944.jpg","show blot")</f>
        <v>show blot</v>
      </c>
      <c r="H2812" s="8" t="str">
        <f>HYPERLINK("https://esbl.nhlbi.nih.gov/Databases/mpkFractions/proteomic_fractions_linear_files/Yang_linear_img/309266944.jpg","show blot")</f>
        <v>show blot</v>
      </c>
      <c r="J2812" s="5" t="s">
        <v>5567</v>
      </c>
      <c r="L2812" s="11">
        <v>6.2275522762995088</v>
      </c>
      <c r="N2812" s="12"/>
    </row>
    <row r="2813" spans="1:14" s="5" customFormat="1" ht="15" customHeight="1" x14ac:dyDescent="0.25">
      <c r="A2813" s="9" t="s">
        <v>5568</v>
      </c>
      <c r="C2813" s="9" t="str">
        <f>HYPERLINK("http://www.ncbi.nlm.nih.gov/protein/377835587","Gm15210")</f>
        <v>Gm15210</v>
      </c>
      <c r="D2813" s="10">
        <f t="shared" si="43"/>
        <v>5.8084269829360418</v>
      </c>
      <c r="F2813" s="8" t="str">
        <f>HYPERLINK("https://esbl.nhlbi.nih.gov/Databases/mpkFractions/proteomic_fractions_log_files/Yang_log_img/377835587.jpg","show blot")</f>
        <v>show blot</v>
      </c>
      <c r="H2813" s="8" t="str">
        <f>HYPERLINK("https://esbl.nhlbi.nih.gov/Databases/mpkFractions/proteomic_fractions_linear_files/Yang_linear_img/377835587.jpg","show blot")</f>
        <v>show blot</v>
      </c>
      <c r="J2813" s="5" t="s">
        <v>5569</v>
      </c>
      <c r="L2813" s="11">
        <v>5.8084269829360418</v>
      </c>
      <c r="N2813" s="12"/>
    </row>
    <row r="2814" spans="1:14" s="5" customFormat="1" ht="15" customHeight="1" x14ac:dyDescent="0.25">
      <c r="A2814" s="9" t="s">
        <v>5570</v>
      </c>
      <c r="C2814" s="9" t="str">
        <f>HYPERLINK("http://www.ncbi.nlm.nih.gov/protein/407262829","Gm15453")</f>
        <v>Gm15453</v>
      </c>
      <c r="D2814" s="10">
        <f t="shared" si="43"/>
        <v>5.2316450929889324</v>
      </c>
      <c r="F2814" s="8" t="str">
        <f>HYPERLINK("https://esbl.nhlbi.nih.gov/Databases/mpkFractions/proteomic_fractions_log_files/Yang_log_img/407262829.jpg","show blot")</f>
        <v>show blot</v>
      </c>
      <c r="H2814" s="8" t="str">
        <f>HYPERLINK("https://esbl.nhlbi.nih.gov/Databases/mpkFractions/proteomic_fractions_linear_files/Yang_linear_img/407262829.jpg","show blot")</f>
        <v>show blot</v>
      </c>
      <c r="J2814" s="5" t="s">
        <v>5571</v>
      </c>
      <c r="L2814" s="11">
        <v>5.2316450929889324</v>
      </c>
      <c r="N2814" s="12"/>
    </row>
    <row r="2815" spans="1:14" s="5" customFormat="1" ht="15" customHeight="1" x14ac:dyDescent="0.25">
      <c r="A2815" s="9" t="s">
        <v>5572</v>
      </c>
      <c r="C2815" s="9" t="str">
        <f>HYPERLINK("http://www.ncbi.nlm.nih.gov/protein/309264693","Gm15466")</f>
        <v>Gm15466</v>
      </c>
      <c r="D2815" s="10">
        <f t="shared" si="43"/>
        <v>6.2244084997709779</v>
      </c>
      <c r="F2815" s="8" t="str">
        <f>HYPERLINK("https://esbl.nhlbi.nih.gov/Databases/mpkFractions/proteomic_fractions_log_files/Yang_log_img/309264693.jpg","show blot")</f>
        <v>show blot</v>
      </c>
      <c r="H2815" s="8" t="str">
        <f>HYPERLINK("https://esbl.nhlbi.nih.gov/Databases/mpkFractions/proteomic_fractions_linear_files/Yang_linear_img/309264693.jpg","show blot")</f>
        <v>show blot</v>
      </c>
      <c r="J2815" s="5" t="s">
        <v>5573</v>
      </c>
      <c r="L2815" s="11">
        <v>6.2244084997709779</v>
      </c>
      <c r="N2815" s="12"/>
    </row>
    <row r="2816" spans="1:14" s="5" customFormat="1" ht="15" customHeight="1" x14ac:dyDescent="0.25">
      <c r="A2816" s="9" t="s">
        <v>5574</v>
      </c>
      <c r="C2816" s="9" t="str">
        <f>HYPERLINK("http://www.ncbi.nlm.nih.gov/protein/309266131","Gm15483")</f>
        <v>Gm15483</v>
      </c>
      <c r="D2816" s="10">
        <f t="shared" si="43"/>
        <v>6.8433896980361171</v>
      </c>
      <c r="F2816" s="8" t="str">
        <f>HYPERLINK("https://esbl.nhlbi.nih.gov/Databases/mpkFractions/proteomic_fractions_log_files/Yang_log_img/309266131.jpg","show blot")</f>
        <v>show blot</v>
      </c>
      <c r="H2816" s="8" t="str">
        <f>HYPERLINK("https://esbl.nhlbi.nih.gov/Databases/mpkFractions/proteomic_fractions_linear_files/Yang_linear_img/309266131.jpg","show blot")</f>
        <v>show blot</v>
      </c>
      <c r="J2816" s="5" t="s">
        <v>5575</v>
      </c>
      <c r="L2816" s="11">
        <v>6.8433896980361171</v>
      </c>
      <c r="N2816" s="12"/>
    </row>
    <row r="2817" spans="1:14" s="5" customFormat="1" ht="15" customHeight="1" x14ac:dyDescent="0.25">
      <c r="A2817" s="9" t="s">
        <v>5576</v>
      </c>
      <c r="C2817" s="9" t="str">
        <f>HYPERLINK("http://www.ncbi.nlm.nih.gov/protein/149257598","Gm15501")</f>
        <v>Gm15501</v>
      </c>
      <c r="D2817" s="10">
        <f t="shared" si="43"/>
        <v>7.0179263579008122</v>
      </c>
      <c r="F2817" s="8" t="str">
        <f>HYPERLINK("https://esbl.nhlbi.nih.gov/Databases/mpkFractions/proteomic_fractions_log_files/Yang_log_img/149257598.jpg","show blot")</f>
        <v>show blot</v>
      </c>
      <c r="H2817" s="8" t="str">
        <f>HYPERLINK("https://esbl.nhlbi.nih.gov/Databases/mpkFractions/proteomic_fractions_linear_files/Yang_linear_img/149257598.jpg","show blot")</f>
        <v>show blot</v>
      </c>
      <c r="J2817" s="5" t="s">
        <v>5577</v>
      </c>
      <c r="L2817" s="11">
        <v>7.0179263579008122</v>
      </c>
      <c r="N2817" s="12"/>
    </row>
    <row r="2818" spans="1:14" s="5" customFormat="1" ht="15" customHeight="1" x14ac:dyDescent="0.25">
      <c r="A2818" s="9" t="s">
        <v>5578</v>
      </c>
      <c r="C2818" s="9" t="str">
        <f>HYPERLINK("http://www.ncbi.nlm.nih.gov/protein/309265983","Gm15501")</f>
        <v>Gm15501</v>
      </c>
      <c r="D2818" s="10">
        <f t="shared" si="43"/>
        <v>7.0179263579008122</v>
      </c>
      <c r="F2818" s="8" t="str">
        <f>HYPERLINK("https://esbl.nhlbi.nih.gov/Databases/mpkFractions/proteomic_fractions_log_files/Yang_log_img/309265983.jpg","show blot")</f>
        <v>show blot</v>
      </c>
      <c r="H2818" s="8" t="str">
        <f>HYPERLINK("https://esbl.nhlbi.nih.gov/Databases/mpkFractions/proteomic_fractions_linear_files/Yang_linear_img/309265983.jpg","show blot")</f>
        <v>show blot</v>
      </c>
      <c r="J2818" s="5" t="s">
        <v>5579</v>
      </c>
      <c r="L2818" s="11">
        <v>7.0179263579008122</v>
      </c>
      <c r="N2818" s="12"/>
    </row>
    <row r="2819" spans="1:14" s="5" customFormat="1" ht="15" customHeight="1" x14ac:dyDescent="0.25">
      <c r="A2819" s="9" t="s">
        <v>5580</v>
      </c>
      <c r="C2819" s="9" t="str">
        <f>HYPERLINK("http://www.ncbi.nlm.nih.gov/protein/149234328","Gm15583")</f>
        <v>Gm15583</v>
      </c>
      <c r="D2819" s="10">
        <f t="shared" si="43"/>
        <v>3.7202883520722172</v>
      </c>
      <c r="F2819" s="8" t="str">
        <f>HYPERLINK("https://esbl.nhlbi.nih.gov/Databases/mpkFractions/proteomic_fractions_log_files/Yang_log_img/149234328.jpg","show blot")</f>
        <v>show blot</v>
      </c>
      <c r="H2819" s="8" t="str">
        <f>HYPERLINK("https://esbl.nhlbi.nih.gov/Databases/mpkFractions/proteomic_fractions_linear_files/Yang_linear_img/149234328.jpg","show blot")</f>
        <v>show blot</v>
      </c>
      <c r="J2819" s="5" t="s">
        <v>5581</v>
      </c>
      <c r="L2819" s="11">
        <v>3.7202883520722172</v>
      </c>
      <c r="N2819" s="12"/>
    </row>
    <row r="2820" spans="1:14" s="5" customFormat="1" ht="15" customHeight="1" x14ac:dyDescent="0.25">
      <c r="A2820" s="9" t="s">
        <v>5582</v>
      </c>
      <c r="C2820" s="9" t="str">
        <f>HYPERLINK("http://www.ncbi.nlm.nih.gov/protein/309265319","Gm15682")</f>
        <v>Gm15682</v>
      </c>
      <c r="D2820" s="10">
        <f t="shared" si="43"/>
        <v>6.4783705015765269</v>
      </c>
      <c r="F2820" s="8" t="str">
        <f>HYPERLINK("https://esbl.nhlbi.nih.gov/Databases/mpkFractions/proteomic_fractions_log_files/Yang_log_img/309265319.jpg","show blot")</f>
        <v>show blot</v>
      </c>
      <c r="H2820" s="8" t="str">
        <f>HYPERLINK("https://esbl.nhlbi.nih.gov/Databases/mpkFractions/proteomic_fractions_linear_files/Yang_linear_img/309265319.jpg","show blot")</f>
        <v>show blot</v>
      </c>
      <c r="J2820" s="5" t="s">
        <v>5456</v>
      </c>
      <c r="L2820" s="11">
        <v>6.4783705015765269</v>
      </c>
      <c r="N2820" s="12"/>
    </row>
    <row r="2821" spans="1:14" s="5" customFormat="1" ht="15" customHeight="1" x14ac:dyDescent="0.25">
      <c r="A2821" s="9" t="s">
        <v>5583</v>
      </c>
      <c r="C2821" s="9" t="str">
        <f>HYPERLINK("http://www.ncbi.nlm.nih.gov/protein/359718915","Gm15800")</f>
        <v>Gm15800</v>
      </c>
      <c r="D2821" s="10">
        <f t="shared" ref="D2821:D2884" si="44">L2821</f>
        <v>3.027447189686522</v>
      </c>
      <c r="F2821" s="8" t="str">
        <f>HYPERLINK("https://esbl.nhlbi.nih.gov/Databases/mpkFractions/proteomic_fractions_log_files/Yang_log_img/359718915.jpg","show blot")</f>
        <v>show blot</v>
      </c>
      <c r="H2821" s="8" t="str">
        <f>HYPERLINK("https://esbl.nhlbi.nih.gov/Databases/mpkFractions/proteomic_fractions_linear_files/Yang_linear_img/359718915.jpg","show blot")</f>
        <v>show blot</v>
      </c>
      <c r="J2821" s="5" t="s">
        <v>5584</v>
      </c>
      <c r="L2821" s="11">
        <v>3.027447189686522</v>
      </c>
      <c r="N2821" s="12"/>
    </row>
    <row r="2822" spans="1:14" s="5" customFormat="1" ht="15" customHeight="1" x14ac:dyDescent="0.25">
      <c r="A2822" s="9" t="s">
        <v>5585</v>
      </c>
      <c r="C2822" s="9" t="str">
        <f>HYPERLINK("http://www.ncbi.nlm.nih.gov/protein/309264895","Gm16500")</f>
        <v>Gm16500</v>
      </c>
      <c r="D2822" s="10">
        <f t="shared" si="44"/>
        <v>3.0675704935080632</v>
      </c>
      <c r="F2822" s="8" t="str">
        <f>HYPERLINK("https://esbl.nhlbi.nih.gov/Databases/mpkFractions/proteomic_fractions_log_files/Yang_log_img/309264895.jpg","show blot")</f>
        <v>show blot</v>
      </c>
      <c r="H2822" s="8" t="str">
        <f>HYPERLINK("https://esbl.nhlbi.nih.gov/Databases/mpkFractions/proteomic_fractions_linear_files/Yang_linear_img/309264895.jpg","show blot")</f>
        <v>show blot</v>
      </c>
      <c r="J2822" s="5" t="s">
        <v>5586</v>
      </c>
      <c r="L2822" s="11">
        <v>3.0675704935080632</v>
      </c>
      <c r="N2822" s="12"/>
    </row>
    <row r="2823" spans="1:14" s="5" customFormat="1" ht="15" customHeight="1" x14ac:dyDescent="0.25">
      <c r="A2823" s="9" t="s">
        <v>5587</v>
      </c>
      <c r="C2823" s="9" t="str">
        <f>HYPERLINK("http://www.ncbi.nlm.nih.gov/protein/13384646","Gm16515")</f>
        <v>Gm16515</v>
      </c>
      <c r="D2823" s="10">
        <f t="shared" si="44"/>
        <v>4.5283922118889803</v>
      </c>
      <c r="F2823" s="8" t="str">
        <f>HYPERLINK("https://esbl.nhlbi.nih.gov/Databases/mpkFractions/proteomic_fractions_log_files/Yang_log_img/13384646.jpg","show blot")</f>
        <v>show blot</v>
      </c>
      <c r="H2823" s="8" t="str">
        <f>HYPERLINK("https://esbl.nhlbi.nih.gov/Databases/mpkFractions/proteomic_fractions_linear_files/Yang_linear_img/13384646.jpg","show blot")</f>
        <v>show blot</v>
      </c>
      <c r="J2823" s="5" t="s">
        <v>5588</v>
      </c>
      <c r="L2823" s="11">
        <v>4.5283922118889803</v>
      </c>
      <c r="N2823" s="12"/>
    </row>
    <row r="2824" spans="1:14" s="5" customFormat="1" ht="15" customHeight="1" x14ac:dyDescent="0.25">
      <c r="A2824" s="9" t="s">
        <v>5589</v>
      </c>
      <c r="C2824" s="9" t="str">
        <f>HYPERLINK("http://www.ncbi.nlm.nih.gov/protein/309271517","Gm17267")</f>
        <v>Gm17267</v>
      </c>
      <c r="D2824" s="10">
        <f t="shared" si="44"/>
        <v>3.928023196625412</v>
      </c>
      <c r="F2824" s="8" t="str">
        <f>HYPERLINK("https://esbl.nhlbi.nih.gov/Databases/mpkFractions/proteomic_fractions_log_files/Yang_log_img/309271517.jpg","show blot")</f>
        <v>show blot</v>
      </c>
      <c r="H2824" s="8" t="str">
        <f>HYPERLINK("https://esbl.nhlbi.nih.gov/Databases/mpkFractions/proteomic_fractions_linear_files/Yang_linear_img/309271517.jpg","show blot")</f>
        <v>show blot</v>
      </c>
      <c r="J2824" s="5" t="s">
        <v>5590</v>
      </c>
      <c r="L2824" s="11">
        <v>3.928023196625412</v>
      </c>
      <c r="N2824" s="12"/>
    </row>
    <row r="2825" spans="1:14" s="5" customFormat="1" ht="15" customHeight="1" x14ac:dyDescent="0.25">
      <c r="A2825" s="9" t="s">
        <v>5591</v>
      </c>
      <c r="C2825" s="9" t="str">
        <f>HYPERLINK("http://www.ncbi.nlm.nih.gov/protein/309270883","Gm17748")</f>
        <v>Gm17748</v>
      </c>
      <c r="D2825" s="10">
        <f t="shared" si="44"/>
        <v>5.2001859919132336</v>
      </c>
      <c r="F2825" s="8" t="str">
        <f>HYPERLINK("https://esbl.nhlbi.nih.gov/Databases/mpkFractions/proteomic_fractions_log_files/Yang_log_img/309270883.jpg","show blot")</f>
        <v>show blot</v>
      </c>
      <c r="H2825" s="8" t="str">
        <f>HYPERLINK("https://esbl.nhlbi.nih.gov/Databases/mpkFractions/proteomic_fractions_linear_files/Yang_linear_img/309270883.jpg","show blot")</f>
        <v>show blot</v>
      </c>
      <c r="J2825" s="5" t="s">
        <v>5592</v>
      </c>
      <c r="L2825" s="11">
        <v>5.2001859919132336</v>
      </c>
      <c r="N2825" s="12"/>
    </row>
    <row r="2826" spans="1:14" s="5" customFormat="1" ht="15" customHeight="1" x14ac:dyDescent="0.25">
      <c r="A2826" s="9" t="s">
        <v>5593</v>
      </c>
      <c r="C2826" s="9" t="str">
        <f>HYPERLINK("http://www.ncbi.nlm.nih.gov/protein/407262256","Gm17748")</f>
        <v>Gm17748</v>
      </c>
      <c r="D2826" s="10">
        <f t="shared" si="44"/>
        <v>5.2001859919132336</v>
      </c>
      <c r="F2826" s="8" t="str">
        <f>HYPERLINK("https://esbl.nhlbi.nih.gov/Databases/mpkFractions/proteomic_fractions_log_files/Yang_log_img/407262256.jpg","show blot")</f>
        <v>show blot</v>
      </c>
      <c r="H2826" s="8" t="str">
        <f>HYPERLINK("https://esbl.nhlbi.nih.gov/Databases/mpkFractions/proteomic_fractions_linear_files/Yang_linear_img/407262256.jpg","show blot")</f>
        <v>show blot</v>
      </c>
      <c r="J2826" s="5" t="s">
        <v>5592</v>
      </c>
      <c r="L2826" s="11">
        <v>5.2001859919132336</v>
      </c>
      <c r="N2826" s="12"/>
    </row>
    <row r="2827" spans="1:14" s="5" customFormat="1" ht="15" customHeight="1" x14ac:dyDescent="0.25">
      <c r="A2827" s="9" t="s">
        <v>5594</v>
      </c>
      <c r="C2827" s="9" t="str">
        <f>HYPERLINK("http://www.ncbi.nlm.nih.gov/protein/467087326","Gm1966")</f>
        <v>Gm1966</v>
      </c>
      <c r="D2827" s="10">
        <f t="shared" si="44"/>
        <v>4.2615028295492579</v>
      </c>
      <c r="F2827" s="8" t="str">
        <f>HYPERLINK("https://esbl.nhlbi.nih.gov/Databases/mpkFractions/proteomic_fractions_log_files/Yang_log_img/467087326.jpg","show blot")</f>
        <v>show blot</v>
      </c>
      <c r="H2827" s="8" t="str">
        <f>HYPERLINK("https://esbl.nhlbi.nih.gov/Databases/mpkFractions/proteomic_fractions_linear_files/Yang_linear_img/467087326.jpg","show blot")</f>
        <v>show blot</v>
      </c>
      <c r="J2827" s="5" t="s">
        <v>5595</v>
      </c>
      <c r="L2827" s="11">
        <v>4.2615028295492579</v>
      </c>
      <c r="N2827" s="12"/>
    </row>
    <row r="2828" spans="1:14" s="5" customFormat="1" ht="15" customHeight="1" x14ac:dyDescent="0.25">
      <c r="A2828" s="9" t="s">
        <v>5596</v>
      </c>
      <c r="C2828" s="9" t="str">
        <f>HYPERLINK("http://www.ncbi.nlm.nih.gov/protein/377834355","Gm1966")</f>
        <v>Gm1966</v>
      </c>
      <c r="D2828" s="10">
        <f t="shared" si="44"/>
        <v>4.2615028295492579</v>
      </c>
      <c r="F2828" s="8" t="str">
        <f>HYPERLINK("https://esbl.nhlbi.nih.gov/Databases/mpkFractions/proteomic_fractions_log_files/Yang_log_img/377834355.jpg","show blot")</f>
        <v>show blot</v>
      </c>
      <c r="H2828" s="8" t="str">
        <f>HYPERLINK("https://esbl.nhlbi.nih.gov/Databases/mpkFractions/proteomic_fractions_linear_files/Yang_linear_img/377834355.jpg","show blot")</f>
        <v>show blot</v>
      </c>
      <c r="J2828" s="5" t="s">
        <v>5597</v>
      </c>
      <c r="L2828" s="11">
        <v>4.2615028295492579</v>
      </c>
      <c r="N2828" s="12"/>
    </row>
    <row r="2829" spans="1:14" s="5" customFormat="1" ht="15" customHeight="1" x14ac:dyDescent="0.25">
      <c r="A2829" s="9" t="s">
        <v>5598</v>
      </c>
      <c r="C2829" s="9" t="str">
        <f>HYPERLINK("http://www.ncbi.nlm.nih.gov/protein/467087326;309268933","Gm1966")</f>
        <v>Gm1966</v>
      </c>
      <c r="D2829" s="10">
        <f t="shared" si="44"/>
        <v>4.2615028295492579</v>
      </c>
      <c r="F2829" s="8" t="str">
        <f>HYPERLINK("https://esbl.nhlbi.nih.gov/Databases/mpkFractions/proteomic_fractions_log_files/Yang_log_img/467087326;309268933.jpg","show blot")</f>
        <v>show blot</v>
      </c>
      <c r="H2829" s="8" t="str">
        <f>HYPERLINK("https://esbl.nhlbi.nih.gov/Databases/mpkFractions/proteomic_fractions_linear_files/Yang_linear_img/467087326;309268933.jpg","show blot")</f>
        <v>show blot</v>
      </c>
      <c r="J2829" s="5" t="s">
        <v>5595</v>
      </c>
      <c r="L2829" s="11">
        <v>4.2615028295492579</v>
      </c>
      <c r="N2829" s="12"/>
    </row>
    <row r="2830" spans="1:14" s="5" customFormat="1" ht="15" customHeight="1" x14ac:dyDescent="0.25">
      <c r="A2830" s="9" t="s">
        <v>5599</v>
      </c>
      <c r="C2830" s="9" t="str">
        <f>HYPERLINK("http://www.ncbi.nlm.nih.gov/protein/309268933","Gm1966")</f>
        <v>Gm1966</v>
      </c>
      <c r="D2830" s="10">
        <f t="shared" si="44"/>
        <v>4.2615028295492579</v>
      </c>
      <c r="F2830" s="8" t="str">
        <f>HYPERLINK("https://esbl.nhlbi.nih.gov/Databases/mpkFractions/proteomic_fractions_log_files/Yang_log_img/309268933.jpg","show blot")</f>
        <v>show blot</v>
      </c>
      <c r="H2830" s="8" t="str">
        <f>HYPERLINK("https://esbl.nhlbi.nih.gov/Databases/mpkFractions/proteomic_fractions_linear_files/Yang_linear_img/309268933.jpg","show blot")</f>
        <v>show blot</v>
      </c>
      <c r="J2830" s="5" t="s">
        <v>5600</v>
      </c>
      <c r="L2830" s="11">
        <v>4.2615028295492579</v>
      </c>
      <c r="N2830" s="12"/>
    </row>
    <row r="2831" spans="1:14" s="5" customFormat="1" ht="15" customHeight="1" x14ac:dyDescent="0.25">
      <c r="A2831" s="9" t="s">
        <v>5601</v>
      </c>
      <c r="C2831" s="9" t="str">
        <f>HYPERLINK("http://www.ncbi.nlm.nih.gov/protein/407262653","Gm19843")</f>
        <v>Gm19843</v>
      </c>
      <c r="D2831" s="10">
        <f t="shared" si="44"/>
        <v>6.8350401309909836</v>
      </c>
      <c r="F2831" s="8" t="str">
        <f>HYPERLINK("https://esbl.nhlbi.nih.gov/Databases/mpkFractions/proteomic_fractions_log_files/Yang_log_img/407262653.jpg","show blot")</f>
        <v>show blot</v>
      </c>
      <c r="H2831" s="8" t="str">
        <f>HYPERLINK("https://esbl.nhlbi.nih.gov/Databases/mpkFractions/proteomic_fractions_linear_files/Yang_linear_img/407262653.jpg","show blot")</f>
        <v>show blot</v>
      </c>
      <c r="J2831" s="5" t="s">
        <v>5602</v>
      </c>
      <c r="L2831" s="11">
        <v>6.8350401309909836</v>
      </c>
      <c r="N2831" s="12"/>
    </row>
    <row r="2832" spans="1:14" s="5" customFormat="1" ht="15" customHeight="1" x14ac:dyDescent="0.25">
      <c r="A2832" s="9" t="s">
        <v>5603</v>
      </c>
      <c r="C2832" s="9" t="str">
        <f>HYPERLINK("http://www.ncbi.nlm.nih.gov/protein/407263827","Gm19843")</f>
        <v>Gm19843</v>
      </c>
      <c r="D2832" s="10">
        <f t="shared" si="44"/>
        <v>6.8350401309909836</v>
      </c>
      <c r="F2832" s="8" t="str">
        <f>HYPERLINK("https://esbl.nhlbi.nih.gov/Databases/mpkFractions/proteomic_fractions_log_files/Yang_log_img/407263827.jpg","show blot")</f>
        <v>show blot</v>
      </c>
      <c r="H2832" s="8" t="str">
        <f>HYPERLINK("https://esbl.nhlbi.nih.gov/Databases/mpkFractions/proteomic_fractions_linear_files/Yang_linear_img/407263827.jpg","show blot")</f>
        <v>show blot</v>
      </c>
      <c r="J2832" s="5" t="s">
        <v>5602</v>
      </c>
      <c r="L2832" s="11">
        <v>6.8350401309909836</v>
      </c>
      <c r="N2832" s="12"/>
    </row>
    <row r="2833" spans="1:14" s="5" customFormat="1" ht="15" customHeight="1" x14ac:dyDescent="0.25">
      <c r="A2833" s="9" t="s">
        <v>5604</v>
      </c>
      <c r="C2833" s="9" t="str">
        <f>HYPERLINK("http://www.ncbi.nlm.nih.gov/protein/407263802","Gm2001")</f>
        <v>Gm2001</v>
      </c>
      <c r="D2833" s="10">
        <f t="shared" si="44"/>
        <v>5.3292336404727214</v>
      </c>
      <c r="F2833" s="8" t="str">
        <f>HYPERLINK("https://esbl.nhlbi.nih.gov/Databases/mpkFractions/proteomic_fractions_log_files/Yang_log_img/407263802.jpg","show blot")</f>
        <v>show blot</v>
      </c>
      <c r="H2833" s="8" t="str">
        <f>HYPERLINK("https://esbl.nhlbi.nih.gov/Databases/mpkFractions/proteomic_fractions_linear_files/Yang_linear_img/407263802.jpg","show blot")</f>
        <v>show blot</v>
      </c>
      <c r="J2833" s="5" t="s">
        <v>5605</v>
      </c>
      <c r="L2833" s="11">
        <v>5.3292336404727214</v>
      </c>
      <c r="N2833" s="12"/>
    </row>
    <row r="2834" spans="1:14" s="5" customFormat="1" ht="15" customHeight="1" x14ac:dyDescent="0.25">
      <c r="A2834" s="9" t="s">
        <v>5606</v>
      </c>
      <c r="C2834" s="9" t="str">
        <f>HYPERLINK("http://www.ncbi.nlm.nih.gov/protein/309263466","Gm20056")</f>
        <v>Gm20056</v>
      </c>
      <c r="D2834" s="10">
        <f t="shared" si="44"/>
        <v>5.3476129260376153</v>
      </c>
      <c r="F2834" s="8" t="str">
        <f>HYPERLINK("https://esbl.nhlbi.nih.gov/Databases/mpkFractions/proteomic_fractions_log_files/Yang_log_img/309263466.jpg","show blot")</f>
        <v>show blot</v>
      </c>
      <c r="H2834" s="8" t="str">
        <f>HYPERLINK("https://esbl.nhlbi.nih.gov/Databases/mpkFractions/proteomic_fractions_linear_files/Yang_linear_img/309263466.jpg","show blot")</f>
        <v>show blot</v>
      </c>
      <c r="J2834" s="5" t="s">
        <v>5607</v>
      </c>
      <c r="L2834" s="11">
        <v>5.3476129260376153</v>
      </c>
      <c r="N2834" s="12"/>
    </row>
    <row r="2835" spans="1:14" s="5" customFormat="1" ht="15" customHeight="1" x14ac:dyDescent="0.25">
      <c r="A2835" s="9" t="s">
        <v>5608</v>
      </c>
      <c r="C2835" s="9" t="str">
        <f>HYPERLINK("http://www.ncbi.nlm.nih.gov/protein/309270749","Gm20056")</f>
        <v>Gm20056</v>
      </c>
      <c r="D2835" s="10">
        <f t="shared" si="44"/>
        <v>5.3476129260376153</v>
      </c>
      <c r="F2835" s="8" t="str">
        <f>HYPERLINK("https://esbl.nhlbi.nih.gov/Databases/mpkFractions/proteomic_fractions_log_files/Yang_log_img/309270749.jpg","show blot")</f>
        <v>show blot</v>
      </c>
      <c r="H2835" s="8" t="str">
        <f>HYPERLINK("https://esbl.nhlbi.nih.gov/Databases/mpkFractions/proteomic_fractions_linear_files/Yang_linear_img/309270749.jpg","show blot")</f>
        <v>show blot</v>
      </c>
      <c r="J2835" s="5" t="s">
        <v>5607</v>
      </c>
      <c r="L2835" s="11">
        <v>5.3476129260376153</v>
      </c>
      <c r="N2835" s="12"/>
    </row>
    <row r="2836" spans="1:14" s="5" customFormat="1" ht="15" customHeight="1" x14ac:dyDescent="0.25">
      <c r="A2836" s="9" t="s">
        <v>5609</v>
      </c>
      <c r="C2836" s="9" t="str">
        <f>HYPERLINK("http://www.ncbi.nlm.nih.gov/protein/169808420","Gm2016")</f>
        <v>Gm2016</v>
      </c>
      <c r="D2836" s="10">
        <f t="shared" si="44"/>
        <v>5.6331309333669566</v>
      </c>
      <c r="F2836" s="8" t="str">
        <f>HYPERLINK("https://esbl.nhlbi.nih.gov/Databases/mpkFractions/proteomic_fractions_log_files/Yang_log_img/169808420.jpg","show blot")</f>
        <v>show blot</v>
      </c>
      <c r="H2836" s="8" t="str">
        <f>HYPERLINK("https://esbl.nhlbi.nih.gov/Databases/mpkFractions/proteomic_fractions_linear_files/Yang_linear_img/169808420.jpg","show blot")</f>
        <v>show blot</v>
      </c>
      <c r="J2836" s="5" t="s">
        <v>5610</v>
      </c>
      <c r="L2836" s="11">
        <v>5.6331309333669566</v>
      </c>
      <c r="N2836" s="12"/>
    </row>
    <row r="2837" spans="1:14" s="5" customFormat="1" ht="15" customHeight="1" x14ac:dyDescent="0.25">
      <c r="A2837" s="9" t="s">
        <v>5611</v>
      </c>
      <c r="C2837" s="9" t="str">
        <f>HYPERLINK("http://www.ncbi.nlm.nih.gov/protein/407262742","Gm2016")</f>
        <v>Gm2016</v>
      </c>
      <c r="D2837" s="10">
        <f t="shared" si="44"/>
        <v>5.6331309333669566</v>
      </c>
      <c r="F2837" s="8" t="str">
        <f>HYPERLINK("https://esbl.nhlbi.nih.gov/Databases/mpkFractions/proteomic_fractions_log_files/Yang_log_img/407262742.jpg","show blot")</f>
        <v>show blot</v>
      </c>
      <c r="H2837" s="8" t="str">
        <f>HYPERLINK("https://esbl.nhlbi.nih.gov/Databases/mpkFractions/proteomic_fractions_linear_files/Yang_linear_img/407262742.jpg","show blot")</f>
        <v>show blot</v>
      </c>
      <c r="J2837" s="5" t="s">
        <v>5612</v>
      </c>
      <c r="L2837" s="11">
        <v>5.6331309333669566</v>
      </c>
      <c r="N2837" s="12"/>
    </row>
    <row r="2838" spans="1:14" s="5" customFormat="1" ht="15" customHeight="1" x14ac:dyDescent="0.25">
      <c r="A2838" s="9" t="s">
        <v>5613</v>
      </c>
      <c r="C2838" s="9" t="str">
        <f>HYPERLINK("http://www.ncbi.nlm.nih.gov/protein/294832030","Gm2022")</f>
        <v>Gm2022</v>
      </c>
      <c r="D2838" s="10">
        <f t="shared" si="44"/>
        <v>5.5628502923009471</v>
      </c>
      <c r="F2838" s="8" t="str">
        <f>HYPERLINK("https://esbl.nhlbi.nih.gov/Databases/mpkFractions/proteomic_fractions_log_files/Yang_log_img/294832030.jpg","show blot")</f>
        <v>show blot</v>
      </c>
      <c r="H2838" s="8" t="str">
        <f>HYPERLINK("https://esbl.nhlbi.nih.gov/Databases/mpkFractions/proteomic_fractions_linear_files/Yang_linear_img/294832030.jpg","show blot")</f>
        <v>show blot</v>
      </c>
      <c r="J2838" s="5" t="s">
        <v>5614</v>
      </c>
      <c r="L2838" s="11">
        <v>5.5628502923009471</v>
      </c>
      <c r="N2838" s="12"/>
    </row>
    <row r="2839" spans="1:14" s="5" customFormat="1" ht="15" customHeight="1" x14ac:dyDescent="0.25">
      <c r="A2839" s="9" t="s">
        <v>5615</v>
      </c>
      <c r="C2839" s="9" t="str">
        <f>HYPERLINK("http://www.ncbi.nlm.nih.gov/protein/407262565","Gm2022")</f>
        <v>Gm2022</v>
      </c>
      <c r="D2839" s="10">
        <f t="shared" si="44"/>
        <v>5.5628502923009471</v>
      </c>
      <c r="F2839" s="8" t="str">
        <f>HYPERLINK("https://esbl.nhlbi.nih.gov/Databases/mpkFractions/proteomic_fractions_log_files/Yang_log_img/407262565.jpg","show blot")</f>
        <v>show blot</v>
      </c>
      <c r="H2839" s="8" t="str">
        <f>HYPERLINK("https://esbl.nhlbi.nih.gov/Databases/mpkFractions/proteomic_fractions_linear_files/Yang_linear_img/407262565.jpg","show blot")</f>
        <v>show blot</v>
      </c>
      <c r="J2839" s="5" t="s">
        <v>5612</v>
      </c>
      <c r="L2839" s="11">
        <v>5.5628502923009471</v>
      </c>
      <c r="N2839" s="12"/>
    </row>
    <row r="2840" spans="1:14" s="5" customFormat="1" ht="15" customHeight="1" x14ac:dyDescent="0.25">
      <c r="A2840" s="9" t="s">
        <v>5616</v>
      </c>
      <c r="C2840" s="9" t="str">
        <f>HYPERLINK("http://www.ncbi.nlm.nih.gov/protein/309264649","Gm20267")</f>
        <v>Gm20267</v>
      </c>
      <c r="D2840" s="10">
        <f t="shared" si="44"/>
        <v>3.871458249786909</v>
      </c>
      <c r="F2840" s="8" t="str">
        <f>HYPERLINK("https://esbl.nhlbi.nih.gov/Databases/mpkFractions/proteomic_fractions_log_files/Yang_log_img/309264649.jpg","show blot")</f>
        <v>show blot</v>
      </c>
      <c r="H2840" s="8" t="str">
        <f>HYPERLINK("https://esbl.nhlbi.nih.gov/Databases/mpkFractions/proteomic_fractions_linear_files/Yang_linear_img/309264649.jpg","show blot")</f>
        <v>show blot</v>
      </c>
      <c r="J2840" s="5" t="s">
        <v>5617</v>
      </c>
      <c r="L2840" s="11">
        <v>3.871458249786909</v>
      </c>
      <c r="N2840" s="12"/>
    </row>
    <row r="2841" spans="1:14" s="5" customFormat="1" ht="15" customHeight="1" x14ac:dyDescent="0.25">
      <c r="A2841" s="9" t="s">
        <v>5618</v>
      </c>
      <c r="C2841" s="9" t="str">
        <f>HYPERLINK("http://www.ncbi.nlm.nih.gov/protein/149263427","Gm2046")</f>
        <v>Gm2046</v>
      </c>
      <c r="D2841" s="10">
        <f t="shared" si="44"/>
        <v>5.1875037981774703</v>
      </c>
      <c r="F2841" s="8" t="str">
        <f>HYPERLINK("https://esbl.nhlbi.nih.gov/Databases/mpkFractions/proteomic_fractions_log_files/Yang_log_img/149263427.jpg","show blot")</f>
        <v>show blot</v>
      </c>
      <c r="H2841" s="8" t="str">
        <f>HYPERLINK("https://esbl.nhlbi.nih.gov/Databases/mpkFractions/proteomic_fractions_linear_files/Yang_linear_img/149263427.jpg","show blot")</f>
        <v>show blot</v>
      </c>
      <c r="J2841" s="5" t="s">
        <v>5619</v>
      </c>
      <c r="L2841" s="11">
        <v>5.1875037981774703</v>
      </c>
      <c r="N2841" s="12"/>
    </row>
    <row r="2842" spans="1:14" s="5" customFormat="1" ht="15" customHeight="1" x14ac:dyDescent="0.25">
      <c r="A2842" s="9" t="s">
        <v>5620</v>
      </c>
      <c r="C2842" s="9" t="str">
        <f>HYPERLINK("http://www.ncbi.nlm.nih.gov/protein/219283246","Gm20604")</f>
        <v>Gm20604</v>
      </c>
      <c r="D2842" s="10">
        <f t="shared" si="44"/>
        <v>4.0398851286920516</v>
      </c>
      <c r="F2842" s="8" t="str">
        <f>HYPERLINK("https://esbl.nhlbi.nih.gov/Databases/mpkFractions/proteomic_fractions_log_files/Yang_log_img/219283246.jpg","show blot")</f>
        <v>show blot</v>
      </c>
      <c r="H2842" s="8" t="str">
        <f>HYPERLINK("https://esbl.nhlbi.nih.gov/Databases/mpkFractions/proteomic_fractions_linear_files/Yang_linear_img/219283246.jpg","show blot")</f>
        <v>show blot</v>
      </c>
      <c r="J2842" s="5" t="s">
        <v>5621</v>
      </c>
      <c r="L2842" s="11">
        <v>4.0398851286920516</v>
      </c>
      <c r="N2842" s="12"/>
    </row>
    <row r="2843" spans="1:14" s="5" customFormat="1" ht="15" customHeight="1" x14ac:dyDescent="0.25">
      <c r="A2843" s="9" t="s">
        <v>5622</v>
      </c>
      <c r="C2843" s="9" t="str">
        <f>HYPERLINK("http://www.ncbi.nlm.nih.gov/protein/407263654","Gm20746")</f>
        <v>Gm20746</v>
      </c>
      <c r="D2843" s="10">
        <f t="shared" si="44"/>
        <v>6.6419075463730097</v>
      </c>
      <c r="F2843" s="8" t="str">
        <f>HYPERLINK("https://esbl.nhlbi.nih.gov/Databases/mpkFractions/proteomic_fractions_log_files/Yang_log_img/407263654.jpg","show blot")</f>
        <v>show blot</v>
      </c>
      <c r="H2843" s="8" t="str">
        <f>HYPERLINK("https://esbl.nhlbi.nih.gov/Databases/mpkFractions/proteomic_fractions_linear_files/Yang_linear_img/407263654.jpg","show blot")</f>
        <v>show blot</v>
      </c>
      <c r="J2843" s="5" t="s">
        <v>5623</v>
      </c>
      <c r="L2843" s="11">
        <v>6.6419075463730097</v>
      </c>
      <c r="N2843" s="12"/>
    </row>
    <row r="2844" spans="1:14" s="5" customFormat="1" ht="15" customHeight="1" x14ac:dyDescent="0.25">
      <c r="A2844" s="9" t="s">
        <v>5624</v>
      </c>
      <c r="C2844" s="9" t="str">
        <f>HYPERLINK("http://www.ncbi.nlm.nih.gov/protein/149273202","Gm20899")</f>
        <v>Gm20899</v>
      </c>
      <c r="D2844" s="10">
        <f t="shared" si="44"/>
        <v>7.6163725093943393</v>
      </c>
      <c r="F2844" s="8" t="str">
        <f>HYPERLINK("https://esbl.nhlbi.nih.gov/Databases/mpkFractions/proteomic_fractions_log_files/Yang_log_img/149273202.jpg","show blot")</f>
        <v>show blot</v>
      </c>
      <c r="H2844" s="8" t="str">
        <f>HYPERLINK("https://esbl.nhlbi.nih.gov/Databases/mpkFractions/proteomic_fractions_linear_files/Yang_linear_img/149273202.jpg","show blot")</f>
        <v>show blot</v>
      </c>
      <c r="J2844" s="5" t="s">
        <v>5625</v>
      </c>
      <c r="L2844" s="11">
        <v>7.6163725093943393</v>
      </c>
      <c r="N2844" s="12"/>
    </row>
    <row r="2845" spans="1:14" s="5" customFormat="1" ht="15" customHeight="1" x14ac:dyDescent="0.25">
      <c r="A2845" s="9" t="s">
        <v>5626</v>
      </c>
      <c r="C2845" s="9" t="str">
        <f>HYPERLINK("http://www.ncbi.nlm.nih.gov/protein/398303830","Gm21319")</f>
        <v>Gm21319</v>
      </c>
      <c r="D2845" s="10">
        <f t="shared" si="44"/>
        <v>5.3308257411702886</v>
      </c>
      <c r="F2845" s="8" t="str">
        <f>HYPERLINK("https://esbl.nhlbi.nih.gov/Databases/mpkFractions/proteomic_fractions_log_files/Yang_log_img/398303830.jpg","show blot")</f>
        <v>show blot</v>
      </c>
      <c r="H2845" s="8" t="str">
        <f>HYPERLINK("https://esbl.nhlbi.nih.gov/Databases/mpkFractions/proteomic_fractions_linear_files/Yang_linear_img/398303830.jpg","show blot")</f>
        <v>show blot</v>
      </c>
      <c r="J2845" s="5" t="s">
        <v>5627</v>
      </c>
      <c r="L2845" s="11">
        <v>5.3308257411702886</v>
      </c>
      <c r="N2845" s="12"/>
    </row>
    <row r="2846" spans="1:14" s="5" customFormat="1" ht="15" customHeight="1" x14ac:dyDescent="0.25">
      <c r="A2846" s="9" t="s">
        <v>5628</v>
      </c>
      <c r="C2846" s="9" t="str">
        <f>HYPERLINK("http://www.ncbi.nlm.nih.gov/protein/407263560","Gm21540")</f>
        <v>Gm21540</v>
      </c>
      <c r="D2846" s="10">
        <f t="shared" si="44"/>
        <v>5.6980518713066166</v>
      </c>
      <c r="F2846" s="8" t="str">
        <f>HYPERLINK("https://esbl.nhlbi.nih.gov/Databases/mpkFractions/proteomic_fractions_log_files/Yang_log_img/407263560.jpg","show blot")</f>
        <v>show blot</v>
      </c>
      <c r="H2846" s="8" t="str">
        <f>HYPERLINK("https://esbl.nhlbi.nih.gov/Databases/mpkFractions/proteomic_fractions_linear_files/Yang_linear_img/407263560.jpg","show blot")</f>
        <v>show blot</v>
      </c>
      <c r="J2846" s="5" t="s">
        <v>5629</v>
      </c>
      <c r="L2846" s="11">
        <v>5.6980518713066166</v>
      </c>
      <c r="N2846" s="12"/>
    </row>
    <row r="2847" spans="1:14" s="5" customFormat="1" ht="15" customHeight="1" x14ac:dyDescent="0.25">
      <c r="A2847" s="9" t="s">
        <v>5630</v>
      </c>
      <c r="C2847" s="9" t="str">
        <f>HYPERLINK("http://www.ncbi.nlm.nih.gov/protein/407262920","Gm21596")</f>
        <v>Gm21596</v>
      </c>
      <c r="D2847" s="10">
        <f t="shared" si="44"/>
        <v>6.6654739291846337</v>
      </c>
      <c r="F2847" s="8" t="str">
        <f>HYPERLINK("https://esbl.nhlbi.nih.gov/Databases/mpkFractions/proteomic_fractions_log_files/Yang_log_img/407262920.jpg","show blot")</f>
        <v>show blot</v>
      </c>
      <c r="H2847" s="8" t="str">
        <f>HYPERLINK("https://esbl.nhlbi.nih.gov/Databases/mpkFractions/proteomic_fractions_linear_files/Yang_linear_img/407262920.jpg","show blot")</f>
        <v>show blot</v>
      </c>
      <c r="J2847" s="5" t="s">
        <v>5631</v>
      </c>
      <c r="L2847" s="11">
        <v>6.6654739291846337</v>
      </c>
      <c r="N2847" s="12"/>
    </row>
    <row r="2848" spans="1:14" s="5" customFormat="1" ht="15" customHeight="1" x14ac:dyDescent="0.25">
      <c r="A2848" s="9" t="s">
        <v>5632</v>
      </c>
      <c r="C2848" s="9" t="str">
        <f>HYPERLINK("http://www.ncbi.nlm.nih.gov/protein/309272927","Gm2260")</f>
        <v>Gm2260</v>
      </c>
      <c r="D2848" s="10">
        <f t="shared" si="44"/>
        <v>6.5818676408945791</v>
      </c>
      <c r="F2848" s="8" t="str">
        <f>HYPERLINK("https://esbl.nhlbi.nih.gov/Databases/mpkFractions/proteomic_fractions_log_files/Yang_log_img/309272927.jpg","show blot")</f>
        <v>show blot</v>
      </c>
      <c r="H2848" s="8" t="str">
        <f>HYPERLINK("https://esbl.nhlbi.nih.gov/Databases/mpkFractions/proteomic_fractions_linear_files/Yang_linear_img/309272927.jpg","show blot")</f>
        <v>show blot</v>
      </c>
      <c r="J2848" s="5" t="s">
        <v>5633</v>
      </c>
      <c r="L2848" s="11">
        <v>6.5818676408945791</v>
      </c>
      <c r="N2848" s="12"/>
    </row>
    <row r="2849" spans="1:14" s="5" customFormat="1" ht="15" customHeight="1" x14ac:dyDescent="0.25">
      <c r="A2849" s="9" t="s">
        <v>5634</v>
      </c>
      <c r="C2849" s="9" t="str">
        <f>HYPERLINK("http://www.ncbi.nlm.nih.gov/protein/309269866","Gm2423")</f>
        <v>Gm2423</v>
      </c>
      <c r="D2849" s="10">
        <f t="shared" si="44"/>
        <v>6.97280135476014</v>
      </c>
      <c r="F2849" s="8" t="str">
        <f>HYPERLINK("https://esbl.nhlbi.nih.gov/Databases/mpkFractions/proteomic_fractions_log_files/Yang_log_img/309269866.jpg","show blot")</f>
        <v>show blot</v>
      </c>
      <c r="H2849" s="8" t="str">
        <f>HYPERLINK("https://esbl.nhlbi.nih.gov/Databases/mpkFractions/proteomic_fractions_linear_files/Yang_linear_img/309269866.jpg","show blot")</f>
        <v>show blot</v>
      </c>
      <c r="J2849" s="5" t="s">
        <v>5635</v>
      </c>
      <c r="L2849" s="11">
        <v>6.97280135476014</v>
      </c>
      <c r="N2849" s="12"/>
    </row>
    <row r="2850" spans="1:14" s="5" customFormat="1" ht="15" customHeight="1" x14ac:dyDescent="0.25">
      <c r="A2850" s="9" t="s">
        <v>5636</v>
      </c>
      <c r="C2850" s="9" t="str">
        <f>HYPERLINK("http://www.ncbi.nlm.nih.gov/protein/149264832","Gm2904")</f>
        <v>Gm2904</v>
      </c>
      <c r="D2850" s="10">
        <f t="shared" si="44"/>
        <v>5.7509984327174184</v>
      </c>
      <c r="F2850" s="8" t="str">
        <f>HYPERLINK("https://esbl.nhlbi.nih.gov/Databases/mpkFractions/proteomic_fractions_log_files/Yang_log_img/149264832.jpg","show blot")</f>
        <v>show blot</v>
      </c>
      <c r="H2850" s="8" t="str">
        <f>HYPERLINK("https://esbl.nhlbi.nih.gov/Databases/mpkFractions/proteomic_fractions_linear_files/Yang_linear_img/149264832.jpg","show blot")</f>
        <v>show blot</v>
      </c>
      <c r="J2850" s="5" t="s">
        <v>5637</v>
      </c>
      <c r="L2850" s="11">
        <v>5.7509984327174184</v>
      </c>
      <c r="N2850" s="12"/>
    </row>
    <row r="2851" spans="1:14" s="5" customFormat="1" ht="15" customHeight="1" x14ac:dyDescent="0.25">
      <c r="A2851" s="9" t="s">
        <v>5638</v>
      </c>
      <c r="C2851" s="9" t="str">
        <f>HYPERLINK("http://www.ncbi.nlm.nih.gov/protein/6806917","Gm2a")</f>
        <v>Gm2a</v>
      </c>
      <c r="D2851" s="10">
        <f t="shared" si="44"/>
        <v>5.3591569634193092</v>
      </c>
      <c r="F2851" s="8" t="str">
        <f>HYPERLINK("https://esbl.nhlbi.nih.gov/Databases/mpkFractions/proteomic_fractions_log_files/Yang_log_img/6806917.jpg","show blot")</f>
        <v>show blot</v>
      </c>
      <c r="H2851" s="8" t="str">
        <f>HYPERLINK("https://esbl.nhlbi.nih.gov/Databases/mpkFractions/proteomic_fractions_linear_files/Yang_linear_img/6806917.jpg","show blot")</f>
        <v>show blot</v>
      </c>
      <c r="J2851" s="5" t="s">
        <v>5639</v>
      </c>
      <c r="L2851" s="11">
        <v>5.3591569634193092</v>
      </c>
      <c r="N2851" s="12"/>
    </row>
    <row r="2852" spans="1:14" s="5" customFormat="1" ht="15" customHeight="1" x14ac:dyDescent="0.25">
      <c r="A2852" s="9" t="s">
        <v>5640</v>
      </c>
      <c r="C2852" s="9" t="str">
        <f>HYPERLINK("http://www.ncbi.nlm.nih.gov/protein/309267022","Gm3141")</f>
        <v>Gm3141</v>
      </c>
      <c r="D2852" s="10">
        <f t="shared" si="44"/>
        <v>4.9005603892459604</v>
      </c>
      <c r="F2852" s="8" t="str">
        <f>HYPERLINK("https://esbl.nhlbi.nih.gov/Databases/mpkFractions/proteomic_fractions_log_files/Yang_log_img/309267022.jpg","show blot")</f>
        <v>show blot</v>
      </c>
      <c r="H2852" s="8" t="str">
        <f>HYPERLINK("https://esbl.nhlbi.nih.gov/Databases/mpkFractions/proteomic_fractions_linear_files/Yang_linear_img/309267022.jpg","show blot")</f>
        <v>show blot</v>
      </c>
      <c r="J2852" s="5" t="s">
        <v>5641</v>
      </c>
      <c r="L2852" s="11">
        <v>4.9005603892459604</v>
      </c>
      <c r="N2852" s="12"/>
    </row>
    <row r="2853" spans="1:14" s="5" customFormat="1" ht="15" customHeight="1" x14ac:dyDescent="0.25">
      <c r="A2853" s="9" t="s">
        <v>5642</v>
      </c>
      <c r="C2853" s="9" t="str">
        <f>HYPERLINK("http://www.ncbi.nlm.nih.gov/protein/309270370","Gm3141")</f>
        <v>Gm3141</v>
      </c>
      <c r="D2853" s="10">
        <f t="shared" si="44"/>
        <v>4.9005603892459604</v>
      </c>
      <c r="F2853" s="8" t="str">
        <f>HYPERLINK("https://esbl.nhlbi.nih.gov/Databases/mpkFractions/proteomic_fractions_log_files/Yang_log_img/309270370.jpg","show blot")</f>
        <v>show blot</v>
      </c>
      <c r="H2853" s="8" t="str">
        <f>HYPERLINK("https://esbl.nhlbi.nih.gov/Databases/mpkFractions/proteomic_fractions_linear_files/Yang_linear_img/309270370.jpg","show blot")</f>
        <v>show blot</v>
      </c>
      <c r="J2853" s="5" t="s">
        <v>5643</v>
      </c>
      <c r="L2853" s="11">
        <v>4.9005603892459604</v>
      </c>
      <c r="N2853" s="12"/>
    </row>
    <row r="2854" spans="1:14" s="5" customFormat="1" ht="15" customHeight="1" x14ac:dyDescent="0.25">
      <c r="A2854" s="9" t="s">
        <v>5644</v>
      </c>
      <c r="C2854" s="9" t="str">
        <f>HYPERLINK("http://www.ncbi.nlm.nih.gov/protein/309262094","Gm3213")</f>
        <v>Gm3213</v>
      </c>
      <c r="D2854" s="10">
        <f t="shared" si="44"/>
        <v>5.4250622286928332</v>
      </c>
      <c r="F2854" s="8" t="str">
        <f>HYPERLINK("https://esbl.nhlbi.nih.gov/Databases/mpkFractions/proteomic_fractions_log_files/Yang_log_img/309262094.jpg","show blot")</f>
        <v>show blot</v>
      </c>
      <c r="H2854" s="8" t="str">
        <f>HYPERLINK("https://esbl.nhlbi.nih.gov/Databases/mpkFractions/proteomic_fractions_linear_files/Yang_linear_img/309262094.jpg","show blot")</f>
        <v>show blot</v>
      </c>
      <c r="J2854" s="5" t="s">
        <v>5645</v>
      </c>
      <c r="L2854" s="11">
        <v>5.4250622286928332</v>
      </c>
      <c r="N2854" s="12"/>
    </row>
    <row r="2855" spans="1:14" s="5" customFormat="1" ht="15" customHeight="1" x14ac:dyDescent="0.25">
      <c r="A2855" s="9" t="s">
        <v>5646</v>
      </c>
      <c r="C2855" s="9" t="str">
        <f>HYPERLINK("http://www.ncbi.nlm.nih.gov/protein/149266669","Gm3244")</f>
        <v>Gm3244</v>
      </c>
      <c r="D2855" s="10">
        <f t="shared" si="44"/>
        <v>5.4598091876950781</v>
      </c>
      <c r="F2855" s="8" t="str">
        <f>HYPERLINK("https://esbl.nhlbi.nih.gov/Databases/mpkFractions/proteomic_fractions_log_files/Yang_log_img/149266669.jpg","show blot")</f>
        <v>show blot</v>
      </c>
      <c r="H2855" s="8" t="str">
        <f>HYPERLINK("https://esbl.nhlbi.nih.gov/Databases/mpkFractions/proteomic_fractions_linear_files/Yang_linear_img/149266669.jpg","show blot")</f>
        <v>show blot</v>
      </c>
      <c r="J2855" s="5" t="s">
        <v>5647</v>
      </c>
      <c r="L2855" s="11">
        <v>5.4598091876950781</v>
      </c>
      <c r="N2855" s="12"/>
    </row>
    <row r="2856" spans="1:14" s="5" customFormat="1" ht="15" customHeight="1" x14ac:dyDescent="0.25">
      <c r="A2856" s="9" t="s">
        <v>5648</v>
      </c>
      <c r="C2856" s="9" t="str">
        <f>HYPERLINK("http://www.ncbi.nlm.nih.gov/protein/7949148","Gm3258")</f>
        <v>Gm3258</v>
      </c>
      <c r="D2856" s="10">
        <f t="shared" si="44"/>
        <v>4.6753065635822919</v>
      </c>
      <c r="F2856" s="8" t="str">
        <f>HYPERLINK("https://esbl.nhlbi.nih.gov/Databases/mpkFractions/proteomic_fractions_log_files/Yang_log_img/7949148.jpg","show blot")</f>
        <v>show blot</v>
      </c>
      <c r="H2856" s="8" t="str">
        <f>HYPERLINK("https://esbl.nhlbi.nih.gov/Databases/mpkFractions/proteomic_fractions_linear_files/Yang_linear_img/7949148.jpg","show blot")</f>
        <v>show blot</v>
      </c>
      <c r="J2856" s="5" t="s">
        <v>5649</v>
      </c>
      <c r="L2856" s="11">
        <v>4.6753065635822919</v>
      </c>
      <c r="N2856" s="12"/>
    </row>
    <row r="2857" spans="1:14" s="5" customFormat="1" ht="15" customHeight="1" x14ac:dyDescent="0.25">
      <c r="A2857" s="9" t="s">
        <v>5650</v>
      </c>
      <c r="C2857" s="9" t="str">
        <f>HYPERLINK("http://www.ncbi.nlm.nih.gov/protein/309263233","Gm3362")</f>
        <v>Gm3362</v>
      </c>
      <c r="D2857" s="10">
        <f t="shared" si="44"/>
        <v>7.0361930254764937</v>
      </c>
      <c r="F2857" s="8" t="str">
        <f>HYPERLINK("https://esbl.nhlbi.nih.gov/Databases/mpkFractions/proteomic_fractions_log_files/Yang_log_img/309263233.jpg","show blot")</f>
        <v>show blot</v>
      </c>
      <c r="H2857" s="8" t="str">
        <f>HYPERLINK("https://esbl.nhlbi.nih.gov/Databases/mpkFractions/proteomic_fractions_linear_files/Yang_linear_img/309263233.jpg","show blot")</f>
        <v>show blot</v>
      </c>
      <c r="J2857" s="5" t="s">
        <v>5651</v>
      </c>
      <c r="L2857" s="11">
        <v>7.0361930254764937</v>
      </c>
      <c r="N2857" s="12"/>
    </row>
    <row r="2858" spans="1:14" s="5" customFormat="1" ht="15" customHeight="1" x14ac:dyDescent="0.25">
      <c r="A2858" s="9" t="s">
        <v>5652</v>
      </c>
      <c r="C2858" s="9" t="str">
        <f>HYPERLINK("http://www.ncbi.nlm.nih.gov/protein/309263978","Gm340")</f>
        <v>Gm340</v>
      </c>
      <c r="D2858" s="10">
        <f t="shared" si="44"/>
        <v>3.8954271521227071</v>
      </c>
      <c r="F2858" s="8" t="str">
        <f>HYPERLINK("https://esbl.nhlbi.nih.gov/Databases/mpkFractions/proteomic_fractions_log_files/Yang_log_img/309263978.jpg","show blot")</f>
        <v>show blot</v>
      </c>
      <c r="H2858" s="8" t="str">
        <f>HYPERLINK("https://esbl.nhlbi.nih.gov/Databases/mpkFractions/proteomic_fractions_linear_files/Yang_linear_img/309263978.jpg","show blot")</f>
        <v>show blot</v>
      </c>
      <c r="J2858" s="5" t="s">
        <v>5653</v>
      </c>
      <c r="L2858" s="11">
        <v>3.8954271521227071</v>
      </c>
      <c r="N2858" s="12"/>
    </row>
    <row r="2859" spans="1:14" s="5" customFormat="1" ht="15" customHeight="1" x14ac:dyDescent="0.25">
      <c r="A2859" s="9" t="s">
        <v>5654</v>
      </c>
      <c r="C2859" s="9" t="str">
        <f>HYPERLINK("http://www.ncbi.nlm.nih.gov/protein/309271277","Gm340")</f>
        <v>Gm340</v>
      </c>
      <c r="D2859" s="10">
        <f t="shared" si="44"/>
        <v>3.8954271521227071</v>
      </c>
      <c r="F2859" s="8" t="str">
        <f>HYPERLINK("https://esbl.nhlbi.nih.gov/Databases/mpkFractions/proteomic_fractions_log_files/Yang_log_img/309271277.jpg","show blot")</f>
        <v>show blot</v>
      </c>
      <c r="H2859" s="8" t="str">
        <f>HYPERLINK("https://esbl.nhlbi.nih.gov/Databases/mpkFractions/proteomic_fractions_linear_files/Yang_linear_img/309271277.jpg","show blot")</f>
        <v>show blot</v>
      </c>
      <c r="J2859" s="5" t="s">
        <v>5653</v>
      </c>
      <c r="L2859" s="11">
        <v>3.8954271521227071</v>
      </c>
      <c r="N2859" s="12"/>
    </row>
    <row r="2860" spans="1:14" s="5" customFormat="1" ht="15" customHeight="1" x14ac:dyDescent="0.25">
      <c r="A2860" s="9" t="s">
        <v>5655</v>
      </c>
      <c r="C2860" s="9" t="str">
        <f>HYPERLINK("http://www.ncbi.nlm.nih.gov/protein/377833368","Gm3552")</f>
        <v>Gm3552</v>
      </c>
      <c r="D2860" s="10">
        <f t="shared" si="44"/>
        <v>5.7678494835874528</v>
      </c>
      <c r="F2860" s="8" t="str">
        <f>HYPERLINK("https://esbl.nhlbi.nih.gov/Databases/mpkFractions/proteomic_fractions_log_files/Yang_log_img/377833368.jpg","show blot")</f>
        <v>show blot</v>
      </c>
      <c r="H2860" s="8" t="str">
        <f>HYPERLINK("https://esbl.nhlbi.nih.gov/Databases/mpkFractions/proteomic_fractions_linear_files/Yang_linear_img/377833368.jpg","show blot")</f>
        <v>show blot</v>
      </c>
      <c r="J2860" s="5" t="s">
        <v>5656</v>
      </c>
      <c r="L2860" s="11">
        <v>5.7678494835874528</v>
      </c>
      <c r="N2860" s="12"/>
    </row>
    <row r="2861" spans="1:14" s="5" customFormat="1" ht="15" customHeight="1" x14ac:dyDescent="0.25">
      <c r="A2861" s="9" t="s">
        <v>5657</v>
      </c>
      <c r="C2861" s="9" t="str">
        <f>HYPERLINK("http://www.ncbi.nlm.nih.gov/protein/377836168","Gm3552")</f>
        <v>Gm3552</v>
      </c>
      <c r="D2861" s="10">
        <f t="shared" si="44"/>
        <v>5.7678494835874528</v>
      </c>
      <c r="F2861" s="8" t="str">
        <f>HYPERLINK("https://esbl.nhlbi.nih.gov/Databases/mpkFractions/proteomic_fractions_log_files/Yang_log_img/377836168.jpg","show blot")</f>
        <v>show blot</v>
      </c>
      <c r="H2861" s="8" t="str">
        <f>HYPERLINK("https://esbl.nhlbi.nih.gov/Databases/mpkFractions/proteomic_fractions_linear_files/Yang_linear_img/377836168.jpg","show blot")</f>
        <v>show blot</v>
      </c>
      <c r="J2861" s="5" t="s">
        <v>5656</v>
      </c>
      <c r="L2861" s="11">
        <v>5.7678494835874528</v>
      </c>
      <c r="N2861" s="12"/>
    </row>
    <row r="2862" spans="1:14" s="5" customFormat="1" ht="15" customHeight="1" x14ac:dyDescent="0.25">
      <c r="A2862" s="9" t="s">
        <v>5658</v>
      </c>
      <c r="C2862" s="9" t="str">
        <f>HYPERLINK("http://www.ncbi.nlm.nih.gov/protein/340545553","Gm3776")</f>
        <v>Gm3776</v>
      </c>
      <c r="D2862" s="10">
        <f t="shared" si="44"/>
        <v>5.6270578885781184</v>
      </c>
      <c r="F2862" s="8" t="str">
        <f>HYPERLINK("https://esbl.nhlbi.nih.gov/Databases/mpkFractions/proteomic_fractions_log_files/Yang_log_img/340545553.jpg","show blot")</f>
        <v>show blot</v>
      </c>
      <c r="H2862" s="8" t="str">
        <f>HYPERLINK("https://esbl.nhlbi.nih.gov/Databases/mpkFractions/proteomic_fractions_linear_files/Yang_linear_img/340545553.jpg","show blot")</f>
        <v>show blot</v>
      </c>
      <c r="J2862" s="5" t="s">
        <v>5659</v>
      </c>
      <c r="L2862" s="11">
        <v>5.6270578885781184</v>
      </c>
      <c r="N2862" s="12"/>
    </row>
    <row r="2863" spans="1:14" s="5" customFormat="1" ht="15" customHeight="1" x14ac:dyDescent="0.25">
      <c r="A2863" s="9" t="s">
        <v>5660</v>
      </c>
      <c r="C2863" s="9" t="str">
        <f>HYPERLINK("http://www.ncbi.nlm.nih.gov/protein/309264292","Gm3837")</f>
        <v>Gm3837</v>
      </c>
      <c r="D2863" s="10">
        <f t="shared" si="44"/>
        <v>5.1546046497201514</v>
      </c>
      <c r="F2863" s="8" t="str">
        <f>HYPERLINK("https://esbl.nhlbi.nih.gov/Databases/mpkFractions/proteomic_fractions_log_files/Yang_log_img/309264292.jpg","show blot")</f>
        <v>show blot</v>
      </c>
      <c r="H2863" s="8" t="str">
        <f>HYPERLINK("https://esbl.nhlbi.nih.gov/Databases/mpkFractions/proteomic_fractions_linear_files/Yang_linear_img/309264292.jpg","show blot")</f>
        <v>show blot</v>
      </c>
      <c r="J2863" s="5" t="s">
        <v>5661</v>
      </c>
      <c r="L2863" s="11">
        <v>5.1546046497201514</v>
      </c>
      <c r="N2863" s="12"/>
    </row>
    <row r="2864" spans="1:14" s="5" customFormat="1" ht="15" customHeight="1" x14ac:dyDescent="0.25">
      <c r="A2864" s="9" t="s">
        <v>5662</v>
      </c>
      <c r="C2864" s="9" t="str">
        <f>HYPERLINK("http://www.ncbi.nlm.nih.gov/protein/309264301","Gm3934")</f>
        <v>Gm3934</v>
      </c>
      <c r="D2864" s="10">
        <f t="shared" si="44"/>
        <v>6.1704063903535102</v>
      </c>
      <c r="F2864" s="8" t="str">
        <f>HYPERLINK("https://esbl.nhlbi.nih.gov/Databases/mpkFractions/proteomic_fractions_log_files/Yang_log_img/309264301.jpg","show blot")</f>
        <v>show blot</v>
      </c>
      <c r="H2864" s="8" t="str">
        <f>HYPERLINK("https://esbl.nhlbi.nih.gov/Databases/mpkFractions/proteomic_fractions_linear_files/Yang_linear_img/309264301.jpg","show blot")</f>
        <v>show blot</v>
      </c>
      <c r="J2864" s="5" t="s">
        <v>5663</v>
      </c>
      <c r="L2864" s="11">
        <v>6.1704063903535102</v>
      </c>
      <c r="N2864" s="12"/>
    </row>
    <row r="2865" spans="1:14" s="5" customFormat="1" ht="15" customHeight="1" x14ac:dyDescent="0.25">
      <c r="A2865" s="9" t="s">
        <v>5664</v>
      </c>
      <c r="C2865" s="9" t="str">
        <f>HYPERLINK("http://www.ncbi.nlm.nih.gov/protein/309262833","Gm4024")</f>
        <v>Gm4024</v>
      </c>
      <c r="D2865" s="10">
        <f t="shared" si="44"/>
        <v>6.2109607951402843</v>
      </c>
      <c r="F2865" s="8" t="str">
        <f>HYPERLINK("https://esbl.nhlbi.nih.gov/Databases/mpkFractions/proteomic_fractions_log_files/Yang_log_img/309262833.jpg","show blot")</f>
        <v>show blot</v>
      </c>
      <c r="H2865" s="8" t="str">
        <f>HYPERLINK("https://esbl.nhlbi.nih.gov/Databases/mpkFractions/proteomic_fractions_linear_files/Yang_linear_img/309262833.jpg","show blot")</f>
        <v>show blot</v>
      </c>
      <c r="J2865" s="5" t="s">
        <v>5665</v>
      </c>
      <c r="L2865" s="11">
        <v>6.2109607951402843</v>
      </c>
      <c r="N2865" s="12"/>
    </row>
    <row r="2866" spans="1:14" s="5" customFormat="1" ht="15" customHeight="1" x14ac:dyDescent="0.25">
      <c r="A2866" s="9" t="s">
        <v>5666</v>
      </c>
      <c r="C2866" s="9" t="str">
        <f>HYPERLINK("http://www.ncbi.nlm.nih.gov/protein/294774578;294774603","Gm4027")</f>
        <v>Gm4027</v>
      </c>
      <c r="D2866" s="10">
        <f t="shared" si="44"/>
        <v>4.7717339932699403</v>
      </c>
      <c r="F2866" s="8" t="str">
        <f>HYPERLINK("https://esbl.nhlbi.nih.gov/Databases/mpkFractions/proteomic_fractions_log_files/Yang_log_img/294774578;294774603.jpg","show blot")</f>
        <v>show blot</v>
      </c>
      <c r="H2866" s="8" t="str">
        <f>HYPERLINK("https://esbl.nhlbi.nih.gov/Databases/mpkFractions/proteomic_fractions_linear_files/Yang_linear_img/294774578;294774603.jpg","show blot")</f>
        <v>show blot</v>
      </c>
      <c r="J2866" s="5" t="s">
        <v>5667</v>
      </c>
      <c r="L2866" s="11">
        <v>4.7717339932699403</v>
      </c>
      <c r="N2866" s="12"/>
    </row>
    <row r="2867" spans="1:14" s="5" customFormat="1" ht="15" customHeight="1" x14ac:dyDescent="0.25">
      <c r="A2867" s="9" t="s">
        <v>5668</v>
      </c>
      <c r="C2867" s="9" t="str">
        <f>HYPERLINK("http://www.ncbi.nlm.nih.gov/protein/339895904","Gm4070")</f>
        <v>Gm4070</v>
      </c>
      <c r="D2867" s="10">
        <f t="shared" si="44"/>
        <v>1.3520794704226831</v>
      </c>
      <c r="F2867" s="8" t="str">
        <f>HYPERLINK("https://esbl.nhlbi.nih.gov/Databases/mpkFractions/proteomic_fractions_log_files/Yang_log_img/339895904.jpg","show blot")</f>
        <v>show blot</v>
      </c>
      <c r="H2867" s="8" t="str">
        <f>HYPERLINK("https://esbl.nhlbi.nih.gov/Databases/mpkFractions/proteomic_fractions_linear_files/Yang_linear_img/339895904.jpg","show blot")</f>
        <v>show blot</v>
      </c>
      <c r="J2867" s="5" t="s">
        <v>5669</v>
      </c>
      <c r="L2867" s="11">
        <v>1.3520794704226831</v>
      </c>
      <c r="N2867" s="12"/>
    </row>
    <row r="2868" spans="1:14" s="5" customFormat="1" ht="15" customHeight="1" x14ac:dyDescent="0.25">
      <c r="A2868" s="9" t="s">
        <v>5670</v>
      </c>
      <c r="C2868" s="9" t="str">
        <f>HYPERLINK("http://www.ncbi.nlm.nih.gov/protein/149267527","Gm4581")</f>
        <v>Gm4581</v>
      </c>
      <c r="D2868" s="10">
        <f t="shared" si="44"/>
        <v>6.5200151106614053</v>
      </c>
      <c r="F2868" s="8" t="str">
        <f>HYPERLINK("https://esbl.nhlbi.nih.gov/Databases/mpkFractions/proteomic_fractions_log_files/Yang_log_img/149267527.jpg","show blot")</f>
        <v>show blot</v>
      </c>
      <c r="H2868" s="8" t="str">
        <f>HYPERLINK("https://esbl.nhlbi.nih.gov/Databases/mpkFractions/proteomic_fractions_linear_files/Yang_linear_img/149267527.jpg","show blot")</f>
        <v>show blot</v>
      </c>
      <c r="J2868" s="5" t="s">
        <v>5472</v>
      </c>
      <c r="L2868" s="11">
        <v>6.5200151106614053</v>
      </c>
      <c r="N2868" s="12"/>
    </row>
    <row r="2869" spans="1:14" s="5" customFormat="1" ht="15" customHeight="1" x14ac:dyDescent="0.25">
      <c r="A2869" s="9" t="s">
        <v>5671</v>
      </c>
      <c r="C2869" s="9" t="str">
        <f>HYPERLINK("http://www.ncbi.nlm.nih.gov/protein/309265658","Gm4604")</f>
        <v>Gm4604</v>
      </c>
      <c r="D2869" s="10">
        <f t="shared" si="44"/>
        <v>6.9692272269592683</v>
      </c>
      <c r="F2869" s="8" t="str">
        <f>HYPERLINK("https://esbl.nhlbi.nih.gov/Databases/mpkFractions/proteomic_fractions_log_files/Yang_log_img/309265658.jpg","show blot")</f>
        <v>show blot</v>
      </c>
      <c r="H2869" s="8" t="str">
        <f>HYPERLINK("https://esbl.nhlbi.nih.gov/Databases/mpkFractions/proteomic_fractions_linear_files/Yang_linear_img/309265658.jpg","show blot")</f>
        <v>show blot</v>
      </c>
      <c r="J2869" s="5" t="s">
        <v>5672</v>
      </c>
      <c r="L2869" s="11">
        <v>6.9692272269592683</v>
      </c>
      <c r="N2869" s="12"/>
    </row>
    <row r="2870" spans="1:14" s="5" customFormat="1" ht="15" customHeight="1" x14ac:dyDescent="0.25">
      <c r="A2870" s="9" t="s">
        <v>5673</v>
      </c>
      <c r="C2870" s="9" t="str">
        <f>HYPERLINK("http://www.ncbi.nlm.nih.gov/protein/168229231","Gm4794")</f>
        <v>Gm4794</v>
      </c>
      <c r="D2870" s="10">
        <f t="shared" si="44"/>
        <v>3.2460865315881731</v>
      </c>
      <c r="F2870" s="8" t="str">
        <f>HYPERLINK("https://esbl.nhlbi.nih.gov/Databases/mpkFractions/proteomic_fractions_log_files/Yang_log_img/168229231.jpg","show blot")</f>
        <v>show blot</v>
      </c>
      <c r="H2870" s="8" t="str">
        <f>HYPERLINK("https://esbl.nhlbi.nih.gov/Databases/mpkFractions/proteomic_fractions_linear_files/Yang_linear_img/168229231.jpg","show blot")</f>
        <v>show blot</v>
      </c>
      <c r="J2870" s="5" t="s">
        <v>5674</v>
      </c>
      <c r="L2870" s="11">
        <v>3.2460865315881731</v>
      </c>
      <c r="N2870" s="12"/>
    </row>
    <row r="2871" spans="1:14" s="5" customFormat="1" ht="15" customHeight="1" x14ac:dyDescent="0.25">
      <c r="A2871" s="9" t="s">
        <v>5675</v>
      </c>
      <c r="C2871" s="9" t="str">
        <f>HYPERLINK("http://www.ncbi.nlm.nih.gov/protein/298493250","Gm4832")</f>
        <v>Gm4832</v>
      </c>
      <c r="D2871" s="10">
        <f t="shared" si="44"/>
        <v>3.680877776777677</v>
      </c>
      <c r="F2871" s="8" t="str">
        <f>HYPERLINK("https://esbl.nhlbi.nih.gov/Databases/mpkFractions/proteomic_fractions_log_files/Yang_log_img/298493250.jpg","show blot")</f>
        <v>show blot</v>
      </c>
      <c r="H2871" s="8" t="str">
        <f>HYPERLINK("https://esbl.nhlbi.nih.gov/Databases/mpkFractions/proteomic_fractions_linear_files/Yang_linear_img/298493250.jpg","show blot")</f>
        <v>show blot</v>
      </c>
      <c r="J2871" s="5" t="s">
        <v>5676</v>
      </c>
      <c r="L2871" s="11">
        <v>3.680877776777677</v>
      </c>
      <c r="N2871" s="12"/>
    </row>
    <row r="2872" spans="1:14" s="5" customFormat="1" ht="15" customHeight="1" x14ac:dyDescent="0.25">
      <c r="A2872" s="9" t="s">
        <v>5677</v>
      </c>
      <c r="C2872" s="9" t="str">
        <f>HYPERLINK("http://www.ncbi.nlm.nih.gov/protein/256221758","Gm4846")</f>
        <v>Gm4846</v>
      </c>
      <c r="D2872" s="10">
        <f t="shared" si="44"/>
        <v>2.1775364999298619</v>
      </c>
      <c r="F2872" s="8" t="str">
        <f>HYPERLINK("https://esbl.nhlbi.nih.gov/Databases/mpkFractions/proteomic_fractions_log_files/Yang_log_img/256221758.jpg","show blot")</f>
        <v>show blot</v>
      </c>
      <c r="H2872" s="8" t="str">
        <f>HYPERLINK("https://esbl.nhlbi.nih.gov/Databases/mpkFractions/proteomic_fractions_linear_files/Yang_linear_img/256221758.jpg","show blot")</f>
        <v>show blot</v>
      </c>
      <c r="J2872" s="5" t="s">
        <v>5678</v>
      </c>
      <c r="L2872" s="11">
        <v>2.1775364999298619</v>
      </c>
      <c r="N2872" s="12"/>
    </row>
    <row r="2873" spans="1:14" s="5" customFormat="1" ht="15" customHeight="1" x14ac:dyDescent="0.25">
      <c r="A2873" s="9" t="s">
        <v>5679</v>
      </c>
      <c r="C2873" s="9" t="str">
        <f>HYPERLINK("http://www.ncbi.nlm.nih.gov/protein/256221898","Gm4847")</f>
        <v>Gm4847</v>
      </c>
      <c r="D2873" s="10">
        <f t="shared" si="44"/>
        <v>2.1845983544173491</v>
      </c>
      <c r="F2873" s="8" t="str">
        <f>HYPERLINK("https://esbl.nhlbi.nih.gov/Databases/mpkFractions/proteomic_fractions_log_files/Yang_log_img/256221898.jpg","show blot")</f>
        <v>show blot</v>
      </c>
      <c r="H2873" s="8" t="str">
        <f>HYPERLINK("https://esbl.nhlbi.nih.gov/Databases/mpkFractions/proteomic_fractions_linear_files/Yang_linear_img/256221898.jpg","show blot")</f>
        <v>show blot</v>
      </c>
      <c r="J2873" s="5" t="s">
        <v>5680</v>
      </c>
      <c r="L2873" s="11">
        <v>2.1845983544173491</v>
      </c>
      <c r="N2873" s="12"/>
    </row>
    <row r="2874" spans="1:14" s="5" customFormat="1" ht="15" customHeight="1" x14ac:dyDescent="0.25">
      <c r="A2874" s="9" t="s">
        <v>5681</v>
      </c>
      <c r="C2874" s="9" t="str">
        <f>HYPERLINK("http://www.ncbi.nlm.nih.gov/protein/82904428","Gm4883")</f>
        <v>Gm4883</v>
      </c>
      <c r="D2874" s="10">
        <f t="shared" si="44"/>
        <v>6.3370059338706639</v>
      </c>
      <c r="F2874" s="8" t="str">
        <f>HYPERLINK("https://esbl.nhlbi.nih.gov/Databases/mpkFractions/proteomic_fractions_log_files/Yang_log_img/82904428.jpg","show blot")</f>
        <v>show blot</v>
      </c>
      <c r="H2874" s="8" t="str">
        <f>HYPERLINK("https://esbl.nhlbi.nih.gov/Databases/mpkFractions/proteomic_fractions_linear_files/Yang_linear_img/82904428.jpg","show blot")</f>
        <v>show blot</v>
      </c>
      <c r="J2874" s="5" t="s">
        <v>5682</v>
      </c>
      <c r="L2874" s="11">
        <v>6.3370059338706639</v>
      </c>
      <c r="N2874" s="12"/>
    </row>
    <row r="2875" spans="1:14" s="5" customFormat="1" ht="15" customHeight="1" x14ac:dyDescent="0.25">
      <c r="A2875" s="9" t="s">
        <v>5683</v>
      </c>
      <c r="C2875" s="9" t="str">
        <f>HYPERLINK("http://www.ncbi.nlm.nih.gov/protein/407261549","Gm4887")</f>
        <v>Gm4887</v>
      </c>
      <c r="D2875" s="10">
        <f t="shared" si="44"/>
        <v>5.741252648497805</v>
      </c>
      <c r="F2875" s="8" t="str">
        <f>HYPERLINK("https://esbl.nhlbi.nih.gov/Databases/mpkFractions/proteomic_fractions_log_files/Yang_log_img/407261549.jpg","show blot")</f>
        <v>show blot</v>
      </c>
      <c r="H2875" s="8" t="str">
        <f>HYPERLINK("https://esbl.nhlbi.nih.gov/Databases/mpkFractions/proteomic_fractions_linear_files/Yang_linear_img/407261549.jpg","show blot")</f>
        <v>show blot</v>
      </c>
      <c r="J2875" s="5" t="s">
        <v>5684</v>
      </c>
      <c r="L2875" s="11">
        <v>5.741252648497805</v>
      </c>
      <c r="N2875" s="12"/>
    </row>
    <row r="2876" spans="1:14" s="5" customFormat="1" ht="15" customHeight="1" x14ac:dyDescent="0.25">
      <c r="A2876" s="9" t="s">
        <v>5685</v>
      </c>
      <c r="C2876" s="9" t="str">
        <f>HYPERLINK("http://www.ncbi.nlm.nih.gov/protein/149258537","Gm4889")</f>
        <v>Gm4889</v>
      </c>
      <c r="D2876" s="10">
        <f t="shared" si="44"/>
        <v>6.0549492978487223</v>
      </c>
      <c r="F2876" s="8" t="str">
        <f>HYPERLINK("https://esbl.nhlbi.nih.gov/Databases/mpkFractions/proteomic_fractions_log_files/Yang_log_img/149258537.jpg","show blot")</f>
        <v>show blot</v>
      </c>
      <c r="H2876" s="8" t="str">
        <f>HYPERLINK("https://esbl.nhlbi.nih.gov/Databases/mpkFractions/proteomic_fractions_linear_files/Yang_linear_img/149258537.jpg","show blot")</f>
        <v>show blot</v>
      </c>
      <c r="J2876" s="5" t="s">
        <v>5490</v>
      </c>
      <c r="L2876" s="11">
        <v>6.0549492978487223</v>
      </c>
      <c r="N2876" s="12"/>
    </row>
    <row r="2877" spans="1:14" s="5" customFormat="1" ht="15" customHeight="1" x14ac:dyDescent="0.25">
      <c r="A2877" s="9" t="s">
        <v>5686</v>
      </c>
      <c r="C2877" s="9" t="str">
        <f>HYPERLINK("http://www.ncbi.nlm.nih.gov/protein/309266241","Gm4889")</f>
        <v>Gm4889</v>
      </c>
      <c r="D2877" s="10">
        <f t="shared" si="44"/>
        <v>6.0549492978487223</v>
      </c>
      <c r="F2877" s="8" t="str">
        <f>HYPERLINK("https://esbl.nhlbi.nih.gov/Databases/mpkFractions/proteomic_fractions_log_files/Yang_log_img/309266241.jpg","show blot")</f>
        <v>show blot</v>
      </c>
      <c r="H2877" s="8" t="str">
        <f>HYPERLINK("https://esbl.nhlbi.nih.gov/Databases/mpkFractions/proteomic_fractions_linear_files/Yang_linear_img/309266241.jpg","show blot")</f>
        <v>show blot</v>
      </c>
      <c r="J2877" s="5" t="s">
        <v>5490</v>
      </c>
      <c r="L2877" s="11">
        <v>6.0549492978487223</v>
      </c>
      <c r="N2877" s="12"/>
    </row>
    <row r="2878" spans="1:14" s="5" customFormat="1" ht="15" customHeight="1" x14ac:dyDescent="0.25">
      <c r="A2878" s="9" t="s">
        <v>5687</v>
      </c>
      <c r="C2878" s="9" t="str">
        <f>HYPERLINK("http://www.ncbi.nlm.nih.gov/protein/309266922","Gm4916")</f>
        <v>Gm4916</v>
      </c>
      <c r="D2878" s="10">
        <f t="shared" si="44"/>
        <v>5.5596804214113797</v>
      </c>
      <c r="F2878" s="8" t="str">
        <f>HYPERLINK("https://esbl.nhlbi.nih.gov/Databases/mpkFractions/proteomic_fractions_log_files/Yang_log_img/309266922.jpg","show blot")</f>
        <v>show blot</v>
      </c>
      <c r="H2878" s="8" t="str">
        <f>HYPERLINK("https://esbl.nhlbi.nih.gov/Databases/mpkFractions/proteomic_fractions_linear_files/Yang_linear_img/309266922.jpg","show blot")</f>
        <v>show blot</v>
      </c>
      <c r="J2878" s="5" t="s">
        <v>5688</v>
      </c>
      <c r="L2878" s="11">
        <v>5.5596804214113797</v>
      </c>
      <c r="N2878" s="12"/>
    </row>
    <row r="2879" spans="1:14" s="5" customFormat="1" ht="15" customHeight="1" x14ac:dyDescent="0.25">
      <c r="A2879" s="9" t="s">
        <v>5689</v>
      </c>
      <c r="C2879" s="9" t="str">
        <f>HYPERLINK("http://www.ncbi.nlm.nih.gov/protein/81230474","Gm4925")</f>
        <v>Gm4925</v>
      </c>
      <c r="D2879" s="10">
        <f t="shared" si="44"/>
        <v>6.3646690712648262</v>
      </c>
      <c r="F2879" s="8" t="str">
        <f>HYPERLINK("https://esbl.nhlbi.nih.gov/Databases/mpkFractions/proteomic_fractions_log_files/Yang_log_img/81230474.jpg","show blot")</f>
        <v>show blot</v>
      </c>
      <c r="H2879" s="8" t="str">
        <f>HYPERLINK("https://esbl.nhlbi.nih.gov/Databases/mpkFractions/proteomic_fractions_linear_files/Yang_linear_img/81230474.jpg","show blot")</f>
        <v>show blot</v>
      </c>
      <c r="J2879" s="5" t="s">
        <v>5690</v>
      </c>
      <c r="L2879" s="11">
        <v>6.3646690712648262</v>
      </c>
      <c r="N2879" s="12"/>
    </row>
    <row r="2880" spans="1:14" s="5" customFormat="1" ht="15" customHeight="1" x14ac:dyDescent="0.25">
      <c r="A2880" s="9" t="s">
        <v>5691</v>
      </c>
      <c r="C2880" s="9" t="str">
        <f>HYPERLINK("http://www.ncbi.nlm.nih.gov/protein/149267789","Gm4943")</f>
        <v>Gm4943</v>
      </c>
      <c r="D2880" s="10">
        <f t="shared" si="44"/>
        <v>4.6413042390799868</v>
      </c>
      <c r="F2880" s="8" t="str">
        <f>HYPERLINK("https://esbl.nhlbi.nih.gov/Databases/mpkFractions/proteomic_fractions_log_files/Yang_log_img/149267789.jpg","show blot")</f>
        <v>show blot</v>
      </c>
      <c r="H2880" s="8" t="str">
        <f>HYPERLINK("https://esbl.nhlbi.nih.gov/Databases/mpkFractions/proteomic_fractions_linear_files/Yang_linear_img/149267789.jpg","show blot")</f>
        <v>show blot</v>
      </c>
      <c r="J2880" s="5" t="s">
        <v>5692</v>
      </c>
      <c r="L2880" s="11">
        <v>4.6413042390799868</v>
      </c>
      <c r="N2880" s="12"/>
    </row>
    <row r="2881" spans="1:14" s="5" customFormat="1" ht="15" customHeight="1" x14ac:dyDescent="0.25">
      <c r="A2881" s="9" t="s">
        <v>5693</v>
      </c>
      <c r="C2881" s="9" t="str">
        <f>HYPERLINK("http://www.ncbi.nlm.nih.gov/protein/20846986","Gm4963")</f>
        <v>Gm4963</v>
      </c>
      <c r="D2881" s="10">
        <f t="shared" si="44"/>
        <v>6.9866975846570512</v>
      </c>
      <c r="F2881" s="8" t="str">
        <f>HYPERLINK("https://esbl.nhlbi.nih.gov/Databases/mpkFractions/proteomic_fractions_log_files/Yang_log_img/20846986.jpg","show blot")</f>
        <v>show blot</v>
      </c>
      <c r="H2881" s="8" t="str">
        <f>HYPERLINK("https://esbl.nhlbi.nih.gov/Databases/mpkFractions/proteomic_fractions_linear_files/Yang_linear_img/20846986.jpg","show blot")</f>
        <v>show blot</v>
      </c>
      <c r="J2881" s="5" t="s">
        <v>5694</v>
      </c>
      <c r="L2881" s="11">
        <v>6.9866975846570512</v>
      </c>
      <c r="N2881" s="12"/>
    </row>
    <row r="2882" spans="1:14" s="5" customFormat="1" ht="15" customHeight="1" x14ac:dyDescent="0.25">
      <c r="A2882" s="9" t="s">
        <v>5695</v>
      </c>
      <c r="C2882" s="9" t="str">
        <f>HYPERLINK("http://www.ncbi.nlm.nih.gov/protein/307574641","Gm4975")</f>
        <v>Gm4975</v>
      </c>
      <c r="D2882" s="10">
        <f t="shared" si="44"/>
        <v>2.73383900069715</v>
      </c>
      <c r="F2882" s="8" t="str">
        <f>HYPERLINK("https://esbl.nhlbi.nih.gov/Databases/mpkFractions/proteomic_fractions_log_files/Yang_log_img/307574641.jpg","show blot")</f>
        <v>show blot</v>
      </c>
      <c r="H2882" s="8" t="str">
        <f>HYPERLINK("https://esbl.nhlbi.nih.gov/Databases/mpkFractions/proteomic_fractions_linear_files/Yang_linear_img/307574641.jpg","show blot")</f>
        <v>show blot</v>
      </c>
      <c r="J2882" s="5" t="s">
        <v>5696</v>
      </c>
      <c r="L2882" s="11">
        <v>2.73383900069715</v>
      </c>
      <c r="N2882" s="12"/>
    </row>
    <row r="2883" spans="1:14" s="5" customFormat="1" ht="15" customHeight="1" x14ac:dyDescent="0.25">
      <c r="A2883" s="9" t="s">
        <v>5697</v>
      </c>
      <c r="C2883" s="9" t="str">
        <f>HYPERLINK("http://www.ncbi.nlm.nih.gov/protein/25032837","Gm5058")</f>
        <v>Gm5058</v>
      </c>
      <c r="D2883" s="10">
        <f t="shared" si="44"/>
        <v>6.7054468858796552</v>
      </c>
      <c r="F2883" s="8" t="str">
        <f>HYPERLINK("https://esbl.nhlbi.nih.gov/Databases/mpkFractions/proteomic_fractions_log_files/Yang_log_img/25032837.jpg","show blot")</f>
        <v>show blot</v>
      </c>
      <c r="H2883" s="8" t="str">
        <f>HYPERLINK("https://esbl.nhlbi.nih.gov/Databases/mpkFractions/proteomic_fractions_linear_files/Yang_linear_img/25032837.jpg","show blot")</f>
        <v>show blot</v>
      </c>
      <c r="J2883" s="5" t="s">
        <v>5651</v>
      </c>
      <c r="L2883" s="11">
        <v>6.7054468858796552</v>
      </c>
      <c r="N2883" s="12"/>
    </row>
    <row r="2884" spans="1:14" s="5" customFormat="1" ht="15" customHeight="1" x14ac:dyDescent="0.25">
      <c r="A2884" s="9" t="s">
        <v>5698</v>
      </c>
      <c r="C2884" s="9" t="str">
        <f>HYPERLINK("http://www.ncbi.nlm.nih.gov/protein/407261991","Gm5068")</f>
        <v>Gm5068</v>
      </c>
      <c r="D2884" s="10">
        <f t="shared" si="44"/>
        <v>5.5671329260668792</v>
      </c>
      <c r="F2884" s="8" t="str">
        <f>HYPERLINK("https://esbl.nhlbi.nih.gov/Databases/mpkFractions/proteomic_fractions_log_files/Yang_log_img/407261991.jpg","show blot")</f>
        <v>show blot</v>
      </c>
      <c r="H2884" s="8" t="str">
        <f>HYPERLINK("https://esbl.nhlbi.nih.gov/Databases/mpkFractions/proteomic_fractions_linear_files/Yang_linear_img/407261991.jpg","show blot")</f>
        <v>show blot</v>
      </c>
      <c r="J2884" s="5" t="s">
        <v>5699</v>
      </c>
      <c r="L2884" s="11">
        <v>5.5671329260668792</v>
      </c>
      <c r="N2884" s="12"/>
    </row>
    <row r="2885" spans="1:14" s="5" customFormat="1" ht="15" customHeight="1" x14ac:dyDescent="0.25">
      <c r="A2885" s="9" t="s">
        <v>5700</v>
      </c>
      <c r="C2885" s="9" t="str">
        <f>HYPERLINK("http://www.ncbi.nlm.nih.gov/protein/149263303","Gm5068")</f>
        <v>Gm5068</v>
      </c>
      <c r="D2885" s="10">
        <f t="shared" ref="D2885:D2948" si="45">L2885</f>
        <v>5.5671329260668792</v>
      </c>
      <c r="F2885" s="8" t="str">
        <f>HYPERLINK("https://esbl.nhlbi.nih.gov/Databases/mpkFractions/proteomic_fractions_log_files/Yang_log_img/149263303.jpg","show blot")</f>
        <v>show blot</v>
      </c>
      <c r="H2885" s="8" t="str">
        <f>HYPERLINK("https://esbl.nhlbi.nih.gov/Databases/mpkFractions/proteomic_fractions_linear_files/Yang_linear_img/149263303.jpg","show blot")</f>
        <v>show blot</v>
      </c>
      <c r="J2885" s="5" t="s">
        <v>5701</v>
      </c>
      <c r="L2885" s="11">
        <v>5.5671329260668792</v>
      </c>
      <c r="N2885" s="12"/>
    </row>
    <row r="2886" spans="1:14" s="5" customFormat="1" ht="15" customHeight="1" x14ac:dyDescent="0.25">
      <c r="A2886" s="9" t="s">
        <v>5702</v>
      </c>
      <c r="C2886" s="9" t="str">
        <f>HYPERLINK("http://www.ncbi.nlm.nih.gov/protein/82994207","Gm5093")</f>
        <v>Gm5093</v>
      </c>
      <c r="D2886" s="10">
        <f t="shared" si="45"/>
        <v>6.5645879275906296</v>
      </c>
      <c r="F2886" s="8" t="str">
        <f>HYPERLINK("https://esbl.nhlbi.nih.gov/Databases/mpkFractions/proteomic_fractions_log_files/Yang_log_img/82994207.jpg","show blot")</f>
        <v>show blot</v>
      </c>
      <c r="H2886" s="8" t="str">
        <f>HYPERLINK("https://esbl.nhlbi.nih.gov/Databases/mpkFractions/proteomic_fractions_linear_files/Yang_linear_img/82994207.jpg","show blot")</f>
        <v>show blot</v>
      </c>
      <c r="J2886" s="5" t="s">
        <v>5656</v>
      </c>
      <c r="L2886" s="11">
        <v>6.5645879275906296</v>
      </c>
      <c r="N2886" s="12"/>
    </row>
    <row r="2887" spans="1:14" s="5" customFormat="1" ht="15" customHeight="1" x14ac:dyDescent="0.25">
      <c r="A2887" s="9" t="s">
        <v>5703</v>
      </c>
      <c r="C2887" s="9" t="str">
        <f>HYPERLINK("http://www.ncbi.nlm.nih.gov/protein/407262170","Gm5215")</f>
        <v>Gm5215</v>
      </c>
      <c r="D2887" s="10">
        <f t="shared" si="45"/>
        <v>6.9379792901432289</v>
      </c>
      <c r="F2887" s="8" t="str">
        <f>HYPERLINK("https://esbl.nhlbi.nih.gov/Databases/mpkFractions/proteomic_fractions_log_files/Yang_log_img/407262170.jpg","show blot")</f>
        <v>show blot</v>
      </c>
      <c r="H2887" s="8" t="str">
        <f>HYPERLINK("https://esbl.nhlbi.nih.gov/Databases/mpkFractions/proteomic_fractions_linear_files/Yang_linear_img/407262170.jpg","show blot")</f>
        <v>show blot</v>
      </c>
      <c r="J2887" s="5" t="s">
        <v>5704</v>
      </c>
      <c r="L2887" s="11">
        <v>6.9379792901432289</v>
      </c>
      <c r="N2887" s="12"/>
    </row>
    <row r="2888" spans="1:14" s="5" customFormat="1" ht="15" customHeight="1" x14ac:dyDescent="0.25">
      <c r="A2888" s="9" t="s">
        <v>5705</v>
      </c>
      <c r="C2888" s="9" t="str">
        <f>HYPERLINK("http://www.ncbi.nlm.nih.gov/protein/407264077","Gm5215")</f>
        <v>Gm5215</v>
      </c>
      <c r="D2888" s="10">
        <f t="shared" si="45"/>
        <v>6.9379792901432289</v>
      </c>
      <c r="F2888" s="8" t="str">
        <f>HYPERLINK("https://esbl.nhlbi.nih.gov/Databases/mpkFractions/proteomic_fractions_log_files/Yang_log_img/407264077.jpg","show blot")</f>
        <v>show blot</v>
      </c>
      <c r="H2888" s="8" t="str">
        <f>HYPERLINK("https://esbl.nhlbi.nih.gov/Databases/mpkFractions/proteomic_fractions_linear_files/Yang_linear_img/407264077.jpg","show blot")</f>
        <v>show blot</v>
      </c>
      <c r="J2888" s="5" t="s">
        <v>5704</v>
      </c>
      <c r="L2888" s="11">
        <v>6.9379792901432289</v>
      </c>
      <c r="N2888" s="12"/>
    </row>
    <row r="2889" spans="1:14" s="5" customFormat="1" ht="15" customHeight="1" x14ac:dyDescent="0.25">
      <c r="A2889" s="9" t="s">
        <v>5706</v>
      </c>
      <c r="C2889" s="9" t="str">
        <f>HYPERLINK("http://www.ncbi.nlm.nih.gov/protein/309263329","Gm5218")</f>
        <v>Gm5218</v>
      </c>
      <c r="D2889" s="10">
        <f t="shared" si="45"/>
        <v>5.7534168548062334</v>
      </c>
      <c r="F2889" s="8" t="str">
        <f>HYPERLINK("https://esbl.nhlbi.nih.gov/Databases/mpkFractions/proteomic_fractions_log_files/Yang_log_img/309263329.jpg","show blot")</f>
        <v>show blot</v>
      </c>
      <c r="H2889" s="8" t="str">
        <f>HYPERLINK("https://esbl.nhlbi.nih.gov/Databases/mpkFractions/proteomic_fractions_linear_files/Yang_linear_img/309263329.jpg","show blot")</f>
        <v>show blot</v>
      </c>
      <c r="J2889" s="5" t="s">
        <v>5490</v>
      </c>
      <c r="L2889" s="11">
        <v>5.7534168548062334</v>
      </c>
      <c r="N2889" s="12"/>
    </row>
    <row r="2890" spans="1:14" s="5" customFormat="1" ht="15" customHeight="1" x14ac:dyDescent="0.25">
      <c r="A2890" s="9" t="s">
        <v>5707</v>
      </c>
      <c r="C2890" s="9" t="str">
        <f>HYPERLINK("http://www.ncbi.nlm.nih.gov/protein/94380332","Gm5331")</f>
        <v>Gm5331</v>
      </c>
      <c r="D2890" s="10">
        <f t="shared" si="45"/>
        <v>4.1306810255410609</v>
      </c>
      <c r="F2890" s="8" t="str">
        <f>HYPERLINK("https://esbl.nhlbi.nih.gov/Databases/mpkFractions/proteomic_fractions_log_files/Yang_log_img/94380332.jpg","show blot")</f>
        <v>show blot</v>
      </c>
      <c r="H2890" s="8" t="str">
        <f>HYPERLINK("https://esbl.nhlbi.nih.gov/Databases/mpkFractions/proteomic_fractions_linear_files/Yang_linear_img/94380332.jpg","show blot")</f>
        <v>show blot</v>
      </c>
      <c r="J2890" s="5" t="s">
        <v>5708</v>
      </c>
      <c r="L2890" s="11">
        <v>4.1306810255410609</v>
      </c>
      <c r="N2890" s="12"/>
    </row>
    <row r="2891" spans="1:14" s="5" customFormat="1" ht="15" customHeight="1" x14ac:dyDescent="0.25">
      <c r="A2891" s="9" t="s">
        <v>5709</v>
      </c>
      <c r="C2891" s="9" t="str">
        <f>HYPERLINK("http://www.ncbi.nlm.nih.gov/protein/407264363","Gm5396")</f>
        <v>Gm5396</v>
      </c>
      <c r="D2891" s="10">
        <f t="shared" si="45"/>
        <v>6.2940667501569258</v>
      </c>
      <c r="F2891" s="8" t="str">
        <f>HYPERLINK("https://esbl.nhlbi.nih.gov/Databases/mpkFractions/proteomic_fractions_log_files/Yang_log_img/407264363.jpg","show blot")</f>
        <v>show blot</v>
      </c>
      <c r="H2891" s="8" t="str">
        <f>HYPERLINK("https://esbl.nhlbi.nih.gov/Databases/mpkFractions/proteomic_fractions_linear_files/Yang_linear_img/407264363.jpg","show blot")</f>
        <v>show blot</v>
      </c>
      <c r="J2891" s="5" t="s">
        <v>5631</v>
      </c>
      <c r="L2891" s="11">
        <v>6.2940667501569258</v>
      </c>
      <c r="N2891" s="12"/>
    </row>
    <row r="2892" spans="1:14" s="5" customFormat="1" ht="15" customHeight="1" x14ac:dyDescent="0.25">
      <c r="A2892" s="9" t="s">
        <v>5710</v>
      </c>
      <c r="C2892" s="9" t="str">
        <f>HYPERLINK("http://www.ncbi.nlm.nih.gov/protein/83004259","Gm5396")</f>
        <v>Gm5396</v>
      </c>
      <c r="D2892" s="10">
        <f t="shared" si="45"/>
        <v>6.2940667501569258</v>
      </c>
      <c r="F2892" s="8" t="str">
        <f>HYPERLINK("https://esbl.nhlbi.nih.gov/Databases/mpkFractions/proteomic_fractions_log_files/Yang_log_img/83004259.jpg","show blot")</f>
        <v>show blot</v>
      </c>
      <c r="H2892" s="8" t="str">
        <f>HYPERLINK("https://esbl.nhlbi.nih.gov/Databases/mpkFractions/proteomic_fractions_linear_files/Yang_linear_img/83004259.jpg","show blot")</f>
        <v>show blot</v>
      </c>
      <c r="J2892" s="5" t="s">
        <v>5631</v>
      </c>
      <c r="L2892" s="11">
        <v>6.2940667501569258</v>
      </c>
      <c r="N2892" s="12"/>
    </row>
    <row r="2893" spans="1:14" s="5" customFormat="1" ht="15" customHeight="1" x14ac:dyDescent="0.25">
      <c r="A2893" s="9" t="s">
        <v>5711</v>
      </c>
      <c r="C2893" s="9" t="str">
        <f>HYPERLINK("http://www.ncbi.nlm.nih.gov/protein/256017236","Gm5415")</f>
        <v>Gm5415</v>
      </c>
      <c r="D2893" s="10">
        <f t="shared" si="45"/>
        <v>2.068392030504794</v>
      </c>
      <c r="F2893" s="8" t="str">
        <f>HYPERLINK("https://esbl.nhlbi.nih.gov/Databases/mpkFractions/proteomic_fractions_log_files/Yang_log_img/256017236.jpg","show blot")</f>
        <v>show blot</v>
      </c>
      <c r="H2893" s="8" t="str">
        <f>HYPERLINK("https://esbl.nhlbi.nih.gov/Databases/mpkFractions/proteomic_fractions_linear_files/Yang_linear_img/256017236.jpg","show blot")</f>
        <v>show blot</v>
      </c>
      <c r="J2893" s="5" t="s">
        <v>5712</v>
      </c>
      <c r="L2893" s="11">
        <v>2.068392030504794</v>
      </c>
      <c r="N2893" s="12"/>
    </row>
    <row r="2894" spans="1:14" s="5" customFormat="1" ht="15" customHeight="1" x14ac:dyDescent="0.25">
      <c r="A2894" s="9" t="s">
        <v>5713</v>
      </c>
      <c r="C2894" s="9" t="str">
        <f>HYPERLINK("http://www.ncbi.nlm.nih.gov/protein/407261829","Gm5428")</f>
        <v>Gm5428</v>
      </c>
      <c r="D2894" s="10">
        <f t="shared" si="45"/>
        <v>6.9454419259866684</v>
      </c>
      <c r="F2894" s="8" t="str">
        <f>HYPERLINK("https://esbl.nhlbi.nih.gov/Databases/mpkFractions/proteomic_fractions_log_files/Yang_log_img/407261829.jpg","show blot")</f>
        <v>show blot</v>
      </c>
      <c r="H2894" s="8" t="str">
        <f>HYPERLINK("https://esbl.nhlbi.nih.gov/Databases/mpkFractions/proteomic_fractions_linear_files/Yang_linear_img/407261829.jpg","show blot")</f>
        <v>show blot</v>
      </c>
      <c r="J2894" s="5" t="s">
        <v>5714</v>
      </c>
      <c r="L2894" s="11">
        <v>6.9454419259866684</v>
      </c>
      <c r="N2894" s="12"/>
    </row>
    <row r="2895" spans="1:14" s="5" customFormat="1" ht="15" customHeight="1" x14ac:dyDescent="0.25">
      <c r="A2895" s="9" t="s">
        <v>5715</v>
      </c>
      <c r="C2895" s="9" t="str">
        <f>HYPERLINK("http://www.ncbi.nlm.nih.gov/protein/82949522","Gm5445")</f>
        <v>Gm5445</v>
      </c>
      <c r="D2895" s="10">
        <f t="shared" si="45"/>
        <v>6.4550379088130132</v>
      </c>
      <c r="F2895" s="8" t="str">
        <f>HYPERLINK("https://esbl.nhlbi.nih.gov/Databases/mpkFractions/proteomic_fractions_log_files/Yang_log_img/82949522.jpg","show blot")</f>
        <v>show blot</v>
      </c>
      <c r="H2895" s="8" t="str">
        <f>HYPERLINK("https://esbl.nhlbi.nih.gov/Databases/mpkFractions/proteomic_fractions_linear_files/Yang_linear_img/82949522.jpg","show blot")</f>
        <v>show blot</v>
      </c>
      <c r="J2895" s="5" t="s">
        <v>5716</v>
      </c>
      <c r="L2895" s="11">
        <v>6.4550379088130132</v>
      </c>
      <c r="N2895" s="12"/>
    </row>
    <row r="2896" spans="1:14" s="5" customFormat="1" ht="15" customHeight="1" x14ac:dyDescent="0.25">
      <c r="A2896" s="9" t="s">
        <v>5717</v>
      </c>
      <c r="C2896" s="9" t="str">
        <f>HYPERLINK("http://www.ncbi.nlm.nih.gov/protein/407262054","Gm5451")</f>
        <v>Gm5451</v>
      </c>
      <c r="D2896" s="10">
        <f t="shared" si="45"/>
        <v>6.7212126779718186</v>
      </c>
      <c r="F2896" s="8" t="str">
        <f>HYPERLINK("https://esbl.nhlbi.nih.gov/Databases/mpkFractions/proteomic_fractions_log_files/Yang_log_img/407262054.jpg","show blot")</f>
        <v>show blot</v>
      </c>
      <c r="H2896" s="8" t="str">
        <f>HYPERLINK("https://esbl.nhlbi.nih.gov/Databases/mpkFractions/proteomic_fractions_linear_files/Yang_linear_img/407262054.jpg","show blot")</f>
        <v>show blot</v>
      </c>
      <c r="J2896" s="5" t="s">
        <v>5718</v>
      </c>
      <c r="L2896" s="11">
        <v>6.7212126779718186</v>
      </c>
      <c r="N2896" s="12"/>
    </row>
    <row r="2897" spans="1:14" s="5" customFormat="1" ht="15" customHeight="1" x14ac:dyDescent="0.25">
      <c r="A2897" s="9" t="s">
        <v>5719</v>
      </c>
      <c r="C2897" s="9" t="str">
        <f>HYPERLINK("http://www.ncbi.nlm.nih.gov/protein/51767763","Gm5451")</f>
        <v>Gm5451</v>
      </c>
      <c r="D2897" s="10">
        <f t="shared" si="45"/>
        <v>6.7212126779718186</v>
      </c>
      <c r="F2897" s="8" t="str">
        <f>HYPERLINK("https://esbl.nhlbi.nih.gov/Databases/mpkFractions/proteomic_fractions_log_files/Yang_log_img/51767763.jpg","show blot")</f>
        <v>show blot</v>
      </c>
      <c r="H2897" s="8" t="str">
        <f>HYPERLINK("https://esbl.nhlbi.nih.gov/Databases/mpkFractions/proteomic_fractions_linear_files/Yang_linear_img/51767763.jpg","show blot")</f>
        <v>show blot</v>
      </c>
      <c r="J2897" s="5" t="s">
        <v>5720</v>
      </c>
      <c r="L2897" s="11">
        <v>6.7212126779718186</v>
      </c>
      <c r="N2897" s="12"/>
    </row>
    <row r="2898" spans="1:14" s="5" customFormat="1" ht="15" customHeight="1" x14ac:dyDescent="0.25">
      <c r="A2898" s="9" t="s">
        <v>5721</v>
      </c>
      <c r="C2898" s="9" t="str">
        <f>HYPERLINK("http://www.ncbi.nlm.nih.gov/protein/82951993","Gm5453")</f>
        <v>Gm5453</v>
      </c>
      <c r="D2898" s="10">
        <f t="shared" si="45"/>
        <v>6.6502348295981486</v>
      </c>
      <c r="F2898" s="8" t="str">
        <f>HYPERLINK("https://esbl.nhlbi.nih.gov/Databases/mpkFractions/proteomic_fractions_log_files/Yang_log_img/82951993.jpg","show blot")</f>
        <v>show blot</v>
      </c>
      <c r="H2898" s="8" t="str">
        <f>HYPERLINK("https://esbl.nhlbi.nih.gov/Databases/mpkFractions/proteomic_fractions_linear_files/Yang_linear_img/82951993.jpg","show blot")</f>
        <v>show blot</v>
      </c>
      <c r="J2898" s="5" t="s">
        <v>5543</v>
      </c>
      <c r="L2898" s="11">
        <v>6.6502348295981486</v>
      </c>
      <c r="N2898" s="12"/>
    </row>
    <row r="2899" spans="1:14" s="5" customFormat="1" ht="15" customHeight="1" x14ac:dyDescent="0.25">
      <c r="A2899" s="9" t="s">
        <v>5722</v>
      </c>
      <c r="C2899" s="9" t="str">
        <f>HYPERLINK("http://www.ncbi.nlm.nih.gov/protein/82957080","Gm5471")</f>
        <v>Gm5471</v>
      </c>
      <c r="D2899" s="10">
        <f t="shared" si="45"/>
        <v>2.7143923816249789</v>
      </c>
      <c r="F2899" s="8" t="str">
        <f>HYPERLINK("https://esbl.nhlbi.nih.gov/Databases/mpkFractions/proteomic_fractions_log_files/Yang_log_img/82957080.jpg","show blot")</f>
        <v>show blot</v>
      </c>
      <c r="H2899" s="8" t="str">
        <f>HYPERLINK("https://esbl.nhlbi.nih.gov/Databases/mpkFractions/proteomic_fractions_linear_files/Yang_linear_img/82957080.jpg","show blot")</f>
        <v>show blot</v>
      </c>
      <c r="J2899" s="5" t="s">
        <v>5723</v>
      </c>
      <c r="L2899" s="11">
        <v>2.7143923816249789</v>
      </c>
      <c r="N2899" s="12"/>
    </row>
    <row r="2900" spans="1:14" s="5" customFormat="1" ht="15" customHeight="1" x14ac:dyDescent="0.25">
      <c r="A2900" s="9" t="s">
        <v>5724</v>
      </c>
      <c r="C2900" s="9" t="str">
        <f>HYPERLINK("http://www.ncbi.nlm.nih.gov/protein/82964986","Gm5481")</f>
        <v>Gm5481</v>
      </c>
      <c r="D2900" s="10">
        <f t="shared" si="45"/>
        <v>4.7004320764560292</v>
      </c>
      <c r="F2900" s="8" t="str">
        <f>HYPERLINK("https://esbl.nhlbi.nih.gov/Databases/mpkFractions/proteomic_fractions_log_files/Yang_log_img/82964986.jpg","show blot")</f>
        <v>show blot</v>
      </c>
      <c r="H2900" s="8" t="str">
        <f>HYPERLINK("https://esbl.nhlbi.nih.gov/Databases/mpkFractions/proteomic_fractions_linear_files/Yang_linear_img/82964986.jpg","show blot")</f>
        <v>show blot</v>
      </c>
      <c r="J2900" s="5" t="s">
        <v>5725</v>
      </c>
      <c r="L2900" s="11">
        <v>4.7004320764560292</v>
      </c>
      <c r="N2900" s="12"/>
    </row>
    <row r="2901" spans="1:14" s="5" customFormat="1" ht="15" customHeight="1" x14ac:dyDescent="0.25">
      <c r="A2901" s="9" t="s">
        <v>5726</v>
      </c>
      <c r="C2901" s="9" t="str">
        <f>HYPERLINK("http://www.ncbi.nlm.nih.gov/protein/70794816","Gm5506")</f>
        <v>Gm5506</v>
      </c>
      <c r="D2901" s="10">
        <f t="shared" si="45"/>
        <v>7.3011619950637963</v>
      </c>
      <c r="F2901" s="8" t="str">
        <f>HYPERLINK("https://esbl.nhlbi.nih.gov/Databases/mpkFractions/proteomic_fractions_log_files/Yang_log_img/70794816.jpg","show blot")</f>
        <v>show blot</v>
      </c>
      <c r="H2901" s="8" t="str">
        <f>HYPERLINK("https://esbl.nhlbi.nih.gov/Databases/mpkFractions/proteomic_fractions_linear_files/Yang_linear_img/70794816.jpg","show blot")</f>
        <v>show blot</v>
      </c>
      <c r="J2901" s="5" t="s">
        <v>5727</v>
      </c>
      <c r="L2901" s="11">
        <v>7.3011619950637963</v>
      </c>
      <c r="N2901" s="12"/>
    </row>
    <row r="2902" spans="1:14" s="5" customFormat="1" ht="15" customHeight="1" x14ac:dyDescent="0.25">
      <c r="A2902" s="9" t="s">
        <v>5728</v>
      </c>
      <c r="C2902" s="9" t="str">
        <f>HYPERLINK("http://www.ncbi.nlm.nih.gov/protein/82879797","Gm5528")</f>
        <v>Gm5528</v>
      </c>
      <c r="D2902" s="10">
        <f t="shared" si="45"/>
        <v>6.7437042516010051</v>
      </c>
      <c r="F2902" s="8" t="str">
        <f>HYPERLINK("https://esbl.nhlbi.nih.gov/Databases/mpkFractions/proteomic_fractions_log_files/Yang_log_img/82879797.jpg","show blot")</f>
        <v>show blot</v>
      </c>
      <c r="H2902" s="8" t="str">
        <f>HYPERLINK("https://esbl.nhlbi.nih.gov/Databases/mpkFractions/proteomic_fractions_linear_files/Yang_linear_img/82879797.jpg","show blot")</f>
        <v>show blot</v>
      </c>
      <c r="J2902" s="5" t="s">
        <v>5456</v>
      </c>
      <c r="L2902" s="11">
        <v>6.7437042516010051</v>
      </c>
      <c r="N2902" s="12"/>
    </row>
    <row r="2903" spans="1:14" s="5" customFormat="1" ht="15" customHeight="1" x14ac:dyDescent="0.25">
      <c r="A2903" s="9" t="s">
        <v>5729</v>
      </c>
      <c r="C2903" s="9" t="str">
        <f>HYPERLINK("http://www.ncbi.nlm.nih.gov/protein/82896822","Gm5553")</f>
        <v>Gm5553</v>
      </c>
      <c r="D2903" s="10">
        <f t="shared" si="45"/>
        <v>4.191612090121672</v>
      </c>
      <c r="F2903" s="8" t="str">
        <f>HYPERLINK("https://esbl.nhlbi.nih.gov/Databases/mpkFractions/proteomic_fractions_log_files/Yang_log_img/82896822.jpg","show blot")</f>
        <v>show blot</v>
      </c>
      <c r="H2903" s="8" t="str">
        <f>HYPERLINK("https://esbl.nhlbi.nih.gov/Databases/mpkFractions/proteomic_fractions_linear_files/Yang_linear_img/82896822.jpg","show blot")</f>
        <v>show blot</v>
      </c>
      <c r="J2903" s="5" t="s">
        <v>5730</v>
      </c>
      <c r="L2903" s="11">
        <v>4.191612090121672</v>
      </c>
      <c r="N2903" s="12"/>
    </row>
    <row r="2904" spans="1:14" s="5" customFormat="1" ht="15" customHeight="1" x14ac:dyDescent="0.25">
      <c r="A2904" s="9" t="s">
        <v>5731</v>
      </c>
      <c r="C2904" s="9" t="str">
        <f>HYPERLINK("http://www.ncbi.nlm.nih.gov/protein/94375800","Gm5566")</f>
        <v>Gm5566</v>
      </c>
      <c r="D2904" s="10">
        <f t="shared" si="45"/>
        <v>7.0138671721676724</v>
      </c>
      <c r="F2904" s="8" t="str">
        <f>HYPERLINK("https://esbl.nhlbi.nih.gov/Databases/mpkFractions/proteomic_fractions_log_files/Yang_log_img/94375800.jpg","show blot")</f>
        <v>show blot</v>
      </c>
      <c r="H2904" s="8" t="str">
        <f>HYPERLINK("https://esbl.nhlbi.nih.gov/Databases/mpkFractions/proteomic_fractions_linear_files/Yang_linear_img/94375800.jpg","show blot")</f>
        <v>show blot</v>
      </c>
      <c r="J2904" s="5" t="s">
        <v>5732</v>
      </c>
      <c r="L2904" s="11">
        <v>7.0138671721676724</v>
      </c>
      <c r="N2904" s="12"/>
    </row>
    <row r="2905" spans="1:14" s="5" customFormat="1" ht="15" customHeight="1" x14ac:dyDescent="0.25">
      <c r="A2905" s="9" t="s">
        <v>5733</v>
      </c>
      <c r="C2905" s="9" t="str">
        <f>HYPERLINK("http://www.ncbi.nlm.nih.gov/protein/82902181","Gm5576")</f>
        <v>Gm5576</v>
      </c>
      <c r="D2905" s="10">
        <f t="shared" si="45"/>
        <v>6.2789488003408236</v>
      </c>
      <c r="F2905" s="8" t="str">
        <f>HYPERLINK("https://esbl.nhlbi.nih.gov/Databases/mpkFractions/proteomic_fractions_log_files/Yang_log_img/82902181.jpg","show blot")</f>
        <v>show blot</v>
      </c>
      <c r="H2905" s="8" t="str">
        <f>HYPERLINK("https://esbl.nhlbi.nih.gov/Databases/mpkFractions/proteomic_fractions_linear_files/Yang_linear_img/82902181.jpg","show blot")</f>
        <v>show blot</v>
      </c>
      <c r="J2905" s="5" t="s">
        <v>5734</v>
      </c>
      <c r="L2905" s="11">
        <v>6.2789488003408236</v>
      </c>
      <c r="N2905" s="12"/>
    </row>
    <row r="2906" spans="1:14" s="5" customFormat="1" ht="15" customHeight="1" x14ac:dyDescent="0.25">
      <c r="A2906" s="9" t="s">
        <v>5735</v>
      </c>
      <c r="C2906" s="9" t="str">
        <f>HYPERLINK("http://www.ncbi.nlm.nih.gov/protein/85701806","Gm561")</f>
        <v>Gm561</v>
      </c>
      <c r="D2906" s="10">
        <f t="shared" si="45"/>
        <v>3.3231547025040111</v>
      </c>
      <c r="F2906" s="8" t="str">
        <f>HYPERLINK("https://esbl.nhlbi.nih.gov/Databases/mpkFractions/proteomic_fractions_log_files/Yang_log_img/85701806.jpg","show blot")</f>
        <v>show blot</v>
      </c>
      <c r="H2906" s="8" t="str">
        <f>HYPERLINK("https://esbl.nhlbi.nih.gov/Databases/mpkFractions/proteomic_fractions_linear_files/Yang_linear_img/85701806.jpg","show blot")</f>
        <v>show blot</v>
      </c>
      <c r="J2906" s="5" t="s">
        <v>5736</v>
      </c>
      <c r="L2906" s="11">
        <v>3.3231547025040111</v>
      </c>
      <c r="N2906" s="12"/>
    </row>
    <row r="2907" spans="1:14" s="5" customFormat="1" ht="15" customHeight="1" x14ac:dyDescent="0.25">
      <c r="A2907" s="9" t="s">
        <v>5737</v>
      </c>
      <c r="C2907" s="9" t="str">
        <f>HYPERLINK("http://www.ncbi.nlm.nih.gov/protein/82930689","Gm5620")</f>
        <v>Gm5620</v>
      </c>
      <c r="D2907" s="10">
        <f t="shared" si="45"/>
        <v>6.9625315335439222</v>
      </c>
      <c r="F2907" s="8" t="str">
        <f>HYPERLINK("https://esbl.nhlbi.nih.gov/Databases/mpkFractions/proteomic_fractions_log_files/Yang_log_img/82930689.jpg","show blot")</f>
        <v>show blot</v>
      </c>
      <c r="H2907" s="8" t="str">
        <f>HYPERLINK("https://esbl.nhlbi.nih.gov/Databases/mpkFractions/proteomic_fractions_linear_files/Yang_linear_img/82930689.jpg","show blot")</f>
        <v>show blot</v>
      </c>
      <c r="J2907" s="5" t="s">
        <v>5738</v>
      </c>
      <c r="L2907" s="11">
        <v>6.9625315335439222</v>
      </c>
      <c r="N2907" s="12"/>
    </row>
    <row r="2908" spans="1:14" s="5" customFormat="1" ht="15" customHeight="1" x14ac:dyDescent="0.25">
      <c r="A2908" s="9" t="s">
        <v>5739</v>
      </c>
      <c r="C2908" s="9" t="str">
        <f>HYPERLINK("http://www.ncbi.nlm.nih.gov/protein/309266590","Gm5621")</f>
        <v>Gm5621</v>
      </c>
      <c r="D2908" s="10">
        <f t="shared" si="45"/>
        <v>6.2281967703729046</v>
      </c>
      <c r="F2908" s="8" t="str">
        <f>HYPERLINK("https://esbl.nhlbi.nih.gov/Databases/mpkFractions/proteomic_fractions_log_files/Yang_log_img/309266590.jpg","show blot")</f>
        <v>show blot</v>
      </c>
      <c r="H2908" s="8" t="str">
        <f>HYPERLINK("https://esbl.nhlbi.nih.gov/Databases/mpkFractions/proteomic_fractions_linear_files/Yang_linear_img/309266590.jpg","show blot")</f>
        <v>show blot</v>
      </c>
      <c r="J2908" s="5" t="s">
        <v>5740</v>
      </c>
      <c r="L2908" s="11">
        <v>6.2281967703729046</v>
      </c>
      <c r="N2908" s="12"/>
    </row>
    <row r="2909" spans="1:14" s="5" customFormat="1" ht="15" customHeight="1" x14ac:dyDescent="0.25">
      <c r="A2909" s="9" t="s">
        <v>5741</v>
      </c>
      <c r="C2909" s="9" t="str">
        <f>HYPERLINK("http://www.ncbi.nlm.nih.gov/protein/82931053","Gm5621")</f>
        <v>Gm5621</v>
      </c>
      <c r="D2909" s="10">
        <f t="shared" si="45"/>
        <v>6.2281967703729046</v>
      </c>
      <c r="F2909" s="8" t="str">
        <f>HYPERLINK("https://esbl.nhlbi.nih.gov/Databases/mpkFractions/proteomic_fractions_log_files/Yang_log_img/82931053.jpg","show blot")</f>
        <v>show blot</v>
      </c>
      <c r="H2909" s="8" t="str">
        <f>HYPERLINK("https://esbl.nhlbi.nih.gov/Databases/mpkFractions/proteomic_fractions_linear_files/Yang_linear_img/82931053.jpg","show blot")</f>
        <v>show blot</v>
      </c>
      <c r="J2909" s="5" t="s">
        <v>5742</v>
      </c>
      <c r="L2909" s="11">
        <v>6.2281967703729046</v>
      </c>
      <c r="N2909" s="12"/>
    </row>
    <row r="2910" spans="1:14" s="5" customFormat="1" ht="15" customHeight="1" x14ac:dyDescent="0.25">
      <c r="A2910" s="9" t="s">
        <v>5743</v>
      </c>
      <c r="C2910" s="9" t="str">
        <f>HYPERLINK("http://www.ncbi.nlm.nih.gov/protein/149262895","Gm5633")</f>
        <v>Gm5633</v>
      </c>
      <c r="D2910" s="10">
        <f t="shared" si="45"/>
        <v>4.9073304587303257</v>
      </c>
      <c r="F2910" s="8" t="str">
        <f>HYPERLINK("https://esbl.nhlbi.nih.gov/Databases/mpkFractions/proteomic_fractions_log_files/Yang_log_img/149262895.jpg","show blot")</f>
        <v>show blot</v>
      </c>
      <c r="H2910" s="8" t="str">
        <f>HYPERLINK("https://esbl.nhlbi.nih.gov/Databases/mpkFractions/proteomic_fractions_linear_files/Yang_linear_img/149262895.jpg","show blot")</f>
        <v>show blot</v>
      </c>
      <c r="J2910" s="5" t="s">
        <v>5744</v>
      </c>
      <c r="L2910" s="11">
        <v>4.9073304587303257</v>
      </c>
      <c r="N2910" s="12"/>
    </row>
    <row r="2911" spans="1:14" s="5" customFormat="1" ht="15" customHeight="1" x14ac:dyDescent="0.25">
      <c r="A2911" s="9" t="s">
        <v>5745</v>
      </c>
      <c r="C2911" s="9" t="str">
        <f>HYPERLINK("http://www.ncbi.nlm.nih.gov/protein/83001127","Gm5637")</f>
        <v>Gm5637</v>
      </c>
      <c r="D2911" s="10">
        <f t="shared" si="45"/>
        <v>5.7495814896064434</v>
      </c>
      <c r="F2911" s="8" t="str">
        <f>HYPERLINK("https://esbl.nhlbi.nih.gov/Databases/mpkFractions/proteomic_fractions_log_files/Yang_log_img/83001127.jpg","show blot")</f>
        <v>show blot</v>
      </c>
      <c r="H2911" s="8" t="str">
        <f>HYPERLINK("https://esbl.nhlbi.nih.gov/Databases/mpkFractions/proteomic_fractions_linear_files/Yang_linear_img/83001127.jpg","show blot")</f>
        <v>show blot</v>
      </c>
      <c r="J2911" s="5" t="s">
        <v>5746</v>
      </c>
      <c r="L2911" s="11">
        <v>5.7495814896064434</v>
      </c>
      <c r="N2911" s="12"/>
    </row>
    <row r="2912" spans="1:14" s="5" customFormat="1" ht="15" customHeight="1" x14ac:dyDescent="0.25">
      <c r="A2912" s="9" t="s">
        <v>5747</v>
      </c>
      <c r="C2912" s="9" t="str">
        <f>HYPERLINK("http://www.ncbi.nlm.nih.gov/protein/85701506","Gm5662")</f>
        <v>Gm5662</v>
      </c>
      <c r="D2912" s="10">
        <f t="shared" si="45"/>
        <v>5.6331309333669566</v>
      </c>
      <c r="F2912" s="8" t="str">
        <f>HYPERLINK("https://esbl.nhlbi.nih.gov/Databases/mpkFractions/proteomic_fractions_log_files/Yang_log_img/85701506.jpg","show blot")</f>
        <v>show blot</v>
      </c>
      <c r="H2912" s="8" t="str">
        <f>HYPERLINK("https://esbl.nhlbi.nih.gov/Databases/mpkFractions/proteomic_fractions_linear_files/Yang_linear_img/85701506.jpg","show blot")</f>
        <v>show blot</v>
      </c>
      <c r="J2912" s="5" t="s">
        <v>5614</v>
      </c>
      <c r="L2912" s="11">
        <v>5.6331309333669566</v>
      </c>
      <c r="N2912" s="12"/>
    </row>
    <row r="2913" spans="1:14" s="5" customFormat="1" ht="15" customHeight="1" x14ac:dyDescent="0.25">
      <c r="A2913" s="9" t="s">
        <v>5748</v>
      </c>
      <c r="C2913" s="9" t="str">
        <f>HYPERLINK("http://www.ncbi.nlm.nih.gov/protein/407262667","Gm5662")</f>
        <v>Gm5662</v>
      </c>
      <c r="D2913" s="10">
        <f t="shared" si="45"/>
        <v>5.6331309333669566</v>
      </c>
      <c r="F2913" s="8" t="str">
        <f>HYPERLINK("https://esbl.nhlbi.nih.gov/Databases/mpkFractions/proteomic_fractions_log_files/Yang_log_img/407262667.jpg","show blot")</f>
        <v>show blot</v>
      </c>
      <c r="H2913" s="8" t="str">
        <f>HYPERLINK("https://esbl.nhlbi.nih.gov/Databases/mpkFractions/proteomic_fractions_linear_files/Yang_linear_img/407262667.jpg","show blot")</f>
        <v>show blot</v>
      </c>
      <c r="J2913" s="5" t="s">
        <v>5612</v>
      </c>
      <c r="L2913" s="11">
        <v>5.6331309333669566</v>
      </c>
      <c r="N2913" s="12"/>
    </row>
    <row r="2914" spans="1:14" s="5" customFormat="1" ht="15" customHeight="1" x14ac:dyDescent="0.25">
      <c r="A2914" s="9" t="s">
        <v>5749</v>
      </c>
      <c r="C2914" s="9" t="str">
        <f>HYPERLINK("http://www.ncbi.nlm.nih.gov/protein/82950935","Gm5792")</f>
        <v>Gm5792</v>
      </c>
      <c r="D2914" s="10">
        <f t="shared" si="45"/>
        <v>6.1630199544054092</v>
      </c>
      <c r="F2914" s="8" t="str">
        <f>HYPERLINK("https://esbl.nhlbi.nih.gov/Databases/mpkFractions/proteomic_fractions_log_files/Yang_log_img/82950935.jpg","show blot")</f>
        <v>show blot</v>
      </c>
      <c r="H2914" s="8" t="str">
        <f>HYPERLINK("https://esbl.nhlbi.nih.gov/Databases/mpkFractions/proteomic_fractions_linear_files/Yang_linear_img/82950935.jpg","show blot")</f>
        <v>show blot</v>
      </c>
      <c r="J2914" s="5" t="s">
        <v>5750</v>
      </c>
      <c r="L2914" s="11">
        <v>6.1630199544054092</v>
      </c>
      <c r="N2914" s="12"/>
    </row>
    <row r="2915" spans="1:14" s="5" customFormat="1" ht="15" customHeight="1" x14ac:dyDescent="0.25">
      <c r="A2915" s="9" t="s">
        <v>5751</v>
      </c>
      <c r="C2915" s="9" t="str">
        <f>HYPERLINK("http://www.ncbi.nlm.nih.gov/protein/260304980","Gm5803")</f>
        <v>Gm5803</v>
      </c>
      <c r="D2915" s="10">
        <f t="shared" si="45"/>
        <v>6.5755229562686948</v>
      </c>
      <c r="F2915" s="8" t="str">
        <f>HYPERLINK("https://esbl.nhlbi.nih.gov/Databases/mpkFractions/proteomic_fractions_log_files/Yang_log_img/260304980.jpg","show blot")</f>
        <v>show blot</v>
      </c>
      <c r="H2915" s="8" t="str">
        <f>HYPERLINK("https://esbl.nhlbi.nih.gov/Databases/mpkFractions/proteomic_fractions_linear_files/Yang_linear_img/260304980.jpg","show blot")</f>
        <v>show blot</v>
      </c>
      <c r="J2915" s="5" t="s">
        <v>5752</v>
      </c>
      <c r="L2915" s="11">
        <v>6.5755229562686948</v>
      </c>
      <c r="N2915" s="12"/>
    </row>
    <row r="2916" spans="1:14" s="5" customFormat="1" ht="15" customHeight="1" x14ac:dyDescent="0.25">
      <c r="A2916" s="9" t="s">
        <v>5753</v>
      </c>
      <c r="C2916" s="9" t="str">
        <f>HYPERLINK("http://www.ncbi.nlm.nih.gov/protein/309270629","Gm5806")</f>
        <v>Gm5806</v>
      </c>
      <c r="D2916" s="10">
        <f t="shared" si="45"/>
        <v>3.103133827919657</v>
      </c>
      <c r="F2916" s="8" t="str">
        <f>HYPERLINK("https://esbl.nhlbi.nih.gov/Databases/mpkFractions/proteomic_fractions_log_files/Yang_log_img/309270629.jpg","show blot")</f>
        <v>show blot</v>
      </c>
      <c r="H2916" s="8" t="str">
        <f>HYPERLINK("https://esbl.nhlbi.nih.gov/Databases/mpkFractions/proteomic_fractions_linear_files/Yang_linear_img/309270629.jpg","show blot")</f>
        <v>show blot</v>
      </c>
      <c r="J2916" s="5" t="s">
        <v>5754</v>
      </c>
      <c r="L2916" s="11">
        <v>3.103133827919657</v>
      </c>
      <c r="N2916" s="12"/>
    </row>
    <row r="2917" spans="1:14" s="5" customFormat="1" ht="15" customHeight="1" x14ac:dyDescent="0.25">
      <c r="A2917" s="9" t="s">
        <v>5755</v>
      </c>
      <c r="C2917" s="9" t="str">
        <f>HYPERLINK("http://www.ncbi.nlm.nih.gov/protein/309264759","Gm5848")</f>
        <v>Gm5848</v>
      </c>
      <c r="D2917" s="10">
        <f t="shared" si="45"/>
        <v>6.3198727226585572</v>
      </c>
      <c r="F2917" s="8" t="str">
        <f>HYPERLINK("https://esbl.nhlbi.nih.gov/Databases/mpkFractions/proteomic_fractions_log_files/Yang_log_img/309264759.jpg","show blot")</f>
        <v>show blot</v>
      </c>
      <c r="H2917" s="8" t="str">
        <f>HYPERLINK("https://esbl.nhlbi.nih.gov/Databases/mpkFractions/proteomic_fractions_linear_files/Yang_linear_img/309264759.jpg","show blot")</f>
        <v>show blot</v>
      </c>
      <c r="J2917" s="5" t="s">
        <v>5756</v>
      </c>
      <c r="L2917" s="11">
        <v>6.3198727226585572</v>
      </c>
      <c r="N2917" s="12"/>
    </row>
    <row r="2918" spans="1:14" s="5" customFormat="1" ht="15" customHeight="1" x14ac:dyDescent="0.25">
      <c r="A2918" s="9" t="s">
        <v>5757</v>
      </c>
      <c r="C2918" s="9" t="str">
        <f>HYPERLINK("http://www.ncbi.nlm.nih.gov/protein/63501063","Gm5848")</f>
        <v>Gm5848</v>
      </c>
      <c r="D2918" s="10">
        <f t="shared" si="45"/>
        <v>6.3198727226585572</v>
      </c>
      <c r="F2918" s="8" t="str">
        <f>HYPERLINK("https://esbl.nhlbi.nih.gov/Databases/mpkFractions/proteomic_fractions_log_files/Yang_log_img/63501063.jpg","show blot")</f>
        <v>show blot</v>
      </c>
      <c r="H2918" s="8" t="str">
        <f>HYPERLINK("https://esbl.nhlbi.nih.gov/Databases/mpkFractions/proteomic_fractions_linear_files/Yang_linear_img/63501063.jpg","show blot")</f>
        <v>show blot</v>
      </c>
      <c r="J2918" s="5" t="s">
        <v>5756</v>
      </c>
      <c r="L2918" s="11">
        <v>6.3198727226585572</v>
      </c>
      <c r="N2918" s="12"/>
    </row>
    <row r="2919" spans="1:14" s="5" customFormat="1" ht="15" customHeight="1" x14ac:dyDescent="0.25">
      <c r="A2919" s="9" t="s">
        <v>5758</v>
      </c>
      <c r="C2919" s="9" t="str">
        <f>HYPERLINK("http://www.ncbi.nlm.nih.gov/protein/82891539","Gm5858")</f>
        <v>Gm5858</v>
      </c>
      <c r="D2919" s="10">
        <f t="shared" si="45"/>
        <v>5.6887073617697137</v>
      </c>
      <c r="F2919" s="8" t="str">
        <f>HYPERLINK("https://esbl.nhlbi.nih.gov/Databases/mpkFractions/proteomic_fractions_log_files/Yang_log_img/82891539.jpg","show blot")</f>
        <v>show blot</v>
      </c>
      <c r="H2919" s="8" t="str">
        <f>HYPERLINK("https://esbl.nhlbi.nih.gov/Databases/mpkFractions/proteomic_fractions_linear_files/Yang_linear_img/82891539.jpg","show blot")</f>
        <v>show blot</v>
      </c>
      <c r="J2919" s="5" t="s">
        <v>5759</v>
      </c>
      <c r="L2919" s="11">
        <v>5.6887073617697137</v>
      </c>
      <c r="N2919" s="12"/>
    </row>
    <row r="2920" spans="1:14" s="5" customFormat="1" ht="15" customHeight="1" x14ac:dyDescent="0.25">
      <c r="A2920" s="9" t="s">
        <v>5760</v>
      </c>
      <c r="C2920" s="9" t="str">
        <f>HYPERLINK("http://www.ncbi.nlm.nih.gov/protein/309266232","Gm5908")</f>
        <v>Gm5908</v>
      </c>
      <c r="D2920" s="10">
        <f t="shared" si="45"/>
        <v>6.5634071826893408</v>
      </c>
      <c r="F2920" s="8" t="str">
        <f>HYPERLINK("https://esbl.nhlbi.nih.gov/Databases/mpkFractions/proteomic_fractions_log_files/Yang_log_img/309266232.jpg","show blot")</f>
        <v>show blot</v>
      </c>
      <c r="H2920" s="8" t="str">
        <f>HYPERLINK("https://esbl.nhlbi.nih.gov/Databases/mpkFractions/proteomic_fractions_linear_files/Yang_linear_img/309266232.jpg","show blot")</f>
        <v>show blot</v>
      </c>
      <c r="J2920" s="5" t="s">
        <v>5543</v>
      </c>
      <c r="L2920" s="11">
        <v>6.5634071826893408</v>
      </c>
      <c r="N2920" s="12"/>
    </row>
    <row r="2921" spans="1:14" s="5" customFormat="1" ht="15" customHeight="1" x14ac:dyDescent="0.25">
      <c r="A2921" s="9" t="s">
        <v>5761</v>
      </c>
      <c r="C2921" s="9" t="str">
        <f>HYPERLINK("http://www.ncbi.nlm.nih.gov/protein/82965725","Gm5963")</f>
        <v>Gm5963</v>
      </c>
      <c r="D2921" s="10">
        <f t="shared" si="45"/>
        <v>5.8433720684146984</v>
      </c>
      <c r="F2921" s="8" t="str">
        <f>HYPERLINK("https://esbl.nhlbi.nih.gov/Databases/mpkFractions/proteomic_fractions_log_files/Yang_log_img/82965725.jpg","show blot")</f>
        <v>show blot</v>
      </c>
      <c r="H2921" s="8" t="str">
        <f>HYPERLINK("https://esbl.nhlbi.nih.gov/Databases/mpkFractions/proteomic_fractions_linear_files/Yang_linear_img/82965725.jpg","show blot")</f>
        <v>show blot</v>
      </c>
      <c r="J2921" s="5" t="s">
        <v>5762</v>
      </c>
      <c r="L2921" s="11">
        <v>5.8433720684146984</v>
      </c>
      <c r="N2921" s="12"/>
    </row>
    <row r="2922" spans="1:14" s="5" customFormat="1" ht="15" customHeight="1" x14ac:dyDescent="0.25">
      <c r="A2922" s="9" t="s">
        <v>5763</v>
      </c>
      <c r="C2922" s="9" t="str">
        <f>HYPERLINK("http://www.ncbi.nlm.nih.gov/protein/82952096","Gm6109")</f>
        <v>Gm6109</v>
      </c>
      <c r="D2922" s="10">
        <f t="shared" si="45"/>
        <v>6.1412854139109916</v>
      </c>
      <c r="F2922" s="8" t="str">
        <f>HYPERLINK("https://esbl.nhlbi.nih.gov/Databases/mpkFractions/proteomic_fractions_log_files/Yang_log_img/82952096.jpg","show blot")</f>
        <v>show blot</v>
      </c>
      <c r="H2922" s="8" t="str">
        <f>HYPERLINK("https://esbl.nhlbi.nih.gov/Databases/mpkFractions/proteomic_fractions_linear_files/Yang_linear_img/82952096.jpg","show blot")</f>
        <v>show blot</v>
      </c>
      <c r="J2922" s="5" t="s">
        <v>5725</v>
      </c>
      <c r="L2922" s="11">
        <v>6.1412854139109916</v>
      </c>
      <c r="N2922" s="12"/>
    </row>
    <row r="2923" spans="1:14" s="5" customFormat="1" ht="15" customHeight="1" x14ac:dyDescent="0.25">
      <c r="A2923" s="9" t="s">
        <v>5764</v>
      </c>
      <c r="C2923" s="9" t="str">
        <f>HYPERLINK("http://www.ncbi.nlm.nih.gov/protein/407262070","Gm6115")</f>
        <v>Gm6115</v>
      </c>
      <c r="D2923" s="10">
        <f t="shared" si="45"/>
        <v>6.5564536057788354</v>
      </c>
      <c r="F2923" s="8" t="str">
        <f>HYPERLINK("https://esbl.nhlbi.nih.gov/Databases/mpkFractions/proteomic_fractions_log_files/Yang_log_img/407262070.jpg","show blot")</f>
        <v>show blot</v>
      </c>
      <c r="H2923" s="8" t="str">
        <f>HYPERLINK("https://esbl.nhlbi.nih.gov/Databases/mpkFractions/proteomic_fractions_linear_files/Yang_linear_img/407262070.jpg","show blot")</f>
        <v>show blot</v>
      </c>
      <c r="J2923" s="5" t="s">
        <v>5631</v>
      </c>
      <c r="L2923" s="11">
        <v>6.5564536057788354</v>
      </c>
      <c r="N2923" s="12"/>
    </row>
    <row r="2924" spans="1:14" s="5" customFormat="1" ht="15" customHeight="1" x14ac:dyDescent="0.25">
      <c r="A2924" s="9" t="s">
        <v>5765</v>
      </c>
      <c r="C2924" s="9" t="str">
        <f>HYPERLINK("http://www.ncbi.nlm.nih.gov/protein/407263905","Gm6115")</f>
        <v>Gm6115</v>
      </c>
      <c r="D2924" s="10">
        <f t="shared" si="45"/>
        <v>6.5564536057788354</v>
      </c>
      <c r="F2924" s="8" t="str">
        <f>HYPERLINK("https://esbl.nhlbi.nih.gov/Databases/mpkFractions/proteomic_fractions_log_files/Yang_log_img/407263905.jpg","show blot")</f>
        <v>show blot</v>
      </c>
      <c r="H2924" s="8" t="str">
        <f>HYPERLINK("https://esbl.nhlbi.nih.gov/Databases/mpkFractions/proteomic_fractions_linear_files/Yang_linear_img/407263905.jpg","show blot")</f>
        <v>show blot</v>
      </c>
      <c r="J2924" s="5" t="s">
        <v>5766</v>
      </c>
      <c r="L2924" s="11">
        <v>6.5564536057788354</v>
      </c>
      <c r="N2924" s="12"/>
    </row>
    <row r="2925" spans="1:14" s="5" customFormat="1" ht="15" customHeight="1" x14ac:dyDescent="0.25">
      <c r="A2925" s="9" t="s">
        <v>5767</v>
      </c>
      <c r="C2925" s="9" t="str">
        <f>HYPERLINK("http://www.ncbi.nlm.nih.gov/protein/407261316","Gm6139")</f>
        <v>Gm6139</v>
      </c>
      <c r="D2925" s="10">
        <f t="shared" si="45"/>
        <v>6.846565652517639</v>
      </c>
      <c r="F2925" s="8" t="str">
        <f>HYPERLINK("https://esbl.nhlbi.nih.gov/Databases/mpkFractions/proteomic_fractions_log_files/Yang_log_img/407261316.jpg","show blot")</f>
        <v>show blot</v>
      </c>
      <c r="H2925" s="8" t="str">
        <f>HYPERLINK("https://esbl.nhlbi.nih.gov/Databases/mpkFractions/proteomic_fractions_linear_files/Yang_linear_img/407261316.jpg","show blot")</f>
        <v>show blot</v>
      </c>
      <c r="J2925" s="5" t="s">
        <v>5768</v>
      </c>
      <c r="L2925" s="11">
        <v>6.846565652517639</v>
      </c>
      <c r="N2925" s="12"/>
    </row>
    <row r="2926" spans="1:14" s="5" customFormat="1" ht="15" customHeight="1" x14ac:dyDescent="0.25">
      <c r="A2926" s="9" t="s">
        <v>5769</v>
      </c>
      <c r="C2926" s="9" t="str">
        <f>HYPERLINK("http://www.ncbi.nlm.nih.gov/protein/85701852","Gm614")</f>
        <v>Gm614</v>
      </c>
      <c r="D2926" s="10">
        <f t="shared" si="45"/>
        <v>2.8887409606828931</v>
      </c>
      <c r="F2926" s="8" t="str">
        <f>HYPERLINK("https://esbl.nhlbi.nih.gov/Databases/mpkFractions/proteomic_fractions_log_files/Yang_log_img/85701852.jpg","show blot")</f>
        <v>show blot</v>
      </c>
      <c r="H2926" s="8" t="str">
        <f>HYPERLINK("https://esbl.nhlbi.nih.gov/Databases/mpkFractions/proteomic_fractions_linear_files/Yang_linear_img/85701852.jpg","show blot")</f>
        <v>show blot</v>
      </c>
      <c r="J2926" s="5" t="s">
        <v>5770</v>
      </c>
      <c r="L2926" s="11">
        <v>2.8887409606828931</v>
      </c>
      <c r="N2926" s="12"/>
    </row>
    <row r="2927" spans="1:14" s="5" customFormat="1" ht="15" customHeight="1" x14ac:dyDescent="0.25">
      <c r="A2927" s="9" t="s">
        <v>5771</v>
      </c>
      <c r="C2927" s="9" t="str">
        <f>HYPERLINK("http://www.ncbi.nlm.nih.gov/protein/309265975","Gm6155")</f>
        <v>Gm6155</v>
      </c>
      <c r="D2927" s="10">
        <f t="shared" si="45"/>
        <v>5.2677540587595653</v>
      </c>
      <c r="F2927" s="8" t="str">
        <f>HYPERLINK("https://esbl.nhlbi.nih.gov/Databases/mpkFractions/proteomic_fractions_log_files/Yang_log_img/309265975.jpg","show blot")</f>
        <v>show blot</v>
      </c>
      <c r="H2927" s="8" t="str">
        <f>HYPERLINK("https://esbl.nhlbi.nih.gov/Databases/mpkFractions/proteomic_fractions_linear_files/Yang_linear_img/309265975.jpg","show blot")</f>
        <v>show blot</v>
      </c>
      <c r="J2927" s="5" t="s">
        <v>5723</v>
      </c>
      <c r="L2927" s="11">
        <v>5.2677540587595653</v>
      </c>
      <c r="N2927" s="12"/>
    </row>
    <row r="2928" spans="1:14" s="5" customFormat="1" ht="15" customHeight="1" x14ac:dyDescent="0.25">
      <c r="A2928" s="9" t="s">
        <v>5772</v>
      </c>
      <c r="C2928" s="9" t="str">
        <f>HYPERLINK("http://www.ncbi.nlm.nih.gov/protein/309268860","Gm6155")</f>
        <v>Gm6155</v>
      </c>
      <c r="D2928" s="10">
        <f t="shared" si="45"/>
        <v>5.2677540587595653</v>
      </c>
      <c r="F2928" s="8" t="str">
        <f>HYPERLINK("https://esbl.nhlbi.nih.gov/Databases/mpkFractions/proteomic_fractions_log_files/Yang_log_img/309268860.jpg","show blot")</f>
        <v>show blot</v>
      </c>
      <c r="H2928" s="8" t="str">
        <f>HYPERLINK("https://esbl.nhlbi.nih.gov/Databases/mpkFractions/proteomic_fractions_linear_files/Yang_linear_img/309268860.jpg","show blot")</f>
        <v>show blot</v>
      </c>
      <c r="J2928" s="5" t="s">
        <v>5723</v>
      </c>
      <c r="L2928" s="11">
        <v>5.2677540587595653</v>
      </c>
      <c r="N2928" s="12"/>
    </row>
    <row r="2929" spans="1:14" s="5" customFormat="1" ht="15" customHeight="1" x14ac:dyDescent="0.25">
      <c r="A2929" s="9" t="s">
        <v>5773</v>
      </c>
      <c r="C2929" s="9" t="str">
        <f>HYPERLINK("http://www.ncbi.nlm.nih.gov/protein/407262102","Gm6158")</f>
        <v>Gm6158</v>
      </c>
      <c r="D2929" s="10">
        <f t="shared" si="45"/>
        <v>4.9800406574117426</v>
      </c>
      <c r="F2929" s="8" t="str">
        <f>HYPERLINK("https://esbl.nhlbi.nih.gov/Databases/mpkFractions/proteomic_fractions_log_files/Yang_log_img/407262102.jpg","show blot")</f>
        <v>show blot</v>
      </c>
      <c r="H2929" s="8" t="str">
        <f>HYPERLINK("https://esbl.nhlbi.nih.gov/Databases/mpkFractions/proteomic_fractions_linear_files/Yang_linear_img/407262102.jpg","show blot")</f>
        <v>show blot</v>
      </c>
      <c r="J2929" s="5" t="s">
        <v>5774</v>
      </c>
      <c r="L2929" s="11">
        <v>4.9800406574117426</v>
      </c>
      <c r="N2929" s="12"/>
    </row>
    <row r="2930" spans="1:14" s="5" customFormat="1" ht="15" customHeight="1" x14ac:dyDescent="0.25">
      <c r="A2930" s="9" t="s">
        <v>5775</v>
      </c>
      <c r="C2930" s="9" t="str">
        <f>HYPERLINK("http://www.ncbi.nlm.nih.gov/protein/377833664","Gm6177")</f>
        <v>Gm6177</v>
      </c>
      <c r="D2930" s="10">
        <f t="shared" si="45"/>
        <v>6.1455880801232947</v>
      </c>
      <c r="F2930" s="8" t="str">
        <f>HYPERLINK("https://esbl.nhlbi.nih.gov/Databases/mpkFractions/proteomic_fractions_log_files/Yang_log_img/377833664.jpg","show blot")</f>
        <v>show blot</v>
      </c>
      <c r="H2930" s="8" t="str">
        <f>HYPERLINK("https://esbl.nhlbi.nih.gov/Databases/mpkFractions/proteomic_fractions_linear_files/Yang_linear_img/377833664.jpg","show blot")</f>
        <v>show blot</v>
      </c>
      <c r="J2930" s="5" t="s">
        <v>5776</v>
      </c>
      <c r="L2930" s="11">
        <v>6.1455880801232947</v>
      </c>
      <c r="N2930" s="12"/>
    </row>
    <row r="2931" spans="1:14" s="5" customFormat="1" ht="15" customHeight="1" x14ac:dyDescent="0.25">
      <c r="A2931" s="9" t="s">
        <v>5777</v>
      </c>
      <c r="C2931" s="9" t="str">
        <f>HYPERLINK("http://www.ncbi.nlm.nih.gov/protein/82883044","Gm6177")</f>
        <v>Gm6177</v>
      </c>
      <c r="D2931" s="10">
        <f t="shared" si="45"/>
        <v>6.1455880801232947</v>
      </c>
      <c r="F2931" s="8" t="str">
        <f>HYPERLINK("https://esbl.nhlbi.nih.gov/Databases/mpkFractions/proteomic_fractions_log_files/Yang_log_img/82883044.jpg","show blot")</f>
        <v>show blot</v>
      </c>
      <c r="H2931" s="8" t="str">
        <f>HYPERLINK("https://esbl.nhlbi.nih.gov/Databases/mpkFractions/proteomic_fractions_linear_files/Yang_linear_img/82883044.jpg","show blot")</f>
        <v>show blot</v>
      </c>
      <c r="J2931" s="5" t="s">
        <v>5776</v>
      </c>
      <c r="L2931" s="11">
        <v>6.1455880801232947</v>
      </c>
      <c r="N2931" s="12"/>
    </row>
    <row r="2932" spans="1:14" s="5" customFormat="1" ht="15" customHeight="1" x14ac:dyDescent="0.25">
      <c r="A2932" s="9" t="s">
        <v>5778</v>
      </c>
      <c r="C2932" s="9" t="str">
        <f>HYPERLINK("http://www.ncbi.nlm.nih.gov/protein/82795390","Gm6195")</f>
        <v>Gm6195</v>
      </c>
      <c r="D2932" s="10">
        <f t="shared" si="45"/>
        <v>5.3447087063945702</v>
      </c>
      <c r="F2932" s="8" t="str">
        <f>HYPERLINK("https://esbl.nhlbi.nih.gov/Databases/mpkFractions/proteomic_fractions_log_files/Yang_log_img/82795390.jpg","show blot")</f>
        <v>show blot</v>
      </c>
      <c r="H2932" s="8" t="str">
        <f>HYPERLINK("https://esbl.nhlbi.nih.gov/Databases/mpkFractions/proteomic_fractions_linear_files/Yang_linear_img/82795390.jpg","show blot")</f>
        <v>show blot</v>
      </c>
      <c r="J2932" s="5" t="s">
        <v>5779</v>
      </c>
      <c r="L2932" s="11">
        <v>5.3447087063945702</v>
      </c>
      <c r="N2932" s="12"/>
    </row>
    <row r="2933" spans="1:14" s="5" customFormat="1" ht="15" customHeight="1" x14ac:dyDescent="0.25">
      <c r="A2933" s="9" t="s">
        <v>5780</v>
      </c>
      <c r="C2933" s="9" t="str">
        <f>HYPERLINK("http://www.ncbi.nlm.nih.gov/protein/82795935","Gm6195")</f>
        <v>Gm6195</v>
      </c>
      <c r="D2933" s="10">
        <f t="shared" si="45"/>
        <v>5.3447087063945702</v>
      </c>
      <c r="F2933" s="8" t="str">
        <f>HYPERLINK("https://esbl.nhlbi.nih.gov/Databases/mpkFractions/proteomic_fractions_log_files/Yang_log_img/82795935.jpg","show blot")</f>
        <v>show blot</v>
      </c>
      <c r="H2933" s="8" t="str">
        <f>HYPERLINK("https://esbl.nhlbi.nih.gov/Databases/mpkFractions/proteomic_fractions_linear_files/Yang_linear_img/82795935.jpg","show blot")</f>
        <v>show blot</v>
      </c>
      <c r="J2933" s="5" t="s">
        <v>5779</v>
      </c>
      <c r="L2933" s="11">
        <v>5.3447087063945702</v>
      </c>
      <c r="N2933" s="12"/>
    </row>
    <row r="2934" spans="1:14" s="5" customFormat="1" ht="15" customHeight="1" x14ac:dyDescent="0.25">
      <c r="A2934" s="9" t="s">
        <v>5781</v>
      </c>
      <c r="C2934" s="9" t="str">
        <f>HYPERLINK("http://www.ncbi.nlm.nih.gov/protein/283945554","Gm6251")</f>
        <v>Gm6251</v>
      </c>
      <c r="D2934" s="10">
        <f t="shared" si="45"/>
        <v>6.0357869253857626</v>
      </c>
      <c r="F2934" s="8" t="str">
        <f>HYPERLINK("https://esbl.nhlbi.nih.gov/Databases/mpkFractions/proteomic_fractions_log_files/Yang_log_img/283945554.jpg","show blot")</f>
        <v>show blot</v>
      </c>
      <c r="H2934" s="8" t="str">
        <f>HYPERLINK("https://esbl.nhlbi.nih.gov/Databases/mpkFractions/proteomic_fractions_linear_files/Yang_linear_img/283945554.jpg","show blot")</f>
        <v>show blot</v>
      </c>
      <c r="J2934" s="5" t="s">
        <v>5782</v>
      </c>
      <c r="L2934" s="11">
        <v>6.0357869253857626</v>
      </c>
      <c r="N2934" s="12"/>
    </row>
    <row r="2935" spans="1:14" s="5" customFormat="1" ht="15" customHeight="1" x14ac:dyDescent="0.25">
      <c r="A2935" s="9" t="s">
        <v>5783</v>
      </c>
      <c r="C2935" s="9" t="str">
        <f>HYPERLINK("http://www.ncbi.nlm.nih.gov/protein/309265684","Gm6253")</f>
        <v>Gm6253</v>
      </c>
      <c r="D2935" s="10">
        <f t="shared" si="45"/>
        <v>3.4589606161194921</v>
      </c>
      <c r="F2935" s="8" t="str">
        <f>HYPERLINK("https://esbl.nhlbi.nih.gov/Databases/mpkFractions/proteomic_fractions_log_files/Yang_log_img/309265684.jpg","show blot")</f>
        <v>show blot</v>
      </c>
      <c r="H2935" s="8" t="str">
        <f>HYPERLINK("https://esbl.nhlbi.nih.gov/Databases/mpkFractions/proteomic_fractions_linear_files/Yang_linear_img/309265684.jpg","show blot")</f>
        <v>show blot</v>
      </c>
      <c r="J2935" s="5" t="s">
        <v>5784</v>
      </c>
      <c r="L2935" s="11">
        <v>3.4589606161194921</v>
      </c>
      <c r="N2935" s="12"/>
    </row>
    <row r="2936" spans="1:14" s="5" customFormat="1" ht="15" customHeight="1" x14ac:dyDescent="0.25">
      <c r="A2936" s="9" t="s">
        <v>5785</v>
      </c>
      <c r="C2936" s="9" t="str">
        <f>HYPERLINK("http://www.ncbi.nlm.nih.gov/protein/82914650","Gm6314")</f>
        <v>Gm6314</v>
      </c>
      <c r="D2936" s="10">
        <f t="shared" si="45"/>
        <v>4.2937238735202081</v>
      </c>
      <c r="F2936" s="8" t="str">
        <f>HYPERLINK("https://esbl.nhlbi.nih.gov/Databases/mpkFractions/proteomic_fractions_log_files/Yang_log_img/82914650.jpg","show blot")</f>
        <v>show blot</v>
      </c>
      <c r="H2936" s="8" t="str">
        <f>HYPERLINK("https://esbl.nhlbi.nih.gov/Databases/mpkFractions/proteomic_fractions_linear_files/Yang_linear_img/82914650.jpg","show blot")</f>
        <v>show blot</v>
      </c>
      <c r="J2936" s="5" t="s">
        <v>5786</v>
      </c>
      <c r="L2936" s="11">
        <v>4.2937238735202081</v>
      </c>
      <c r="N2936" s="12"/>
    </row>
    <row r="2937" spans="1:14" s="5" customFormat="1" ht="15" customHeight="1" x14ac:dyDescent="0.25">
      <c r="A2937" s="9" t="s">
        <v>5787</v>
      </c>
      <c r="C2937" s="9" t="str">
        <f>HYPERLINK("http://www.ncbi.nlm.nih.gov/protein/407264048","Gm6330")</f>
        <v>Gm6330</v>
      </c>
      <c r="D2937" s="10">
        <f t="shared" si="45"/>
        <v>3.105811136261829</v>
      </c>
      <c r="F2937" s="8" t="str">
        <f>HYPERLINK("https://esbl.nhlbi.nih.gov/Databases/mpkFractions/proteomic_fractions_log_files/Yang_log_img/407264048.jpg","show blot")</f>
        <v>show blot</v>
      </c>
      <c r="H2937" s="8" t="str">
        <f>HYPERLINK("https://esbl.nhlbi.nih.gov/Databases/mpkFractions/proteomic_fractions_linear_files/Yang_linear_img/407264048.jpg","show blot")</f>
        <v>show blot</v>
      </c>
      <c r="J2937" s="5" t="s">
        <v>5788</v>
      </c>
      <c r="L2937" s="11">
        <v>3.105811136261829</v>
      </c>
      <c r="N2937" s="12"/>
    </row>
    <row r="2938" spans="1:14" s="5" customFormat="1" ht="15" customHeight="1" x14ac:dyDescent="0.25">
      <c r="A2938" s="9" t="s">
        <v>5789</v>
      </c>
      <c r="C2938" s="9" t="str">
        <f>HYPERLINK("http://www.ncbi.nlm.nih.gov/protein/407263925","Gm6404")</f>
        <v>Gm6404</v>
      </c>
      <c r="D2938" s="10">
        <f t="shared" si="45"/>
        <v>6.073868719784798</v>
      </c>
      <c r="F2938" s="8" t="str">
        <f>HYPERLINK("https://esbl.nhlbi.nih.gov/Databases/mpkFractions/proteomic_fractions_log_files/Yang_log_img/407263925.jpg","show blot")</f>
        <v>show blot</v>
      </c>
      <c r="H2938" s="8" t="str">
        <f>HYPERLINK("https://esbl.nhlbi.nih.gov/Databases/mpkFractions/proteomic_fractions_linear_files/Yang_linear_img/407263925.jpg","show blot")</f>
        <v>show blot</v>
      </c>
      <c r="J2938" s="5" t="s">
        <v>5790</v>
      </c>
      <c r="L2938" s="11">
        <v>6.073868719784798</v>
      </c>
      <c r="N2938" s="12"/>
    </row>
    <row r="2939" spans="1:14" s="5" customFormat="1" ht="15" customHeight="1" x14ac:dyDescent="0.25">
      <c r="A2939" s="9" t="s">
        <v>5791</v>
      </c>
      <c r="C2939" s="9" t="str">
        <f>HYPERLINK("http://www.ncbi.nlm.nih.gov/protein/309265963","Gm6415")</f>
        <v>Gm6415</v>
      </c>
      <c r="D2939" s="10">
        <f t="shared" si="45"/>
        <v>5.1758965290055308</v>
      </c>
      <c r="F2939" s="8" t="str">
        <f>HYPERLINK("https://esbl.nhlbi.nih.gov/Databases/mpkFractions/proteomic_fractions_log_files/Yang_log_img/309265963.jpg","show blot")</f>
        <v>show blot</v>
      </c>
      <c r="H2939" s="8" t="str">
        <f>HYPERLINK("https://esbl.nhlbi.nih.gov/Databases/mpkFractions/proteomic_fractions_linear_files/Yang_linear_img/309265963.jpg","show blot")</f>
        <v>show blot</v>
      </c>
      <c r="J2939" s="5" t="s">
        <v>5792</v>
      </c>
      <c r="L2939" s="11">
        <v>5.1758965290055308</v>
      </c>
      <c r="N2939" s="12"/>
    </row>
    <row r="2940" spans="1:14" s="5" customFormat="1" ht="15" customHeight="1" x14ac:dyDescent="0.25">
      <c r="A2940" s="9" t="s">
        <v>5793</v>
      </c>
      <c r="C2940" s="9" t="str">
        <f>HYPERLINK("http://www.ncbi.nlm.nih.gov/protein/82906344","Gm6415")</f>
        <v>Gm6415</v>
      </c>
      <c r="D2940" s="10">
        <f t="shared" si="45"/>
        <v>5.1758965290055308</v>
      </c>
      <c r="F2940" s="8" t="str">
        <f>HYPERLINK("https://esbl.nhlbi.nih.gov/Databases/mpkFractions/proteomic_fractions_log_files/Yang_log_img/82906344.jpg","show blot")</f>
        <v>show blot</v>
      </c>
      <c r="H2940" s="8" t="str">
        <f>HYPERLINK("https://esbl.nhlbi.nih.gov/Databases/mpkFractions/proteomic_fractions_linear_files/Yang_linear_img/82906344.jpg","show blot")</f>
        <v>show blot</v>
      </c>
      <c r="J2940" s="5" t="s">
        <v>5792</v>
      </c>
      <c r="L2940" s="11">
        <v>5.1758965290055308</v>
      </c>
      <c r="N2940" s="12"/>
    </row>
    <row r="2941" spans="1:14" s="5" customFormat="1" ht="15" customHeight="1" x14ac:dyDescent="0.25">
      <c r="A2941" s="9" t="s">
        <v>5794</v>
      </c>
      <c r="C2941" s="9" t="str">
        <f>HYPERLINK("http://www.ncbi.nlm.nih.gov/protein/348041355","Gm6432")</f>
        <v>Gm6432</v>
      </c>
      <c r="D2941" s="10">
        <f t="shared" si="45"/>
        <v>3.827651828495914</v>
      </c>
      <c r="F2941" s="8" t="str">
        <f>HYPERLINK("https://esbl.nhlbi.nih.gov/Databases/mpkFractions/proteomic_fractions_log_files/Yang_log_img/348041355.jpg","show blot")</f>
        <v>show blot</v>
      </c>
      <c r="H2941" s="8" t="str">
        <f>HYPERLINK("https://esbl.nhlbi.nih.gov/Databases/mpkFractions/proteomic_fractions_linear_files/Yang_linear_img/348041355.jpg","show blot")</f>
        <v>show blot</v>
      </c>
      <c r="J2941" s="5" t="s">
        <v>5795</v>
      </c>
      <c r="L2941" s="11">
        <v>3.827651828495914</v>
      </c>
      <c r="N2941" s="12"/>
    </row>
    <row r="2942" spans="1:14" s="5" customFormat="1" ht="15" customHeight="1" x14ac:dyDescent="0.25">
      <c r="A2942" s="9" t="s">
        <v>5796</v>
      </c>
      <c r="C2942" s="9" t="str">
        <f>HYPERLINK("http://www.ncbi.nlm.nih.gov/protein/82952669","Gm6436")</f>
        <v>Gm6436</v>
      </c>
      <c r="D2942" s="10">
        <f t="shared" si="45"/>
        <v>6.8340666510431634</v>
      </c>
      <c r="F2942" s="8" t="str">
        <f>HYPERLINK("https://esbl.nhlbi.nih.gov/Databases/mpkFractions/proteomic_fractions_log_files/Yang_log_img/82952669.jpg","show blot")</f>
        <v>show blot</v>
      </c>
      <c r="H2942" s="8" t="str">
        <f>HYPERLINK("https://esbl.nhlbi.nih.gov/Databases/mpkFractions/proteomic_fractions_linear_files/Yang_linear_img/82952669.jpg","show blot")</f>
        <v>show blot</v>
      </c>
      <c r="J2942" s="5" t="s">
        <v>5797</v>
      </c>
      <c r="L2942" s="11">
        <v>6.8340666510431634</v>
      </c>
      <c r="N2942" s="12"/>
    </row>
    <row r="2943" spans="1:14" s="5" customFormat="1" ht="15" customHeight="1" x14ac:dyDescent="0.25">
      <c r="A2943" s="9" t="s">
        <v>5798</v>
      </c>
      <c r="C2943" s="9" t="str">
        <f>HYPERLINK("http://www.ncbi.nlm.nih.gov/protein/407262458","Gm6500")</f>
        <v>Gm6500</v>
      </c>
      <c r="D2943" s="10">
        <f t="shared" si="45"/>
        <v>4.5364657651800364</v>
      </c>
      <c r="F2943" s="8" t="str">
        <f>HYPERLINK("https://esbl.nhlbi.nih.gov/Databases/mpkFractions/proteomic_fractions_log_files/Yang_log_img/407262458.jpg","show blot")</f>
        <v>show blot</v>
      </c>
      <c r="H2943" s="8" t="str">
        <f>HYPERLINK("https://esbl.nhlbi.nih.gov/Databases/mpkFractions/proteomic_fractions_linear_files/Yang_linear_img/407262458.jpg","show blot")</f>
        <v>show blot</v>
      </c>
      <c r="J2943" s="5" t="s">
        <v>5799</v>
      </c>
      <c r="L2943" s="11">
        <v>4.5364657651800364</v>
      </c>
      <c r="N2943" s="12"/>
    </row>
    <row r="2944" spans="1:14" s="5" customFormat="1" ht="15" customHeight="1" x14ac:dyDescent="0.25">
      <c r="A2944" s="9" t="s">
        <v>5800</v>
      </c>
      <c r="C2944" s="9" t="str">
        <f>HYPERLINK("http://www.ncbi.nlm.nih.gov/protein/407264342","Gm6500")</f>
        <v>Gm6500</v>
      </c>
      <c r="D2944" s="10">
        <f t="shared" si="45"/>
        <v>4.5364657651800364</v>
      </c>
      <c r="F2944" s="8" t="str">
        <f>HYPERLINK("https://esbl.nhlbi.nih.gov/Databases/mpkFractions/proteomic_fractions_log_files/Yang_log_img/407264342.jpg","show blot")</f>
        <v>show blot</v>
      </c>
      <c r="H2944" s="8" t="str">
        <f>HYPERLINK("https://esbl.nhlbi.nih.gov/Databases/mpkFractions/proteomic_fractions_linear_files/Yang_linear_img/407264342.jpg","show blot")</f>
        <v>show blot</v>
      </c>
      <c r="J2944" s="5" t="s">
        <v>5799</v>
      </c>
      <c r="L2944" s="11">
        <v>4.5364657651800364</v>
      </c>
      <c r="N2944" s="12"/>
    </row>
    <row r="2945" spans="1:14" s="5" customFormat="1" ht="15" customHeight="1" x14ac:dyDescent="0.25">
      <c r="A2945" s="9" t="s">
        <v>5801</v>
      </c>
      <c r="C2945" s="9" t="str">
        <f>HYPERLINK("http://www.ncbi.nlm.nih.gov/protein/85702318","Gm6531")</f>
        <v>Gm6531</v>
      </c>
      <c r="D2945" s="10">
        <f t="shared" si="45"/>
        <v>3.9917999394665178</v>
      </c>
      <c r="F2945" s="8" t="str">
        <f>HYPERLINK("https://esbl.nhlbi.nih.gov/Databases/mpkFractions/proteomic_fractions_log_files/Yang_log_img/85702318.jpg","show blot")</f>
        <v>show blot</v>
      </c>
      <c r="H2945" s="8" t="str">
        <f>HYPERLINK("https://esbl.nhlbi.nih.gov/Databases/mpkFractions/proteomic_fractions_linear_files/Yang_linear_img/85702318.jpg","show blot")</f>
        <v>show blot</v>
      </c>
      <c r="J2945" s="5" t="s">
        <v>5802</v>
      </c>
      <c r="L2945" s="11">
        <v>3.9917999394665178</v>
      </c>
      <c r="N2945" s="12"/>
    </row>
    <row r="2946" spans="1:14" s="5" customFormat="1" ht="15" customHeight="1" x14ac:dyDescent="0.25">
      <c r="A2946" s="9" t="s">
        <v>5803</v>
      </c>
      <c r="C2946" s="9" t="str">
        <f>HYPERLINK("http://www.ncbi.nlm.nih.gov/protein/149251558","Gm6570")</f>
        <v>Gm6570</v>
      </c>
      <c r="D2946" s="10">
        <f t="shared" si="45"/>
        <v>6.7075691031744507</v>
      </c>
      <c r="F2946" s="8" t="str">
        <f>HYPERLINK("https://esbl.nhlbi.nih.gov/Databases/mpkFractions/proteomic_fractions_log_files/Yang_log_img/149251558.jpg","show blot")</f>
        <v>show blot</v>
      </c>
      <c r="H2946" s="8" t="str">
        <f>HYPERLINK("https://esbl.nhlbi.nih.gov/Databases/mpkFractions/proteomic_fractions_linear_files/Yang_linear_img/149251558.jpg","show blot")</f>
        <v>show blot</v>
      </c>
      <c r="J2946" s="5" t="s">
        <v>5725</v>
      </c>
      <c r="L2946" s="11">
        <v>6.7075691031744507</v>
      </c>
      <c r="N2946" s="12"/>
    </row>
    <row r="2947" spans="1:14" s="5" customFormat="1" ht="15" customHeight="1" x14ac:dyDescent="0.25">
      <c r="A2947" s="9" t="s">
        <v>5804</v>
      </c>
      <c r="C2947" s="9" t="str">
        <f>HYPERLINK("http://www.ncbi.nlm.nih.gov/protein/82890078","Gm6570")</f>
        <v>Gm6570</v>
      </c>
      <c r="D2947" s="10">
        <f t="shared" si="45"/>
        <v>6.7075691031744507</v>
      </c>
      <c r="F2947" s="8" t="str">
        <f>HYPERLINK("https://esbl.nhlbi.nih.gov/Databases/mpkFractions/proteomic_fractions_log_files/Yang_log_img/82890078.jpg","show blot")</f>
        <v>show blot</v>
      </c>
      <c r="H2947" s="8" t="str">
        <f>HYPERLINK("https://esbl.nhlbi.nih.gov/Databases/mpkFractions/proteomic_fractions_linear_files/Yang_linear_img/82890078.jpg","show blot")</f>
        <v>show blot</v>
      </c>
      <c r="J2947" s="5" t="s">
        <v>5725</v>
      </c>
      <c r="L2947" s="11">
        <v>6.7075691031744507</v>
      </c>
      <c r="N2947" s="12"/>
    </row>
    <row r="2948" spans="1:14" s="5" customFormat="1" ht="15" customHeight="1" x14ac:dyDescent="0.25">
      <c r="A2948" s="9" t="s">
        <v>5805</v>
      </c>
      <c r="C2948" s="9" t="str">
        <f>HYPERLINK("http://www.ncbi.nlm.nih.gov/protein/309262251","Gm6613")</f>
        <v>Gm6613</v>
      </c>
      <c r="D2948" s="10">
        <f t="shared" si="45"/>
        <v>6.2989892824654046</v>
      </c>
      <c r="F2948" s="8" t="str">
        <f>HYPERLINK("https://esbl.nhlbi.nih.gov/Databases/mpkFractions/proteomic_fractions_log_files/Yang_log_img/309262251.jpg","show blot")</f>
        <v>show blot</v>
      </c>
      <c r="H2948" s="8" t="str">
        <f>HYPERLINK("https://esbl.nhlbi.nih.gov/Databases/mpkFractions/proteomic_fractions_linear_files/Yang_linear_img/309262251.jpg","show blot")</f>
        <v>show blot</v>
      </c>
      <c r="J2948" s="5" t="s">
        <v>5468</v>
      </c>
      <c r="L2948" s="11">
        <v>6.2989892824654046</v>
      </c>
      <c r="N2948" s="12"/>
    </row>
    <row r="2949" spans="1:14" s="5" customFormat="1" ht="15" customHeight="1" x14ac:dyDescent="0.25">
      <c r="A2949" s="9" t="s">
        <v>5806</v>
      </c>
      <c r="C2949" s="9" t="str">
        <f>HYPERLINK("http://www.ncbi.nlm.nih.gov/protein/309271811","Gm6625")</f>
        <v>Gm6625</v>
      </c>
      <c r="D2949" s="10">
        <f t="shared" ref="D2949:D3012" si="46">L2949</f>
        <v>6.2222899055610306</v>
      </c>
      <c r="F2949" s="8" t="str">
        <f>HYPERLINK("https://esbl.nhlbi.nih.gov/Databases/mpkFractions/proteomic_fractions_log_files/Yang_log_img/309271811.jpg","show blot")</f>
        <v>show blot</v>
      </c>
      <c r="H2949" s="8" t="str">
        <f>HYPERLINK("https://esbl.nhlbi.nih.gov/Databases/mpkFractions/proteomic_fractions_linear_files/Yang_linear_img/309271811.jpg","show blot")</f>
        <v>show blot</v>
      </c>
      <c r="J2949" s="5" t="s">
        <v>5573</v>
      </c>
      <c r="L2949" s="11">
        <v>6.2222899055610306</v>
      </c>
      <c r="N2949" s="12"/>
    </row>
    <row r="2950" spans="1:14" s="5" customFormat="1" ht="15" customHeight="1" x14ac:dyDescent="0.25">
      <c r="A2950" s="9" t="s">
        <v>5807</v>
      </c>
      <c r="C2950" s="9" t="str">
        <f>HYPERLINK("http://www.ncbi.nlm.nih.gov/protein/407264254","Gm6747")</f>
        <v>Gm6747</v>
      </c>
      <c r="D2950" s="10">
        <f t="shared" si="46"/>
        <v>3.262079912460436</v>
      </c>
      <c r="F2950" s="8" t="str">
        <f>HYPERLINK("https://esbl.nhlbi.nih.gov/Databases/mpkFractions/proteomic_fractions_log_files/Yang_log_img/407264254.jpg","show blot")</f>
        <v>show blot</v>
      </c>
      <c r="H2950" s="8" t="str">
        <f>HYPERLINK("https://esbl.nhlbi.nih.gov/Databases/mpkFractions/proteomic_fractions_linear_files/Yang_linear_img/407264254.jpg","show blot")</f>
        <v>show blot</v>
      </c>
      <c r="J2950" s="5" t="s">
        <v>5808</v>
      </c>
      <c r="L2950" s="11">
        <v>3.262079912460436</v>
      </c>
      <c r="N2950" s="12"/>
    </row>
    <row r="2951" spans="1:14" s="5" customFormat="1" ht="15" customHeight="1" x14ac:dyDescent="0.25">
      <c r="A2951" s="9" t="s">
        <v>5809</v>
      </c>
      <c r="C2951" s="9" t="str">
        <f>HYPERLINK("http://www.ncbi.nlm.nih.gov/protein/82998543","Gm6747")</f>
        <v>Gm6747</v>
      </c>
      <c r="D2951" s="10">
        <f t="shared" si="46"/>
        <v>3.262079912460436</v>
      </c>
      <c r="F2951" s="8" t="str">
        <f>HYPERLINK("https://esbl.nhlbi.nih.gov/Databases/mpkFractions/proteomic_fractions_log_files/Yang_log_img/82998543.jpg","show blot")</f>
        <v>show blot</v>
      </c>
      <c r="H2951" s="8" t="str">
        <f>HYPERLINK("https://esbl.nhlbi.nih.gov/Databases/mpkFractions/proteomic_fractions_linear_files/Yang_linear_img/82998543.jpg","show blot")</f>
        <v>show blot</v>
      </c>
      <c r="J2951" s="5" t="s">
        <v>5810</v>
      </c>
      <c r="L2951" s="11">
        <v>3.262079912460436</v>
      </c>
      <c r="N2951" s="12"/>
    </row>
    <row r="2952" spans="1:14" s="5" customFormat="1" ht="15" customHeight="1" x14ac:dyDescent="0.25">
      <c r="A2952" s="9" t="s">
        <v>5811</v>
      </c>
      <c r="C2952" s="9" t="str">
        <f>HYPERLINK("http://www.ncbi.nlm.nih.gov/protein/149255259","Gm6749")</f>
        <v>Gm6749</v>
      </c>
      <c r="D2952" s="10">
        <f t="shared" si="46"/>
        <v>7.6981872305721124</v>
      </c>
      <c r="F2952" s="8" t="str">
        <f>HYPERLINK("https://esbl.nhlbi.nih.gov/Databases/mpkFractions/proteomic_fractions_log_files/Yang_log_img/149255259.jpg","show blot")</f>
        <v>show blot</v>
      </c>
      <c r="H2952" s="8" t="str">
        <f>HYPERLINK("https://esbl.nhlbi.nih.gov/Databases/mpkFractions/proteomic_fractions_linear_files/Yang_linear_img/149255259.jpg","show blot")</f>
        <v>show blot</v>
      </c>
      <c r="J2952" s="5" t="s">
        <v>5475</v>
      </c>
      <c r="L2952" s="11">
        <v>7.6981872305721124</v>
      </c>
      <c r="N2952" s="12"/>
    </row>
    <row r="2953" spans="1:14" s="5" customFormat="1" ht="15" customHeight="1" x14ac:dyDescent="0.25">
      <c r="A2953" s="9" t="s">
        <v>5812</v>
      </c>
      <c r="C2953" s="9" t="str">
        <f>HYPERLINK("http://www.ncbi.nlm.nih.gov/protein/309265661","Gm6749")</f>
        <v>Gm6749</v>
      </c>
      <c r="D2953" s="10">
        <f t="shared" si="46"/>
        <v>7.6981872305721124</v>
      </c>
      <c r="F2953" s="8" t="str">
        <f>HYPERLINK("https://esbl.nhlbi.nih.gov/Databases/mpkFractions/proteomic_fractions_log_files/Yang_log_img/309265661.jpg","show blot")</f>
        <v>show blot</v>
      </c>
      <c r="H2953" s="8" t="str">
        <f>HYPERLINK("https://esbl.nhlbi.nih.gov/Databases/mpkFractions/proteomic_fractions_linear_files/Yang_linear_img/309265661.jpg","show blot")</f>
        <v>show blot</v>
      </c>
      <c r="J2953" s="5" t="s">
        <v>5475</v>
      </c>
      <c r="L2953" s="11">
        <v>7.6981872305721124</v>
      </c>
      <c r="N2953" s="12"/>
    </row>
    <row r="2954" spans="1:14" s="5" customFormat="1" ht="15" customHeight="1" x14ac:dyDescent="0.25">
      <c r="A2954" s="9" t="s">
        <v>5813</v>
      </c>
      <c r="C2954" s="9" t="str">
        <f>HYPERLINK("http://www.ncbi.nlm.nih.gov/protein/309266388","Gm6834")</f>
        <v>Gm6834</v>
      </c>
      <c r="D2954" s="10">
        <f t="shared" si="46"/>
        <v>6.8447671969836783</v>
      </c>
      <c r="F2954" s="8" t="str">
        <f>HYPERLINK("https://esbl.nhlbi.nih.gov/Databases/mpkFractions/proteomic_fractions_log_files/Yang_log_img/309266388.jpg","show blot")</f>
        <v>show blot</v>
      </c>
      <c r="H2954" s="8" t="str">
        <f>HYPERLINK("https://esbl.nhlbi.nih.gov/Databases/mpkFractions/proteomic_fractions_linear_files/Yang_linear_img/309266388.jpg","show blot")</f>
        <v>show blot</v>
      </c>
      <c r="J2954" s="5" t="s">
        <v>5575</v>
      </c>
      <c r="L2954" s="11">
        <v>6.8447671969836783</v>
      </c>
      <c r="N2954" s="12"/>
    </row>
    <row r="2955" spans="1:14" s="5" customFormat="1" ht="15" customHeight="1" x14ac:dyDescent="0.25">
      <c r="A2955" s="9" t="s">
        <v>5814</v>
      </c>
      <c r="C2955" s="9" t="str">
        <f>HYPERLINK("http://www.ncbi.nlm.nih.gov/protein/82905251","Gm6851")</f>
        <v>Gm6851</v>
      </c>
      <c r="D2955" s="10">
        <f t="shared" si="46"/>
        <v>4.9881207268042251</v>
      </c>
      <c r="F2955" s="8" t="str">
        <f>HYPERLINK("https://esbl.nhlbi.nih.gov/Databases/mpkFractions/proteomic_fractions_log_files/Yang_log_img/82905251.jpg","show blot")</f>
        <v>show blot</v>
      </c>
      <c r="H2955" s="8" t="str">
        <f>HYPERLINK("https://esbl.nhlbi.nih.gov/Databases/mpkFractions/proteomic_fractions_linear_files/Yang_linear_img/82905251.jpg","show blot")</f>
        <v>show blot</v>
      </c>
      <c r="J2955" s="5" t="s">
        <v>5815</v>
      </c>
      <c r="L2955" s="11">
        <v>4.9881207268042251</v>
      </c>
      <c r="N2955" s="12"/>
    </row>
    <row r="2956" spans="1:14" s="5" customFormat="1" ht="15" customHeight="1" x14ac:dyDescent="0.25">
      <c r="A2956" s="9" t="s">
        <v>5816</v>
      </c>
      <c r="C2956" s="9" t="str">
        <f>HYPERLINK("http://www.ncbi.nlm.nih.gov/protein/82950919","Gm6901")</f>
        <v>Gm6901</v>
      </c>
      <c r="D2956" s="10">
        <f t="shared" si="46"/>
        <v>6.1630199544054092</v>
      </c>
      <c r="F2956" s="8" t="str">
        <f>HYPERLINK("https://esbl.nhlbi.nih.gov/Databases/mpkFractions/proteomic_fractions_log_files/Yang_log_img/82950919.jpg","show blot")</f>
        <v>show blot</v>
      </c>
      <c r="H2956" s="8" t="str">
        <f>HYPERLINK("https://esbl.nhlbi.nih.gov/Databases/mpkFractions/proteomic_fractions_linear_files/Yang_linear_img/82950919.jpg","show blot")</f>
        <v>show blot</v>
      </c>
      <c r="J2956" s="5" t="s">
        <v>5750</v>
      </c>
      <c r="L2956" s="11">
        <v>6.1630199544054092</v>
      </c>
      <c r="N2956" s="12"/>
    </row>
    <row r="2957" spans="1:14" s="5" customFormat="1" ht="15" customHeight="1" x14ac:dyDescent="0.25">
      <c r="A2957" s="9" t="s">
        <v>5817</v>
      </c>
      <c r="C2957" s="9" t="str">
        <f>HYPERLINK("http://www.ncbi.nlm.nih.gov/protein/407263864","Gm6910")</f>
        <v>Gm6910</v>
      </c>
      <c r="D2957" s="10">
        <f t="shared" si="46"/>
        <v>2.305456988651478</v>
      </c>
      <c r="F2957" s="8" t="str">
        <f>HYPERLINK("https://esbl.nhlbi.nih.gov/Databases/mpkFractions/proteomic_fractions_log_files/Yang_log_img/407263864.jpg","show blot")</f>
        <v>show blot</v>
      </c>
      <c r="H2957" s="8" t="str">
        <f>HYPERLINK("https://esbl.nhlbi.nih.gov/Databases/mpkFractions/proteomic_fractions_linear_files/Yang_linear_img/407263864.jpg","show blot")</f>
        <v>show blot</v>
      </c>
      <c r="J2957" s="5" t="s">
        <v>5818</v>
      </c>
      <c r="L2957" s="11">
        <v>2.305456988651478</v>
      </c>
      <c r="N2957" s="12"/>
    </row>
    <row r="2958" spans="1:14" s="5" customFormat="1" ht="15" customHeight="1" x14ac:dyDescent="0.25">
      <c r="A2958" s="9" t="s">
        <v>5819</v>
      </c>
      <c r="C2958" s="9" t="str">
        <f>HYPERLINK("http://www.ncbi.nlm.nih.gov/protein/309267035","Gm6917")</f>
        <v>Gm6917</v>
      </c>
      <c r="D2958" s="10">
        <f t="shared" si="46"/>
        <v>6.1950589566995324</v>
      </c>
      <c r="F2958" s="8" t="str">
        <f>HYPERLINK("https://esbl.nhlbi.nih.gov/Databases/mpkFractions/proteomic_fractions_log_files/Yang_log_img/309267035.jpg","show blot")</f>
        <v>show blot</v>
      </c>
      <c r="H2958" s="8" t="str">
        <f>HYPERLINK("https://esbl.nhlbi.nih.gov/Databases/mpkFractions/proteomic_fractions_linear_files/Yang_linear_img/309267035.jpg","show blot")</f>
        <v>show blot</v>
      </c>
      <c r="J2958" s="5" t="s">
        <v>5750</v>
      </c>
      <c r="L2958" s="11">
        <v>6.1950589566995324</v>
      </c>
      <c r="N2958" s="12"/>
    </row>
    <row r="2959" spans="1:14" s="5" customFormat="1" ht="15" customHeight="1" x14ac:dyDescent="0.25">
      <c r="A2959" s="9" t="s">
        <v>5820</v>
      </c>
      <c r="C2959" s="9" t="str">
        <f>HYPERLINK("http://www.ncbi.nlm.nih.gov/protein/309269987","Gm6917")</f>
        <v>Gm6917</v>
      </c>
      <c r="D2959" s="10">
        <f t="shared" si="46"/>
        <v>6.1950589566995324</v>
      </c>
      <c r="F2959" s="8" t="str">
        <f>HYPERLINK("https://esbl.nhlbi.nih.gov/Databases/mpkFractions/proteomic_fractions_log_files/Yang_log_img/309269987.jpg","show blot")</f>
        <v>show blot</v>
      </c>
      <c r="H2959" s="8" t="str">
        <f>HYPERLINK("https://esbl.nhlbi.nih.gov/Databases/mpkFractions/proteomic_fractions_linear_files/Yang_linear_img/309269987.jpg","show blot")</f>
        <v>show blot</v>
      </c>
      <c r="J2959" s="5" t="s">
        <v>5750</v>
      </c>
      <c r="L2959" s="11">
        <v>6.1950589566995324</v>
      </c>
      <c r="N2959" s="12"/>
    </row>
    <row r="2960" spans="1:14" s="5" customFormat="1" ht="15" customHeight="1" x14ac:dyDescent="0.25">
      <c r="A2960" s="9" t="s">
        <v>5821</v>
      </c>
      <c r="C2960" s="9" t="str">
        <f>HYPERLINK("http://www.ncbi.nlm.nih.gov/protein/309266416","Gm6921")</f>
        <v>Gm6921</v>
      </c>
      <c r="D2960" s="10">
        <f t="shared" si="46"/>
        <v>5.8999130779790034</v>
      </c>
      <c r="F2960" s="8" t="str">
        <f>HYPERLINK("https://esbl.nhlbi.nih.gov/Databases/mpkFractions/proteomic_fractions_log_files/Yang_log_img/309266416.jpg","show blot")</f>
        <v>show blot</v>
      </c>
      <c r="H2960" s="8" t="str">
        <f>HYPERLINK("https://esbl.nhlbi.nih.gov/Databases/mpkFractions/proteomic_fractions_linear_files/Yang_linear_img/309266416.jpg","show blot")</f>
        <v>show blot</v>
      </c>
      <c r="J2960" s="5" t="s">
        <v>5822</v>
      </c>
      <c r="L2960" s="11">
        <v>5.8999130779790034</v>
      </c>
      <c r="N2960" s="12"/>
    </row>
    <row r="2961" spans="1:14" s="5" customFormat="1" ht="15" customHeight="1" x14ac:dyDescent="0.25">
      <c r="A2961" s="9" t="s">
        <v>5823</v>
      </c>
      <c r="C2961" s="9" t="str">
        <f>HYPERLINK("http://www.ncbi.nlm.nih.gov/protein/82918545","Gm6921")</f>
        <v>Gm6921</v>
      </c>
      <c r="D2961" s="10">
        <f t="shared" si="46"/>
        <v>5.8999130779790034</v>
      </c>
      <c r="F2961" s="8" t="str">
        <f>HYPERLINK("https://esbl.nhlbi.nih.gov/Databases/mpkFractions/proteomic_fractions_log_files/Yang_log_img/82918545.jpg","show blot")</f>
        <v>show blot</v>
      </c>
      <c r="H2961" s="8" t="str">
        <f>HYPERLINK("https://esbl.nhlbi.nih.gov/Databases/mpkFractions/proteomic_fractions_linear_files/Yang_linear_img/82918545.jpg","show blot")</f>
        <v>show blot</v>
      </c>
      <c r="J2961" s="5" t="s">
        <v>5824</v>
      </c>
      <c r="L2961" s="11">
        <v>5.8999130779790034</v>
      </c>
      <c r="N2961" s="12"/>
    </row>
    <row r="2962" spans="1:14" s="5" customFormat="1" ht="15" customHeight="1" x14ac:dyDescent="0.25">
      <c r="A2962" s="9" t="s">
        <v>5825</v>
      </c>
      <c r="C2962" s="9" t="str">
        <f>HYPERLINK("http://www.ncbi.nlm.nih.gov/protein/149267906","Gm6958")</f>
        <v>Gm6958</v>
      </c>
      <c r="D2962" s="10">
        <f t="shared" si="46"/>
        <v>4.6574136782293243</v>
      </c>
      <c r="F2962" s="8" t="str">
        <f>HYPERLINK("https://esbl.nhlbi.nih.gov/Databases/mpkFractions/proteomic_fractions_log_files/Yang_log_img/149267906.jpg","show blot")</f>
        <v>show blot</v>
      </c>
      <c r="H2962" s="8" t="str">
        <f>HYPERLINK("https://esbl.nhlbi.nih.gov/Databases/mpkFractions/proteomic_fractions_linear_files/Yang_linear_img/149267906.jpg","show blot")</f>
        <v>show blot</v>
      </c>
      <c r="J2962" s="5" t="s">
        <v>5826</v>
      </c>
      <c r="L2962" s="11">
        <v>4.6574136782293243</v>
      </c>
      <c r="N2962" s="12"/>
    </row>
    <row r="2963" spans="1:14" s="5" customFormat="1" ht="15" customHeight="1" x14ac:dyDescent="0.25">
      <c r="A2963" s="9" t="s">
        <v>5827</v>
      </c>
      <c r="C2963" s="9" t="str">
        <f>HYPERLINK("http://www.ncbi.nlm.nih.gov/protein/83002589","Gm6987")</f>
        <v>Gm6987</v>
      </c>
      <c r="D2963" s="10">
        <f t="shared" si="46"/>
        <v>6.2013658880341254</v>
      </c>
      <c r="F2963" s="8" t="str">
        <f>HYPERLINK("https://esbl.nhlbi.nih.gov/Databases/mpkFractions/proteomic_fractions_log_files/Yang_log_img/83002589.jpg","show blot")</f>
        <v>show blot</v>
      </c>
      <c r="H2963" s="8" t="str">
        <f>HYPERLINK("https://esbl.nhlbi.nih.gov/Databases/mpkFractions/proteomic_fractions_linear_files/Yang_linear_img/83002589.jpg","show blot")</f>
        <v>show blot</v>
      </c>
      <c r="J2963" s="5" t="s">
        <v>5828</v>
      </c>
      <c r="L2963" s="11">
        <v>6.2013658880341254</v>
      </c>
      <c r="N2963" s="12"/>
    </row>
    <row r="2964" spans="1:14" s="5" customFormat="1" ht="15" customHeight="1" x14ac:dyDescent="0.25">
      <c r="A2964" s="9" t="s">
        <v>5829</v>
      </c>
      <c r="C2964" s="9" t="str">
        <f>HYPERLINK("http://www.ncbi.nlm.nih.gov/protein/309262778","Gm6988")</f>
        <v>Gm6988</v>
      </c>
      <c r="D2964" s="10">
        <f t="shared" si="46"/>
        <v>6.8561138970319204</v>
      </c>
      <c r="F2964" s="8" t="str">
        <f>HYPERLINK("https://esbl.nhlbi.nih.gov/Databases/mpkFractions/proteomic_fractions_log_files/Yang_log_img/309262778.jpg","show blot")</f>
        <v>show blot</v>
      </c>
      <c r="H2964" s="8" t="str">
        <f>HYPERLINK("https://esbl.nhlbi.nih.gov/Databases/mpkFractions/proteomic_fractions_linear_files/Yang_linear_img/309262778.jpg","show blot")</f>
        <v>show blot</v>
      </c>
      <c r="J2964" s="5" t="s">
        <v>5694</v>
      </c>
      <c r="L2964" s="11">
        <v>6.8561138970319204</v>
      </c>
      <c r="N2964" s="12"/>
    </row>
    <row r="2965" spans="1:14" s="5" customFormat="1" ht="15" customHeight="1" x14ac:dyDescent="0.25">
      <c r="A2965" s="9" t="s">
        <v>5830</v>
      </c>
      <c r="C2965" s="9" t="str">
        <f>HYPERLINK("http://www.ncbi.nlm.nih.gov/protein/82943174","Gm6988")</f>
        <v>Gm6988</v>
      </c>
      <c r="D2965" s="10">
        <f t="shared" si="46"/>
        <v>6.8561138970319204</v>
      </c>
      <c r="F2965" s="8" t="str">
        <f>HYPERLINK("https://esbl.nhlbi.nih.gov/Databases/mpkFractions/proteomic_fractions_log_files/Yang_log_img/82943174.jpg","show blot")</f>
        <v>show blot</v>
      </c>
      <c r="H2965" s="8" t="str">
        <f>HYPERLINK("https://esbl.nhlbi.nih.gov/Databases/mpkFractions/proteomic_fractions_linear_files/Yang_linear_img/82943174.jpg","show blot")</f>
        <v>show blot</v>
      </c>
      <c r="J2965" s="5" t="s">
        <v>5694</v>
      </c>
      <c r="L2965" s="11">
        <v>6.8561138970319204</v>
      </c>
      <c r="N2965" s="12"/>
    </row>
    <row r="2966" spans="1:14" s="5" customFormat="1" ht="15" customHeight="1" x14ac:dyDescent="0.25">
      <c r="A2966" s="9" t="s">
        <v>5831</v>
      </c>
      <c r="C2966" s="9" t="str">
        <f>HYPERLINK("http://www.ncbi.nlm.nih.gov/protein/309266895","Gm7061")</f>
        <v>Gm7061</v>
      </c>
      <c r="D2966" s="10">
        <f t="shared" si="46"/>
        <v>5.8223147505209063</v>
      </c>
      <c r="F2966" s="8" t="str">
        <f>HYPERLINK("https://esbl.nhlbi.nih.gov/Databases/mpkFractions/proteomic_fractions_log_files/Yang_log_img/309266895.jpg","show blot")</f>
        <v>show blot</v>
      </c>
      <c r="H2966" s="8" t="str">
        <f>HYPERLINK("https://esbl.nhlbi.nih.gov/Databases/mpkFractions/proteomic_fractions_linear_files/Yang_linear_img/309266895.jpg","show blot")</f>
        <v>show blot</v>
      </c>
      <c r="J2966" s="5" t="s">
        <v>5832</v>
      </c>
      <c r="L2966" s="11">
        <v>5.8223147505209063</v>
      </c>
      <c r="N2966" s="12"/>
    </row>
    <row r="2967" spans="1:14" s="5" customFormat="1" ht="15" customHeight="1" x14ac:dyDescent="0.25">
      <c r="A2967" s="9" t="s">
        <v>5833</v>
      </c>
      <c r="C2967" s="9" t="str">
        <f>HYPERLINK("http://www.ncbi.nlm.nih.gov/protein/309271453","Gm7061")</f>
        <v>Gm7061</v>
      </c>
      <c r="D2967" s="10">
        <f t="shared" si="46"/>
        <v>5.8223147505209063</v>
      </c>
      <c r="F2967" s="8" t="str">
        <f>HYPERLINK("https://esbl.nhlbi.nih.gov/Databases/mpkFractions/proteomic_fractions_log_files/Yang_log_img/309271453.jpg","show blot")</f>
        <v>show blot</v>
      </c>
      <c r="H2967" s="8" t="str">
        <f>HYPERLINK("https://esbl.nhlbi.nih.gov/Databases/mpkFractions/proteomic_fractions_linear_files/Yang_linear_img/309271453.jpg","show blot")</f>
        <v>show blot</v>
      </c>
      <c r="J2967" s="5" t="s">
        <v>5834</v>
      </c>
      <c r="L2967" s="11">
        <v>5.8223147505209063</v>
      </c>
      <c r="N2967" s="12"/>
    </row>
    <row r="2968" spans="1:14" s="5" customFormat="1" ht="15" customHeight="1" x14ac:dyDescent="0.25">
      <c r="A2968" s="9" t="s">
        <v>5835</v>
      </c>
      <c r="C2968" s="9" t="str">
        <f>HYPERLINK("http://www.ncbi.nlm.nih.gov/protein/377834609","Gm7061")</f>
        <v>Gm7061</v>
      </c>
      <c r="D2968" s="10">
        <f t="shared" si="46"/>
        <v>5.8223147505209063</v>
      </c>
      <c r="F2968" s="8" t="str">
        <f>HYPERLINK("https://esbl.nhlbi.nih.gov/Databases/mpkFractions/proteomic_fractions_log_files/Yang_log_img/377834609.jpg","show blot")</f>
        <v>show blot</v>
      </c>
      <c r="H2968" s="8" t="str">
        <f>HYPERLINK("https://esbl.nhlbi.nih.gov/Databases/mpkFractions/proteomic_fractions_linear_files/Yang_linear_img/377834609.jpg","show blot")</f>
        <v>show blot</v>
      </c>
      <c r="J2968" s="5" t="s">
        <v>5836</v>
      </c>
      <c r="L2968" s="11">
        <v>5.8223147505209063</v>
      </c>
      <c r="N2968" s="12"/>
    </row>
    <row r="2969" spans="1:14" s="5" customFormat="1" ht="15" customHeight="1" x14ac:dyDescent="0.25">
      <c r="A2969" s="9" t="s">
        <v>5837</v>
      </c>
      <c r="C2969" s="9" t="str">
        <f>HYPERLINK("http://www.ncbi.nlm.nih.gov/protein/407262228","Gm7250")</f>
        <v>Gm7250</v>
      </c>
      <c r="D2969" s="10">
        <f t="shared" si="46"/>
        <v>5.0204679713979239</v>
      </c>
      <c r="F2969" s="8" t="str">
        <f>HYPERLINK("https://esbl.nhlbi.nih.gov/Databases/mpkFractions/proteomic_fractions_log_files/Yang_log_img/407262228.jpg","show blot")</f>
        <v>show blot</v>
      </c>
      <c r="H2969" s="8" t="str">
        <f>HYPERLINK("https://esbl.nhlbi.nih.gov/Databases/mpkFractions/proteomic_fractions_linear_files/Yang_linear_img/407262228.jpg","show blot")</f>
        <v>show blot</v>
      </c>
      <c r="J2969" s="5" t="s">
        <v>5838</v>
      </c>
      <c r="L2969" s="11">
        <v>5.0204679713979239</v>
      </c>
      <c r="N2969" s="12"/>
    </row>
    <row r="2970" spans="1:14" s="5" customFormat="1" ht="15" customHeight="1" x14ac:dyDescent="0.25">
      <c r="A2970" s="9" t="s">
        <v>5839</v>
      </c>
      <c r="C2970" s="9" t="str">
        <f>HYPERLINK("http://www.ncbi.nlm.nih.gov/protein/94408110","Gm7429")</f>
        <v>Gm7429</v>
      </c>
      <c r="D2970" s="10">
        <f t="shared" si="46"/>
        <v>7.0007955537111846</v>
      </c>
      <c r="F2970" s="8" t="str">
        <f>HYPERLINK("https://esbl.nhlbi.nih.gov/Databases/mpkFractions/proteomic_fractions_log_files/Yang_log_img/94408110.jpg","show blot")</f>
        <v>show blot</v>
      </c>
      <c r="H2970" s="8" t="str">
        <f>HYPERLINK("https://esbl.nhlbi.nih.gov/Databases/mpkFractions/proteomic_fractions_linear_files/Yang_linear_img/94408110.jpg","show blot")</f>
        <v>show blot</v>
      </c>
      <c r="J2970" s="5" t="s">
        <v>5725</v>
      </c>
      <c r="L2970" s="11">
        <v>7.0007955537111846</v>
      </c>
      <c r="N2970" s="12"/>
    </row>
    <row r="2971" spans="1:14" s="5" customFormat="1" ht="15" customHeight="1" x14ac:dyDescent="0.25">
      <c r="A2971" s="9" t="s">
        <v>5840</v>
      </c>
      <c r="C2971" s="9" t="str">
        <f>HYPERLINK("http://www.ncbi.nlm.nih.gov/protein/309265940","Gm7546")</f>
        <v>Gm7546</v>
      </c>
      <c r="D2971" s="10">
        <f t="shared" si="46"/>
        <v>3.9713505341859112</v>
      </c>
      <c r="F2971" s="8" t="str">
        <f>HYPERLINK("https://esbl.nhlbi.nih.gov/Databases/mpkFractions/proteomic_fractions_log_files/Yang_log_img/309265940.jpg","show blot")</f>
        <v>show blot</v>
      </c>
      <c r="H2971" s="8" t="str">
        <f>HYPERLINK("https://esbl.nhlbi.nih.gov/Databases/mpkFractions/proteomic_fractions_linear_files/Yang_linear_img/309265940.jpg","show blot")</f>
        <v>show blot</v>
      </c>
      <c r="J2971" s="5" t="s">
        <v>5841</v>
      </c>
      <c r="L2971" s="11">
        <v>3.9713505341859112</v>
      </c>
      <c r="N2971" s="12"/>
    </row>
    <row r="2972" spans="1:14" s="5" customFormat="1" ht="15" customHeight="1" x14ac:dyDescent="0.25">
      <c r="A2972" s="9" t="s">
        <v>5842</v>
      </c>
      <c r="C2972" s="9" t="str">
        <f>HYPERLINK("http://www.ncbi.nlm.nih.gov/protein/312176359","Gm7694")</f>
        <v>Gm7694</v>
      </c>
      <c r="D2972" s="10">
        <f t="shared" si="46"/>
        <v>1.633468455579586</v>
      </c>
      <c r="F2972" s="8" t="str">
        <f>HYPERLINK("https://esbl.nhlbi.nih.gov/Databases/mpkFractions/proteomic_fractions_log_files/Yang_log_img/312176359.jpg","show blot")</f>
        <v>show blot</v>
      </c>
      <c r="H2972" s="8" t="str">
        <f>HYPERLINK("https://esbl.nhlbi.nih.gov/Databases/mpkFractions/proteomic_fractions_linear_files/Yang_linear_img/312176359.jpg","show blot")</f>
        <v>show blot</v>
      </c>
      <c r="J2972" s="5" t="s">
        <v>5843</v>
      </c>
      <c r="L2972" s="11">
        <v>1.633468455579586</v>
      </c>
      <c r="N2972" s="12"/>
    </row>
    <row r="2973" spans="1:14" s="5" customFormat="1" ht="15" customHeight="1" x14ac:dyDescent="0.25">
      <c r="A2973" s="9" t="s">
        <v>5844</v>
      </c>
      <c r="C2973" s="9" t="str">
        <f>HYPERLINK("http://www.ncbi.nlm.nih.gov/protein/407264240","Gm7810")</f>
        <v>Gm7810</v>
      </c>
      <c r="D2973" s="10">
        <f t="shared" si="46"/>
        <v>6.2837280450696902</v>
      </c>
      <c r="F2973" s="8" t="str">
        <f>HYPERLINK("https://esbl.nhlbi.nih.gov/Databases/mpkFractions/proteomic_fractions_log_files/Yang_log_img/407264240.jpg","show blot")</f>
        <v>show blot</v>
      </c>
      <c r="H2973" s="8" t="str">
        <f>HYPERLINK("https://esbl.nhlbi.nih.gov/Databases/mpkFractions/proteomic_fractions_linear_files/Yang_linear_img/407264240.jpg","show blot")</f>
        <v>show blot</v>
      </c>
      <c r="J2973" s="5" t="s">
        <v>5845</v>
      </c>
      <c r="L2973" s="11">
        <v>6.2837280450696902</v>
      </c>
      <c r="N2973" s="12"/>
    </row>
    <row r="2974" spans="1:14" s="5" customFormat="1" ht="15" customHeight="1" x14ac:dyDescent="0.25">
      <c r="A2974" s="9" t="s">
        <v>5846</v>
      </c>
      <c r="C2974" s="9" t="str">
        <f>HYPERLINK("http://www.ncbi.nlm.nih.gov/protein/149260017","Gm7866")</f>
        <v>Gm7866</v>
      </c>
      <c r="D2974" s="10">
        <f t="shared" si="46"/>
        <v>7.2145889915920538</v>
      </c>
      <c r="F2974" s="8" t="str">
        <f>HYPERLINK("https://esbl.nhlbi.nih.gov/Databases/mpkFractions/proteomic_fractions_log_files/Yang_log_img/149260017.jpg","show blot")</f>
        <v>show blot</v>
      </c>
      <c r="H2974" s="8" t="str">
        <f>HYPERLINK("https://esbl.nhlbi.nih.gov/Databases/mpkFractions/proteomic_fractions_linear_files/Yang_linear_img/149260017.jpg","show blot")</f>
        <v>show blot</v>
      </c>
      <c r="J2974" s="5" t="s">
        <v>5847</v>
      </c>
      <c r="L2974" s="11">
        <v>7.2145889915920538</v>
      </c>
      <c r="N2974" s="12"/>
    </row>
    <row r="2975" spans="1:14" s="5" customFormat="1" ht="15" customHeight="1" x14ac:dyDescent="0.25">
      <c r="A2975" s="9" t="s">
        <v>5848</v>
      </c>
      <c r="C2975" s="9" t="str">
        <f>HYPERLINK("http://www.ncbi.nlm.nih.gov/protein/309266537","Gm7866")</f>
        <v>Gm7866</v>
      </c>
      <c r="D2975" s="10">
        <f t="shared" si="46"/>
        <v>7.2145889915920538</v>
      </c>
      <c r="F2975" s="8" t="str">
        <f>HYPERLINK("https://esbl.nhlbi.nih.gov/Databases/mpkFractions/proteomic_fractions_log_files/Yang_log_img/309266537.jpg","show blot")</f>
        <v>show blot</v>
      </c>
      <c r="H2975" s="8" t="str">
        <f>HYPERLINK("https://esbl.nhlbi.nih.gov/Databases/mpkFractions/proteomic_fractions_linear_files/Yang_linear_img/309266537.jpg","show blot")</f>
        <v>show blot</v>
      </c>
      <c r="J2975" s="5" t="s">
        <v>5847</v>
      </c>
      <c r="L2975" s="11">
        <v>7.2145889915920538</v>
      </c>
      <c r="N2975" s="12"/>
    </row>
    <row r="2976" spans="1:14" s="5" customFormat="1" ht="15" customHeight="1" x14ac:dyDescent="0.25">
      <c r="A2976" s="9" t="s">
        <v>5849</v>
      </c>
      <c r="C2976" s="9" t="str">
        <f>HYPERLINK("http://www.ncbi.nlm.nih.gov/protein/407262833","Gm7889")</f>
        <v>Gm7889</v>
      </c>
      <c r="D2976" s="10">
        <f t="shared" si="46"/>
        <v>3.7967133866327258</v>
      </c>
      <c r="F2976" s="8" t="str">
        <f>HYPERLINK("https://esbl.nhlbi.nih.gov/Databases/mpkFractions/proteomic_fractions_log_files/Yang_log_img/407262833.jpg","show blot")</f>
        <v>show blot</v>
      </c>
      <c r="H2976" s="8" t="str">
        <f>HYPERLINK("https://esbl.nhlbi.nih.gov/Databases/mpkFractions/proteomic_fractions_linear_files/Yang_linear_img/407262833.jpg","show blot")</f>
        <v>show blot</v>
      </c>
      <c r="J2976" s="5" t="s">
        <v>5850</v>
      </c>
      <c r="L2976" s="11">
        <v>3.7967133866327258</v>
      </c>
      <c r="N2976" s="12"/>
    </row>
    <row r="2977" spans="1:14" s="5" customFormat="1" ht="15" customHeight="1" x14ac:dyDescent="0.25">
      <c r="A2977" s="9" t="s">
        <v>5851</v>
      </c>
      <c r="C2977" s="9" t="str">
        <f>HYPERLINK("http://www.ncbi.nlm.nih.gov/protein/94374770","Gm8069")</f>
        <v>Gm8069</v>
      </c>
      <c r="D2977" s="10">
        <f t="shared" si="46"/>
        <v>5.1410257494366114</v>
      </c>
      <c r="F2977" s="8" t="str">
        <f>HYPERLINK("https://esbl.nhlbi.nih.gov/Databases/mpkFractions/proteomic_fractions_log_files/Yang_log_img/94374770.jpg","show blot")</f>
        <v>show blot</v>
      </c>
      <c r="H2977" s="8" t="str">
        <f>HYPERLINK("https://esbl.nhlbi.nih.gov/Databases/mpkFractions/proteomic_fractions_linear_files/Yang_linear_img/94374770.jpg","show blot")</f>
        <v>show blot</v>
      </c>
      <c r="J2977" s="5" t="s">
        <v>5852</v>
      </c>
      <c r="L2977" s="11">
        <v>5.1410257494366114</v>
      </c>
      <c r="N2977" s="12"/>
    </row>
    <row r="2978" spans="1:14" s="5" customFormat="1" ht="15" customHeight="1" x14ac:dyDescent="0.25">
      <c r="A2978" s="9" t="s">
        <v>5853</v>
      </c>
      <c r="C2978" s="9" t="str">
        <f>HYPERLINK("http://www.ncbi.nlm.nih.gov/protein/94388464","Gm8112")</f>
        <v>Gm8112</v>
      </c>
      <c r="D2978" s="10">
        <f t="shared" si="46"/>
        <v>6.9618747113573853</v>
      </c>
      <c r="F2978" s="8" t="str">
        <f>HYPERLINK("https://esbl.nhlbi.nih.gov/Databases/mpkFractions/proteomic_fractions_log_files/Yang_log_img/94388464.jpg","show blot")</f>
        <v>show blot</v>
      </c>
      <c r="H2978" s="8" t="str">
        <f>HYPERLINK("https://esbl.nhlbi.nih.gov/Databases/mpkFractions/proteomic_fractions_linear_files/Yang_linear_img/94388464.jpg","show blot")</f>
        <v>show blot</v>
      </c>
      <c r="J2978" s="5" t="s">
        <v>5651</v>
      </c>
      <c r="L2978" s="11">
        <v>6.9618747113573853</v>
      </c>
      <c r="N2978" s="12"/>
    </row>
    <row r="2979" spans="1:14" s="5" customFormat="1" ht="15" customHeight="1" x14ac:dyDescent="0.25">
      <c r="A2979" s="9" t="s">
        <v>5854</v>
      </c>
      <c r="C2979" s="9" t="str">
        <f>HYPERLINK("http://www.ncbi.nlm.nih.gov/protein/94388474","Gm8137")</f>
        <v>Gm8137</v>
      </c>
      <c r="D2979" s="10">
        <f t="shared" si="46"/>
        <v>6.9613954458173257</v>
      </c>
      <c r="F2979" s="8" t="str">
        <f>HYPERLINK("https://esbl.nhlbi.nih.gov/Databases/mpkFractions/proteomic_fractions_log_files/Yang_log_img/94388474.jpg","show blot")</f>
        <v>show blot</v>
      </c>
      <c r="H2979" s="8" t="str">
        <f>HYPERLINK("https://esbl.nhlbi.nih.gov/Databases/mpkFractions/proteomic_fractions_linear_files/Yang_linear_img/94388474.jpg","show blot")</f>
        <v>show blot</v>
      </c>
      <c r="J2979" s="5" t="s">
        <v>5651</v>
      </c>
      <c r="L2979" s="11">
        <v>6.9613954458173257</v>
      </c>
      <c r="N2979" s="12"/>
    </row>
    <row r="2980" spans="1:14" s="5" customFormat="1" ht="15" customHeight="1" x14ac:dyDescent="0.25">
      <c r="A2980" s="9" t="s">
        <v>5855</v>
      </c>
      <c r="C2980" s="9" t="str">
        <f>HYPERLINK("http://www.ncbi.nlm.nih.gov/protein/94363330","Gm8210")</f>
        <v>Gm8210</v>
      </c>
      <c r="D2980" s="10">
        <f t="shared" si="46"/>
        <v>6.1833819262454011</v>
      </c>
      <c r="F2980" s="8" t="str">
        <f>HYPERLINK("https://esbl.nhlbi.nih.gov/Databases/mpkFractions/proteomic_fractions_log_files/Yang_log_img/94363330.jpg","show blot")</f>
        <v>show blot</v>
      </c>
      <c r="H2980" s="8" t="str">
        <f>HYPERLINK("https://esbl.nhlbi.nih.gov/Databases/mpkFractions/proteomic_fractions_linear_files/Yang_linear_img/94363330.jpg","show blot")</f>
        <v>show blot</v>
      </c>
      <c r="J2980" s="5" t="s">
        <v>5490</v>
      </c>
      <c r="L2980" s="11">
        <v>6.1833819262454011</v>
      </c>
      <c r="N2980" s="12"/>
    </row>
    <row r="2981" spans="1:14" s="5" customFormat="1" ht="15" customHeight="1" x14ac:dyDescent="0.25">
      <c r="A2981" s="9" t="s">
        <v>5856</v>
      </c>
      <c r="C2981" s="9" t="str">
        <f>HYPERLINK("http://www.ncbi.nlm.nih.gov/protein/309265674","Gm8213")</f>
        <v>Gm8213</v>
      </c>
      <c r="D2981" s="10">
        <f t="shared" si="46"/>
        <v>6.3836673659138068</v>
      </c>
      <c r="F2981" s="8" t="str">
        <f>HYPERLINK("https://esbl.nhlbi.nih.gov/Databases/mpkFractions/proteomic_fractions_log_files/Yang_log_img/309265674.jpg","show blot")</f>
        <v>show blot</v>
      </c>
      <c r="H2981" s="8" t="str">
        <f>HYPERLINK("https://esbl.nhlbi.nih.gov/Databases/mpkFractions/proteomic_fractions_linear_files/Yang_linear_img/309265674.jpg","show blot")</f>
        <v>show blot</v>
      </c>
      <c r="J2981" s="5" t="s">
        <v>5543</v>
      </c>
      <c r="L2981" s="11">
        <v>6.3836673659138068</v>
      </c>
      <c r="N2981" s="12"/>
    </row>
    <row r="2982" spans="1:14" s="5" customFormat="1" ht="15" customHeight="1" x14ac:dyDescent="0.25">
      <c r="A2982" s="9" t="s">
        <v>5857</v>
      </c>
      <c r="C2982" s="9" t="str">
        <f>HYPERLINK("http://www.ncbi.nlm.nih.gov/protein/94388507","Gm8290")</f>
        <v>Gm8290</v>
      </c>
      <c r="D2982" s="10">
        <f t="shared" si="46"/>
        <v>6.9777138406899164</v>
      </c>
      <c r="F2982" s="8" t="str">
        <f>HYPERLINK("https://esbl.nhlbi.nih.gov/Databases/mpkFractions/proteomic_fractions_log_files/Yang_log_img/94388507.jpg","show blot")</f>
        <v>show blot</v>
      </c>
      <c r="H2982" s="8" t="str">
        <f>HYPERLINK("https://esbl.nhlbi.nih.gov/Databases/mpkFractions/proteomic_fractions_linear_files/Yang_linear_img/94388507.jpg","show blot")</f>
        <v>show blot</v>
      </c>
      <c r="J2982" s="5" t="s">
        <v>5651</v>
      </c>
      <c r="L2982" s="11">
        <v>6.9777138406899164</v>
      </c>
      <c r="N2982" s="12"/>
    </row>
    <row r="2983" spans="1:14" s="5" customFormat="1" ht="15" customHeight="1" x14ac:dyDescent="0.25">
      <c r="A2983" s="9" t="s">
        <v>5858</v>
      </c>
      <c r="C2983" s="9" t="str">
        <f>HYPERLINK("http://www.ncbi.nlm.nih.gov/protein/309265697","Gm8430")</f>
        <v>Gm8430</v>
      </c>
      <c r="D2983" s="10">
        <f t="shared" si="46"/>
        <v>7.3575321538999026</v>
      </c>
      <c r="F2983" s="8" t="str">
        <f>HYPERLINK("https://esbl.nhlbi.nih.gov/Databases/mpkFractions/proteomic_fractions_log_files/Yang_log_img/309265697.jpg","show blot")</f>
        <v>show blot</v>
      </c>
      <c r="H2983" s="8" t="str">
        <f>HYPERLINK("https://esbl.nhlbi.nih.gov/Databases/mpkFractions/proteomic_fractions_linear_files/Yang_linear_img/309265697.jpg","show blot")</f>
        <v>show blot</v>
      </c>
      <c r="J2983" s="5" t="s">
        <v>5859</v>
      </c>
      <c r="L2983" s="11">
        <v>7.3575321538999026</v>
      </c>
      <c r="N2983" s="12"/>
    </row>
    <row r="2984" spans="1:14" s="5" customFormat="1" ht="15" customHeight="1" x14ac:dyDescent="0.25">
      <c r="A2984" s="9" t="s">
        <v>5860</v>
      </c>
      <c r="C2984" s="9" t="str">
        <f>HYPERLINK("http://www.ncbi.nlm.nih.gov/protein/94378076","Gm8430")</f>
        <v>Gm8430</v>
      </c>
      <c r="D2984" s="10">
        <f t="shared" si="46"/>
        <v>7.3575321538999026</v>
      </c>
      <c r="F2984" s="8" t="str">
        <f>HYPERLINK("https://esbl.nhlbi.nih.gov/Databases/mpkFractions/proteomic_fractions_log_files/Yang_log_img/94378076.jpg","show blot")</f>
        <v>show blot</v>
      </c>
      <c r="H2984" s="8" t="str">
        <f>HYPERLINK("https://esbl.nhlbi.nih.gov/Databases/mpkFractions/proteomic_fractions_linear_files/Yang_linear_img/94378076.jpg","show blot")</f>
        <v>show blot</v>
      </c>
      <c r="J2984" s="5" t="s">
        <v>5859</v>
      </c>
      <c r="L2984" s="11">
        <v>7.3575321538999026</v>
      </c>
      <c r="N2984" s="12"/>
    </row>
    <row r="2985" spans="1:14" s="5" customFormat="1" ht="15" customHeight="1" x14ac:dyDescent="0.25">
      <c r="A2985" s="9" t="s">
        <v>5861</v>
      </c>
      <c r="C2985" s="9" t="str">
        <f>HYPERLINK("http://www.ncbi.nlm.nih.gov/protein/377833325","Gm8526")</f>
        <v>Gm8526</v>
      </c>
      <c r="D2985" s="10">
        <f t="shared" si="46"/>
        <v>5.8298563454003549</v>
      </c>
      <c r="F2985" s="8" t="str">
        <f>HYPERLINK("https://esbl.nhlbi.nih.gov/Databases/mpkFractions/proteomic_fractions_log_files/Yang_log_img/377833325.jpg","show blot")</f>
        <v>show blot</v>
      </c>
      <c r="H2985" s="8" t="str">
        <f>HYPERLINK("https://esbl.nhlbi.nih.gov/Databases/mpkFractions/proteomic_fractions_linear_files/Yang_linear_img/377833325.jpg","show blot")</f>
        <v>show blot</v>
      </c>
      <c r="J2985" s="5" t="s">
        <v>5456</v>
      </c>
      <c r="L2985" s="11">
        <v>5.8298563454003549</v>
      </c>
      <c r="N2985" s="12"/>
    </row>
    <row r="2986" spans="1:14" s="5" customFormat="1" ht="15" customHeight="1" x14ac:dyDescent="0.25">
      <c r="A2986" s="9" t="s">
        <v>5862</v>
      </c>
      <c r="C2986" s="9" t="str">
        <f>HYPERLINK("http://www.ncbi.nlm.nih.gov/protein/309265232","Gm8539")</f>
        <v>Gm8539</v>
      </c>
      <c r="D2986" s="10">
        <f t="shared" si="46"/>
        <v>4.022336528090146</v>
      </c>
      <c r="F2986" s="8" t="str">
        <f>HYPERLINK("https://esbl.nhlbi.nih.gov/Databases/mpkFractions/proteomic_fractions_log_files/Yang_log_img/309265232.jpg","show blot")</f>
        <v>show blot</v>
      </c>
      <c r="H2986" s="8" t="str">
        <f>HYPERLINK("https://esbl.nhlbi.nih.gov/Databases/mpkFractions/proteomic_fractions_linear_files/Yang_linear_img/309265232.jpg","show blot")</f>
        <v>show blot</v>
      </c>
      <c r="J2986" s="5" t="s">
        <v>5863</v>
      </c>
      <c r="L2986" s="11">
        <v>4.022336528090146</v>
      </c>
      <c r="N2986" s="12"/>
    </row>
    <row r="2987" spans="1:14" s="5" customFormat="1" ht="15" customHeight="1" x14ac:dyDescent="0.25">
      <c r="A2987" s="9" t="s">
        <v>5864</v>
      </c>
      <c r="C2987" s="9" t="str">
        <f>HYPERLINK("http://www.ncbi.nlm.nih.gov/protein/309265997","Gm8556")</f>
        <v>Gm8556</v>
      </c>
      <c r="D2987" s="10">
        <f t="shared" si="46"/>
        <v>6.3848720872052649</v>
      </c>
      <c r="F2987" s="8" t="str">
        <f>HYPERLINK("https://esbl.nhlbi.nih.gov/Databases/mpkFractions/proteomic_fractions_log_files/Yang_log_img/309265997.jpg","show blot")</f>
        <v>show blot</v>
      </c>
      <c r="H2987" s="8" t="str">
        <f>HYPERLINK("https://esbl.nhlbi.nih.gov/Databases/mpkFractions/proteomic_fractions_linear_files/Yang_linear_img/309265997.jpg","show blot")</f>
        <v>show blot</v>
      </c>
      <c r="J2987" s="5" t="s">
        <v>5865</v>
      </c>
      <c r="L2987" s="11">
        <v>6.3848720872052649</v>
      </c>
      <c r="N2987" s="12"/>
    </row>
    <row r="2988" spans="1:14" s="5" customFormat="1" ht="15" customHeight="1" x14ac:dyDescent="0.25">
      <c r="A2988" s="9" t="s">
        <v>5866</v>
      </c>
      <c r="C2988" s="9" t="str">
        <f>HYPERLINK("http://www.ncbi.nlm.nih.gov/protein/407263446","Gm8556")</f>
        <v>Gm8556</v>
      </c>
      <c r="D2988" s="10">
        <f t="shared" si="46"/>
        <v>6.3848720872052649</v>
      </c>
      <c r="F2988" s="8" t="str">
        <f>HYPERLINK("https://esbl.nhlbi.nih.gov/Databases/mpkFractions/proteomic_fractions_log_files/Yang_log_img/407263446.jpg","show blot")</f>
        <v>show blot</v>
      </c>
      <c r="H2988" s="8" t="str">
        <f>HYPERLINK("https://esbl.nhlbi.nih.gov/Databases/mpkFractions/proteomic_fractions_linear_files/Yang_linear_img/407263446.jpg","show blot")</f>
        <v>show blot</v>
      </c>
      <c r="J2988" s="5" t="s">
        <v>5865</v>
      </c>
      <c r="L2988" s="11">
        <v>6.3848720872052649</v>
      </c>
      <c r="N2988" s="12"/>
    </row>
    <row r="2989" spans="1:14" s="5" customFormat="1" ht="15" customHeight="1" x14ac:dyDescent="0.25">
      <c r="A2989" s="9" t="s">
        <v>5867</v>
      </c>
      <c r="C2989" s="9" t="str">
        <f>HYPERLINK("http://www.ncbi.nlm.nih.gov/protein/149263421","Gm8587")</f>
        <v>Gm8587</v>
      </c>
      <c r="D2989" s="10">
        <f t="shared" si="46"/>
        <v>3.7917068385696551</v>
      </c>
      <c r="F2989" s="8" t="str">
        <f>HYPERLINK("https://esbl.nhlbi.nih.gov/Databases/mpkFractions/proteomic_fractions_log_files/Yang_log_img/149263421.jpg","show blot")</f>
        <v>show blot</v>
      </c>
      <c r="H2989" s="8" t="str">
        <f>HYPERLINK("https://esbl.nhlbi.nih.gov/Databases/mpkFractions/proteomic_fractions_linear_files/Yang_linear_img/149263421.jpg","show blot")</f>
        <v>show blot</v>
      </c>
      <c r="J2989" s="5" t="s">
        <v>5868</v>
      </c>
      <c r="L2989" s="11">
        <v>3.7917068385696551</v>
      </c>
      <c r="N2989" s="12"/>
    </row>
    <row r="2990" spans="1:14" s="5" customFormat="1" ht="15" customHeight="1" x14ac:dyDescent="0.25">
      <c r="A2990" s="9" t="s">
        <v>5869</v>
      </c>
      <c r="C2990" s="9" t="str">
        <f>HYPERLINK("http://www.ncbi.nlm.nih.gov/protein/149240882","Gm8618")</f>
        <v>Gm8618</v>
      </c>
      <c r="D2990" s="10">
        <f t="shared" si="46"/>
        <v>6.1793681200761972</v>
      </c>
      <c r="F2990" s="8" t="str">
        <f>HYPERLINK("https://esbl.nhlbi.nih.gov/Databases/mpkFractions/proteomic_fractions_log_files/Yang_log_img/149240882.jpg","show blot")</f>
        <v>show blot</v>
      </c>
      <c r="H2990" s="8" t="str">
        <f>HYPERLINK("https://esbl.nhlbi.nih.gov/Databases/mpkFractions/proteomic_fractions_linear_files/Yang_linear_img/149240882.jpg","show blot")</f>
        <v>show blot</v>
      </c>
      <c r="J2990" s="5" t="s">
        <v>5870</v>
      </c>
      <c r="L2990" s="11">
        <v>6.1793681200761972</v>
      </c>
      <c r="N2990" s="12"/>
    </row>
    <row r="2991" spans="1:14" s="5" customFormat="1" ht="15" customHeight="1" x14ac:dyDescent="0.25">
      <c r="A2991" s="9" t="s">
        <v>5871</v>
      </c>
      <c r="C2991" s="9" t="str">
        <f>HYPERLINK("http://www.ncbi.nlm.nih.gov/protein/309266362","Gm8841")</f>
        <v>Gm8841</v>
      </c>
      <c r="D2991" s="10">
        <f t="shared" si="46"/>
        <v>6.8488189859743001</v>
      </c>
      <c r="F2991" s="8" t="str">
        <f>HYPERLINK("https://esbl.nhlbi.nih.gov/Databases/mpkFractions/proteomic_fractions_log_files/Yang_log_img/309266362.jpg","show blot")</f>
        <v>show blot</v>
      </c>
      <c r="H2991" s="8" t="str">
        <f>HYPERLINK("https://esbl.nhlbi.nih.gov/Databases/mpkFractions/proteomic_fractions_linear_files/Yang_linear_img/309266362.jpg","show blot")</f>
        <v>show blot</v>
      </c>
      <c r="J2991" s="5" t="s">
        <v>5768</v>
      </c>
      <c r="L2991" s="11">
        <v>6.8488189859743001</v>
      </c>
      <c r="N2991" s="12"/>
    </row>
    <row r="2992" spans="1:14" s="5" customFormat="1" ht="15" customHeight="1" x14ac:dyDescent="0.25">
      <c r="A2992" s="9" t="s">
        <v>5872</v>
      </c>
      <c r="C2992" s="9" t="str">
        <f>HYPERLINK("http://www.ncbi.nlm.nih.gov/protein/94383782","Gm8841")</f>
        <v>Gm8841</v>
      </c>
      <c r="D2992" s="10">
        <f t="shared" si="46"/>
        <v>6.8488189859743001</v>
      </c>
      <c r="F2992" s="8" t="str">
        <f>HYPERLINK("https://esbl.nhlbi.nih.gov/Databases/mpkFractions/proteomic_fractions_log_files/Yang_log_img/94383782.jpg","show blot")</f>
        <v>show blot</v>
      </c>
      <c r="H2992" s="8" t="str">
        <f>HYPERLINK("https://esbl.nhlbi.nih.gov/Databases/mpkFractions/proteomic_fractions_linear_files/Yang_linear_img/94383782.jpg","show blot")</f>
        <v>show blot</v>
      </c>
      <c r="J2992" s="5" t="s">
        <v>5768</v>
      </c>
      <c r="L2992" s="11">
        <v>6.8488189859743001</v>
      </c>
      <c r="N2992" s="12"/>
    </row>
    <row r="2993" spans="1:14" s="5" customFormat="1" ht="15" customHeight="1" x14ac:dyDescent="0.25">
      <c r="A2993" s="9" t="s">
        <v>5873</v>
      </c>
      <c r="C2993" s="9" t="str">
        <f>HYPERLINK("http://www.ncbi.nlm.nih.gov/protein/94384306","Gm8842")</f>
        <v>Gm8842</v>
      </c>
      <c r="D2993" s="10">
        <f t="shared" si="46"/>
        <v>6.753664311783969</v>
      </c>
      <c r="F2993" s="8" t="str">
        <f>HYPERLINK("https://esbl.nhlbi.nih.gov/Databases/mpkFractions/proteomic_fractions_log_files/Yang_log_img/94384306.jpg","show blot")</f>
        <v>show blot</v>
      </c>
      <c r="H2993" s="8" t="str">
        <f>HYPERLINK("https://esbl.nhlbi.nih.gov/Databases/mpkFractions/proteomic_fractions_linear_files/Yang_linear_img/94384306.jpg","show blot")</f>
        <v>show blot</v>
      </c>
      <c r="J2993" s="5" t="s">
        <v>5874</v>
      </c>
      <c r="L2993" s="11">
        <v>6.753664311783969</v>
      </c>
      <c r="N2993" s="12"/>
    </row>
    <row r="2994" spans="1:14" s="5" customFormat="1" ht="15" customHeight="1" x14ac:dyDescent="0.25">
      <c r="A2994" s="9" t="s">
        <v>5875</v>
      </c>
      <c r="C2994" s="9" t="str">
        <f>HYPERLINK("http://www.ncbi.nlm.nih.gov/protein/309270419","Gm8894")</f>
        <v>Gm8894</v>
      </c>
      <c r="D2994" s="10">
        <f t="shared" si="46"/>
        <v>6.7329194861680861</v>
      </c>
      <c r="F2994" s="8" t="str">
        <f>HYPERLINK("https://esbl.nhlbi.nih.gov/Databases/mpkFractions/proteomic_fractions_log_files/Yang_log_img/309270419.jpg","show blot")</f>
        <v>show blot</v>
      </c>
      <c r="H2994" s="8" t="str">
        <f>HYPERLINK("https://esbl.nhlbi.nih.gov/Databases/mpkFractions/proteomic_fractions_linear_files/Yang_linear_img/309270419.jpg","show blot")</f>
        <v>show blot</v>
      </c>
      <c r="J2994" s="5" t="s">
        <v>5876</v>
      </c>
      <c r="L2994" s="11">
        <v>6.7329194861680861</v>
      </c>
      <c r="N2994" s="12"/>
    </row>
    <row r="2995" spans="1:14" s="5" customFormat="1" ht="15" customHeight="1" x14ac:dyDescent="0.25">
      <c r="A2995" s="9" t="s">
        <v>5877</v>
      </c>
      <c r="C2995" s="9" t="str">
        <f>HYPERLINK("http://www.ncbi.nlm.nih.gov/protein/377833377","Gm8894")</f>
        <v>Gm8894</v>
      </c>
      <c r="D2995" s="10">
        <f t="shared" si="46"/>
        <v>6.7329194861680861</v>
      </c>
      <c r="F2995" s="8" t="str">
        <f>HYPERLINK("https://esbl.nhlbi.nih.gov/Databases/mpkFractions/proteomic_fractions_log_files/Yang_log_img/377833377.jpg","show blot")</f>
        <v>show blot</v>
      </c>
      <c r="H2995" s="8" t="str">
        <f>HYPERLINK("https://esbl.nhlbi.nih.gov/Databases/mpkFractions/proteomic_fractions_linear_files/Yang_linear_img/377833377.jpg","show blot")</f>
        <v>show blot</v>
      </c>
      <c r="J2995" s="5" t="s">
        <v>5878</v>
      </c>
      <c r="L2995" s="11">
        <v>6.7329194861680861</v>
      </c>
      <c r="N2995" s="12"/>
    </row>
    <row r="2996" spans="1:14" s="5" customFormat="1" ht="15" customHeight="1" x14ac:dyDescent="0.25">
      <c r="A2996" s="9" t="s">
        <v>5879</v>
      </c>
      <c r="C2996" s="9" t="str">
        <f>HYPERLINK("http://www.ncbi.nlm.nih.gov/protein/326320033","Gm8909")</f>
        <v>Gm8909</v>
      </c>
      <c r="D2996" s="10">
        <f t="shared" si="46"/>
        <v>3.091621871223269</v>
      </c>
      <c r="F2996" s="8" t="str">
        <f>HYPERLINK("https://esbl.nhlbi.nih.gov/Databases/mpkFractions/proteomic_fractions_log_files/Yang_log_img/326320033.jpg","show blot")</f>
        <v>show blot</v>
      </c>
      <c r="H2996" s="8" t="str">
        <f>HYPERLINK("https://esbl.nhlbi.nih.gov/Databases/mpkFractions/proteomic_fractions_linear_files/Yang_linear_img/326320033.jpg","show blot")</f>
        <v>show blot</v>
      </c>
      <c r="J2996" s="5" t="s">
        <v>5880</v>
      </c>
      <c r="L2996" s="11">
        <v>3.091621871223269</v>
      </c>
      <c r="N2996" s="12"/>
    </row>
    <row r="2997" spans="1:14" s="5" customFormat="1" ht="15" customHeight="1" x14ac:dyDescent="0.25">
      <c r="A2997" s="9" t="s">
        <v>5881</v>
      </c>
      <c r="C2997" s="9" t="str">
        <f>HYPERLINK("http://www.ncbi.nlm.nih.gov/protein/218505708","Gm8994")</f>
        <v>Gm8994</v>
      </c>
      <c r="D2997" s="10">
        <f t="shared" si="46"/>
        <v>6.2510009264164301</v>
      </c>
      <c r="F2997" s="8" t="str">
        <f>HYPERLINK("https://esbl.nhlbi.nih.gov/Databases/mpkFractions/proteomic_fractions_log_files/Yang_log_img/218505708.jpg","show blot")</f>
        <v>show blot</v>
      </c>
      <c r="H2997" s="8" t="str">
        <f>HYPERLINK("https://esbl.nhlbi.nih.gov/Databases/mpkFractions/proteomic_fractions_linear_files/Yang_linear_img/218505708.jpg","show blot")</f>
        <v>show blot</v>
      </c>
      <c r="J2997" s="5" t="s">
        <v>5882</v>
      </c>
      <c r="L2997" s="11">
        <v>6.2510009264164301</v>
      </c>
      <c r="N2997" s="12"/>
    </row>
    <row r="2998" spans="1:14" s="5" customFormat="1" ht="15" customHeight="1" x14ac:dyDescent="0.25">
      <c r="A2998" s="9" t="s">
        <v>5883</v>
      </c>
      <c r="C2998" s="9" t="str">
        <f>HYPERLINK("http://www.ncbi.nlm.nih.gov/protein/94392404","Gm9178")</f>
        <v>Gm9178</v>
      </c>
      <c r="D2998" s="10">
        <f t="shared" si="46"/>
        <v>4.7828588588788206</v>
      </c>
      <c r="F2998" s="8" t="str">
        <f>HYPERLINK("https://esbl.nhlbi.nih.gov/Databases/mpkFractions/proteomic_fractions_log_files/Yang_log_img/94392404.jpg","show blot")</f>
        <v>show blot</v>
      </c>
      <c r="H2998" s="8" t="str">
        <f>HYPERLINK("https://esbl.nhlbi.nih.gov/Databases/mpkFractions/proteomic_fractions_linear_files/Yang_linear_img/94392404.jpg","show blot")</f>
        <v>show blot</v>
      </c>
      <c r="J2998" s="5" t="s">
        <v>5884</v>
      </c>
      <c r="L2998" s="11">
        <v>4.7828588588788206</v>
      </c>
      <c r="N2998" s="12"/>
    </row>
    <row r="2999" spans="1:14" s="5" customFormat="1" ht="15" customHeight="1" x14ac:dyDescent="0.25">
      <c r="A2999" s="9" t="s">
        <v>5885</v>
      </c>
      <c r="C2999" s="9" t="str">
        <f>HYPERLINK("http://www.ncbi.nlm.nih.gov/protein/407261558","Gm9234")</f>
        <v>Gm9234</v>
      </c>
      <c r="D2999" s="10">
        <f t="shared" si="46"/>
        <v>7.3195967133226736</v>
      </c>
      <c r="F2999" s="8" t="str">
        <f>HYPERLINK("https://esbl.nhlbi.nih.gov/Databases/mpkFractions/proteomic_fractions_log_files/Yang_log_img/407261558.jpg","show blot")</f>
        <v>show blot</v>
      </c>
      <c r="H2999" s="8" t="str">
        <f>HYPERLINK("https://esbl.nhlbi.nih.gov/Databases/mpkFractions/proteomic_fractions_linear_files/Yang_linear_img/407261558.jpg","show blot")</f>
        <v>show blot</v>
      </c>
      <c r="J2999" s="5" t="s">
        <v>5886</v>
      </c>
      <c r="L2999" s="11">
        <v>7.3195967133226736</v>
      </c>
      <c r="N2999" s="12"/>
    </row>
    <row r="3000" spans="1:14" s="5" customFormat="1" ht="15" customHeight="1" x14ac:dyDescent="0.25">
      <c r="A3000" s="9" t="s">
        <v>5887</v>
      </c>
      <c r="C3000" s="9" t="str">
        <f>HYPERLINK("http://www.ncbi.nlm.nih.gov/protein/94370353","Gm9372")</f>
        <v>Gm9372</v>
      </c>
      <c r="D3000" s="10">
        <f t="shared" si="46"/>
        <v>3.522275423479249</v>
      </c>
      <c r="F3000" s="8" t="str">
        <f>HYPERLINK("https://esbl.nhlbi.nih.gov/Databases/mpkFractions/proteomic_fractions_log_files/Yang_log_img/94370353.jpg","show blot")</f>
        <v>show blot</v>
      </c>
      <c r="H3000" s="8" t="str">
        <f>HYPERLINK("https://esbl.nhlbi.nih.gov/Databases/mpkFractions/proteomic_fractions_linear_files/Yang_linear_img/94370353.jpg","show blot")</f>
        <v>show blot</v>
      </c>
      <c r="J3000" s="5" t="s">
        <v>5870</v>
      </c>
      <c r="L3000" s="11">
        <v>3.522275423479249</v>
      </c>
      <c r="N3000" s="12"/>
    </row>
    <row r="3001" spans="1:14" s="5" customFormat="1" ht="15" customHeight="1" x14ac:dyDescent="0.25">
      <c r="A3001" s="9" t="s">
        <v>5888</v>
      </c>
      <c r="C3001" s="9" t="str">
        <f>HYPERLINK("http://www.ncbi.nlm.nih.gov/protein/407263600","Gm9385")</f>
        <v>Gm9385</v>
      </c>
      <c r="D3001" s="10">
        <f t="shared" si="46"/>
        <v>6.9586693384881917</v>
      </c>
      <c r="F3001" s="8" t="str">
        <f>HYPERLINK("https://esbl.nhlbi.nih.gov/Databases/mpkFractions/proteomic_fractions_log_files/Yang_log_img/407263600.jpg","show blot")</f>
        <v>show blot</v>
      </c>
      <c r="H3001" s="8" t="str">
        <f>HYPERLINK("https://esbl.nhlbi.nih.gov/Databases/mpkFractions/proteomic_fractions_linear_files/Yang_linear_img/407263600.jpg","show blot")</f>
        <v>show blot</v>
      </c>
      <c r="J3001" s="5" t="s">
        <v>5889</v>
      </c>
      <c r="L3001" s="11">
        <v>6.9586693384881917</v>
      </c>
      <c r="N3001" s="12"/>
    </row>
    <row r="3002" spans="1:14" s="5" customFormat="1" ht="15" customHeight="1" x14ac:dyDescent="0.25">
      <c r="A3002" s="9" t="s">
        <v>5890</v>
      </c>
      <c r="C3002" s="9" t="str">
        <f>HYPERLINK("http://www.ncbi.nlm.nih.gov/protein/94403170","Gm9386")</f>
        <v>Gm9386</v>
      </c>
      <c r="D3002" s="10">
        <f t="shared" si="46"/>
        <v>5.7379710374460347</v>
      </c>
      <c r="F3002" s="8" t="str">
        <f>HYPERLINK("https://esbl.nhlbi.nih.gov/Databases/mpkFractions/proteomic_fractions_log_files/Yang_log_img/94403170.jpg","show blot")</f>
        <v>show blot</v>
      </c>
      <c r="H3002" s="8" t="str">
        <f>HYPERLINK("https://esbl.nhlbi.nih.gov/Databases/mpkFractions/proteomic_fractions_linear_files/Yang_linear_img/94403170.jpg","show blot")</f>
        <v>show blot</v>
      </c>
      <c r="J3002" s="5" t="s">
        <v>5479</v>
      </c>
      <c r="L3002" s="11">
        <v>5.7379710374460347</v>
      </c>
      <c r="N3002" s="12"/>
    </row>
    <row r="3003" spans="1:14" s="5" customFormat="1" ht="15" customHeight="1" x14ac:dyDescent="0.25">
      <c r="A3003" s="9" t="s">
        <v>5891</v>
      </c>
      <c r="C3003" s="9" t="str">
        <f>HYPERLINK("http://www.ncbi.nlm.nih.gov/protein/309266196","Gm9457")</f>
        <v>Gm9457</v>
      </c>
      <c r="D3003" s="10">
        <f t="shared" si="46"/>
        <v>5.8155406280755688</v>
      </c>
      <c r="F3003" s="8" t="str">
        <f>HYPERLINK("https://esbl.nhlbi.nih.gov/Databases/mpkFractions/proteomic_fractions_log_files/Yang_log_img/309266196.jpg","show blot")</f>
        <v>show blot</v>
      </c>
      <c r="H3003" s="8" t="str">
        <f>HYPERLINK("https://esbl.nhlbi.nih.gov/Databases/mpkFractions/proteomic_fractions_linear_files/Yang_linear_img/309266196.jpg","show blot")</f>
        <v>show blot</v>
      </c>
      <c r="J3003" s="5" t="s">
        <v>5892</v>
      </c>
      <c r="L3003" s="11">
        <v>5.8155406280755688</v>
      </c>
      <c r="N3003" s="12"/>
    </row>
    <row r="3004" spans="1:14" s="5" customFormat="1" ht="15" customHeight="1" x14ac:dyDescent="0.25">
      <c r="A3004" s="9" t="s">
        <v>5893</v>
      </c>
      <c r="C3004" s="9" t="str">
        <f>HYPERLINK("http://www.ncbi.nlm.nih.gov/protein/377834619","Gm9670")</f>
        <v>Gm9670</v>
      </c>
      <c r="D3004" s="10">
        <f t="shared" si="46"/>
        <v>6.5035283314473213</v>
      </c>
      <c r="F3004" s="8" t="str">
        <f>HYPERLINK("https://esbl.nhlbi.nih.gov/Databases/mpkFractions/proteomic_fractions_log_files/Yang_log_img/377834619.jpg","show blot")</f>
        <v>show blot</v>
      </c>
      <c r="H3004" s="8" t="str">
        <f>HYPERLINK("https://esbl.nhlbi.nih.gov/Databases/mpkFractions/proteomic_fractions_linear_files/Yang_linear_img/377834619.jpg","show blot")</f>
        <v>show blot</v>
      </c>
      <c r="J3004" s="5" t="s">
        <v>5894</v>
      </c>
      <c r="L3004" s="11">
        <v>6.5035283314473213</v>
      </c>
      <c r="N3004" s="12"/>
    </row>
    <row r="3005" spans="1:14" s="5" customFormat="1" ht="15" customHeight="1" x14ac:dyDescent="0.25">
      <c r="A3005" s="9" t="s">
        <v>5895</v>
      </c>
      <c r="C3005" s="9" t="str">
        <f>HYPERLINK("http://www.ncbi.nlm.nih.gov/protein/309268396","Gm9835")</f>
        <v>Gm9835</v>
      </c>
      <c r="D3005" s="10">
        <f t="shared" si="46"/>
        <v>5.1643596439524426</v>
      </c>
      <c r="F3005" s="8" t="str">
        <f>HYPERLINK("https://esbl.nhlbi.nih.gov/Databases/mpkFractions/proteomic_fractions_log_files/Yang_log_img/309268396.jpg","show blot")</f>
        <v>show blot</v>
      </c>
      <c r="H3005" s="8" t="str">
        <f>HYPERLINK("https://esbl.nhlbi.nih.gov/Databases/mpkFractions/proteomic_fractions_linear_files/Yang_linear_img/309268396.jpg","show blot")</f>
        <v>show blot</v>
      </c>
      <c r="J3005" s="5" t="s">
        <v>5896</v>
      </c>
      <c r="L3005" s="11">
        <v>5.1643596439524426</v>
      </c>
      <c r="N3005" s="12"/>
    </row>
    <row r="3006" spans="1:14" s="5" customFormat="1" ht="15" customHeight="1" x14ac:dyDescent="0.25">
      <c r="A3006" s="9" t="s">
        <v>5897</v>
      </c>
      <c r="C3006" s="9" t="str">
        <f>HYPERLINK("http://www.ncbi.nlm.nih.gov/protein/309265531","Gm9835")</f>
        <v>Gm9835</v>
      </c>
      <c r="D3006" s="10">
        <f t="shared" si="46"/>
        <v>5.1643596439524426</v>
      </c>
      <c r="F3006" s="8" t="str">
        <f>HYPERLINK("https://esbl.nhlbi.nih.gov/Databases/mpkFractions/proteomic_fractions_log_files/Yang_log_img/309265531.jpg","show blot")</f>
        <v>show blot</v>
      </c>
      <c r="H3006" s="8" t="str">
        <f>HYPERLINK("https://esbl.nhlbi.nih.gov/Databases/mpkFractions/proteomic_fractions_linear_files/Yang_linear_img/309265531.jpg","show blot")</f>
        <v>show blot</v>
      </c>
      <c r="J3006" s="5" t="s">
        <v>5896</v>
      </c>
      <c r="L3006" s="11">
        <v>5.1643596439524426</v>
      </c>
      <c r="N3006" s="12"/>
    </row>
    <row r="3007" spans="1:14" s="5" customFormat="1" ht="15" customHeight="1" x14ac:dyDescent="0.25">
      <c r="A3007" s="9" t="s">
        <v>5898</v>
      </c>
      <c r="C3007" s="9" t="str">
        <f>HYPERLINK("http://www.ncbi.nlm.nih.gov/protein/316659416","Gm9839")</f>
        <v>Gm9839</v>
      </c>
      <c r="D3007" s="10">
        <f t="shared" si="46"/>
        <v>2.060423100833519</v>
      </c>
      <c r="F3007" s="8" t="str">
        <f>HYPERLINK("https://esbl.nhlbi.nih.gov/Databases/mpkFractions/proteomic_fractions_log_files/Yang_log_img/316659416.jpg","show blot")</f>
        <v>show blot</v>
      </c>
      <c r="H3007" s="8" t="str">
        <f>HYPERLINK("https://esbl.nhlbi.nih.gov/Databases/mpkFractions/proteomic_fractions_linear_files/Yang_linear_img/316659416.jpg","show blot")</f>
        <v>show blot</v>
      </c>
      <c r="J3007" s="5" t="s">
        <v>5899</v>
      </c>
      <c r="L3007" s="11">
        <v>2.060423100833519</v>
      </c>
      <c r="N3007" s="12"/>
    </row>
    <row r="3008" spans="1:14" s="5" customFormat="1" ht="15" customHeight="1" x14ac:dyDescent="0.25">
      <c r="A3008" s="9" t="s">
        <v>5900</v>
      </c>
      <c r="C3008" s="9" t="str">
        <f>HYPERLINK("http://www.ncbi.nlm.nih.gov/protein/22122523","Gmds")</f>
        <v>Gmds</v>
      </c>
      <c r="D3008" s="10">
        <f t="shared" si="46"/>
        <v>6.0814081387673484</v>
      </c>
      <c r="F3008" s="8" t="str">
        <f>HYPERLINK("https://esbl.nhlbi.nih.gov/Databases/mpkFractions/proteomic_fractions_log_files/Yang_log_img/22122523.jpg","show blot")</f>
        <v>show blot</v>
      </c>
      <c r="H3008" s="8" t="str">
        <f>HYPERLINK("https://esbl.nhlbi.nih.gov/Databases/mpkFractions/proteomic_fractions_linear_files/Yang_linear_img/22122523.jpg","show blot")</f>
        <v>show blot</v>
      </c>
      <c r="J3008" s="5" t="s">
        <v>5901</v>
      </c>
      <c r="L3008" s="11">
        <v>6.0814081387673484</v>
      </c>
      <c r="N3008" s="12"/>
    </row>
    <row r="3009" spans="1:14" s="5" customFormat="1" ht="15" customHeight="1" x14ac:dyDescent="0.25">
      <c r="A3009" s="9" t="s">
        <v>5902</v>
      </c>
      <c r="C3009" s="9" t="str">
        <f>HYPERLINK("http://www.ncbi.nlm.nih.gov/protein/188528613","Gmfb")</f>
        <v>Gmfb</v>
      </c>
      <c r="D3009" s="10">
        <f t="shared" si="46"/>
        <v>5.2710375092612924</v>
      </c>
      <c r="F3009" s="8" t="str">
        <f>HYPERLINK("https://esbl.nhlbi.nih.gov/Databases/mpkFractions/proteomic_fractions_log_files/Yang_log_img/188528613.jpg","show blot")</f>
        <v>show blot</v>
      </c>
      <c r="H3009" s="8" t="str">
        <f>HYPERLINK("https://esbl.nhlbi.nih.gov/Databases/mpkFractions/proteomic_fractions_linear_files/Yang_linear_img/188528613.jpg","show blot")</f>
        <v>show blot</v>
      </c>
      <c r="J3009" s="5" t="s">
        <v>5903</v>
      </c>
      <c r="L3009" s="11">
        <v>5.2710375092612924</v>
      </c>
      <c r="N3009" s="12"/>
    </row>
    <row r="3010" spans="1:14" s="5" customFormat="1" ht="15" customHeight="1" x14ac:dyDescent="0.25">
      <c r="A3010" s="9" t="s">
        <v>5904</v>
      </c>
      <c r="C3010" s="9" t="str">
        <f>HYPERLINK("http://www.ncbi.nlm.nih.gov/protein/11993950","Gmfg")</f>
        <v>Gmfg</v>
      </c>
      <c r="D3010" s="10">
        <f t="shared" si="46"/>
        <v>5.2126643235269974</v>
      </c>
      <c r="F3010" s="8" t="str">
        <f>HYPERLINK("https://esbl.nhlbi.nih.gov/Databases/mpkFractions/proteomic_fractions_log_files/Yang_log_img/11993950.jpg","show blot")</f>
        <v>show blot</v>
      </c>
      <c r="H3010" s="8" t="str">
        <f>HYPERLINK("https://esbl.nhlbi.nih.gov/Databases/mpkFractions/proteomic_fractions_linear_files/Yang_linear_img/11993950.jpg","show blot")</f>
        <v>show blot</v>
      </c>
      <c r="J3010" s="5" t="s">
        <v>5905</v>
      </c>
      <c r="L3010" s="11">
        <v>5.2126643235269974</v>
      </c>
      <c r="N3010" s="12"/>
    </row>
    <row r="3011" spans="1:14" s="5" customFormat="1" ht="15" customHeight="1" x14ac:dyDescent="0.25">
      <c r="A3011" s="9" t="s">
        <v>5906</v>
      </c>
      <c r="C3011" s="9" t="str">
        <f>HYPERLINK("http://www.ncbi.nlm.nih.gov/protein/37674214","Gmip")</f>
        <v>Gmip</v>
      </c>
      <c r="D3011" s="10">
        <f t="shared" si="46"/>
        <v>1.790734021630682</v>
      </c>
      <c r="F3011" s="8" t="str">
        <f>HYPERLINK("https://esbl.nhlbi.nih.gov/Databases/mpkFractions/proteomic_fractions_log_files/Yang_log_img/37674214.jpg","show blot")</f>
        <v>show blot</v>
      </c>
      <c r="H3011" s="8" t="str">
        <f>HYPERLINK("https://esbl.nhlbi.nih.gov/Databases/mpkFractions/proteomic_fractions_linear_files/Yang_linear_img/37674214.jpg","show blot")</f>
        <v>show blot</v>
      </c>
      <c r="J3011" s="5" t="s">
        <v>5907</v>
      </c>
      <c r="L3011" s="11">
        <v>1.790734021630682</v>
      </c>
      <c r="N3011" s="12"/>
    </row>
    <row r="3012" spans="1:14" s="5" customFormat="1" ht="15" customHeight="1" x14ac:dyDescent="0.25">
      <c r="A3012" s="9" t="s">
        <v>5908</v>
      </c>
      <c r="C3012" s="9" t="str">
        <f>HYPERLINK("http://www.ncbi.nlm.nih.gov/protein/19526884","Gmppa")</f>
        <v>Gmppa</v>
      </c>
      <c r="D3012" s="10">
        <f t="shared" si="46"/>
        <v>4.9908682704192016</v>
      </c>
      <c r="F3012" s="8" t="str">
        <f>HYPERLINK("https://esbl.nhlbi.nih.gov/Databases/mpkFractions/proteomic_fractions_log_files/Yang_log_img/19526884.jpg","show blot")</f>
        <v>show blot</v>
      </c>
      <c r="H3012" s="8" t="str">
        <f>HYPERLINK("https://esbl.nhlbi.nih.gov/Databases/mpkFractions/proteomic_fractions_linear_files/Yang_linear_img/19526884.jpg","show blot")</f>
        <v>show blot</v>
      </c>
      <c r="J3012" s="5" t="s">
        <v>5909</v>
      </c>
      <c r="L3012" s="11">
        <v>4.9908682704192016</v>
      </c>
      <c r="N3012" s="12"/>
    </row>
    <row r="3013" spans="1:14" s="5" customFormat="1" ht="15" customHeight="1" x14ac:dyDescent="0.25">
      <c r="A3013" s="9" t="s">
        <v>5910</v>
      </c>
      <c r="C3013" s="9" t="str">
        <f>HYPERLINK("http://www.ncbi.nlm.nih.gov/protein/29244556","Gmppb")</f>
        <v>Gmppb</v>
      </c>
      <c r="D3013" s="10">
        <f t="shared" ref="D3013:D3076" si="47">L3013</f>
        <v>5.4802570130251747</v>
      </c>
      <c r="F3013" s="8" t="str">
        <f>HYPERLINK("https://esbl.nhlbi.nih.gov/Databases/mpkFractions/proteomic_fractions_log_files/Yang_log_img/29244556.jpg","show blot")</f>
        <v>show blot</v>
      </c>
      <c r="H3013" s="8" t="str">
        <f>HYPERLINK("https://esbl.nhlbi.nih.gov/Databases/mpkFractions/proteomic_fractions_linear_files/Yang_linear_img/29244556.jpg","show blot")</f>
        <v>show blot</v>
      </c>
      <c r="J3013" s="5" t="s">
        <v>5911</v>
      </c>
      <c r="L3013" s="11">
        <v>5.4802570130251747</v>
      </c>
      <c r="N3013" s="12"/>
    </row>
    <row r="3014" spans="1:14" s="5" customFormat="1" ht="15" customHeight="1" x14ac:dyDescent="0.25">
      <c r="A3014" s="9" t="s">
        <v>5912</v>
      </c>
      <c r="C3014" s="9" t="str">
        <f>HYPERLINK("http://www.ncbi.nlm.nih.gov/protein/17975500","Gmpr")</f>
        <v>Gmpr</v>
      </c>
      <c r="D3014" s="10">
        <f t="shared" si="47"/>
        <v>4.4711932971946826</v>
      </c>
      <c r="F3014" s="8" t="str">
        <f>HYPERLINK("https://esbl.nhlbi.nih.gov/Databases/mpkFractions/proteomic_fractions_log_files/Yang_log_img/17975500.jpg","show blot")</f>
        <v>show blot</v>
      </c>
      <c r="H3014" s="8" t="str">
        <f>HYPERLINK("https://esbl.nhlbi.nih.gov/Databases/mpkFractions/proteomic_fractions_linear_files/Yang_linear_img/17975500.jpg","show blot")</f>
        <v>show blot</v>
      </c>
      <c r="J3014" s="5" t="s">
        <v>5913</v>
      </c>
      <c r="L3014" s="11">
        <v>4.4711932971946826</v>
      </c>
      <c r="N3014" s="12"/>
    </row>
    <row r="3015" spans="1:14" s="5" customFormat="1" ht="15" customHeight="1" x14ac:dyDescent="0.25">
      <c r="A3015" s="9" t="s">
        <v>5914</v>
      </c>
      <c r="C3015" s="9" t="str">
        <f>HYPERLINK("http://www.ncbi.nlm.nih.gov/protein/29568082","Gmpr2")</f>
        <v>Gmpr2</v>
      </c>
      <c r="D3015" s="10">
        <f t="shared" si="47"/>
        <v>5.2845204823158412</v>
      </c>
      <c r="F3015" s="8" t="str">
        <f>HYPERLINK("https://esbl.nhlbi.nih.gov/Databases/mpkFractions/proteomic_fractions_log_files/Yang_log_img/29568082.jpg","show blot")</f>
        <v>show blot</v>
      </c>
      <c r="H3015" s="8" t="str">
        <f>HYPERLINK("https://esbl.nhlbi.nih.gov/Databases/mpkFractions/proteomic_fractions_linear_files/Yang_linear_img/29568082.jpg","show blot")</f>
        <v>show blot</v>
      </c>
      <c r="J3015" s="5" t="s">
        <v>5915</v>
      </c>
      <c r="L3015" s="11">
        <v>5.2845204823158412</v>
      </c>
      <c r="N3015" s="12"/>
    </row>
    <row r="3016" spans="1:14" s="5" customFormat="1" ht="15" customHeight="1" x14ac:dyDescent="0.25">
      <c r="A3016" s="9" t="s">
        <v>5916</v>
      </c>
      <c r="C3016" s="9" t="str">
        <f>HYPERLINK("http://www.ncbi.nlm.nih.gov/protein/85861218","Gmps")</f>
        <v>Gmps</v>
      </c>
      <c r="D3016" s="10">
        <f t="shared" si="47"/>
        <v>5.6610396680230863</v>
      </c>
      <c r="F3016" s="8" t="str">
        <f>HYPERLINK("https://esbl.nhlbi.nih.gov/Databases/mpkFractions/proteomic_fractions_log_files/Yang_log_img/85861218.jpg","show blot")</f>
        <v>show blot</v>
      </c>
      <c r="H3016" s="8" t="str">
        <f>HYPERLINK("https://esbl.nhlbi.nih.gov/Databases/mpkFractions/proteomic_fractions_linear_files/Yang_linear_img/85861218.jpg","show blot")</f>
        <v>show blot</v>
      </c>
      <c r="J3016" s="5" t="s">
        <v>5917</v>
      </c>
      <c r="L3016" s="11">
        <v>5.6610396680230863</v>
      </c>
      <c r="N3016" s="12"/>
    </row>
    <row r="3017" spans="1:14" s="5" customFormat="1" ht="15" customHeight="1" x14ac:dyDescent="0.25">
      <c r="A3017" s="9" t="s">
        <v>5918</v>
      </c>
      <c r="C3017" s="9" t="str">
        <f>HYPERLINK("http://www.ncbi.nlm.nih.gov/protein/6754004","Gna11")</f>
        <v>Gna11</v>
      </c>
      <c r="D3017" s="10">
        <f t="shared" si="47"/>
        <v>5.4723778786829049</v>
      </c>
      <c r="F3017" s="8" t="str">
        <f>HYPERLINK("https://esbl.nhlbi.nih.gov/Databases/mpkFractions/proteomic_fractions_log_files/Yang_log_img/6754004.jpg","show blot")</f>
        <v>show blot</v>
      </c>
      <c r="H3017" s="8" t="str">
        <f>HYPERLINK("https://esbl.nhlbi.nih.gov/Databases/mpkFractions/proteomic_fractions_linear_files/Yang_linear_img/6754004.jpg","show blot")</f>
        <v>show blot</v>
      </c>
      <c r="J3017" s="5" t="s">
        <v>5919</v>
      </c>
      <c r="L3017" s="11">
        <v>5.4723778786829049</v>
      </c>
      <c r="N3017" s="12"/>
    </row>
    <row r="3018" spans="1:14" s="5" customFormat="1" ht="15" customHeight="1" x14ac:dyDescent="0.25">
      <c r="A3018" s="9" t="s">
        <v>5920</v>
      </c>
      <c r="C3018" s="9" t="str">
        <f>HYPERLINK("http://www.ncbi.nlm.nih.gov/protein/6754006","Gna12")</f>
        <v>Gna12</v>
      </c>
      <c r="D3018" s="10">
        <f t="shared" si="47"/>
        <v>5.613948817804201</v>
      </c>
      <c r="F3018" s="8" t="str">
        <f>HYPERLINK("https://esbl.nhlbi.nih.gov/Databases/mpkFractions/proteomic_fractions_log_files/Yang_log_img/6754006.jpg","show blot")</f>
        <v>show blot</v>
      </c>
      <c r="H3018" s="8" t="str">
        <f>HYPERLINK("https://esbl.nhlbi.nih.gov/Databases/mpkFractions/proteomic_fractions_linear_files/Yang_linear_img/6754006.jpg","show blot")</f>
        <v>show blot</v>
      </c>
      <c r="J3018" s="5" t="s">
        <v>5921</v>
      </c>
      <c r="L3018" s="11">
        <v>5.613948817804201</v>
      </c>
      <c r="N3018" s="12"/>
    </row>
    <row r="3019" spans="1:14" s="5" customFormat="1" ht="15" customHeight="1" x14ac:dyDescent="0.25">
      <c r="A3019" s="9" t="s">
        <v>5922</v>
      </c>
      <c r="C3019" s="9" t="str">
        <f>HYPERLINK("http://www.ncbi.nlm.nih.gov/protein/89001109","Gna13")</f>
        <v>Gna13</v>
      </c>
      <c r="D3019" s="10">
        <f t="shared" si="47"/>
        <v>5.6597282098473949</v>
      </c>
      <c r="F3019" s="8" t="str">
        <f>HYPERLINK("https://esbl.nhlbi.nih.gov/Databases/mpkFractions/proteomic_fractions_log_files/Yang_log_img/89001109.jpg","show blot")</f>
        <v>show blot</v>
      </c>
      <c r="H3019" s="8" t="str">
        <f>HYPERLINK("https://esbl.nhlbi.nih.gov/Databases/mpkFractions/proteomic_fractions_linear_files/Yang_linear_img/89001109.jpg","show blot")</f>
        <v>show blot</v>
      </c>
      <c r="J3019" s="5" t="s">
        <v>5923</v>
      </c>
      <c r="L3019" s="11">
        <v>5.6597282098473949</v>
      </c>
      <c r="N3019" s="12"/>
    </row>
    <row r="3020" spans="1:14" s="5" customFormat="1" ht="15" customHeight="1" x14ac:dyDescent="0.25">
      <c r="A3020" s="9" t="s">
        <v>5924</v>
      </c>
      <c r="C3020" s="9" t="str">
        <f>HYPERLINK("http://www.ncbi.nlm.nih.gov/protein/160298199","Gna14")</f>
        <v>Gna14</v>
      </c>
      <c r="D3020" s="10">
        <f t="shared" si="47"/>
        <v>4.701029178870419</v>
      </c>
      <c r="F3020" s="8" t="str">
        <f>HYPERLINK("https://esbl.nhlbi.nih.gov/Databases/mpkFractions/proteomic_fractions_log_files/Yang_log_img/160298199.jpg","show blot")</f>
        <v>show blot</v>
      </c>
      <c r="H3020" s="8" t="str">
        <f>HYPERLINK("https://esbl.nhlbi.nih.gov/Databases/mpkFractions/proteomic_fractions_linear_files/Yang_linear_img/160298199.jpg","show blot")</f>
        <v>show blot</v>
      </c>
      <c r="J3020" s="5" t="s">
        <v>5925</v>
      </c>
      <c r="L3020" s="11">
        <v>4.701029178870419</v>
      </c>
      <c r="N3020" s="12"/>
    </row>
    <row r="3021" spans="1:14" s="5" customFormat="1" ht="15" customHeight="1" x14ac:dyDescent="0.25">
      <c r="A3021" s="9" t="s">
        <v>5926</v>
      </c>
      <c r="C3021" s="9" t="str">
        <f>HYPERLINK("http://www.ncbi.nlm.nih.gov/protein/74271899","Gnai1")</f>
        <v>Gnai1</v>
      </c>
      <c r="D3021" s="10">
        <f t="shared" si="47"/>
        <v>6.065716262142864</v>
      </c>
      <c r="F3021" s="8" t="str">
        <f>HYPERLINK("https://esbl.nhlbi.nih.gov/Databases/mpkFractions/proteomic_fractions_log_files/Yang_log_img/74271899.jpg","show blot")</f>
        <v>show blot</v>
      </c>
      <c r="H3021" s="8" t="str">
        <f>HYPERLINK("https://esbl.nhlbi.nih.gov/Databases/mpkFractions/proteomic_fractions_linear_files/Yang_linear_img/74271899.jpg","show blot")</f>
        <v>show blot</v>
      </c>
      <c r="J3021" s="5" t="s">
        <v>5927</v>
      </c>
      <c r="L3021" s="11">
        <v>6.065716262142864</v>
      </c>
      <c r="N3021" s="12"/>
    </row>
    <row r="3022" spans="1:14" s="5" customFormat="1" ht="15" customHeight="1" x14ac:dyDescent="0.25">
      <c r="A3022" s="9" t="s">
        <v>5928</v>
      </c>
      <c r="C3022" s="9" t="str">
        <f>HYPERLINK("http://www.ncbi.nlm.nih.gov/protein/41054806","Gnai2")</f>
        <v>Gnai2</v>
      </c>
      <c r="D3022" s="10">
        <f t="shared" si="47"/>
        <v>6.3985374155629708</v>
      </c>
      <c r="F3022" s="8" t="str">
        <f>HYPERLINK("https://esbl.nhlbi.nih.gov/Databases/mpkFractions/proteomic_fractions_log_files/Yang_log_img/41054806.jpg","show blot")</f>
        <v>show blot</v>
      </c>
      <c r="H3022" s="8" t="str">
        <f>HYPERLINK("https://esbl.nhlbi.nih.gov/Databases/mpkFractions/proteomic_fractions_linear_files/Yang_linear_img/41054806.jpg","show blot")</f>
        <v>show blot</v>
      </c>
      <c r="J3022" s="5" t="s">
        <v>5929</v>
      </c>
      <c r="L3022" s="11">
        <v>6.3985374155629708</v>
      </c>
      <c r="N3022" s="12"/>
    </row>
    <row r="3023" spans="1:14" s="5" customFormat="1" ht="15" customHeight="1" x14ac:dyDescent="0.25">
      <c r="A3023" s="9" t="s">
        <v>5930</v>
      </c>
      <c r="C3023" s="9" t="str">
        <f>HYPERLINK("http://www.ncbi.nlm.nih.gov/protein/33563256","Gnai3")</f>
        <v>Gnai3</v>
      </c>
      <c r="D3023" s="10">
        <f t="shared" si="47"/>
        <v>6.2352295206458708</v>
      </c>
      <c r="F3023" s="8" t="str">
        <f>HYPERLINK("https://esbl.nhlbi.nih.gov/Databases/mpkFractions/proteomic_fractions_log_files/Yang_log_img/33563256.jpg","show blot")</f>
        <v>show blot</v>
      </c>
      <c r="H3023" s="8" t="str">
        <f>HYPERLINK("https://esbl.nhlbi.nih.gov/Databases/mpkFractions/proteomic_fractions_linear_files/Yang_linear_img/33563256.jpg","show blot")</f>
        <v>show blot</v>
      </c>
      <c r="J3023" s="5" t="s">
        <v>5931</v>
      </c>
      <c r="L3023" s="11">
        <v>6.2352295206458708</v>
      </c>
      <c r="N3023" s="12"/>
    </row>
    <row r="3024" spans="1:14" s="5" customFormat="1" ht="15" customHeight="1" x14ac:dyDescent="0.25">
      <c r="A3024" s="9" t="s">
        <v>5932</v>
      </c>
      <c r="C3024" s="9" t="str">
        <f>HYPERLINK("http://www.ncbi.nlm.nih.gov/protein/47271350","Gnal")</f>
        <v>Gnal</v>
      </c>
      <c r="D3024" s="10">
        <f t="shared" si="47"/>
        <v>5.6526737790001729</v>
      </c>
      <c r="F3024" s="8" t="str">
        <f>HYPERLINK("https://esbl.nhlbi.nih.gov/Databases/mpkFractions/proteomic_fractions_log_files/Yang_log_img/47271350.jpg","show blot")</f>
        <v>show blot</v>
      </c>
      <c r="H3024" s="8" t="str">
        <f>HYPERLINK("https://esbl.nhlbi.nih.gov/Databases/mpkFractions/proteomic_fractions_linear_files/Yang_linear_img/47271350.jpg","show blot")</f>
        <v>show blot</v>
      </c>
      <c r="J3024" s="5" t="s">
        <v>5933</v>
      </c>
      <c r="L3024" s="11">
        <v>5.6526737790001729</v>
      </c>
      <c r="N3024" s="12"/>
    </row>
    <row r="3025" spans="1:14" s="5" customFormat="1" ht="15" customHeight="1" x14ac:dyDescent="0.25">
      <c r="A3025" s="9" t="s">
        <v>5934</v>
      </c>
      <c r="C3025" s="9" t="str">
        <f>HYPERLINK("http://www.ncbi.nlm.nih.gov/protein/84000001","Gnal")</f>
        <v>Gnal</v>
      </c>
      <c r="D3025" s="10">
        <f t="shared" si="47"/>
        <v>5.6526737790001729</v>
      </c>
      <c r="F3025" s="8" t="str">
        <f>HYPERLINK("https://esbl.nhlbi.nih.gov/Databases/mpkFractions/proteomic_fractions_log_files/Yang_log_img/84000001.jpg","show blot")</f>
        <v>show blot</v>
      </c>
      <c r="H3025" s="8" t="str">
        <f>HYPERLINK("https://esbl.nhlbi.nih.gov/Databases/mpkFractions/proteomic_fractions_linear_files/Yang_linear_img/84000001.jpg","show blot")</f>
        <v>show blot</v>
      </c>
      <c r="J3025" s="5" t="s">
        <v>5935</v>
      </c>
      <c r="L3025" s="11">
        <v>5.6526737790001729</v>
      </c>
      <c r="N3025" s="12"/>
    </row>
    <row r="3026" spans="1:14" s="5" customFormat="1" ht="15" customHeight="1" x14ac:dyDescent="0.25">
      <c r="A3026" s="9" t="s">
        <v>5936</v>
      </c>
      <c r="C3026" s="9" t="str">
        <f>HYPERLINK("http://www.ncbi.nlm.nih.gov/protein/164607137","Gnao1")</f>
        <v>Gnao1</v>
      </c>
      <c r="D3026" s="10">
        <f t="shared" si="47"/>
        <v>5.9115049157000374</v>
      </c>
      <c r="F3026" s="8" t="str">
        <f>HYPERLINK("https://esbl.nhlbi.nih.gov/Databases/mpkFractions/proteomic_fractions_log_files/Yang_log_img/164607137.jpg","show blot")</f>
        <v>show blot</v>
      </c>
      <c r="H3026" s="8" t="str">
        <f>HYPERLINK("https://esbl.nhlbi.nih.gov/Databases/mpkFractions/proteomic_fractions_linear_files/Yang_linear_img/164607137.jpg","show blot")</f>
        <v>show blot</v>
      </c>
      <c r="J3026" s="5" t="s">
        <v>5937</v>
      </c>
      <c r="L3026" s="11">
        <v>5.9115049157000374</v>
      </c>
      <c r="N3026" s="12"/>
    </row>
    <row r="3027" spans="1:14" s="5" customFormat="1" ht="15" customHeight="1" x14ac:dyDescent="0.25">
      <c r="A3027" s="9" t="s">
        <v>5938</v>
      </c>
      <c r="C3027" s="9" t="str">
        <f>HYPERLINK("http://www.ncbi.nlm.nih.gov/protein/6754012","Gnao1")</f>
        <v>Gnao1</v>
      </c>
      <c r="D3027" s="10">
        <f t="shared" si="47"/>
        <v>5.9115049157000374</v>
      </c>
      <c r="F3027" s="8" t="str">
        <f>HYPERLINK("https://esbl.nhlbi.nih.gov/Databases/mpkFractions/proteomic_fractions_log_files/Yang_log_img/6754012.jpg","show blot")</f>
        <v>show blot</v>
      </c>
      <c r="H3027" s="8" t="str">
        <f>HYPERLINK("https://esbl.nhlbi.nih.gov/Databases/mpkFractions/proteomic_fractions_linear_files/Yang_linear_img/6754012.jpg","show blot")</f>
        <v>show blot</v>
      </c>
      <c r="J3027" s="5" t="s">
        <v>5939</v>
      </c>
      <c r="L3027" s="11">
        <v>5.9115049157000374</v>
      </c>
      <c r="N3027" s="12"/>
    </row>
    <row r="3028" spans="1:14" s="5" customFormat="1" ht="15" customHeight="1" x14ac:dyDescent="0.25">
      <c r="A3028" s="9" t="s">
        <v>5940</v>
      </c>
      <c r="C3028" s="9" t="str">
        <f>HYPERLINK("http://www.ncbi.nlm.nih.gov/protein/84662745","Gnaq")</f>
        <v>Gnaq</v>
      </c>
      <c r="D3028" s="10">
        <f t="shared" si="47"/>
        <v>5.2348402877785061</v>
      </c>
      <c r="F3028" s="8" t="str">
        <f>HYPERLINK("https://esbl.nhlbi.nih.gov/Databases/mpkFractions/proteomic_fractions_log_files/Yang_log_img/84662745.jpg","show blot")</f>
        <v>show blot</v>
      </c>
      <c r="H3028" s="8" t="str">
        <f>HYPERLINK("https://esbl.nhlbi.nih.gov/Databases/mpkFractions/proteomic_fractions_linear_files/Yang_linear_img/84662745.jpg","show blot")</f>
        <v>show blot</v>
      </c>
      <c r="J3028" s="5" t="s">
        <v>5941</v>
      </c>
      <c r="L3028" s="11">
        <v>5.2348402877785061</v>
      </c>
      <c r="N3028" s="12"/>
    </row>
    <row r="3029" spans="1:14" s="5" customFormat="1" ht="15" customHeight="1" x14ac:dyDescent="0.25">
      <c r="A3029" s="9" t="s">
        <v>5942</v>
      </c>
      <c r="C3029" s="9" t="str">
        <f>HYPERLINK("http://www.ncbi.nlm.nih.gov/protein/117959921","Gnas")</f>
        <v>Gnas</v>
      </c>
      <c r="D3029" s="10">
        <f t="shared" si="47"/>
        <v>5.91515677284593</v>
      </c>
      <c r="F3029" s="8" t="str">
        <f>HYPERLINK("https://esbl.nhlbi.nih.gov/Databases/mpkFractions/proteomic_fractions_log_files/Yang_log_img/117959921.jpg","show blot")</f>
        <v>show blot</v>
      </c>
      <c r="H3029" s="8" t="str">
        <f>HYPERLINK("https://esbl.nhlbi.nih.gov/Databases/mpkFractions/proteomic_fractions_linear_files/Yang_linear_img/117959921.jpg","show blot")</f>
        <v>show blot</v>
      </c>
      <c r="J3029" s="5" t="s">
        <v>5943</v>
      </c>
      <c r="L3029" s="11">
        <v>5.91515677284593</v>
      </c>
      <c r="N3029" s="12"/>
    </row>
    <row r="3030" spans="1:14" s="5" customFormat="1" ht="15" customHeight="1" x14ac:dyDescent="0.25">
      <c r="A3030" s="9" t="s">
        <v>5944</v>
      </c>
      <c r="C3030" s="9" t="str">
        <f>HYPERLINK("http://www.ncbi.nlm.nih.gov/protein/117959928","Gnas")</f>
        <v>Gnas</v>
      </c>
      <c r="D3030" s="10">
        <f t="shared" si="47"/>
        <v>5.91515677284593</v>
      </c>
      <c r="F3030" s="8" t="str">
        <f>HYPERLINK("https://esbl.nhlbi.nih.gov/Databases/mpkFractions/proteomic_fractions_log_files/Yang_log_img/117959928.jpg","show blot")</f>
        <v>show blot</v>
      </c>
      <c r="H3030" s="8" t="str">
        <f>HYPERLINK("https://esbl.nhlbi.nih.gov/Databases/mpkFractions/proteomic_fractions_linear_files/Yang_linear_img/117959928.jpg","show blot")</f>
        <v>show blot</v>
      </c>
      <c r="J3030" s="5" t="s">
        <v>5945</v>
      </c>
      <c r="L3030" s="11">
        <v>5.91515677284593</v>
      </c>
      <c r="N3030" s="12"/>
    </row>
    <row r="3031" spans="1:14" s="5" customFormat="1" ht="15" customHeight="1" x14ac:dyDescent="0.25">
      <c r="A3031" s="9" t="s">
        <v>5946</v>
      </c>
      <c r="C3031" s="9" t="str">
        <f>HYPERLINK("http://www.ncbi.nlm.nih.gov/protein/117959930","Gnas")</f>
        <v>Gnas</v>
      </c>
      <c r="D3031" s="10">
        <f t="shared" si="47"/>
        <v>5.91515677284593</v>
      </c>
      <c r="F3031" s="8" t="str">
        <f>HYPERLINK("https://esbl.nhlbi.nih.gov/Databases/mpkFractions/proteomic_fractions_log_files/Yang_log_img/117959930.jpg","show blot")</f>
        <v>show blot</v>
      </c>
      <c r="H3031" s="8" t="str">
        <f>HYPERLINK("https://esbl.nhlbi.nih.gov/Databases/mpkFractions/proteomic_fractions_linear_files/Yang_linear_img/117959930.jpg","show blot")</f>
        <v>show blot</v>
      </c>
      <c r="J3031" s="5" t="s">
        <v>5947</v>
      </c>
      <c r="L3031" s="11">
        <v>5.91515677284593</v>
      </c>
      <c r="N3031" s="12"/>
    </row>
    <row r="3032" spans="1:14" s="5" customFormat="1" ht="15" customHeight="1" x14ac:dyDescent="0.25">
      <c r="A3032" s="9" t="s">
        <v>5948</v>
      </c>
      <c r="C3032" s="9" t="str">
        <f>HYPERLINK("http://www.ncbi.nlm.nih.gov/protein/47271396","Gnas")</f>
        <v>Gnas</v>
      </c>
      <c r="D3032" s="10">
        <f t="shared" si="47"/>
        <v>5.91515677284593</v>
      </c>
      <c r="F3032" s="8" t="str">
        <f>HYPERLINK("https://esbl.nhlbi.nih.gov/Databases/mpkFractions/proteomic_fractions_log_files/Yang_log_img/47271396.jpg","show blot")</f>
        <v>show blot</v>
      </c>
      <c r="H3032" s="8" t="str">
        <f>HYPERLINK("https://esbl.nhlbi.nih.gov/Databases/mpkFractions/proteomic_fractions_linear_files/Yang_linear_img/47271396.jpg","show blot")</f>
        <v>show blot</v>
      </c>
      <c r="J3032" s="5" t="s">
        <v>5949</v>
      </c>
      <c r="L3032" s="11">
        <v>5.91515677284593</v>
      </c>
      <c r="N3032" s="12"/>
    </row>
    <row r="3033" spans="1:14" s="5" customFormat="1" ht="15" customHeight="1" x14ac:dyDescent="0.25">
      <c r="A3033" s="9" t="s">
        <v>5950</v>
      </c>
      <c r="C3033" s="9" t="str">
        <f>HYPERLINK("http://www.ncbi.nlm.nih.gov/protein/6680041","Gnat1")</f>
        <v>Gnat1</v>
      </c>
      <c r="D3033" s="10">
        <f t="shared" si="47"/>
        <v>5.6853983488073903</v>
      </c>
      <c r="F3033" s="8" t="str">
        <f>HYPERLINK("https://esbl.nhlbi.nih.gov/Databases/mpkFractions/proteomic_fractions_log_files/Yang_log_img/6680041.jpg","show blot")</f>
        <v>show blot</v>
      </c>
      <c r="H3033" s="8" t="str">
        <f>HYPERLINK("https://esbl.nhlbi.nih.gov/Databases/mpkFractions/proteomic_fractions_linear_files/Yang_linear_img/6680041.jpg","show blot")</f>
        <v>show blot</v>
      </c>
      <c r="J3033" s="5" t="s">
        <v>5951</v>
      </c>
      <c r="L3033" s="11">
        <v>5.6853983488073903</v>
      </c>
      <c r="N3033" s="12"/>
    </row>
    <row r="3034" spans="1:14" s="5" customFormat="1" ht="15" customHeight="1" x14ac:dyDescent="0.25">
      <c r="A3034" s="9" t="s">
        <v>5952</v>
      </c>
      <c r="C3034" s="9" t="str">
        <f>HYPERLINK("http://www.ncbi.nlm.nih.gov/protein/6680043","Gnat2")</f>
        <v>Gnat2</v>
      </c>
      <c r="D3034" s="10">
        <f t="shared" si="47"/>
        <v>5.6853983488073903</v>
      </c>
      <c r="F3034" s="8" t="str">
        <f>HYPERLINK("https://esbl.nhlbi.nih.gov/Databases/mpkFractions/proteomic_fractions_log_files/Yang_log_img/6680043.jpg","show blot")</f>
        <v>show blot</v>
      </c>
      <c r="H3034" s="8" t="str">
        <f>HYPERLINK("https://esbl.nhlbi.nih.gov/Databases/mpkFractions/proteomic_fractions_linear_files/Yang_linear_img/6680043.jpg","show blot")</f>
        <v>show blot</v>
      </c>
      <c r="J3034" s="5" t="s">
        <v>5953</v>
      </c>
      <c r="L3034" s="11">
        <v>5.6853983488073903</v>
      </c>
      <c r="N3034" s="12"/>
    </row>
    <row r="3035" spans="1:14" s="5" customFormat="1" ht="15" customHeight="1" x14ac:dyDescent="0.25">
      <c r="A3035" s="9" t="s">
        <v>5954</v>
      </c>
      <c r="C3035" s="9" t="str">
        <f>HYPERLINK("http://www.ncbi.nlm.nih.gov/protein/124487259","Gnat3")</f>
        <v>Gnat3</v>
      </c>
      <c r="D3035" s="10">
        <f t="shared" si="47"/>
        <v>5.6853983488073903</v>
      </c>
      <c r="F3035" s="8" t="str">
        <f>HYPERLINK("https://esbl.nhlbi.nih.gov/Databases/mpkFractions/proteomic_fractions_log_files/Yang_log_img/124487259.jpg","show blot")</f>
        <v>show blot</v>
      </c>
      <c r="H3035" s="8" t="str">
        <f>HYPERLINK("https://esbl.nhlbi.nih.gov/Databases/mpkFractions/proteomic_fractions_linear_files/Yang_linear_img/124487259.jpg","show blot")</f>
        <v>show blot</v>
      </c>
      <c r="J3035" s="5" t="s">
        <v>5955</v>
      </c>
      <c r="L3035" s="11">
        <v>5.6853983488073903</v>
      </c>
      <c r="N3035" s="12"/>
    </row>
    <row r="3036" spans="1:14" s="5" customFormat="1" ht="15" customHeight="1" x14ac:dyDescent="0.25">
      <c r="A3036" s="9" t="s">
        <v>5956</v>
      </c>
      <c r="C3036" s="9" t="str">
        <f>HYPERLINK("http://www.ncbi.nlm.nih.gov/protein/27532946","Gnaz")</f>
        <v>Gnaz</v>
      </c>
      <c r="D3036" s="10">
        <f t="shared" si="47"/>
        <v>3.9578011096269048</v>
      </c>
      <c r="F3036" s="8" t="str">
        <f>HYPERLINK("https://esbl.nhlbi.nih.gov/Databases/mpkFractions/proteomic_fractions_log_files/Yang_log_img/27532946.jpg","show blot")</f>
        <v>show blot</v>
      </c>
      <c r="H3036" s="8" t="str">
        <f>HYPERLINK("https://esbl.nhlbi.nih.gov/Databases/mpkFractions/proteomic_fractions_linear_files/Yang_linear_img/27532946.jpg","show blot")</f>
        <v>show blot</v>
      </c>
      <c r="J3036" s="5" t="s">
        <v>5957</v>
      </c>
      <c r="L3036" s="11">
        <v>3.9578011096269048</v>
      </c>
      <c r="N3036" s="12"/>
    </row>
    <row r="3037" spans="1:14" s="5" customFormat="1" ht="15" customHeight="1" x14ac:dyDescent="0.25">
      <c r="A3037" s="9" t="s">
        <v>5958</v>
      </c>
      <c r="C3037" s="9" t="str">
        <f>HYPERLINK("http://www.ncbi.nlm.nih.gov/protein/6680045","Gnb1")</f>
        <v>Gnb1</v>
      </c>
      <c r="D3037" s="10">
        <f t="shared" si="47"/>
        <v>6.3432661685024936</v>
      </c>
      <c r="F3037" s="8" t="str">
        <f>HYPERLINK("https://esbl.nhlbi.nih.gov/Databases/mpkFractions/proteomic_fractions_log_files/Yang_log_img/6680045.jpg","show blot")</f>
        <v>show blot</v>
      </c>
      <c r="H3037" s="8" t="str">
        <f>HYPERLINK("https://esbl.nhlbi.nih.gov/Databases/mpkFractions/proteomic_fractions_linear_files/Yang_linear_img/6680045.jpg","show blot")</f>
        <v>show blot</v>
      </c>
      <c r="J3037" s="5" t="s">
        <v>5959</v>
      </c>
      <c r="L3037" s="11">
        <v>6.3432661685024936</v>
      </c>
      <c r="N3037" s="12"/>
    </row>
    <row r="3038" spans="1:14" s="5" customFormat="1" ht="15" customHeight="1" x14ac:dyDescent="0.25">
      <c r="A3038" s="9" t="s">
        <v>5960</v>
      </c>
      <c r="C3038" s="9" t="str">
        <f>HYPERLINK("http://www.ncbi.nlm.nih.gov/protein/13937391","Gnb2")</f>
        <v>Gnb2</v>
      </c>
      <c r="D3038" s="10">
        <f t="shared" si="47"/>
        <v>6.3806230213912736</v>
      </c>
      <c r="F3038" s="8" t="str">
        <f>HYPERLINK("https://esbl.nhlbi.nih.gov/Databases/mpkFractions/proteomic_fractions_log_files/Yang_log_img/13937391.jpg","show blot")</f>
        <v>show blot</v>
      </c>
      <c r="H3038" s="8" t="str">
        <f>HYPERLINK("https://esbl.nhlbi.nih.gov/Databases/mpkFractions/proteomic_fractions_linear_files/Yang_linear_img/13937391.jpg","show blot")</f>
        <v>show blot</v>
      </c>
      <c r="J3038" s="5" t="s">
        <v>5961</v>
      </c>
      <c r="L3038" s="11">
        <v>6.3806230213912736</v>
      </c>
      <c r="N3038" s="12"/>
    </row>
    <row r="3039" spans="1:14" s="5" customFormat="1" ht="15" customHeight="1" x14ac:dyDescent="0.25">
      <c r="A3039" s="9" t="s">
        <v>5962</v>
      </c>
      <c r="C3039" s="9" t="str">
        <f>HYPERLINK("http://www.ncbi.nlm.nih.gov/protein/6680047","Gnb2l1")</f>
        <v>Gnb2l1</v>
      </c>
      <c r="D3039" s="10">
        <f t="shared" si="47"/>
        <v>7.0402077879324727</v>
      </c>
      <c r="F3039" s="8" t="str">
        <f>HYPERLINK("https://esbl.nhlbi.nih.gov/Databases/mpkFractions/proteomic_fractions_log_files/Yang_log_img/6680047.jpg","show blot")</f>
        <v>show blot</v>
      </c>
      <c r="H3039" s="8" t="str">
        <f>HYPERLINK("https://esbl.nhlbi.nih.gov/Databases/mpkFractions/proteomic_fractions_linear_files/Yang_linear_img/6680047.jpg","show blot")</f>
        <v>show blot</v>
      </c>
      <c r="J3039" s="5" t="s">
        <v>5963</v>
      </c>
      <c r="L3039" s="11">
        <v>7.0402077879324727</v>
      </c>
      <c r="N3039" s="12"/>
    </row>
    <row r="3040" spans="1:14" s="5" customFormat="1" ht="15" customHeight="1" x14ac:dyDescent="0.25">
      <c r="A3040" s="9" t="s">
        <v>5964</v>
      </c>
      <c r="C3040" s="9" t="str">
        <f>HYPERLINK("http://www.ncbi.nlm.nih.gov/protein/20502976","Gnb3")</f>
        <v>Gnb3</v>
      </c>
      <c r="D3040" s="10">
        <f t="shared" si="47"/>
        <v>5.8988041132100051</v>
      </c>
      <c r="F3040" s="8" t="str">
        <f>HYPERLINK("https://esbl.nhlbi.nih.gov/Databases/mpkFractions/proteomic_fractions_log_files/Yang_log_img/20502976.jpg","show blot")</f>
        <v>show blot</v>
      </c>
      <c r="H3040" s="8" t="str">
        <f>HYPERLINK("https://esbl.nhlbi.nih.gov/Databases/mpkFractions/proteomic_fractions_linear_files/Yang_linear_img/20502976.jpg","show blot")</f>
        <v>show blot</v>
      </c>
      <c r="J3040" s="5" t="s">
        <v>5965</v>
      </c>
      <c r="L3040" s="11">
        <v>5.8988041132100051</v>
      </c>
      <c r="N3040" s="12"/>
    </row>
    <row r="3041" spans="1:14" s="5" customFormat="1" ht="15" customHeight="1" x14ac:dyDescent="0.25">
      <c r="A3041" s="9" t="s">
        <v>5966</v>
      </c>
      <c r="C3041" s="9" t="str">
        <f>HYPERLINK("http://www.ncbi.nlm.nih.gov/protein/31542899","Gnb4")</f>
        <v>Gnb4</v>
      </c>
      <c r="D3041" s="10">
        <f t="shared" si="47"/>
        <v>6.1680473180023636</v>
      </c>
      <c r="F3041" s="8" t="str">
        <f>HYPERLINK("https://esbl.nhlbi.nih.gov/Databases/mpkFractions/proteomic_fractions_log_files/Yang_log_img/31542899.jpg","show blot")</f>
        <v>show blot</v>
      </c>
      <c r="H3041" s="8" t="str">
        <f>HYPERLINK("https://esbl.nhlbi.nih.gov/Databases/mpkFractions/proteomic_fractions_linear_files/Yang_linear_img/31542899.jpg","show blot")</f>
        <v>show blot</v>
      </c>
      <c r="J3041" s="5" t="s">
        <v>5967</v>
      </c>
      <c r="L3041" s="11">
        <v>6.1680473180023636</v>
      </c>
      <c r="N3041" s="12"/>
    </row>
    <row r="3042" spans="1:14" s="5" customFormat="1" ht="15" customHeight="1" x14ac:dyDescent="0.25">
      <c r="A3042" s="9" t="s">
        <v>5968</v>
      </c>
      <c r="C3042" s="9" t="str">
        <f>HYPERLINK("http://www.ncbi.nlm.nih.gov/protein/13384616","Gng10")</f>
        <v>Gng10</v>
      </c>
      <c r="D3042" s="10">
        <f t="shared" si="47"/>
        <v>3.6111920608684338</v>
      </c>
      <c r="F3042" s="8" t="str">
        <f>HYPERLINK("https://esbl.nhlbi.nih.gov/Databases/mpkFractions/proteomic_fractions_log_files/Yang_log_img/13384616.jpg","show blot")</f>
        <v>show blot</v>
      </c>
      <c r="H3042" s="8" t="str">
        <f>HYPERLINK("https://esbl.nhlbi.nih.gov/Databases/mpkFractions/proteomic_fractions_linear_files/Yang_linear_img/13384616.jpg","show blot")</f>
        <v>show blot</v>
      </c>
      <c r="J3042" s="5" t="s">
        <v>5969</v>
      </c>
      <c r="L3042" s="11">
        <v>3.6111920608684338</v>
      </c>
      <c r="N3042" s="12"/>
    </row>
    <row r="3043" spans="1:14" s="5" customFormat="1" ht="15" customHeight="1" x14ac:dyDescent="0.25">
      <c r="A3043" s="9" t="s">
        <v>5970</v>
      </c>
      <c r="C3043" s="9" t="str">
        <f>HYPERLINK("http://www.ncbi.nlm.nih.gov/protein/294774560","Gng12")</f>
        <v>Gng12</v>
      </c>
      <c r="D3043" s="10">
        <f t="shared" si="47"/>
        <v>6.2052989476069156</v>
      </c>
      <c r="F3043" s="8" t="str">
        <f>HYPERLINK("https://esbl.nhlbi.nih.gov/Databases/mpkFractions/proteomic_fractions_log_files/Yang_log_img/294774560.jpg","show blot")</f>
        <v>show blot</v>
      </c>
      <c r="H3043" s="8" t="str">
        <f>HYPERLINK("https://esbl.nhlbi.nih.gov/Databases/mpkFractions/proteomic_fractions_linear_files/Yang_linear_img/294774560.jpg","show blot")</f>
        <v>show blot</v>
      </c>
      <c r="J3043" s="5" t="s">
        <v>5971</v>
      </c>
      <c r="L3043" s="11">
        <v>6.2052989476069156</v>
      </c>
      <c r="N3043" s="12"/>
    </row>
    <row r="3044" spans="1:14" s="5" customFormat="1" ht="15" customHeight="1" x14ac:dyDescent="0.25">
      <c r="A3044" s="9" t="s">
        <v>5972</v>
      </c>
      <c r="C3044" s="9" t="str">
        <f>HYPERLINK("http://www.ncbi.nlm.nih.gov/protein/84579919","Gng7")</f>
        <v>Gng7</v>
      </c>
      <c r="D3044" s="10">
        <f t="shared" si="47"/>
        <v>3.6498880051698839</v>
      </c>
      <c r="F3044" s="8" t="str">
        <f>HYPERLINK("https://esbl.nhlbi.nih.gov/Databases/mpkFractions/proteomic_fractions_log_files/Yang_log_img/84579919.jpg","show blot")</f>
        <v>show blot</v>
      </c>
      <c r="H3044" s="8" t="str">
        <f>HYPERLINK("https://esbl.nhlbi.nih.gov/Databases/mpkFractions/proteomic_fractions_linear_files/Yang_linear_img/84579919.jpg","show blot")</f>
        <v>show blot</v>
      </c>
      <c r="J3044" s="5" t="s">
        <v>5973</v>
      </c>
      <c r="L3044" s="11">
        <v>3.6498880051698839</v>
      </c>
      <c r="N3044" s="12"/>
    </row>
    <row r="3045" spans="1:14" s="5" customFormat="1" ht="15" customHeight="1" x14ac:dyDescent="0.25">
      <c r="A3045" s="9" t="s">
        <v>5974</v>
      </c>
      <c r="C3045" s="9" t="str">
        <f>HYPERLINK("http://www.ncbi.nlm.nih.gov/protein/122937361","Gnl1")</f>
        <v>Gnl1</v>
      </c>
      <c r="D3045" s="10">
        <f t="shared" si="47"/>
        <v>4.7750994790202004</v>
      </c>
      <c r="F3045" s="8" t="str">
        <f>HYPERLINK("https://esbl.nhlbi.nih.gov/Databases/mpkFractions/proteomic_fractions_log_files/Yang_log_img/122937361.jpg","show blot")</f>
        <v>show blot</v>
      </c>
      <c r="H3045" s="8" t="str">
        <f>HYPERLINK("https://esbl.nhlbi.nih.gov/Databases/mpkFractions/proteomic_fractions_linear_files/Yang_linear_img/122937361.jpg","show blot")</f>
        <v>show blot</v>
      </c>
      <c r="J3045" s="5" t="s">
        <v>5975</v>
      </c>
      <c r="L3045" s="11">
        <v>4.7750994790202004</v>
      </c>
      <c r="N3045" s="12"/>
    </row>
    <row r="3046" spans="1:14" s="5" customFormat="1" ht="15" customHeight="1" x14ac:dyDescent="0.25">
      <c r="A3046" s="9" t="s">
        <v>5976</v>
      </c>
      <c r="C3046" s="9" t="str">
        <f>HYPERLINK("http://www.ncbi.nlm.nih.gov/protein/240120093","Gnl2")</f>
        <v>Gnl2</v>
      </c>
      <c r="D3046" s="10">
        <f t="shared" si="47"/>
        <v>1.638669649265394</v>
      </c>
      <c r="F3046" s="8" t="str">
        <f>HYPERLINK("https://esbl.nhlbi.nih.gov/Databases/mpkFractions/proteomic_fractions_log_files/Yang_log_img/240120093.jpg","show blot")</f>
        <v>show blot</v>
      </c>
      <c r="H3046" s="8" t="str">
        <f>HYPERLINK("https://esbl.nhlbi.nih.gov/Databases/mpkFractions/proteomic_fractions_linear_files/Yang_linear_img/240120093.jpg","show blot")</f>
        <v>show blot</v>
      </c>
      <c r="J3046" s="5" t="s">
        <v>5977</v>
      </c>
      <c r="L3046" s="11">
        <v>1.638669649265394</v>
      </c>
      <c r="N3046" s="12"/>
    </row>
    <row r="3047" spans="1:14" s="5" customFormat="1" ht="15" customHeight="1" x14ac:dyDescent="0.25">
      <c r="A3047" s="9" t="s">
        <v>5978</v>
      </c>
      <c r="C3047" s="9" t="str">
        <f>HYPERLINK("http://www.ncbi.nlm.nih.gov/protein/30524920","Gnl3")</f>
        <v>Gnl3</v>
      </c>
      <c r="D3047" s="10">
        <f t="shared" si="47"/>
        <v>3.2765409934613601</v>
      </c>
      <c r="F3047" s="8" t="str">
        <f>HYPERLINK("https://esbl.nhlbi.nih.gov/Databases/mpkFractions/proteomic_fractions_log_files/Yang_log_img/30524920.jpg","show blot")</f>
        <v>show blot</v>
      </c>
      <c r="H3047" s="8" t="str">
        <f>HYPERLINK("https://esbl.nhlbi.nih.gov/Databases/mpkFractions/proteomic_fractions_linear_files/Yang_linear_img/30524920.jpg","show blot")</f>
        <v>show blot</v>
      </c>
      <c r="J3047" s="5" t="s">
        <v>5979</v>
      </c>
      <c r="L3047" s="11">
        <v>3.2765409934613601</v>
      </c>
      <c r="N3047" s="12"/>
    </row>
    <row r="3048" spans="1:14" s="5" customFormat="1" ht="15" customHeight="1" x14ac:dyDescent="0.25">
      <c r="A3048" s="9" t="s">
        <v>5980</v>
      </c>
      <c r="C3048" s="9" t="str">
        <f>HYPERLINK("http://www.ncbi.nlm.nih.gov/protein/160298207","Gnpat")</f>
        <v>Gnpat</v>
      </c>
      <c r="D3048" s="10">
        <f t="shared" si="47"/>
        <v>3.9093015310119652</v>
      </c>
      <c r="F3048" s="8" t="str">
        <f>HYPERLINK("https://esbl.nhlbi.nih.gov/Databases/mpkFractions/proteomic_fractions_log_files/Yang_log_img/160298207.jpg","show blot")</f>
        <v>show blot</v>
      </c>
      <c r="H3048" s="8" t="str">
        <f>HYPERLINK("https://esbl.nhlbi.nih.gov/Databases/mpkFractions/proteomic_fractions_linear_files/Yang_linear_img/160298207.jpg","show blot")</f>
        <v>show blot</v>
      </c>
      <c r="J3048" s="5" t="s">
        <v>5981</v>
      </c>
      <c r="L3048" s="11">
        <v>3.9093015310119652</v>
      </c>
      <c r="N3048" s="12"/>
    </row>
    <row r="3049" spans="1:14" s="5" customFormat="1" ht="15" customHeight="1" x14ac:dyDescent="0.25">
      <c r="A3049" s="9" t="s">
        <v>5982</v>
      </c>
      <c r="C3049" s="9" t="str">
        <f>HYPERLINK("http://www.ncbi.nlm.nih.gov/protein/188219582","Gnpda1")</f>
        <v>Gnpda1</v>
      </c>
      <c r="D3049" s="10">
        <f t="shared" si="47"/>
        <v>5.2655247501601732</v>
      </c>
      <c r="F3049" s="8" t="str">
        <f>HYPERLINK("https://esbl.nhlbi.nih.gov/Databases/mpkFractions/proteomic_fractions_log_files/Yang_log_img/188219582.jpg","show blot")</f>
        <v>show blot</v>
      </c>
      <c r="H3049" s="8" t="str">
        <f>HYPERLINK("https://esbl.nhlbi.nih.gov/Databases/mpkFractions/proteomic_fractions_linear_files/Yang_linear_img/188219582.jpg","show blot")</f>
        <v>show blot</v>
      </c>
      <c r="J3049" s="5" t="s">
        <v>5983</v>
      </c>
      <c r="L3049" s="11">
        <v>5.2655247501601732</v>
      </c>
      <c r="N3049" s="12"/>
    </row>
    <row r="3050" spans="1:14" s="5" customFormat="1" ht="15" customHeight="1" x14ac:dyDescent="0.25">
      <c r="A3050" s="9" t="s">
        <v>5984</v>
      </c>
      <c r="C3050" s="9" t="str">
        <f>HYPERLINK("http://www.ncbi.nlm.nih.gov/protein/83999999","Gnpda2")</f>
        <v>Gnpda2</v>
      </c>
      <c r="D3050" s="10">
        <f t="shared" si="47"/>
        <v>4.6930957009930117</v>
      </c>
      <c r="F3050" s="8" t="str">
        <f>HYPERLINK("https://esbl.nhlbi.nih.gov/Databases/mpkFractions/proteomic_fractions_log_files/Yang_log_img/83999999.jpg","show blot")</f>
        <v>show blot</v>
      </c>
      <c r="H3050" s="8" t="str">
        <f>HYPERLINK("https://esbl.nhlbi.nih.gov/Databases/mpkFractions/proteomic_fractions_linear_files/Yang_linear_img/83999999.jpg","show blot")</f>
        <v>show blot</v>
      </c>
      <c r="J3050" s="5" t="s">
        <v>5985</v>
      </c>
      <c r="L3050" s="11">
        <v>4.6930957009930117</v>
      </c>
      <c r="N3050" s="12"/>
    </row>
    <row r="3051" spans="1:14" s="5" customFormat="1" ht="15" customHeight="1" x14ac:dyDescent="0.25">
      <c r="A3051" s="9" t="s">
        <v>5986</v>
      </c>
      <c r="C3051" s="9" t="str">
        <f>HYPERLINK("http://www.ncbi.nlm.nih.gov/protein/9506761","Gnpnat1")</f>
        <v>Gnpnat1</v>
      </c>
      <c r="D3051" s="10">
        <f t="shared" si="47"/>
        <v>4.9602498513240771</v>
      </c>
      <c r="F3051" s="8" t="str">
        <f>HYPERLINK("https://esbl.nhlbi.nih.gov/Databases/mpkFractions/proteomic_fractions_log_files/Yang_log_img/9506761.jpg","show blot")</f>
        <v>show blot</v>
      </c>
      <c r="H3051" s="8" t="str">
        <f>HYPERLINK("https://esbl.nhlbi.nih.gov/Databases/mpkFractions/proteomic_fractions_linear_files/Yang_linear_img/9506761.jpg","show blot")</f>
        <v>show blot</v>
      </c>
      <c r="J3051" s="5" t="s">
        <v>5987</v>
      </c>
      <c r="L3051" s="11">
        <v>4.9602498513240771</v>
      </c>
      <c r="N3051" s="12"/>
    </row>
    <row r="3052" spans="1:14" s="5" customFormat="1" ht="15" customHeight="1" x14ac:dyDescent="0.25">
      <c r="A3052" s="9" t="s">
        <v>5988</v>
      </c>
      <c r="C3052" s="9" t="str">
        <f>HYPERLINK("http://www.ncbi.nlm.nih.gov/protein/29789239","Gns")</f>
        <v>Gns</v>
      </c>
      <c r="D3052" s="10">
        <f t="shared" si="47"/>
        <v>5.5104768169188931</v>
      </c>
      <c r="F3052" s="8" t="str">
        <f>HYPERLINK("https://esbl.nhlbi.nih.gov/Databases/mpkFractions/proteomic_fractions_log_files/Yang_log_img/29789239.jpg","show blot")</f>
        <v>show blot</v>
      </c>
      <c r="H3052" s="8" t="str">
        <f>HYPERLINK("https://esbl.nhlbi.nih.gov/Databases/mpkFractions/proteomic_fractions_linear_files/Yang_linear_img/29789239.jpg","show blot")</f>
        <v>show blot</v>
      </c>
      <c r="J3052" s="5" t="s">
        <v>5989</v>
      </c>
      <c r="L3052" s="11">
        <v>5.5104768169188931</v>
      </c>
      <c r="N3052" s="12"/>
    </row>
    <row r="3053" spans="1:14" s="5" customFormat="1" ht="15" customHeight="1" x14ac:dyDescent="0.25">
      <c r="A3053" s="9" t="s">
        <v>5990</v>
      </c>
      <c r="C3053" s="9" t="str">
        <f>HYPERLINK("http://www.ncbi.nlm.nih.gov/protein/30794192","Golga1")</f>
        <v>Golga1</v>
      </c>
      <c r="D3053" s="10">
        <f t="shared" si="47"/>
        <v>3.6715576749643102</v>
      </c>
      <c r="F3053" s="8" t="str">
        <f>HYPERLINK("https://esbl.nhlbi.nih.gov/Databases/mpkFractions/proteomic_fractions_log_files/Yang_log_img/30794192.jpg","show blot")</f>
        <v>show blot</v>
      </c>
      <c r="H3053" s="8" t="str">
        <f>HYPERLINK("https://esbl.nhlbi.nih.gov/Databases/mpkFractions/proteomic_fractions_linear_files/Yang_linear_img/30794192.jpg","show blot")</f>
        <v>show blot</v>
      </c>
      <c r="J3053" s="5" t="s">
        <v>5991</v>
      </c>
      <c r="L3053" s="11">
        <v>3.6715576749643102</v>
      </c>
      <c r="N3053" s="12"/>
    </row>
    <row r="3054" spans="1:14" s="5" customFormat="1" ht="15" customHeight="1" x14ac:dyDescent="0.25">
      <c r="A3054" s="9" t="s">
        <v>5992</v>
      </c>
      <c r="C3054" s="9" t="str">
        <f>HYPERLINK("http://www.ncbi.nlm.nih.gov/protein/124378030","Golga2")</f>
        <v>Golga2</v>
      </c>
      <c r="D3054" s="10">
        <f t="shared" si="47"/>
        <v>4.3641345725135237</v>
      </c>
      <c r="F3054" s="8" t="str">
        <f>HYPERLINK("https://esbl.nhlbi.nih.gov/Databases/mpkFractions/proteomic_fractions_log_files/Yang_log_img/124378030.jpg","show blot")</f>
        <v>show blot</v>
      </c>
      <c r="H3054" s="8" t="str">
        <f>HYPERLINK("https://esbl.nhlbi.nih.gov/Databases/mpkFractions/proteomic_fractions_linear_files/Yang_linear_img/124378030.jpg","show blot")</f>
        <v>show blot</v>
      </c>
      <c r="J3054" s="5" t="s">
        <v>5993</v>
      </c>
      <c r="L3054" s="11">
        <v>4.3641345725135237</v>
      </c>
      <c r="N3054" s="12"/>
    </row>
    <row r="3055" spans="1:14" s="5" customFormat="1" ht="15" customHeight="1" x14ac:dyDescent="0.25">
      <c r="A3055" s="9" t="s">
        <v>5994</v>
      </c>
      <c r="C3055" s="9" t="str">
        <f>HYPERLINK("http://www.ncbi.nlm.nih.gov/protein/124378042","Golga2")</f>
        <v>Golga2</v>
      </c>
      <c r="D3055" s="10">
        <f t="shared" si="47"/>
        <v>4.3641345725135237</v>
      </c>
      <c r="F3055" s="8" t="str">
        <f>HYPERLINK("https://esbl.nhlbi.nih.gov/Databases/mpkFractions/proteomic_fractions_log_files/Yang_log_img/124378042.jpg","show blot")</f>
        <v>show blot</v>
      </c>
      <c r="H3055" s="8" t="str">
        <f>HYPERLINK("https://esbl.nhlbi.nih.gov/Databases/mpkFractions/proteomic_fractions_linear_files/Yang_linear_img/124378042.jpg","show blot")</f>
        <v>show blot</v>
      </c>
      <c r="J3055" s="5" t="s">
        <v>5995</v>
      </c>
      <c r="L3055" s="11">
        <v>4.3641345725135237</v>
      </c>
      <c r="N3055" s="12"/>
    </row>
    <row r="3056" spans="1:14" s="5" customFormat="1" ht="15" customHeight="1" x14ac:dyDescent="0.25">
      <c r="A3056" s="9" t="s">
        <v>5996</v>
      </c>
      <c r="C3056" s="9" t="str">
        <f>HYPERLINK("http://www.ncbi.nlm.nih.gov/protein/31982330","Golga3")</f>
        <v>Golga3</v>
      </c>
      <c r="D3056" s="10">
        <f t="shared" si="47"/>
        <v>2.9568837428930981</v>
      </c>
      <c r="F3056" s="8" t="str">
        <f>HYPERLINK("https://esbl.nhlbi.nih.gov/Databases/mpkFractions/proteomic_fractions_log_files/Yang_log_img/31982330.jpg","show blot")</f>
        <v>show blot</v>
      </c>
      <c r="H3056" s="8" t="str">
        <f>HYPERLINK("https://esbl.nhlbi.nih.gov/Databases/mpkFractions/proteomic_fractions_linear_files/Yang_linear_img/31982330.jpg","show blot")</f>
        <v>show blot</v>
      </c>
      <c r="J3056" s="5" t="s">
        <v>5997</v>
      </c>
      <c r="L3056" s="11">
        <v>2.9568837428930981</v>
      </c>
      <c r="N3056" s="12"/>
    </row>
    <row r="3057" spans="1:14" s="5" customFormat="1" ht="15" customHeight="1" x14ac:dyDescent="0.25">
      <c r="A3057" s="9" t="s">
        <v>5998</v>
      </c>
      <c r="C3057" s="9" t="str">
        <f>HYPERLINK("http://www.ncbi.nlm.nih.gov/protein/20127150","Golga4")</f>
        <v>Golga4</v>
      </c>
      <c r="D3057" s="10">
        <f t="shared" si="47"/>
        <v>3.8040882067652491</v>
      </c>
      <c r="F3057" s="8" t="str">
        <f>HYPERLINK("https://esbl.nhlbi.nih.gov/Databases/mpkFractions/proteomic_fractions_log_files/Yang_log_img/20127150.jpg","show blot")</f>
        <v>show blot</v>
      </c>
      <c r="H3057" s="8" t="str">
        <f>HYPERLINK("https://esbl.nhlbi.nih.gov/Databases/mpkFractions/proteomic_fractions_linear_files/Yang_linear_img/20127150.jpg","show blot")</f>
        <v>show blot</v>
      </c>
      <c r="J3057" s="5" t="s">
        <v>5999</v>
      </c>
      <c r="L3057" s="11">
        <v>3.8040882067652491</v>
      </c>
      <c r="N3057" s="12"/>
    </row>
    <row r="3058" spans="1:14" s="5" customFormat="1" ht="15" customHeight="1" x14ac:dyDescent="0.25">
      <c r="A3058" s="9" t="s">
        <v>6000</v>
      </c>
      <c r="C3058" s="9" t="str">
        <f>HYPERLINK("http://www.ncbi.nlm.nih.gov/protein/7305095","Golga5")</f>
        <v>Golga5</v>
      </c>
      <c r="D3058" s="10">
        <f t="shared" si="47"/>
        <v>4.0148421372587562</v>
      </c>
      <c r="F3058" s="8" t="str">
        <f>HYPERLINK("https://esbl.nhlbi.nih.gov/Databases/mpkFractions/proteomic_fractions_log_files/Yang_log_img/7305095.jpg","show blot")</f>
        <v>show blot</v>
      </c>
      <c r="H3058" s="8" t="str">
        <f>HYPERLINK("https://esbl.nhlbi.nih.gov/Databases/mpkFractions/proteomic_fractions_linear_files/Yang_linear_img/7305095.jpg","show blot")</f>
        <v>show blot</v>
      </c>
      <c r="J3058" s="5" t="s">
        <v>6001</v>
      </c>
      <c r="L3058" s="11">
        <v>4.0148421372587562</v>
      </c>
      <c r="N3058" s="12"/>
    </row>
    <row r="3059" spans="1:14" s="5" customFormat="1" ht="15" customHeight="1" x14ac:dyDescent="0.25">
      <c r="A3059" s="9" t="s">
        <v>6002</v>
      </c>
      <c r="C3059" s="9" t="str">
        <f>HYPERLINK("http://www.ncbi.nlm.nih.gov/protein/312222675;7305095","Golga5")</f>
        <v>Golga5</v>
      </c>
      <c r="D3059" s="10">
        <f t="shared" si="47"/>
        <v>4.0148421372587562</v>
      </c>
      <c r="F3059" s="8" t="str">
        <f>HYPERLINK("https://esbl.nhlbi.nih.gov/Databases/mpkFractions/proteomic_fractions_log_files/Yang_log_img/312222675;7305095.jpg","show blot")</f>
        <v>show blot</v>
      </c>
      <c r="H3059" s="8" t="str">
        <f>HYPERLINK("https://esbl.nhlbi.nih.gov/Databases/mpkFractions/proteomic_fractions_linear_files/Yang_linear_img/312222675;7305095.jpg","show blot")</f>
        <v>show blot</v>
      </c>
      <c r="J3059" s="5" t="s">
        <v>6001</v>
      </c>
      <c r="L3059" s="11">
        <v>4.0148421372587562</v>
      </c>
      <c r="N3059" s="12"/>
    </row>
    <row r="3060" spans="1:14" s="5" customFormat="1" ht="15" customHeight="1" x14ac:dyDescent="0.25">
      <c r="A3060" s="9" t="s">
        <v>6003</v>
      </c>
      <c r="C3060" s="9" t="str">
        <f>HYPERLINK("http://www.ncbi.nlm.nih.gov/protein/109809743","Golga7")</f>
        <v>Golga7</v>
      </c>
      <c r="D3060" s="10">
        <f t="shared" si="47"/>
        <v>4.5883165141643714</v>
      </c>
      <c r="F3060" s="8" t="str">
        <f>HYPERLINK("https://esbl.nhlbi.nih.gov/Databases/mpkFractions/proteomic_fractions_log_files/Yang_log_img/109809743.jpg","show blot")</f>
        <v>show blot</v>
      </c>
      <c r="H3060" s="8" t="str">
        <f>HYPERLINK("https://esbl.nhlbi.nih.gov/Databases/mpkFractions/proteomic_fractions_linear_files/Yang_linear_img/109809743.jpg","show blot")</f>
        <v>show blot</v>
      </c>
      <c r="J3060" s="5" t="s">
        <v>6004</v>
      </c>
      <c r="L3060" s="11">
        <v>4.5883165141643714</v>
      </c>
      <c r="N3060" s="12"/>
    </row>
    <row r="3061" spans="1:14" s="5" customFormat="1" ht="15" customHeight="1" x14ac:dyDescent="0.25">
      <c r="A3061" s="9" t="s">
        <v>6005</v>
      </c>
      <c r="C3061" s="9" t="str">
        <f>HYPERLINK("http://www.ncbi.nlm.nih.gov/protein/226958601","Golgb1")</f>
        <v>Golgb1</v>
      </c>
      <c r="D3061" s="10">
        <f t="shared" si="47"/>
        <v>3.6884866966743299</v>
      </c>
      <c r="F3061" s="8" t="str">
        <f>HYPERLINK("https://esbl.nhlbi.nih.gov/Databases/mpkFractions/proteomic_fractions_log_files/Yang_log_img/226958601.jpg","show blot")</f>
        <v>show blot</v>
      </c>
      <c r="H3061" s="8" t="str">
        <f>HYPERLINK("https://esbl.nhlbi.nih.gov/Databases/mpkFractions/proteomic_fractions_linear_files/Yang_linear_img/226958601.jpg","show blot")</f>
        <v>show blot</v>
      </c>
      <c r="J3061" s="5" t="s">
        <v>6006</v>
      </c>
      <c r="L3061" s="11">
        <v>3.6884866966743299</v>
      </c>
      <c r="N3061" s="12"/>
    </row>
    <row r="3062" spans="1:14" s="5" customFormat="1" ht="15" customHeight="1" x14ac:dyDescent="0.25">
      <c r="A3062" s="9" t="s">
        <v>6007</v>
      </c>
      <c r="C3062" s="9" t="str">
        <f>HYPERLINK("http://www.ncbi.nlm.nih.gov/protein/30424814","Golim4")</f>
        <v>Golim4</v>
      </c>
      <c r="D3062" s="10">
        <f t="shared" si="47"/>
        <v>1.546318279860686</v>
      </c>
      <c r="F3062" s="8" t="str">
        <f>HYPERLINK("https://esbl.nhlbi.nih.gov/Databases/mpkFractions/proteomic_fractions_log_files/Yang_log_img/30424814.jpg","show blot")</f>
        <v>show blot</v>
      </c>
      <c r="H3062" s="8" t="str">
        <f>HYPERLINK("https://esbl.nhlbi.nih.gov/Databases/mpkFractions/proteomic_fractions_linear_files/Yang_linear_img/30424814.jpg","show blot")</f>
        <v>show blot</v>
      </c>
      <c r="J3062" s="5" t="s">
        <v>6008</v>
      </c>
      <c r="L3062" s="11">
        <v>1.546318279860686</v>
      </c>
      <c r="N3062" s="12"/>
    </row>
    <row r="3063" spans="1:14" s="5" customFormat="1" ht="15" customHeight="1" x14ac:dyDescent="0.25">
      <c r="A3063" s="9" t="s">
        <v>6009</v>
      </c>
      <c r="C3063" s="9" t="str">
        <f>HYPERLINK("http://www.ncbi.nlm.nih.gov/protein/78190502","Golm1")</f>
        <v>Golm1</v>
      </c>
      <c r="D3063" s="10">
        <f t="shared" si="47"/>
        <v>4.6378317124488673</v>
      </c>
      <c r="F3063" s="8" t="str">
        <f>HYPERLINK("https://esbl.nhlbi.nih.gov/Databases/mpkFractions/proteomic_fractions_log_files/Yang_log_img/78190502.jpg","show blot")</f>
        <v>show blot</v>
      </c>
      <c r="H3063" s="8" t="str">
        <f>HYPERLINK("https://esbl.nhlbi.nih.gov/Databases/mpkFractions/proteomic_fractions_linear_files/Yang_linear_img/78190502.jpg","show blot")</f>
        <v>show blot</v>
      </c>
      <c r="J3063" s="5" t="s">
        <v>6010</v>
      </c>
      <c r="L3063" s="11">
        <v>4.6378317124488673</v>
      </c>
      <c r="N3063" s="12"/>
    </row>
    <row r="3064" spans="1:14" s="5" customFormat="1" ht="15" customHeight="1" x14ac:dyDescent="0.25">
      <c r="A3064" s="9" t="s">
        <v>6011</v>
      </c>
      <c r="C3064" s="9" t="str">
        <f>HYPERLINK("http://www.ncbi.nlm.nih.gov/protein/14140240","Golph3")</f>
        <v>Golph3</v>
      </c>
      <c r="D3064" s="10">
        <f t="shared" si="47"/>
        <v>4.8802725038252852</v>
      </c>
      <c r="F3064" s="8" t="str">
        <f>HYPERLINK("https://esbl.nhlbi.nih.gov/Databases/mpkFractions/proteomic_fractions_log_files/Yang_log_img/14140240.jpg","show blot")</f>
        <v>show blot</v>
      </c>
      <c r="H3064" s="8" t="str">
        <f>HYPERLINK("https://esbl.nhlbi.nih.gov/Databases/mpkFractions/proteomic_fractions_linear_files/Yang_linear_img/14140240.jpg","show blot")</f>
        <v>show blot</v>
      </c>
      <c r="J3064" s="5" t="s">
        <v>6012</v>
      </c>
      <c r="L3064" s="11">
        <v>4.8802725038252852</v>
      </c>
      <c r="N3064" s="12"/>
    </row>
    <row r="3065" spans="1:14" s="5" customFormat="1" ht="15" customHeight="1" x14ac:dyDescent="0.25">
      <c r="A3065" s="9" t="s">
        <v>6013</v>
      </c>
      <c r="C3065" s="9" t="str">
        <f>HYPERLINK("http://www.ncbi.nlm.nih.gov/protein/295054274","Golph3l")</f>
        <v>Golph3l</v>
      </c>
      <c r="D3065" s="10">
        <f t="shared" si="47"/>
        <v>4.7366125749963892</v>
      </c>
      <c r="F3065" s="8" t="str">
        <f>HYPERLINK("https://esbl.nhlbi.nih.gov/Databases/mpkFractions/proteomic_fractions_log_files/Yang_log_img/295054274.jpg","show blot")</f>
        <v>show blot</v>
      </c>
      <c r="H3065" s="8" t="str">
        <f>HYPERLINK("https://esbl.nhlbi.nih.gov/Databases/mpkFractions/proteomic_fractions_linear_files/Yang_linear_img/295054274.jpg","show blot")</f>
        <v>show blot</v>
      </c>
      <c r="J3065" s="5" t="s">
        <v>6014</v>
      </c>
      <c r="L3065" s="11">
        <v>4.7366125749963892</v>
      </c>
      <c r="N3065" s="12"/>
    </row>
    <row r="3066" spans="1:14" s="5" customFormat="1" ht="15" customHeight="1" x14ac:dyDescent="0.25">
      <c r="A3066" s="9" t="s">
        <v>6015</v>
      </c>
      <c r="C3066" s="9" t="str">
        <f>HYPERLINK("http://www.ncbi.nlm.nih.gov/protein/295054280","Golph3l")</f>
        <v>Golph3l</v>
      </c>
      <c r="D3066" s="10">
        <f t="shared" si="47"/>
        <v>4.7366125749963892</v>
      </c>
      <c r="F3066" s="8" t="str">
        <f>HYPERLINK("https://esbl.nhlbi.nih.gov/Databases/mpkFractions/proteomic_fractions_log_files/Yang_log_img/295054280.jpg","show blot")</f>
        <v>show blot</v>
      </c>
      <c r="H3066" s="8" t="str">
        <f>HYPERLINK("https://esbl.nhlbi.nih.gov/Databases/mpkFractions/proteomic_fractions_linear_files/Yang_linear_img/295054280.jpg","show blot")</f>
        <v>show blot</v>
      </c>
      <c r="J3066" s="5" t="s">
        <v>6016</v>
      </c>
      <c r="L3066" s="11">
        <v>4.7366125749963892</v>
      </c>
      <c r="N3066" s="12"/>
    </row>
    <row r="3067" spans="1:14" s="5" customFormat="1" ht="15" customHeight="1" x14ac:dyDescent="0.25">
      <c r="A3067" s="9" t="s">
        <v>6017</v>
      </c>
      <c r="C3067" s="9" t="str">
        <f>HYPERLINK("http://www.ncbi.nlm.nih.gov/protein/295054284","Golph3l")</f>
        <v>Golph3l</v>
      </c>
      <c r="D3067" s="10">
        <f t="shared" si="47"/>
        <v>4.7366125749963892</v>
      </c>
      <c r="F3067" s="8" t="str">
        <f>HYPERLINK("https://esbl.nhlbi.nih.gov/Databases/mpkFractions/proteomic_fractions_log_files/Yang_log_img/295054284.jpg","show blot")</f>
        <v>show blot</v>
      </c>
      <c r="H3067" s="8" t="str">
        <f>HYPERLINK("https://esbl.nhlbi.nih.gov/Databases/mpkFractions/proteomic_fractions_linear_files/Yang_linear_img/295054284.jpg","show blot")</f>
        <v>show blot</v>
      </c>
      <c r="J3067" s="5" t="s">
        <v>6018</v>
      </c>
      <c r="L3067" s="11">
        <v>4.7366125749963892</v>
      </c>
      <c r="N3067" s="12"/>
    </row>
    <row r="3068" spans="1:14" s="5" customFormat="1" ht="15" customHeight="1" x14ac:dyDescent="0.25">
      <c r="A3068" s="9" t="s">
        <v>6019</v>
      </c>
      <c r="C3068" s="9" t="str">
        <f>HYPERLINK("http://www.ncbi.nlm.nih.gov/protein/13385354","Golt1b")</f>
        <v>Golt1b</v>
      </c>
      <c r="D3068" s="10">
        <f t="shared" si="47"/>
        <v>5.1781772616260504</v>
      </c>
      <c r="F3068" s="8" t="str">
        <f>HYPERLINK("https://esbl.nhlbi.nih.gov/Databases/mpkFractions/proteomic_fractions_log_files/Yang_log_img/13385354.jpg","show blot")</f>
        <v>show blot</v>
      </c>
      <c r="H3068" s="8" t="str">
        <f>HYPERLINK("https://esbl.nhlbi.nih.gov/Databases/mpkFractions/proteomic_fractions_linear_files/Yang_linear_img/13385354.jpg","show blot")</f>
        <v>show blot</v>
      </c>
      <c r="J3068" s="5" t="s">
        <v>6020</v>
      </c>
      <c r="L3068" s="11">
        <v>5.1781772616260504</v>
      </c>
      <c r="N3068" s="12"/>
    </row>
    <row r="3069" spans="1:14" s="5" customFormat="1" ht="15" customHeight="1" x14ac:dyDescent="0.25">
      <c r="A3069" s="9" t="s">
        <v>6021</v>
      </c>
      <c r="C3069" s="9" t="str">
        <f>HYPERLINK("http://www.ncbi.nlm.nih.gov/protein/313151170","Gopc")</f>
        <v>Gopc</v>
      </c>
      <c r="D3069" s="10">
        <f t="shared" si="47"/>
        <v>4.834915429176327</v>
      </c>
      <c r="F3069" s="8" t="str">
        <f>HYPERLINK("https://esbl.nhlbi.nih.gov/Databases/mpkFractions/proteomic_fractions_log_files/Yang_log_img/313151170.jpg","show blot")</f>
        <v>show blot</v>
      </c>
      <c r="H3069" s="8" t="str">
        <f>HYPERLINK("https://esbl.nhlbi.nih.gov/Databases/mpkFractions/proteomic_fractions_linear_files/Yang_linear_img/313151170.jpg","show blot")</f>
        <v>show blot</v>
      </c>
      <c r="J3069" s="5" t="s">
        <v>6022</v>
      </c>
      <c r="L3069" s="11">
        <v>4.834915429176327</v>
      </c>
      <c r="N3069" s="12"/>
    </row>
    <row r="3070" spans="1:14" s="5" customFormat="1" ht="15" customHeight="1" x14ac:dyDescent="0.25">
      <c r="A3070" s="9" t="s">
        <v>6023</v>
      </c>
      <c r="C3070" s="9" t="str">
        <f>HYPERLINK("http://www.ncbi.nlm.nih.gov/protein/31543485","Gopc")</f>
        <v>Gopc</v>
      </c>
      <c r="D3070" s="10">
        <f t="shared" si="47"/>
        <v>4.834915429176327</v>
      </c>
      <c r="F3070" s="8" t="str">
        <f>HYPERLINK("https://esbl.nhlbi.nih.gov/Databases/mpkFractions/proteomic_fractions_log_files/Yang_log_img/31543485.jpg","show blot")</f>
        <v>show blot</v>
      </c>
      <c r="H3070" s="8" t="str">
        <f>HYPERLINK("https://esbl.nhlbi.nih.gov/Databases/mpkFractions/proteomic_fractions_linear_files/Yang_linear_img/31543485.jpg","show blot")</f>
        <v>show blot</v>
      </c>
      <c r="J3070" s="5" t="s">
        <v>6024</v>
      </c>
      <c r="L3070" s="11">
        <v>4.834915429176327</v>
      </c>
      <c r="N3070" s="12"/>
    </row>
    <row r="3071" spans="1:14" s="5" customFormat="1" ht="15" customHeight="1" x14ac:dyDescent="0.25">
      <c r="A3071" s="9" t="s">
        <v>6025</v>
      </c>
      <c r="C3071" s="9" t="str">
        <f>HYPERLINK("http://www.ncbi.nlm.nih.gov/protein/30350202","Gorasp1")</f>
        <v>Gorasp1</v>
      </c>
      <c r="D3071" s="10">
        <f t="shared" si="47"/>
        <v>0.96075872605833879</v>
      </c>
      <c r="F3071" s="8" t="str">
        <f>HYPERLINK("https://esbl.nhlbi.nih.gov/Databases/mpkFractions/proteomic_fractions_log_files/Yang_log_img/30350202.jpg","show blot")</f>
        <v>show blot</v>
      </c>
      <c r="H3071" s="8" t="str">
        <f>HYPERLINK("https://esbl.nhlbi.nih.gov/Databases/mpkFractions/proteomic_fractions_linear_files/Yang_linear_img/30350202.jpg","show blot")</f>
        <v>show blot</v>
      </c>
      <c r="J3071" s="5" t="s">
        <v>6026</v>
      </c>
      <c r="L3071" s="11">
        <v>0.96075872605833879</v>
      </c>
      <c r="N3071" s="12"/>
    </row>
    <row r="3072" spans="1:14" s="5" customFormat="1" ht="15" customHeight="1" x14ac:dyDescent="0.25">
      <c r="A3072" s="9" t="s">
        <v>6027</v>
      </c>
      <c r="C3072" s="9" t="str">
        <f>HYPERLINK("http://www.ncbi.nlm.nih.gov/protein/224967109","Gorasp2")</f>
        <v>Gorasp2</v>
      </c>
      <c r="D3072" s="10">
        <f t="shared" si="47"/>
        <v>5.0426792397076996</v>
      </c>
      <c r="F3072" s="8" t="str">
        <f>HYPERLINK("https://esbl.nhlbi.nih.gov/Databases/mpkFractions/proteomic_fractions_log_files/Yang_log_img/224967109.jpg","show blot")</f>
        <v>show blot</v>
      </c>
      <c r="H3072" s="8" t="str">
        <f>HYPERLINK("https://esbl.nhlbi.nih.gov/Databases/mpkFractions/proteomic_fractions_linear_files/Yang_linear_img/224967109.jpg","show blot")</f>
        <v>show blot</v>
      </c>
      <c r="J3072" s="5" t="s">
        <v>6028</v>
      </c>
      <c r="L3072" s="11">
        <v>5.0426792397076996</v>
      </c>
      <c r="N3072" s="12"/>
    </row>
    <row r="3073" spans="1:14" s="5" customFormat="1" ht="15" customHeight="1" x14ac:dyDescent="0.25">
      <c r="A3073" s="9" t="s">
        <v>6029</v>
      </c>
      <c r="C3073" s="9" t="str">
        <f>HYPERLINK("http://www.ncbi.nlm.nih.gov/protein/31542904","Gosr1")</f>
        <v>Gosr1</v>
      </c>
      <c r="D3073" s="10">
        <f t="shared" si="47"/>
        <v>4.5183071424783572</v>
      </c>
      <c r="F3073" s="8" t="str">
        <f>HYPERLINK("https://esbl.nhlbi.nih.gov/Databases/mpkFractions/proteomic_fractions_log_files/Yang_log_img/31542904.jpg","show blot")</f>
        <v>show blot</v>
      </c>
      <c r="H3073" s="8" t="str">
        <f>HYPERLINK("https://esbl.nhlbi.nih.gov/Databases/mpkFractions/proteomic_fractions_linear_files/Yang_linear_img/31542904.jpg","show blot")</f>
        <v>show blot</v>
      </c>
      <c r="J3073" s="5" t="s">
        <v>6030</v>
      </c>
      <c r="L3073" s="11">
        <v>4.5183071424783572</v>
      </c>
      <c r="N3073" s="12"/>
    </row>
    <row r="3074" spans="1:14" s="5" customFormat="1" ht="15" customHeight="1" x14ac:dyDescent="0.25">
      <c r="A3074" s="9" t="s">
        <v>6031</v>
      </c>
      <c r="C3074" s="9" t="str">
        <f>HYPERLINK("http://www.ncbi.nlm.nih.gov/protein/24528553","Gosr2")</f>
        <v>Gosr2</v>
      </c>
      <c r="D3074" s="10">
        <f t="shared" si="47"/>
        <v>3.3462985000476868</v>
      </c>
      <c r="F3074" s="8" t="str">
        <f>HYPERLINK("https://esbl.nhlbi.nih.gov/Databases/mpkFractions/proteomic_fractions_log_files/Yang_log_img/24528553.jpg","show blot")</f>
        <v>show blot</v>
      </c>
      <c r="H3074" s="8" t="str">
        <f>HYPERLINK("https://esbl.nhlbi.nih.gov/Databases/mpkFractions/proteomic_fractions_linear_files/Yang_linear_img/24528553.jpg","show blot")</f>
        <v>show blot</v>
      </c>
      <c r="J3074" s="5" t="s">
        <v>6032</v>
      </c>
      <c r="L3074" s="11">
        <v>3.3462985000476868</v>
      </c>
      <c r="N3074" s="12"/>
    </row>
    <row r="3075" spans="1:14" s="5" customFormat="1" ht="15" customHeight="1" x14ac:dyDescent="0.25">
      <c r="A3075" s="9" t="s">
        <v>6033</v>
      </c>
      <c r="C3075" s="9" t="str">
        <f>HYPERLINK("http://www.ncbi.nlm.nih.gov/protein/160298209","Got1")</f>
        <v>Got1</v>
      </c>
      <c r="D3075" s="10">
        <f t="shared" si="47"/>
        <v>6.2980188291328867</v>
      </c>
      <c r="F3075" s="8" t="str">
        <f>HYPERLINK("https://esbl.nhlbi.nih.gov/Databases/mpkFractions/proteomic_fractions_log_files/Yang_log_img/160298209.jpg","show blot")</f>
        <v>show blot</v>
      </c>
      <c r="H3075" s="8" t="str">
        <f>HYPERLINK("https://esbl.nhlbi.nih.gov/Databases/mpkFractions/proteomic_fractions_linear_files/Yang_linear_img/160298209.jpg","show blot")</f>
        <v>show blot</v>
      </c>
      <c r="J3075" s="5" t="s">
        <v>6034</v>
      </c>
      <c r="L3075" s="11">
        <v>6.2980188291328867</v>
      </c>
      <c r="N3075" s="12"/>
    </row>
    <row r="3076" spans="1:14" s="5" customFormat="1" ht="15" customHeight="1" x14ac:dyDescent="0.25">
      <c r="A3076" s="9" t="s">
        <v>6035</v>
      </c>
      <c r="C3076" s="9" t="str">
        <f>HYPERLINK("http://www.ncbi.nlm.nih.gov/protein/6754036","Got2")</f>
        <v>Got2</v>
      </c>
      <c r="D3076" s="10">
        <f t="shared" si="47"/>
        <v>6.9861361555099846</v>
      </c>
      <c r="F3076" s="8" t="str">
        <f>HYPERLINK("https://esbl.nhlbi.nih.gov/Databases/mpkFractions/proteomic_fractions_log_files/Yang_log_img/6754036.jpg","show blot")</f>
        <v>show blot</v>
      </c>
      <c r="H3076" s="8" t="str">
        <f>HYPERLINK("https://esbl.nhlbi.nih.gov/Databases/mpkFractions/proteomic_fractions_linear_files/Yang_linear_img/6754036.jpg","show blot")</f>
        <v>show blot</v>
      </c>
      <c r="J3076" s="5" t="s">
        <v>6036</v>
      </c>
      <c r="L3076" s="11">
        <v>6.9861361555099846</v>
      </c>
      <c r="N3076" s="12"/>
    </row>
    <row r="3077" spans="1:14" s="5" customFormat="1" ht="15" customHeight="1" x14ac:dyDescent="0.25">
      <c r="A3077" s="9" t="s">
        <v>6037</v>
      </c>
      <c r="C3077" s="9" t="str">
        <f>HYPERLINK("http://www.ncbi.nlm.nih.gov/protein/6754046","Gpaa1")</f>
        <v>Gpaa1</v>
      </c>
      <c r="D3077" s="10">
        <f t="shared" ref="D3077:D3140" si="48">L3077</f>
        <v>3.5692256790114292</v>
      </c>
      <c r="F3077" s="8" t="str">
        <f>HYPERLINK("https://esbl.nhlbi.nih.gov/Databases/mpkFractions/proteomic_fractions_log_files/Yang_log_img/6754046.jpg","show blot")</f>
        <v>show blot</v>
      </c>
      <c r="H3077" s="8" t="str">
        <f>HYPERLINK("https://esbl.nhlbi.nih.gov/Databases/mpkFractions/proteomic_fractions_linear_files/Yang_linear_img/6754046.jpg","show blot")</f>
        <v>show blot</v>
      </c>
      <c r="J3077" s="5" t="s">
        <v>6038</v>
      </c>
      <c r="L3077" s="11">
        <v>3.5692256790114292</v>
      </c>
      <c r="N3077" s="12"/>
    </row>
    <row r="3078" spans="1:14" s="5" customFormat="1" ht="15" customHeight="1" x14ac:dyDescent="0.25">
      <c r="A3078" s="9" t="s">
        <v>6039</v>
      </c>
      <c r="C3078" s="9" t="str">
        <f>HYPERLINK("http://www.ncbi.nlm.nih.gov/protein/27754089","Gpalpp1")</f>
        <v>Gpalpp1</v>
      </c>
      <c r="D3078" s="10">
        <f t="shared" si="48"/>
        <v>3.632745529850522</v>
      </c>
      <c r="F3078" s="8" t="str">
        <f>HYPERLINK("https://esbl.nhlbi.nih.gov/Databases/mpkFractions/proteomic_fractions_log_files/Yang_log_img/27754089.jpg","show blot")</f>
        <v>show blot</v>
      </c>
      <c r="H3078" s="8" t="str">
        <f>HYPERLINK("https://esbl.nhlbi.nih.gov/Databases/mpkFractions/proteomic_fractions_linear_files/Yang_linear_img/27754089.jpg","show blot")</f>
        <v>show blot</v>
      </c>
      <c r="J3078" s="5" t="s">
        <v>6040</v>
      </c>
      <c r="L3078" s="11">
        <v>3.632745529850522</v>
      </c>
      <c r="N3078" s="12"/>
    </row>
    <row r="3079" spans="1:14" s="5" customFormat="1" ht="15" customHeight="1" x14ac:dyDescent="0.25">
      <c r="A3079" s="9" t="s">
        <v>6041</v>
      </c>
      <c r="C3079" s="9" t="str">
        <f>HYPERLINK("http://www.ncbi.nlm.nih.gov/protein/194473718","Gpatch11")</f>
        <v>Gpatch11</v>
      </c>
      <c r="D3079" s="10">
        <f t="shared" si="48"/>
        <v>3.8472700453595068</v>
      </c>
      <c r="F3079" s="8" t="str">
        <f>HYPERLINK("https://esbl.nhlbi.nih.gov/Databases/mpkFractions/proteomic_fractions_log_files/Yang_log_img/194473718.jpg","show blot")</f>
        <v>show blot</v>
      </c>
      <c r="H3079" s="8" t="str">
        <f>HYPERLINK("https://esbl.nhlbi.nih.gov/Databases/mpkFractions/proteomic_fractions_linear_files/Yang_linear_img/194473718.jpg","show blot")</f>
        <v>show blot</v>
      </c>
      <c r="J3079" s="5" t="s">
        <v>6042</v>
      </c>
      <c r="L3079" s="11">
        <v>3.8472700453595068</v>
      </c>
      <c r="N3079" s="12"/>
    </row>
    <row r="3080" spans="1:14" s="5" customFormat="1" ht="15" customHeight="1" x14ac:dyDescent="0.25">
      <c r="A3080" s="9" t="s">
        <v>6043</v>
      </c>
      <c r="C3080" s="9" t="str">
        <f>HYPERLINK("http://www.ncbi.nlm.nih.gov/protein/27370332","Gpatch3")</f>
        <v>Gpatch3</v>
      </c>
      <c r="D3080" s="10">
        <f t="shared" si="48"/>
        <v>3.2006542938067448</v>
      </c>
      <c r="F3080" s="8" t="str">
        <f>HYPERLINK("https://esbl.nhlbi.nih.gov/Databases/mpkFractions/proteomic_fractions_log_files/Yang_log_img/27370332.jpg","show blot")</f>
        <v>show blot</v>
      </c>
      <c r="H3080" s="8" t="str">
        <f>HYPERLINK("https://esbl.nhlbi.nih.gov/Databases/mpkFractions/proteomic_fractions_linear_files/Yang_linear_img/27370332.jpg","show blot")</f>
        <v>show blot</v>
      </c>
      <c r="J3080" s="5" t="s">
        <v>6044</v>
      </c>
      <c r="L3080" s="11">
        <v>3.2006542938067448</v>
      </c>
      <c r="N3080" s="12"/>
    </row>
    <row r="3081" spans="1:14" s="5" customFormat="1" ht="15" customHeight="1" x14ac:dyDescent="0.25">
      <c r="A3081" s="9" t="s">
        <v>6045</v>
      </c>
      <c r="C3081" s="9" t="str">
        <f>HYPERLINK("http://www.ncbi.nlm.nih.gov/protein/160948594","Gpatch4")</f>
        <v>Gpatch4</v>
      </c>
      <c r="D3081" s="10">
        <f t="shared" si="48"/>
        <v>1.2929299186319321</v>
      </c>
      <c r="F3081" s="8" t="str">
        <f>HYPERLINK("https://esbl.nhlbi.nih.gov/Databases/mpkFractions/proteomic_fractions_log_files/Yang_log_img/160948594.jpg","show blot")</f>
        <v>show blot</v>
      </c>
      <c r="H3081" s="8" t="str">
        <f>HYPERLINK("https://esbl.nhlbi.nih.gov/Databases/mpkFractions/proteomic_fractions_linear_files/Yang_linear_img/160948594.jpg","show blot")</f>
        <v>show blot</v>
      </c>
      <c r="J3081" s="5" t="s">
        <v>6046</v>
      </c>
      <c r="L3081" s="11">
        <v>1.2929299186319321</v>
      </c>
      <c r="N3081" s="12"/>
    </row>
    <row r="3082" spans="1:14" s="5" customFormat="1" ht="15" customHeight="1" x14ac:dyDescent="0.25">
      <c r="A3082" s="9" t="s">
        <v>6047</v>
      </c>
      <c r="C3082" s="9" t="str">
        <f>HYPERLINK("http://www.ncbi.nlm.nih.gov/protein/226958329","Gpatch8")</f>
        <v>Gpatch8</v>
      </c>
      <c r="D3082" s="10">
        <f t="shared" si="48"/>
        <v>3.4061615418289022</v>
      </c>
      <c r="F3082" s="8" t="str">
        <f>HYPERLINK("https://esbl.nhlbi.nih.gov/Databases/mpkFractions/proteomic_fractions_log_files/Yang_log_img/226958329.jpg","show blot")</f>
        <v>show blot</v>
      </c>
      <c r="H3082" s="8" t="str">
        <f>HYPERLINK("https://esbl.nhlbi.nih.gov/Databases/mpkFractions/proteomic_fractions_linear_files/Yang_linear_img/226958329.jpg","show blot")</f>
        <v>show blot</v>
      </c>
      <c r="J3082" s="5" t="s">
        <v>6048</v>
      </c>
      <c r="L3082" s="11">
        <v>3.4061615418289022</v>
      </c>
      <c r="N3082" s="12"/>
    </row>
    <row r="3083" spans="1:14" s="5" customFormat="1" ht="15" customHeight="1" x14ac:dyDescent="0.25">
      <c r="A3083" s="9" t="s">
        <v>6049</v>
      </c>
      <c r="C3083" s="9" t="str">
        <f>HYPERLINK("http://www.ncbi.nlm.nih.gov/protein/238624186","Gpc4")</f>
        <v>Gpc4</v>
      </c>
      <c r="D3083" s="10">
        <f t="shared" si="48"/>
        <v>1.5683985947671379</v>
      </c>
      <c r="F3083" s="8" t="str">
        <f>HYPERLINK("https://esbl.nhlbi.nih.gov/Databases/mpkFractions/proteomic_fractions_log_files/Yang_log_img/238624186.jpg","show blot")</f>
        <v>show blot</v>
      </c>
      <c r="H3083" s="8" t="str">
        <f>HYPERLINK("https://esbl.nhlbi.nih.gov/Databases/mpkFractions/proteomic_fractions_linear_files/Yang_linear_img/238624186.jpg","show blot")</f>
        <v>show blot</v>
      </c>
      <c r="J3083" s="5" t="s">
        <v>6050</v>
      </c>
      <c r="L3083" s="11">
        <v>1.5683985947671379</v>
      </c>
      <c r="N3083" s="12"/>
    </row>
    <row r="3084" spans="1:14" s="5" customFormat="1" ht="15" customHeight="1" x14ac:dyDescent="0.25">
      <c r="A3084" s="9" t="s">
        <v>6051</v>
      </c>
      <c r="C3084" s="9" t="str">
        <f>HYPERLINK("http://www.ncbi.nlm.nih.gov/protein/119943145","Gpc6")</f>
        <v>Gpc6</v>
      </c>
      <c r="D3084" s="10">
        <f t="shared" si="48"/>
        <v>1.5394348988318209</v>
      </c>
      <c r="F3084" s="8" t="str">
        <f>HYPERLINK("https://esbl.nhlbi.nih.gov/Databases/mpkFractions/proteomic_fractions_log_files/Yang_log_img/119943145.jpg","show blot")</f>
        <v>show blot</v>
      </c>
      <c r="H3084" s="8" t="str">
        <f>HYPERLINK("https://esbl.nhlbi.nih.gov/Databases/mpkFractions/proteomic_fractions_linear_files/Yang_linear_img/119943145.jpg","show blot")</f>
        <v>show blot</v>
      </c>
      <c r="J3084" s="5" t="s">
        <v>6052</v>
      </c>
      <c r="L3084" s="11">
        <v>1.5394348988318209</v>
      </c>
      <c r="N3084" s="12"/>
    </row>
    <row r="3085" spans="1:14" s="5" customFormat="1" ht="15" customHeight="1" x14ac:dyDescent="0.25">
      <c r="A3085" s="9" t="s">
        <v>6053</v>
      </c>
      <c r="C3085" s="9" t="str">
        <f>HYPERLINK("http://www.ncbi.nlm.nih.gov/protein/7106325","Gpc6")</f>
        <v>Gpc6</v>
      </c>
      <c r="D3085" s="10">
        <f t="shared" si="48"/>
        <v>1.5394348988318209</v>
      </c>
      <c r="F3085" s="8" t="str">
        <f>HYPERLINK("https://esbl.nhlbi.nih.gov/Databases/mpkFractions/proteomic_fractions_log_files/Yang_log_img/7106325.jpg","show blot")</f>
        <v>show blot</v>
      </c>
      <c r="H3085" s="8" t="str">
        <f>HYPERLINK("https://esbl.nhlbi.nih.gov/Databases/mpkFractions/proteomic_fractions_linear_files/Yang_linear_img/7106325.jpg","show blot")</f>
        <v>show blot</v>
      </c>
      <c r="J3085" s="5" t="s">
        <v>6054</v>
      </c>
      <c r="L3085" s="11">
        <v>1.5394348988318209</v>
      </c>
      <c r="N3085" s="12"/>
    </row>
    <row r="3086" spans="1:14" s="5" customFormat="1" ht="15" customHeight="1" x14ac:dyDescent="0.25">
      <c r="A3086" s="9" t="s">
        <v>6055</v>
      </c>
      <c r="C3086" s="9" t="str">
        <f>HYPERLINK("http://www.ncbi.nlm.nih.gov/protein/111185942","Gpcpd1")</f>
        <v>Gpcpd1</v>
      </c>
      <c r="D3086" s="10">
        <f t="shared" si="48"/>
        <v>3.2256109458783748</v>
      </c>
      <c r="F3086" s="8" t="str">
        <f>HYPERLINK("https://esbl.nhlbi.nih.gov/Databases/mpkFractions/proteomic_fractions_log_files/Yang_log_img/111185942.jpg","show blot")</f>
        <v>show blot</v>
      </c>
      <c r="H3086" s="8" t="str">
        <f>HYPERLINK("https://esbl.nhlbi.nih.gov/Databases/mpkFractions/proteomic_fractions_linear_files/Yang_linear_img/111185942.jpg","show blot")</f>
        <v>show blot</v>
      </c>
      <c r="J3086" s="5" t="s">
        <v>6056</v>
      </c>
      <c r="L3086" s="11">
        <v>3.2256109458783748</v>
      </c>
      <c r="N3086" s="12"/>
    </row>
    <row r="3087" spans="1:14" s="5" customFormat="1" ht="15" customHeight="1" x14ac:dyDescent="0.25">
      <c r="A3087" s="9" t="s">
        <v>6057</v>
      </c>
      <c r="C3087" s="9" t="str">
        <f>HYPERLINK("http://www.ncbi.nlm.nih.gov/protein/111185947","Gpcpd1")</f>
        <v>Gpcpd1</v>
      </c>
      <c r="D3087" s="10">
        <f t="shared" si="48"/>
        <v>3.2256109458783748</v>
      </c>
      <c r="F3087" s="8" t="str">
        <f>HYPERLINK("https://esbl.nhlbi.nih.gov/Databases/mpkFractions/proteomic_fractions_log_files/Yang_log_img/111185947.jpg","show blot")</f>
        <v>show blot</v>
      </c>
      <c r="H3087" s="8" t="str">
        <f>HYPERLINK("https://esbl.nhlbi.nih.gov/Databases/mpkFractions/proteomic_fractions_linear_files/Yang_linear_img/111185947.jpg","show blot")</f>
        <v>show blot</v>
      </c>
      <c r="J3087" s="5" t="s">
        <v>6058</v>
      </c>
      <c r="L3087" s="11">
        <v>3.2256109458783748</v>
      </c>
      <c r="N3087" s="12"/>
    </row>
    <row r="3088" spans="1:14" s="5" customFormat="1" ht="15" customHeight="1" x14ac:dyDescent="0.25">
      <c r="A3088" s="9" t="s">
        <v>6059</v>
      </c>
      <c r="C3088" s="9" t="str">
        <f>HYPERLINK("http://www.ncbi.nlm.nih.gov/protein/6753966","Gpd1")</f>
        <v>Gpd1</v>
      </c>
      <c r="D3088" s="10">
        <f t="shared" si="48"/>
        <v>6.2784897470292629</v>
      </c>
      <c r="F3088" s="8" t="str">
        <f>HYPERLINK("https://esbl.nhlbi.nih.gov/Databases/mpkFractions/proteomic_fractions_log_files/Yang_log_img/6753966.jpg","show blot")</f>
        <v>show blot</v>
      </c>
      <c r="H3088" s="8" t="str">
        <f>HYPERLINK("https://esbl.nhlbi.nih.gov/Databases/mpkFractions/proteomic_fractions_linear_files/Yang_linear_img/6753966.jpg","show blot")</f>
        <v>show blot</v>
      </c>
      <c r="J3088" s="5" t="s">
        <v>6060</v>
      </c>
      <c r="L3088" s="11">
        <v>6.2784897470292629</v>
      </c>
      <c r="N3088" s="12"/>
    </row>
    <row r="3089" spans="1:14" s="5" customFormat="1" ht="15" customHeight="1" x14ac:dyDescent="0.25">
      <c r="A3089" s="9" t="s">
        <v>6061</v>
      </c>
      <c r="C3089" s="9" t="str">
        <f>HYPERLINK("http://www.ncbi.nlm.nih.gov/protein/257467604","Gpd1l")</f>
        <v>Gpd1l</v>
      </c>
      <c r="D3089" s="10">
        <f t="shared" si="48"/>
        <v>5.3520982078140982</v>
      </c>
      <c r="F3089" s="8" t="str">
        <f>HYPERLINK("https://esbl.nhlbi.nih.gov/Databases/mpkFractions/proteomic_fractions_log_files/Yang_log_img/257467604.jpg","show blot")</f>
        <v>show blot</v>
      </c>
      <c r="H3089" s="8" t="str">
        <f>HYPERLINK("https://esbl.nhlbi.nih.gov/Databases/mpkFractions/proteomic_fractions_linear_files/Yang_linear_img/257467604.jpg","show blot")</f>
        <v>show blot</v>
      </c>
      <c r="J3089" s="5" t="s">
        <v>6062</v>
      </c>
      <c r="L3089" s="11">
        <v>5.3520982078140982</v>
      </c>
      <c r="N3089" s="12"/>
    </row>
    <row r="3090" spans="1:14" s="5" customFormat="1" ht="15" customHeight="1" x14ac:dyDescent="0.25">
      <c r="A3090" s="9" t="s">
        <v>6063</v>
      </c>
      <c r="C3090" s="9" t="str">
        <f>HYPERLINK("http://www.ncbi.nlm.nih.gov/protein/224922803","Gpd2")</f>
        <v>Gpd2</v>
      </c>
      <c r="D3090" s="10">
        <f t="shared" si="48"/>
        <v>5.8972368807263784</v>
      </c>
      <c r="F3090" s="8" t="str">
        <f>HYPERLINK("https://esbl.nhlbi.nih.gov/Databases/mpkFractions/proteomic_fractions_log_files/Yang_log_img/224922803.jpg","show blot")</f>
        <v>show blot</v>
      </c>
      <c r="H3090" s="8" t="str">
        <f>HYPERLINK("https://esbl.nhlbi.nih.gov/Databases/mpkFractions/proteomic_fractions_linear_files/Yang_linear_img/224922803.jpg","show blot")</f>
        <v>show blot</v>
      </c>
      <c r="J3090" s="5" t="s">
        <v>6064</v>
      </c>
      <c r="L3090" s="11">
        <v>5.8972368807263784</v>
      </c>
      <c r="N3090" s="12"/>
    </row>
    <row r="3091" spans="1:14" s="5" customFormat="1" ht="15" customHeight="1" x14ac:dyDescent="0.25">
      <c r="A3091" s="9" t="s">
        <v>6065</v>
      </c>
      <c r="C3091" s="9" t="str">
        <f>HYPERLINK("http://www.ncbi.nlm.nih.gov/protein/269973915","Gphn")</f>
        <v>Gphn</v>
      </c>
      <c r="D3091" s="10">
        <f t="shared" si="48"/>
        <v>5.3349999677499467</v>
      </c>
      <c r="F3091" s="8" t="str">
        <f>HYPERLINK("https://esbl.nhlbi.nih.gov/Databases/mpkFractions/proteomic_fractions_log_files/Yang_log_img/269973915.jpg","show blot")</f>
        <v>show blot</v>
      </c>
      <c r="H3091" s="8" t="str">
        <f>HYPERLINK("https://esbl.nhlbi.nih.gov/Databases/mpkFractions/proteomic_fractions_linear_files/Yang_linear_img/269973915.jpg","show blot")</f>
        <v>show blot</v>
      </c>
      <c r="J3091" s="5" t="s">
        <v>6066</v>
      </c>
      <c r="L3091" s="11">
        <v>5.3349999677499467</v>
      </c>
      <c r="N3091" s="12"/>
    </row>
    <row r="3092" spans="1:14" s="5" customFormat="1" ht="15" customHeight="1" x14ac:dyDescent="0.25">
      <c r="A3092" s="9" t="s">
        <v>6067</v>
      </c>
      <c r="C3092" s="9" t="str">
        <f>HYPERLINK("http://www.ncbi.nlm.nih.gov/protein/269973917","Gphn")</f>
        <v>Gphn</v>
      </c>
      <c r="D3092" s="10">
        <f t="shared" si="48"/>
        <v>5.3349999677499467</v>
      </c>
      <c r="F3092" s="8" t="str">
        <f>HYPERLINK("https://esbl.nhlbi.nih.gov/Databases/mpkFractions/proteomic_fractions_log_files/Yang_log_img/269973917.jpg","show blot")</f>
        <v>show blot</v>
      </c>
      <c r="H3092" s="8" t="str">
        <f>HYPERLINK("https://esbl.nhlbi.nih.gov/Databases/mpkFractions/proteomic_fractions_linear_files/Yang_linear_img/269973917.jpg","show blot")</f>
        <v>show blot</v>
      </c>
      <c r="J3092" s="5" t="s">
        <v>6068</v>
      </c>
      <c r="L3092" s="11">
        <v>5.3349999677499467</v>
      </c>
      <c r="N3092" s="12"/>
    </row>
    <row r="3093" spans="1:14" s="5" customFormat="1" ht="15" customHeight="1" x14ac:dyDescent="0.25">
      <c r="A3093" s="9" t="s">
        <v>6069</v>
      </c>
      <c r="C3093" s="9" t="str">
        <f>HYPERLINK("http://www.ncbi.nlm.nih.gov/protein/254553458","Gpi1")</f>
        <v>Gpi1</v>
      </c>
      <c r="D3093" s="10">
        <f t="shared" si="48"/>
        <v>6.8733436900727236</v>
      </c>
      <c r="F3093" s="8" t="str">
        <f>HYPERLINK("https://esbl.nhlbi.nih.gov/Databases/mpkFractions/proteomic_fractions_log_files/Yang_log_img/254553458.jpg","show blot")</f>
        <v>show blot</v>
      </c>
      <c r="H3093" s="8" t="str">
        <f>HYPERLINK("https://esbl.nhlbi.nih.gov/Databases/mpkFractions/proteomic_fractions_linear_files/Yang_linear_img/254553458.jpg","show blot")</f>
        <v>show blot</v>
      </c>
      <c r="J3093" s="5" t="s">
        <v>6070</v>
      </c>
      <c r="L3093" s="11">
        <v>6.8733436900727236</v>
      </c>
      <c r="N3093" s="12"/>
    </row>
    <row r="3094" spans="1:14" s="5" customFormat="1" ht="15" customHeight="1" x14ac:dyDescent="0.25">
      <c r="A3094" s="9" t="s">
        <v>6071</v>
      </c>
      <c r="C3094" s="9" t="str">
        <f>HYPERLINK("http://www.ncbi.nlm.nih.gov/protein/377834554","Gpi1")</f>
        <v>Gpi1</v>
      </c>
      <c r="D3094" s="10">
        <f t="shared" si="48"/>
        <v>6.8733436900727236</v>
      </c>
      <c r="F3094" s="8" t="str">
        <f>HYPERLINK("https://esbl.nhlbi.nih.gov/Databases/mpkFractions/proteomic_fractions_log_files/Yang_log_img/377834554.jpg","show blot")</f>
        <v>show blot</v>
      </c>
      <c r="H3094" s="8" t="str">
        <f>HYPERLINK("https://esbl.nhlbi.nih.gov/Databases/mpkFractions/proteomic_fractions_linear_files/Yang_linear_img/377834554.jpg","show blot")</f>
        <v>show blot</v>
      </c>
      <c r="J3094" s="5" t="s">
        <v>6072</v>
      </c>
      <c r="L3094" s="11">
        <v>6.8733436900727236</v>
      </c>
      <c r="N3094" s="12"/>
    </row>
    <row r="3095" spans="1:14" s="5" customFormat="1" ht="15" customHeight="1" x14ac:dyDescent="0.25">
      <c r="A3095" s="9" t="s">
        <v>6073</v>
      </c>
      <c r="C3095" s="9" t="str">
        <f>HYPERLINK("http://www.ncbi.nlm.nih.gov/protein/19526970","Gpn1")</f>
        <v>Gpn1</v>
      </c>
      <c r="D3095" s="10">
        <f t="shared" si="48"/>
        <v>4.0081907944797042</v>
      </c>
      <c r="F3095" s="8" t="str">
        <f>HYPERLINK("https://esbl.nhlbi.nih.gov/Databases/mpkFractions/proteomic_fractions_log_files/Yang_log_img/19526970.jpg","show blot")</f>
        <v>show blot</v>
      </c>
      <c r="H3095" s="8" t="str">
        <f>HYPERLINK("https://esbl.nhlbi.nih.gov/Databases/mpkFractions/proteomic_fractions_linear_files/Yang_linear_img/19526970.jpg","show blot")</f>
        <v>show blot</v>
      </c>
      <c r="J3095" s="5" t="s">
        <v>6074</v>
      </c>
      <c r="L3095" s="11">
        <v>4.0081907944797042</v>
      </c>
      <c r="N3095" s="12"/>
    </row>
    <row r="3096" spans="1:14" s="5" customFormat="1" ht="15" customHeight="1" x14ac:dyDescent="0.25">
      <c r="A3096" s="9" t="s">
        <v>6075</v>
      </c>
      <c r="C3096" s="9" t="str">
        <f>HYPERLINK("http://www.ncbi.nlm.nih.gov/protein/21312642","Gpn3")</f>
        <v>Gpn3</v>
      </c>
      <c r="D3096" s="10">
        <f t="shared" si="48"/>
        <v>4.0523693093320157</v>
      </c>
      <c r="F3096" s="8" t="str">
        <f>HYPERLINK("https://esbl.nhlbi.nih.gov/Databases/mpkFractions/proteomic_fractions_log_files/Yang_log_img/21312642.jpg","show blot")</f>
        <v>show blot</v>
      </c>
      <c r="H3096" s="8" t="str">
        <f>HYPERLINK("https://esbl.nhlbi.nih.gov/Databases/mpkFractions/proteomic_fractions_linear_files/Yang_linear_img/21312642.jpg","show blot")</f>
        <v>show blot</v>
      </c>
      <c r="J3096" s="5" t="s">
        <v>6076</v>
      </c>
      <c r="L3096" s="11">
        <v>4.0523693093320157</v>
      </c>
      <c r="N3096" s="12"/>
    </row>
    <row r="3097" spans="1:14" s="5" customFormat="1" ht="15" customHeight="1" x14ac:dyDescent="0.25">
      <c r="A3097" s="9" t="s">
        <v>6077</v>
      </c>
      <c r="C3097" s="9" t="str">
        <f>HYPERLINK("http://www.ncbi.nlm.nih.gov/protein/254692915","Gpr107")</f>
        <v>Gpr107</v>
      </c>
      <c r="D3097" s="10">
        <f t="shared" si="48"/>
        <v>1.8912297610865869</v>
      </c>
      <c r="F3097" s="8" t="str">
        <f>HYPERLINK("https://esbl.nhlbi.nih.gov/Databases/mpkFractions/proteomic_fractions_log_files/Yang_log_img/254692915.jpg","show blot")</f>
        <v>show blot</v>
      </c>
      <c r="H3097" s="8" t="str">
        <f>HYPERLINK("https://esbl.nhlbi.nih.gov/Databases/mpkFractions/proteomic_fractions_linear_files/Yang_linear_img/254692915.jpg","show blot")</f>
        <v>show blot</v>
      </c>
      <c r="J3097" s="5" t="s">
        <v>6078</v>
      </c>
      <c r="L3097" s="11">
        <v>1.8912297610865869</v>
      </c>
      <c r="N3097" s="12"/>
    </row>
    <row r="3098" spans="1:14" s="5" customFormat="1" ht="15" customHeight="1" x14ac:dyDescent="0.25">
      <c r="A3098" s="9" t="s">
        <v>6079</v>
      </c>
      <c r="C3098" s="9" t="str">
        <f>HYPERLINK("http://www.ncbi.nlm.nih.gov/protein/50428577","Gpr126")</f>
        <v>Gpr126</v>
      </c>
      <c r="D3098" s="10">
        <f t="shared" si="48"/>
        <v>2.3226786226264489</v>
      </c>
      <c r="F3098" s="8" t="str">
        <f>HYPERLINK("https://esbl.nhlbi.nih.gov/Databases/mpkFractions/proteomic_fractions_log_files/Yang_log_img/50428577.jpg","show blot")</f>
        <v>show blot</v>
      </c>
      <c r="H3098" s="8" t="str">
        <f>HYPERLINK("https://esbl.nhlbi.nih.gov/Databases/mpkFractions/proteomic_fractions_linear_files/Yang_linear_img/50428577.jpg","show blot")</f>
        <v>show blot</v>
      </c>
      <c r="J3098" s="5" t="s">
        <v>6080</v>
      </c>
      <c r="L3098" s="11">
        <v>2.3226786226264489</v>
      </c>
      <c r="N3098" s="12"/>
    </row>
    <row r="3099" spans="1:14" s="5" customFormat="1" ht="15" customHeight="1" x14ac:dyDescent="0.25">
      <c r="A3099" s="9" t="s">
        <v>6081</v>
      </c>
      <c r="C3099" s="9" t="str">
        <f>HYPERLINK("http://www.ncbi.nlm.nih.gov/protein/226442795","Gpr39")</f>
        <v>Gpr39</v>
      </c>
      <c r="D3099" s="10">
        <f t="shared" si="48"/>
        <v>2.715478991646076</v>
      </c>
      <c r="F3099" s="8" t="str">
        <f>HYPERLINK("https://esbl.nhlbi.nih.gov/Databases/mpkFractions/proteomic_fractions_log_files/Yang_log_img/226442795.jpg","show blot")</f>
        <v>show blot</v>
      </c>
      <c r="H3099" s="8" t="str">
        <f>HYPERLINK("https://esbl.nhlbi.nih.gov/Databases/mpkFractions/proteomic_fractions_linear_files/Yang_linear_img/226442795.jpg","show blot")</f>
        <v>show blot</v>
      </c>
      <c r="J3099" s="5" t="s">
        <v>6082</v>
      </c>
      <c r="L3099" s="11">
        <v>2.715478991646076</v>
      </c>
      <c r="N3099" s="12"/>
    </row>
    <row r="3100" spans="1:14" s="5" customFormat="1" ht="15" customHeight="1" x14ac:dyDescent="0.25">
      <c r="A3100" s="9" t="s">
        <v>6083</v>
      </c>
      <c r="C3100" s="9" t="str">
        <f>HYPERLINK("http://www.ncbi.nlm.nih.gov/protein/31982718","Gpr56")</f>
        <v>Gpr56</v>
      </c>
      <c r="D3100" s="10">
        <f t="shared" si="48"/>
        <v>4.789551887162907</v>
      </c>
      <c r="F3100" s="8" t="str">
        <f>HYPERLINK("https://esbl.nhlbi.nih.gov/Databases/mpkFractions/proteomic_fractions_log_files/Yang_log_img/31982718.jpg","show blot")</f>
        <v>show blot</v>
      </c>
      <c r="H3100" s="8" t="str">
        <f>HYPERLINK("https://esbl.nhlbi.nih.gov/Databases/mpkFractions/proteomic_fractions_linear_files/Yang_linear_img/31982718.jpg","show blot")</f>
        <v>show blot</v>
      </c>
      <c r="J3100" s="5" t="s">
        <v>6084</v>
      </c>
      <c r="L3100" s="11">
        <v>4.789551887162907</v>
      </c>
      <c r="N3100" s="12"/>
    </row>
    <row r="3101" spans="1:14" s="5" customFormat="1" ht="15" customHeight="1" x14ac:dyDescent="0.25">
      <c r="A3101" s="9" t="s">
        <v>6085</v>
      </c>
      <c r="C3101" s="9" t="str">
        <f>HYPERLINK("http://www.ncbi.nlm.nih.gov/protein/21312914","Gpr89")</f>
        <v>Gpr89</v>
      </c>
      <c r="D3101" s="10">
        <f t="shared" si="48"/>
        <v>2.539620461003822</v>
      </c>
      <c r="F3101" s="8" t="str">
        <f>HYPERLINK("https://esbl.nhlbi.nih.gov/Databases/mpkFractions/proteomic_fractions_log_files/Yang_log_img/21312914.jpg","show blot")</f>
        <v>show blot</v>
      </c>
      <c r="H3101" s="8" t="str">
        <f>HYPERLINK("https://esbl.nhlbi.nih.gov/Databases/mpkFractions/proteomic_fractions_linear_files/Yang_linear_img/21312914.jpg","show blot")</f>
        <v>show blot</v>
      </c>
      <c r="J3101" s="5" t="s">
        <v>6086</v>
      </c>
      <c r="L3101" s="11">
        <v>2.539620461003822</v>
      </c>
      <c r="N3101" s="12"/>
    </row>
    <row r="3102" spans="1:14" s="5" customFormat="1" ht="15" customHeight="1" x14ac:dyDescent="0.25">
      <c r="A3102" s="9" t="s">
        <v>6087</v>
      </c>
      <c r="C3102" s="9" t="str">
        <f>HYPERLINK("http://www.ncbi.nlm.nih.gov/protein/153791474","Gpr98")</f>
        <v>Gpr98</v>
      </c>
      <c r="D3102" s="10">
        <f t="shared" si="48"/>
        <v>2.4077989087513059</v>
      </c>
      <c r="F3102" s="8" t="str">
        <f>HYPERLINK("https://esbl.nhlbi.nih.gov/Databases/mpkFractions/proteomic_fractions_log_files/Yang_log_img/153791474.jpg","show blot")</f>
        <v>show blot</v>
      </c>
      <c r="H3102" s="8" t="str">
        <f>HYPERLINK("https://esbl.nhlbi.nih.gov/Databases/mpkFractions/proteomic_fractions_linear_files/Yang_linear_img/153791474.jpg","show blot")</f>
        <v>show blot</v>
      </c>
      <c r="J3102" s="5" t="s">
        <v>6088</v>
      </c>
      <c r="L3102" s="11">
        <v>2.4077989087513059</v>
      </c>
      <c r="N3102" s="12"/>
    </row>
    <row r="3103" spans="1:14" s="5" customFormat="1" ht="15" customHeight="1" x14ac:dyDescent="0.25">
      <c r="A3103" s="9" t="s">
        <v>6089</v>
      </c>
      <c r="C3103" s="9" t="str">
        <f>HYPERLINK("http://www.ncbi.nlm.nih.gov/protein/225543465","Gprc5a")</f>
        <v>Gprc5a</v>
      </c>
      <c r="D3103" s="10">
        <f t="shared" si="48"/>
        <v>5.5253376203780364</v>
      </c>
      <c r="F3103" s="8" t="str">
        <f>HYPERLINK("https://esbl.nhlbi.nih.gov/Databases/mpkFractions/proteomic_fractions_log_files/Yang_log_img/225543465.jpg","show blot")</f>
        <v>show blot</v>
      </c>
      <c r="H3103" s="8" t="str">
        <f>HYPERLINK("https://esbl.nhlbi.nih.gov/Databases/mpkFractions/proteomic_fractions_linear_files/Yang_linear_img/225543465.jpg","show blot")</f>
        <v>show blot</v>
      </c>
      <c r="J3103" s="5" t="s">
        <v>6090</v>
      </c>
      <c r="L3103" s="11">
        <v>5.5253376203780364</v>
      </c>
      <c r="N3103" s="12"/>
    </row>
    <row r="3104" spans="1:14" s="5" customFormat="1" ht="15" customHeight="1" x14ac:dyDescent="0.25">
      <c r="A3104" s="9" t="s">
        <v>6091</v>
      </c>
      <c r="C3104" s="9" t="str">
        <f>HYPERLINK("http://www.ncbi.nlm.nih.gov/protein/160333231","Gprc5c")</f>
        <v>Gprc5c</v>
      </c>
      <c r="D3104" s="10">
        <f t="shared" si="48"/>
        <v>5.7261974557409792</v>
      </c>
      <c r="F3104" s="8" t="str">
        <f>HYPERLINK("https://esbl.nhlbi.nih.gov/Databases/mpkFractions/proteomic_fractions_log_files/Yang_log_img/160333231.jpg","show blot")</f>
        <v>show blot</v>
      </c>
      <c r="H3104" s="8" t="str">
        <f>HYPERLINK("https://esbl.nhlbi.nih.gov/Databases/mpkFractions/proteomic_fractions_linear_files/Yang_linear_img/160333231.jpg","show blot")</f>
        <v>show blot</v>
      </c>
      <c r="J3104" s="5" t="s">
        <v>6092</v>
      </c>
      <c r="L3104" s="11">
        <v>5.7261974557409792</v>
      </c>
      <c r="N3104" s="12"/>
    </row>
    <row r="3105" spans="1:14" s="5" customFormat="1" ht="15" customHeight="1" x14ac:dyDescent="0.25">
      <c r="A3105" s="9" t="s">
        <v>6093</v>
      </c>
      <c r="C3105" s="9" t="str">
        <f>HYPERLINK("http://www.ncbi.nlm.nih.gov/protein/160333233","Gprc5c")</f>
        <v>Gprc5c</v>
      </c>
      <c r="D3105" s="10">
        <f t="shared" si="48"/>
        <v>5.7261974557409792</v>
      </c>
      <c r="F3105" s="8" t="str">
        <f>HYPERLINK("https://esbl.nhlbi.nih.gov/Databases/mpkFractions/proteomic_fractions_log_files/Yang_log_img/160333233.jpg","show blot")</f>
        <v>show blot</v>
      </c>
      <c r="H3105" s="8" t="str">
        <f>HYPERLINK("https://esbl.nhlbi.nih.gov/Databases/mpkFractions/proteomic_fractions_linear_files/Yang_linear_img/160333233.jpg","show blot")</f>
        <v>show blot</v>
      </c>
      <c r="J3105" s="5" t="s">
        <v>6094</v>
      </c>
      <c r="L3105" s="11">
        <v>5.7261974557409792</v>
      </c>
      <c r="N3105" s="12"/>
    </row>
    <row r="3106" spans="1:14" s="5" customFormat="1" ht="15" customHeight="1" x14ac:dyDescent="0.25">
      <c r="A3106" s="9" t="s">
        <v>6095</v>
      </c>
      <c r="C3106" s="9" t="str">
        <f>HYPERLINK("http://www.ncbi.nlm.nih.gov/protein/295424137","Gps1")</f>
        <v>Gps1</v>
      </c>
      <c r="D3106" s="10">
        <f t="shared" si="48"/>
        <v>5.6269105895417617</v>
      </c>
      <c r="F3106" s="8" t="str">
        <f>HYPERLINK("https://esbl.nhlbi.nih.gov/Databases/mpkFractions/proteomic_fractions_log_files/Yang_log_img/295424137.jpg","show blot")</f>
        <v>show blot</v>
      </c>
      <c r="H3106" s="8" t="str">
        <f>HYPERLINK("https://esbl.nhlbi.nih.gov/Databases/mpkFractions/proteomic_fractions_linear_files/Yang_linear_img/295424137.jpg","show blot")</f>
        <v>show blot</v>
      </c>
      <c r="J3106" s="5" t="s">
        <v>6096</v>
      </c>
      <c r="L3106" s="11">
        <v>5.6269105895417617</v>
      </c>
      <c r="N3106" s="12"/>
    </row>
    <row r="3107" spans="1:14" s="5" customFormat="1" ht="15" customHeight="1" x14ac:dyDescent="0.25">
      <c r="A3107" s="9" t="s">
        <v>6097</v>
      </c>
      <c r="C3107" s="9" t="str">
        <f>HYPERLINK("http://www.ncbi.nlm.nih.gov/protein/295424139","Gps1")</f>
        <v>Gps1</v>
      </c>
      <c r="D3107" s="10">
        <f t="shared" si="48"/>
        <v>5.6269105895417617</v>
      </c>
      <c r="F3107" s="8" t="str">
        <f>HYPERLINK("https://esbl.nhlbi.nih.gov/Databases/mpkFractions/proteomic_fractions_log_files/Yang_log_img/295424139.jpg","show blot")</f>
        <v>show blot</v>
      </c>
      <c r="H3107" s="8" t="str">
        <f>HYPERLINK("https://esbl.nhlbi.nih.gov/Databases/mpkFractions/proteomic_fractions_linear_files/Yang_linear_img/295424139.jpg","show blot")</f>
        <v>show blot</v>
      </c>
      <c r="J3107" s="5" t="s">
        <v>6098</v>
      </c>
      <c r="L3107" s="11">
        <v>5.6269105895417617</v>
      </c>
      <c r="N3107" s="12"/>
    </row>
    <row r="3108" spans="1:14" s="5" customFormat="1" ht="15" customHeight="1" x14ac:dyDescent="0.25">
      <c r="A3108" s="9" t="s">
        <v>6099</v>
      </c>
      <c r="C3108" s="9" t="str">
        <f>HYPERLINK("http://www.ncbi.nlm.nih.gov/protein/33413404","Gpt")</f>
        <v>Gpt</v>
      </c>
      <c r="D3108" s="10">
        <f t="shared" si="48"/>
        <v>4.6396617348577607</v>
      </c>
      <c r="F3108" s="8" t="str">
        <f>HYPERLINK("https://esbl.nhlbi.nih.gov/Databases/mpkFractions/proteomic_fractions_log_files/Yang_log_img/33413404.jpg","show blot")</f>
        <v>show blot</v>
      </c>
      <c r="H3108" s="8" t="str">
        <f>HYPERLINK("https://esbl.nhlbi.nih.gov/Databases/mpkFractions/proteomic_fractions_linear_files/Yang_linear_img/33413404.jpg","show blot")</f>
        <v>show blot</v>
      </c>
      <c r="J3108" s="5" t="s">
        <v>6100</v>
      </c>
      <c r="L3108" s="11">
        <v>4.6396617348577607</v>
      </c>
      <c r="N3108" s="12"/>
    </row>
    <row r="3109" spans="1:14" s="5" customFormat="1" ht="15" customHeight="1" x14ac:dyDescent="0.25">
      <c r="A3109" s="9" t="s">
        <v>6101</v>
      </c>
      <c r="C3109" s="9" t="str">
        <f>HYPERLINK("http://www.ncbi.nlm.nih.gov/protein/84871986","Gpx1")</f>
        <v>Gpx1</v>
      </c>
      <c r="D3109" s="10">
        <f t="shared" si="48"/>
        <v>6.237441838585827</v>
      </c>
      <c r="F3109" s="8" t="str">
        <f>HYPERLINK("https://esbl.nhlbi.nih.gov/Databases/mpkFractions/proteomic_fractions_log_files/Yang_log_img/84871986.jpg","show blot")</f>
        <v>show blot</v>
      </c>
      <c r="H3109" s="8" t="str">
        <f>HYPERLINK("https://esbl.nhlbi.nih.gov/Databases/mpkFractions/proteomic_fractions_linear_files/Yang_linear_img/84871986.jpg","show blot")</f>
        <v>show blot</v>
      </c>
      <c r="J3109" s="5" t="s">
        <v>6102</v>
      </c>
      <c r="L3109" s="11">
        <v>6.237441838585827</v>
      </c>
      <c r="N3109" s="12"/>
    </row>
    <row r="3110" spans="1:14" s="5" customFormat="1" ht="15" customHeight="1" x14ac:dyDescent="0.25">
      <c r="A3110" s="9" t="s">
        <v>6103</v>
      </c>
      <c r="C3110" s="9" t="str">
        <f>HYPERLINK("http://www.ncbi.nlm.nih.gov/protein/90903233","Gpx4")</f>
        <v>Gpx4</v>
      </c>
      <c r="D3110" s="10">
        <f t="shared" si="48"/>
        <v>6.00787946873759</v>
      </c>
      <c r="F3110" s="8" t="str">
        <f>HYPERLINK("https://esbl.nhlbi.nih.gov/Databases/mpkFractions/proteomic_fractions_log_files/Yang_log_img/90903233.jpg","show blot")</f>
        <v>show blot</v>
      </c>
      <c r="H3110" s="8" t="str">
        <f>HYPERLINK("https://esbl.nhlbi.nih.gov/Databases/mpkFractions/proteomic_fractions_linear_files/Yang_linear_img/90903233.jpg","show blot")</f>
        <v>show blot</v>
      </c>
      <c r="J3110" s="5" t="s">
        <v>6104</v>
      </c>
      <c r="L3110" s="11">
        <v>6.00787946873759</v>
      </c>
      <c r="N3110" s="12"/>
    </row>
    <row r="3111" spans="1:14" s="5" customFormat="1" ht="15" customHeight="1" x14ac:dyDescent="0.25">
      <c r="A3111" s="9" t="s">
        <v>6105</v>
      </c>
      <c r="C3111" s="9" t="str">
        <f>HYPERLINK("http://www.ncbi.nlm.nih.gov/protein/90903235","Gpx4")</f>
        <v>Gpx4</v>
      </c>
      <c r="D3111" s="10">
        <f t="shared" si="48"/>
        <v>6.00787946873759</v>
      </c>
      <c r="F3111" s="8" t="str">
        <f>HYPERLINK("https://esbl.nhlbi.nih.gov/Databases/mpkFractions/proteomic_fractions_log_files/Yang_log_img/90903235.jpg","show blot")</f>
        <v>show blot</v>
      </c>
      <c r="H3111" s="8" t="str">
        <f>HYPERLINK("https://esbl.nhlbi.nih.gov/Databases/mpkFractions/proteomic_fractions_linear_files/Yang_linear_img/90903235.jpg","show blot")</f>
        <v>show blot</v>
      </c>
      <c r="J3111" s="5" t="s">
        <v>6106</v>
      </c>
      <c r="L3111" s="11">
        <v>6.00787946873759</v>
      </c>
      <c r="N3111" s="12"/>
    </row>
    <row r="3112" spans="1:14" s="5" customFormat="1" ht="15" customHeight="1" x14ac:dyDescent="0.25">
      <c r="A3112" s="9" t="s">
        <v>6107</v>
      </c>
      <c r="C3112" s="9" t="str">
        <f>HYPERLINK("http://www.ncbi.nlm.nih.gov/protein/27369870","Gramd4")</f>
        <v>Gramd4</v>
      </c>
      <c r="D3112" s="10">
        <f t="shared" si="48"/>
        <v>3.0323289781272251</v>
      </c>
      <c r="F3112" s="8" t="str">
        <f>HYPERLINK("https://esbl.nhlbi.nih.gov/Databases/mpkFractions/proteomic_fractions_log_files/Yang_log_img/27369870.jpg","show blot")</f>
        <v>show blot</v>
      </c>
      <c r="H3112" s="8" t="str">
        <f>HYPERLINK("https://esbl.nhlbi.nih.gov/Databases/mpkFractions/proteomic_fractions_linear_files/Yang_linear_img/27369870.jpg","show blot")</f>
        <v>show blot</v>
      </c>
      <c r="J3112" s="5" t="s">
        <v>6108</v>
      </c>
      <c r="L3112" s="11">
        <v>3.0323289781272251</v>
      </c>
      <c r="N3112" s="12"/>
    </row>
    <row r="3113" spans="1:14" s="5" customFormat="1" ht="15" customHeight="1" x14ac:dyDescent="0.25">
      <c r="A3113" s="9" t="s">
        <v>6109</v>
      </c>
      <c r="C3113" s="9" t="str">
        <f>HYPERLINK("http://www.ncbi.nlm.nih.gov/protein/329663552","Gramd4")</f>
        <v>Gramd4</v>
      </c>
      <c r="D3113" s="10">
        <f t="shared" si="48"/>
        <v>3.0323289781272251</v>
      </c>
      <c r="F3113" s="8" t="str">
        <f>HYPERLINK("https://esbl.nhlbi.nih.gov/Databases/mpkFractions/proteomic_fractions_log_files/Yang_log_img/329663552.jpg","show blot")</f>
        <v>show blot</v>
      </c>
      <c r="H3113" s="8" t="str">
        <f>HYPERLINK("https://esbl.nhlbi.nih.gov/Databases/mpkFractions/proteomic_fractions_linear_files/Yang_linear_img/329663552.jpg","show blot")</f>
        <v>show blot</v>
      </c>
      <c r="J3113" s="5" t="s">
        <v>6110</v>
      </c>
      <c r="L3113" s="11">
        <v>3.0323289781272251</v>
      </c>
      <c r="N3113" s="12"/>
    </row>
    <row r="3114" spans="1:14" s="5" customFormat="1" ht="15" customHeight="1" x14ac:dyDescent="0.25">
      <c r="A3114" s="9" t="s">
        <v>6111</v>
      </c>
      <c r="C3114" s="9" t="str">
        <f>HYPERLINK("http://www.ncbi.nlm.nih.gov/protein/6680083","Grb2")</f>
        <v>Grb2</v>
      </c>
      <c r="D3114" s="10">
        <f t="shared" si="48"/>
        <v>5.276355940461622</v>
      </c>
      <c r="F3114" s="8" t="str">
        <f>HYPERLINK("https://esbl.nhlbi.nih.gov/Databases/mpkFractions/proteomic_fractions_log_files/Yang_log_img/6680083.jpg","show blot")</f>
        <v>show blot</v>
      </c>
      <c r="H3114" s="8" t="str">
        <f>HYPERLINK("https://esbl.nhlbi.nih.gov/Databases/mpkFractions/proteomic_fractions_linear_files/Yang_linear_img/6680083.jpg","show blot")</f>
        <v>show blot</v>
      </c>
      <c r="J3114" s="5" t="s">
        <v>6112</v>
      </c>
      <c r="L3114" s="11">
        <v>5.276355940461622</v>
      </c>
      <c r="N3114" s="12"/>
    </row>
    <row r="3115" spans="1:14" s="5" customFormat="1" ht="15" customHeight="1" x14ac:dyDescent="0.25">
      <c r="A3115" s="9" t="s">
        <v>6113</v>
      </c>
      <c r="C3115" s="9" t="str">
        <f>HYPERLINK("http://www.ncbi.nlm.nih.gov/protein/6754066","Grb7")</f>
        <v>Grb7</v>
      </c>
      <c r="D3115" s="10">
        <f t="shared" si="48"/>
        <v>4.574890024877706</v>
      </c>
      <c r="F3115" s="8" t="str">
        <f>HYPERLINK("https://esbl.nhlbi.nih.gov/Databases/mpkFractions/proteomic_fractions_log_files/Yang_log_img/6754066.jpg","show blot")</f>
        <v>show blot</v>
      </c>
      <c r="H3115" s="8" t="str">
        <f>HYPERLINK("https://esbl.nhlbi.nih.gov/Databases/mpkFractions/proteomic_fractions_linear_files/Yang_linear_img/6754066.jpg","show blot")</f>
        <v>show blot</v>
      </c>
      <c r="J3115" s="5" t="s">
        <v>6114</v>
      </c>
      <c r="L3115" s="11">
        <v>4.574890024877706</v>
      </c>
      <c r="N3115" s="12"/>
    </row>
    <row r="3116" spans="1:14" s="5" customFormat="1" ht="15" customHeight="1" x14ac:dyDescent="0.25">
      <c r="A3116" s="9" t="s">
        <v>6115</v>
      </c>
      <c r="C3116" s="9" t="str">
        <f>HYPERLINK("http://www.ncbi.nlm.nih.gov/protein/7305107","Grcc10")</f>
        <v>Grcc10</v>
      </c>
      <c r="D3116" s="10">
        <f t="shared" si="48"/>
        <v>4.934292743829606</v>
      </c>
      <c r="F3116" s="8" t="str">
        <f>HYPERLINK("https://esbl.nhlbi.nih.gov/Databases/mpkFractions/proteomic_fractions_log_files/Yang_log_img/7305107.jpg","show blot")</f>
        <v>show blot</v>
      </c>
      <c r="H3116" s="8" t="str">
        <f>HYPERLINK("https://esbl.nhlbi.nih.gov/Databases/mpkFractions/proteomic_fractions_linear_files/Yang_linear_img/7305107.jpg","show blot")</f>
        <v>show blot</v>
      </c>
      <c r="J3116" s="5" t="s">
        <v>6116</v>
      </c>
      <c r="L3116" s="11">
        <v>4.934292743829606</v>
      </c>
      <c r="N3116" s="12"/>
    </row>
    <row r="3117" spans="1:14" s="5" customFormat="1" ht="15" customHeight="1" x14ac:dyDescent="0.25">
      <c r="A3117" s="9" t="s">
        <v>6117</v>
      </c>
      <c r="C3117" s="9" t="str">
        <f>HYPERLINK("http://www.ncbi.nlm.nih.gov/protein/46810275","Grhl2")</f>
        <v>Grhl2</v>
      </c>
      <c r="D3117" s="10">
        <f t="shared" si="48"/>
        <v>2.4541986399324029</v>
      </c>
      <c r="F3117" s="8" t="str">
        <f>HYPERLINK("https://esbl.nhlbi.nih.gov/Databases/mpkFractions/proteomic_fractions_log_files/Yang_log_img/46810275.jpg","show blot")</f>
        <v>show blot</v>
      </c>
      <c r="H3117" s="8" t="str">
        <f>HYPERLINK("https://esbl.nhlbi.nih.gov/Databases/mpkFractions/proteomic_fractions_linear_files/Yang_linear_img/46810275.jpg","show blot")</f>
        <v>show blot</v>
      </c>
      <c r="J3117" s="5" t="s">
        <v>6118</v>
      </c>
      <c r="L3117" s="11">
        <v>2.4541986399324029</v>
      </c>
      <c r="N3117" s="12"/>
    </row>
    <row r="3118" spans="1:14" s="5" customFormat="1" ht="15" customHeight="1" x14ac:dyDescent="0.25">
      <c r="A3118" s="9" t="s">
        <v>6119</v>
      </c>
      <c r="C3118" s="9" t="str">
        <f>HYPERLINK("http://www.ncbi.nlm.nih.gov/protein/17933768","Grhpr")</f>
        <v>Grhpr</v>
      </c>
      <c r="D3118" s="10">
        <f t="shared" si="48"/>
        <v>5.8488270456404079</v>
      </c>
      <c r="F3118" s="8" t="str">
        <f>HYPERLINK("https://esbl.nhlbi.nih.gov/Databases/mpkFractions/proteomic_fractions_log_files/Yang_log_img/17933768.jpg","show blot")</f>
        <v>show blot</v>
      </c>
      <c r="H3118" s="8" t="str">
        <f>HYPERLINK("https://esbl.nhlbi.nih.gov/Databases/mpkFractions/proteomic_fractions_linear_files/Yang_linear_img/17933768.jpg","show blot")</f>
        <v>show blot</v>
      </c>
      <c r="J3118" s="5" t="s">
        <v>6120</v>
      </c>
      <c r="L3118" s="11">
        <v>5.8488270456404079</v>
      </c>
      <c r="N3118" s="12"/>
    </row>
    <row r="3119" spans="1:14" s="5" customFormat="1" ht="15" customHeight="1" x14ac:dyDescent="0.25">
      <c r="A3119" s="9" t="s">
        <v>6121</v>
      </c>
      <c r="C3119" s="9" t="str">
        <f>HYPERLINK("http://www.ncbi.nlm.nih.gov/protein/6680091","Grid2")</f>
        <v>Grid2</v>
      </c>
      <c r="D3119" s="10">
        <f t="shared" si="48"/>
        <v>2.3962152027567121</v>
      </c>
      <c r="F3119" s="8" t="str">
        <f>HYPERLINK("https://esbl.nhlbi.nih.gov/Databases/mpkFractions/proteomic_fractions_log_files/Yang_log_img/6680091.jpg","show blot")</f>
        <v>show blot</v>
      </c>
      <c r="H3119" s="8" t="str">
        <f>HYPERLINK("https://esbl.nhlbi.nih.gov/Databases/mpkFractions/proteomic_fractions_linear_files/Yang_linear_img/6680091.jpg","show blot")</f>
        <v>show blot</v>
      </c>
      <c r="J3119" s="5" t="s">
        <v>6122</v>
      </c>
      <c r="L3119" s="11">
        <v>2.3962152027567121</v>
      </c>
      <c r="N3119" s="12"/>
    </row>
    <row r="3120" spans="1:14" s="5" customFormat="1" ht="15" customHeight="1" x14ac:dyDescent="0.25">
      <c r="A3120" s="9" t="s">
        <v>6123</v>
      </c>
      <c r="C3120" s="9" t="str">
        <f>HYPERLINK("http://www.ncbi.nlm.nih.gov/protein/144922606","Grin2d")</f>
        <v>Grin2d</v>
      </c>
      <c r="D3120" s="10">
        <f t="shared" si="48"/>
        <v>2.048441803550404</v>
      </c>
      <c r="F3120" s="8" t="str">
        <f>HYPERLINK("https://esbl.nhlbi.nih.gov/Databases/mpkFractions/proteomic_fractions_log_files/Yang_log_img/144922606.jpg","show blot")</f>
        <v>show blot</v>
      </c>
      <c r="H3120" s="8" t="str">
        <f>HYPERLINK("https://esbl.nhlbi.nih.gov/Databases/mpkFractions/proteomic_fractions_linear_files/Yang_linear_img/144922606.jpg","show blot")</f>
        <v>show blot</v>
      </c>
      <c r="J3120" s="5" t="s">
        <v>6124</v>
      </c>
      <c r="L3120" s="11">
        <v>2.048441803550404</v>
      </c>
      <c r="N3120" s="12"/>
    </row>
    <row r="3121" spans="1:14" s="5" customFormat="1" ht="15" customHeight="1" x14ac:dyDescent="0.25">
      <c r="A3121" s="9" t="s">
        <v>6125</v>
      </c>
      <c r="C3121" s="9" t="str">
        <f>HYPERLINK("http://www.ncbi.nlm.nih.gov/protein/46592839","Gripap1")</f>
        <v>Gripap1</v>
      </c>
      <c r="D3121" s="10">
        <f t="shared" si="48"/>
        <v>4.233651893336825</v>
      </c>
      <c r="F3121" s="8" t="str">
        <f>HYPERLINK("https://esbl.nhlbi.nih.gov/Databases/mpkFractions/proteomic_fractions_log_files/Yang_log_img/46592839.jpg","show blot")</f>
        <v>show blot</v>
      </c>
      <c r="H3121" s="8" t="str">
        <f>HYPERLINK("https://esbl.nhlbi.nih.gov/Databases/mpkFractions/proteomic_fractions_linear_files/Yang_linear_img/46592839.jpg","show blot")</f>
        <v>show blot</v>
      </c>
      <c r="J3121" s="5" t="s">
        <v>6126</v>
      </c>
      <c r="L3121" s="11">
        <v>4.233651893336825</v>
      </c>
      <c r="N3121" s="12"/>
    </row>
    <row r="3122" spans="1:14" s="5" customFormat="1" ht="15" customHeight="1" x14ac:dyDescent="0.25">
      <c r="A3122" s="9" t="s">
        <v>6127</v>
      </c>
      <c r="C3122" s="9" t="str">
        <f>HYPERLINK("http://www.ncbi.nlm.nih.gov/protein/75677442","Grlf1")</f>
        <v>Grlf1</v>
      </c>
      <c r="D3122" s="10">
        <f t="shared" si="48"/>
        <v>3.472383105557844</v>
      </c>
      <c r="F3122" s="8" t="str">
        <f>HYPERLINK("https://esbl.nhlbi.nih.gov/Databases/mpkFractions/proteomic_fractions_log_files/Yang_log_img/75677442.jpg","show blot")</f>
        <v>show blot</v>
      </c>
      <c r="H3122" s="8" t="str">
        <f>HYPERLINK("https://esbl.nhlbi.nih.gov/Databases/mpkFractions/proteomic_fractions_linear_files/Yang_linear_img/75677442.jpg","show blot")</f>
        <v>show blot</v>
      </c>
      <c r="J3122" s="5" t="s">
        <v>6128</v>
      </c>
      <c r="L3122" s="11">
        <v>3.472383105557844</v>
      </c>
      <c r="N3122" s="12"/>
    </row>
    <row r="3123" spans="1:14" s="5" customFormat="1" ht="15" customHeight="1" x14ac:dyDescent="0.25">
      <c r="A3123" s="9" t="s">
        <v>6129</v>
      </c>
      <c r="C3123" s="9" t="str">
        <f>HYPERLINK("http://www.ncbi.nlm.nih.gov/protein/224967126","Grn")</f>
        <v>Grn</v>
      </c>
      <c r="D3123" s="10">
        <f t="shared" si="48"/>
        <v>4.8626239392850534</v>
      </c>
      <c r="F3123" s="8" t="str">
        <f>HYPERLINK("https://esbl.nhlbi.nih.gov/Databases/mpkFractions/proteomic_fractions_log_files/Yang_log_img/224967126.jpg","show blot")</f>
        <v>show blot</v>
      </c>
      <c r="H3123" s="8" t="str">
        <f>HYPERLINK("https://esbl.nhlbi.nih.gov/Databases/mpkFractions/proteomic_fractions_linear_files/Yang_linear_img/224967126.jpg","show blot")</f>
        <v>show blot</v>
      </c>
      <c r="J3123" s="5" t="s">
        <v>6130</v>
      </c>
      <c r="L3123" s="11">
        <v>4.8626239392850534</v>
      </c>
      <c r="N3123" s="12"/>
    </row>
    <row r="3124" spans="1:14" s="5" customFormat="1" ht="15" customHeight="1" x14ac:dyDescent="0.25">
      <c r="A3124" s="9" t="s">
        <v>6131</v>
      </c>
      <c r="C3124" s="9" t="str">
        <f>HYPERLINK("http://www.ncbi.nlm.nih.gov/protein/13277394","Grpel1")</f>
        <v>Grpel1</v>
      </c>
      <c r="D3124" s="10">
        <f t="shared" si="48"/>
        <v>5.6285533164489499</v>
      </c>
      <c r="F3124" s="8" t="str">
        <f>HYPERLINK("https://esbl.nhlbi.nih.gov/Databases/mpkFractions/proteomic_fractions_log_files/Yang_log_img/13277394.jpg","show blot")</f>
        <v>show blot</v>
      </c>
      <c r="H3124" s="8" t="str">
        <f>HYPERLINK("https://esbl.nhlbi.nih.gov/Databases/mpkFractions/proteomic_fractions_linear_files/Yang_linear_img/13277394.jpg","show blot")</f>
        <v>show blot</v>
      </c>
      <c r="J3124" s="5" t="s">
        <v>6132</v>
      </c>
      <c r="L3124" s="11">
        <v>5.6285533164489499</v>
      </c>
      <c r="N3124" s="12"/>
    </row>
    <row r="3125" spans="1:14" s="5" customFormat="1" ht="15" customHeight="1" x14ac:dyDescent="0.25">
      <c r="A3125" s="9" t="s">
        <v>6133</v>
      </c>
      <c r="C3125" s="9" t="str">
        <f>HYPERLINK("http://www.ncbi.nlm.nih.gov/protein/29789124","Grpel2")</f>
        <v>Grpel2</v>
      </c>
      <c r="D3125" s="10">
        <f t="shared" si="48"/>
        <v>3.0147097727726391</v>
      </c>
      <c r="F3125" s="8" t="str">
        <f>HYPERLINK("https://esbl.nhlbi.nih.gov/Databases/mpkFractions/proteomic_fractions_log_files/Yang_log_img/29789124.jpg","show blot")</f>
        <v>show blot</v>
      </c>
      <c r="H3125" s="8" t="str">
        <f>HYPERLINK("https://esbl.nhlbi.nih.gov/Databases/mpkFractions/proteomic_fractions_linear_files/Yang_linear_img/29789124.jpg","show blot")</f>
        <v>show blot</v>
      </c>
      <c r="J3125" s="5" t="s">
        <v>6134</v>
      </c>
      <c r="L3125" s="11">
        <v>3.0147097727726391</v>
      </c>
      <c r="N3125" s="12"/>
    </row>
    <row r="3126" spans="1:14" s="5" customFormat="1" ht="15" customHeight="1" x14ac:dyDescent="0.25">
      <c r="A3126" s="9" t="s">
        <v>6135</v>
      </c>
      <c r="C3126" s="9" t="str">
        <f>HYPERLINK("http://www.ncbi.nlm.nih.gov/protein/148596934","Grsf1")</f>
        <v>Grsf1</v>
      </c>
      <c r="D3126" s="10">
        <f t="shared" si="48"/>
        <v>3.9061335110857112</v>
      </c>
      <c r="F3126" s="8" t="str">
        <f>HYPERLINK("https://esbl.nhlbi.nih.gov/Databases/mpkFractions/proteomic_fractions_log_files/Yang_log_img/148596934.jpg","show blot")</f>
        <v>show blot</v>
      </c>
      <c r="H3126" s="8" t="str">
        <f>HYPERLINK("https://esbl.nhlbi.nih.gov/Databases/mpkFractions/proteomic_fractions_linear_files/Yang_linear_img/148596934.jpg","show blot")</f>
        <v>show blot</v>
      </c>
      <c r="J3126" s="5" t="s">
        <v>6136</v>
      </c>
      <c r="L3126" s="11">
        <v>3.9061335110857112</v>
      </c>
      <c r="N3126" s="12"/>
    </row>
    <row r="3127" spans="1:14" s="5" customFormat="1" ht="15" customHeight="1" x14ac:dyDescent="0.25">
      <c r="A3127" s="9" t="s">
        <v>6137</v>
      </c>
      <c r="C3127" s="9" t="str">
        <f>HYPERLINK("http://www.ncbi.nlm.nih.gov/protein/148596982","Grsf1")</f>
        <v>Grsf1</v>
      </c>
      <c r="D3127" s="10">
        <f t="shared" si="48"/>
        <v>3.9061335110857112</v>
      </c>
      <c r="F3127" s="8" t="str">
        <f>HYPERLINK("https://esbl.nhlbi.nih.gov/Databases/mpkFractions/proteomic_fractions_log_files/Yang_log_img/148596982.jpg","show blot")</f>
        <v>show blot</v>
      </c>
      <c r="H3127" s="8" t="str">
        <f>HYPERLINK("https://esbl.nhlbi.nih.gov/Databases/mpkFractions/proteomic_fractions_linear_files/Yang_linear_img/148596982.jpg","show blot")</f>
        <v>show blot</v>
      </c>
      <c r="J3127" s="5" t="s">
        <v>6138</v>
      </c>
      <c r="L3127" s="11">
        <v>3.9061335110857112</v>
      </c>
      <c r="N3127" s="12"/>
    </row>
    <row r="3128" spans="1:14" s="5" customFormat="1" ht="15" customHeight="1" x14ac:dyDescent="0.25">
      <c r="A3128" s="9" t="s">
        <v>6139</v>
      </c>
      <c r="C3128" s="9" t="str">
        <f>HYPERLINK("http://www.ncbi.nlm.nih.gov/protein/163937861","Grwd1")</f>
        <v>Grwd1</v>
      </c>
      <c r="D3128" s="10">
        <f t="shared" si="48"/>
        <v>4.4694857458942101</v>
      </c>
      <c r="F3128" s="8" t="str">
        <f>HYPERLINK("https://esbl.nhlbi.nih.gov/Databases/mpkFractions/proteomic_fractions_log_files/Yang_log_img/163937861.jpg","show blot")</f>
        <v>show blot</v>
      </c>
      <c r="H3128" s="8" t="str">
        <f>HYPERLINK("https://esbl.nhlbi.nih.gov/Databases/mpkFractions/proteomic_fractions_linear_files/Yang_linear_img/163937861.jpg","show blot")</f>
        <v>show blot</v>
      </c>
      <c r="J3128" s="5" t="s">
        <v>6140</v>
      </c>
      <c r="L3128" s="11">
        <v>4.4694857458942101</v>
      </c>
      <c r="N3128" s="12"/>
    </row>
    <row r="3129" spans="1:14" s="5" customFormat="1" ht="15" customHeight="1" x14ac:dyDescent="0.25">
      <c r="A3129" s="9" t="s">
        <v>6141</v>
      </c>
      <c r="C3129" s="9" t="str">
        <f>HYPERLINK("http://www.ncbi.nlm.nih.gov/protein/13878199","Gsdmc")</f>
        <v>Gsdmc</v>
      </c>
      <c r="D3129" s="10">
        <f t="shared" si="48"/>
        <v>3.3318265883300748</v>
      </c>
      <c r="F3129" s="8" t="str">
        <f>HYPERLINK("https://esbl.nhlbi.nih.gov/Databases/mpkFractions/proteomic_fractions_log_files/Yang_log_img/13878199.jpg","show blot")</f>
        <v>show blot</v>
      </c>
      <c r="H3129" s="8" t="str">
        <f>HYPERLINK("https://esbl.nhlbi.nih.gov/Databases/mpkFractions/proteomic_fractions_linear_files/Yang_linear_img/13878199.jpg","show blot")</f>
        <v>show blot</v>
      </c>
      <c r="J3129" s="5" t="s">
        <v>6142</v>
      </c>
      <c r="L3129" s="11">
        <v>3.3318265883300748</v>
      </c>
      <c r="N3129" s="12"/>
    </row>
    <row r="3130" spans="1:14" s="5" customFormat="1" ht="15" customHeight="1" x14ac:dyDescent="0.25">
      <c r="A3130" s="9" t="s">
        <v>6143</v>
      </c>
      <c r="C3130" s="9" t="str">
        <f>HYPERLINK("http://www.ncbi.nlm.nih.gov/protein/269954726;269954702","Gsdmc2")</f>
        <v>Gsdmc2</v>
      </c>
      <c r="D3130" s="10">
        <f t="shared" si="48"/>
        <v>6.2066842100320736</v>
      </c>
      <c r="F3130" s="8" t="str">
        <f>HYPERLINK("https://esbl.nhlbi.nih.gov/Databases/mpkFractions/proteomic_fractions_log_files/Yang_log_img/269954726;269954702.jpg","show blot")</f>
        <v>show blot</v>
      </c>
      <c r="H3130" s="8" t="str">
        <f>HYPERLINK("https://esbl.nhlbi.nih.gov/Databases/mpkFractions/proteomic_fractions_linear_files/Yang_linear_img/269954726;269954702.jpg","show blot")</f>
        <v>show blot</v>
      </c>
      <c r="J3130" s="5" t="s">
        <v>6144</v>
      </c>
      <c r="L3130" s="11">
        <v>6.2066842100320736</v>
      </c>
      <c r="N3130" s="12"/>
    </row>
    <row r="3131" spans="1:14" s="5" customFormat="1" ht="15" customHeight="1" x14ac:dyDescent="0.25">
      <c r="A3131" s="9" t="s">
        <v>6145</v>
      </c>
      <c r="C3131" s="9" t="str">
        <f>HYPERLINK("http://www.ncbi.nlm.nih.gov/protein/269954702","Gsdmc2")</f>
        <v>Gsdmc2</v>
      </c>
      <c r="D3131" s="10">
        <f t="shared" si="48"/>
        <v>6.2066842100320736</v>
      </c>
      <c r="F3131" s="8" t="str">
        <f>HYPERLINK("https://esbl.nhlbi.nih.gov/Databases/mpkFractions/proteomic_fractions_log_files/Yang_log_img/269954702.jpg","show blot")</f>
        <v>show blot</v>
      </c>
      <c r="H3131" s="8" t="str">
        <f>HYPERLINK("https://esbl.nhlbi.nih.gov/Databases/mpkFractions/proteomic_fractions_linear_files/Yang_linear_img/269954702.jpg","show blot")</f>
        <v>show blot</v>
      </c>
      <c r="J3131" s="5" t="s">
        <v>6144</v>
      </c>
      <c r="L3131" s="11">
        <v>6.2066842100320736</v>
      </c>
      <c r="N3131" s="12"/>
    </row>
    <row r="3132" spans="1:14" s="5" customFormat="1" ht="15" customHeight="1" x14ac:dyDescent="0.25">
      <c r="A3132" s="9" t="s">
        <v>6146</v>
      </c>
      <c r="C3132" s="9" t="str">
        <f>HYPERLINK("http://www.ncbi.nlm.nih.gov/protein/226053537","Gsdmc3")</f>
        <v>Gsdmc3</v>
      </c>
      <c r="D3132" s="10">
        <f t="shared" si="48"/>
        <v>6.2910152142024742</v>
      </c>
      <c r="F3132" s="8" t="str">
        <f>HYPERLINK("https://esbl.nhlbi.nih.gov/Databases/mpkFractions/proteomic_fractions_log_files/Yang_log_img/226053537.jpg","show blot")</f>
        <v>show blot</v>
      </c>
      <c r="H3132" s="8" t="str">
        <f>HYPERLINK("https://esbl.nhlbi.nih.gov/Databases/mpkFractions/proteomic_fractions_linear_files/Yang_linear_img/226053537.jpg","show blot")</f>
        <v>show blot</v>
      </c>
      <c r="J3132" s="5" t="s">
        <v>6147</v>
      </c>
      <c r="L3132" s="11">
        <v>6.2910152142024742</v>
      </c>
      <c r="N3132" s="12"/>
    </row>
    <row r="3133" spans="1:14" s="5" customFormat="1" ht="15" customHeight="1" x14ac:dyDescent="0.25">
      <c r="A3133" s="9" t="s">
        <v>6148</v>
      </c>
      <c r="C3133" s="9" t="str">
        <f>HYPERLINK("http://www.ncbi.nlm.nih.gov/protein/254675345","Gsdmc4")</f>
        <v>Gsdmc4</v>
      </c>
      <c r="D3133" s="10">
        <f t="shared" si="48"/>
        <v>6.1871044290374178</v>
      </c>
      <c r="F3133" s="8" t="str">
        <f>HYPERLINK("https://esbl.nhlbi.nih.gov/Databases/mpkFractions/proteomic_fractions_log_files/Yang_log_img/254675345.jpg","show blot")</f>
        <v>show blot</v>
      </c>
      <c r="H3133" s="8" t="str">
        <f>HYPERLINK("https://esbl.nhlbi.nih.gov/Databases/mpkFractions/proteomic_fractions_linear_files/Yang_linear_img/254675345.jpg","show blot")</f>
        <v>show blot</v>
      </c>
      <c r="J3133" s="5" t="s">
        <v>6149</v>
      </c>
      <c r="L3133" s="11">
        <v>6.1871044290374178</v>
      </c>
      <c r="N3133" s="12"/>
    </row>
    <row r="3134" spans="1:14" s="5" customFormat="1" ht="15" customHeight="1" x14ac:dyDescent="0.25">
      <c r="A3134" s="9" t="s">
        <v>6150</v>
      </c>
      <c r="C3134" s="9" t="str">
        <f>HYPERLINK("http://www.ncbi.nlm.nih.gov/protein/72384361","Gsk3a")</f>
        <v>Gsk3a</v>
      </c>
      <c r="D3134" s="10">
        <f t="shared" si="48"/>
        <v>4.317185754336804</v>
      </c>
      <c r="F3134" s="8" t="str">
        <f>HYPERLINK("https://esbl.nhlbi.nih.gov/Databases/mpkFractions/proteomic_fractions_log_files/Yang_log_img/72384361.jpg","show blot")</f>
        <v>show blot</v>
      </c>
      <c r="H3134" s="8" t="str">
        <f>HYPERLINK("https://esbl.nhlbi.nih.gov/Databases/mpkFractions/proteomic_fractions_linear_files/Yang_linear_img/72384361.jpg","show blot")</f>
        <v>show blot</v>
      </c>
      <c r="J3134" s="5" t="s">
        <v>6151</v>
      </c>
      <c r="L3134" s="11">
        <v>4.317185754336804</v>
      </c>
      <c r="N3134" s="12"/>
    </row>
    <row r="3135" spans="1:14" s="5" customFormat="1" ht="15" customHeight="1" x14ac:dyDescent="0.25">
      <c r="A3135" s="9" t="s">
        <v>6152</v>
      </c>
      <c r="C3135" s="9" t="str">
        <f>HYPERLINK("http://www.ncbi.nlm.nih.gov/protein/9790077","Gsk3b")</f>
        <v>Gsk3b</v>
      </c>
      <c r="D3135" s="10">
        <f t="shared" si="48"/>
        <v>5.3214903544056531</v>
      </c>
      <c r="F3135" s="8" t="str">
        <f>HYPERLINK("https://esbl.nhlbi.nih.gov/Databases/mpkFractions/proteomic_fractions_log_files/Yang_log_img/9790077.jpg","show blot")</f>
        <v>show blot</v>
      </c>
      <c r="H3135" s="8" t="str">
        <f>HYPERLINK("https://esbl.nhlbi.nih.gov/Databases/mpkFractions/proteomic_fractions_linear_files/Yang_linear_img/9790077.jpg","show blot")</f>
        <v>show blot</v>
      </c>
      <c r="J3135" s="5" t="s">
        <v>6153</v>
      </c>
      <c r="L3135" s="11">
        <v>5.3214903544056531</v>
      </c>
      <c r="N3135" s="12"/>
    </row>
    <row r="3136" spans="1:14" s="5" customFormat="1" ht="15" customHeight="1" x14ac:dyDescent="0.25">
      <c r="A3136" s="9" t="s">
        <v>6154</v>
      </c>
      <c r="C3136" s="9" t="str">
        <f>HYPERLINK("http://www.ncbi.nlm.nih.gov/protein/115292450","Gskip")</f>
        <v>Gskip</v>
      </c>
      <c r="D3136" s="10">
        <f t="shared" si="48"/>
        <v>4.1474767337022218</v>
      </c>
      <c r="F3136" s="8" t="str">
        <f>HYPERLINK("https://esbl.nhlbi.nih.gov/Databases/mpkFractions/proteomic_fractions_log_files/Yang_log_img/115292450.jpg","show blot")</f>
        <v>show blot</v>
      </c>
      <c r="H3136" s="8" t="str">
        <f>HYPERLINK("https://esbl.nhlbi.nih.gov/Databases/mpkFractions/proteomic_fractions_linear_files/Yang_linear_img/115292450.jpg","show blot")</f>
        <v>show blot</v>
      </c>
      <c r="J3136" s="5" t="s">
        <v>6155</v>
      </c>
      <c r="L3136" s="11">
        <v>4.1474767337022218</v>
      </c>
      <c r="N3136" s="12"/>
    </row>
    <row r="3137" spans="1:14" s="5" customFormat="1" ht="15" customHeight="1" x14ac:dyDescent="0.25">
      <c r="A3137" s="9" t="s">
        <v>6156</v>
      </c>
      <c r="C3137" s="9" t="str">
        <f>HYPERLINK("http://www.ncbi.nlm.nih.gov/protein/329755243;329755239","Gsn")</f>
        <v>Gsn</v>
      </c>
      <c r="D3137" s="10">
        <f t="shared" si="48"/>
        <v>6.1167322425720414</v>
      </c>
      <c r="F3137" s="8" t="str">
        <f>HYPERLINK("https://esbl.nhlbi.nih.gov/Databases/mpkFractions/proteomic_fractions_log_files/Yang_log_img/329755243;329755239.jpg","show blot")</f>
        <v>show blot</v>
      </c>
      <c r="H3137" s="8" t="str">
        <f>HYPERLINK("https://esbl.nhlbi.nih.gov/Databases/mpkFractions/proteomic_fractions_linear_files/Yang_linear_img/329755243;329755239.jpg","show blot")</f>
        <v>show blot</v>
      </c>
      <c r="J3137" s="5" t="s">
        <v>6157</v>
      </c>
      <c r="L3137" s="11">
        <v>6.1167322425720414</v>
      </c>
      <c r="N3137" s="12"/>
    </row>
    <row r="3138" spans="1:14" s="5" customFormat="1" ht="15" customHeight="1" x14ac:dyDescent="0.25">
      <c r="A3138" s="9" t="s">
        <v>6158</v>
      </c>
      <c r="C3138" s="9" t="str">
        <f>HYPERLINK("http://www.ncbi.nlm.nih.gov/protein/329755239","Gsn")</f>
        <v>Gsn</v>
      </c>
      <c r="D3138" s="10">
        <f t="shared" si="48"/>
        <v>6.1167322425720414</v>
      </c>
      <c r="F3138" s="8" t="str">
        <f>HYPERLINK("https://esbl.nhlbi.nih.gov/Databases/mpkFractions/proteomic_fractions_log_files/Yang_log_img/329755239.jpg","show blot")</f>
        <v>show blot</v>
      </c>
      <c r="H3138" s="8" t="str">
        <f>HYPERLINK("https://esbl.nhlbi.nih.gov/Databases/mpkFractions/proteomic_fractions_linear_files/Yang_linear_img/329755239.jpg","show blot")</f>
        <v>show blot</v>
      </c>
      <c r="J3138" s="5" t="s">
        <v>6157</v>
      </c>
      <c r="L3138" s="11">
        <v>6.1167322425720414</v>
      </c>
      <c r="N3138" s="12"/>
    </row>
    <row r="3139" spans="1:14" s="5" customFormat="1" ht="15" customHeight="1" x14ac:dyDescent="0.25">
      <c r="A3139" s="9" t="s">
        <v>6159</v>
      </c>
      <c r="C3139" s="9" t="str">
        <f>HYPERLINK("http://www.ncbi.nlm.nih.gov/protein/28916693","Gsn")</f>
        <v>Gsn</v>
      </c>
      <c r="D3139" s="10">
        <f t="shared" si="48"/>
        <v>6.1167322425720414</v>
      </c>
      <c r="F3139" s="8" t="str">
        <f>HYPERLINK("https://esbl.nhlbi.nih.gov/Databases/mpkFractions/proteomic_fractions_log_files/Yang_log_img/28916693.jpg","show blot")</f>
        <v>show blot</v>
      </c>
      <c r="H3139" s="8" t="str">
        <f>HYPERLINK("https://esbl.nhlbi.nih.gov/Databases/mpkFractions/proteomic_fractions_linear_files/Yang_linear_img/28916693.jpg","show blot")</f>
        <v>show blot</v>
      </c>
      <c r="J3139" s="5" t="s">
        <v>6160</v>
      </c>
      <c r="L3139" s="11">
        <v>6.1167322425720414</v>
      </c>
      <c r="N3139" s="12"/>
    </row>
    <row r="3140" spans="1:14" s="5" customFormat="1" ht="15" customHeight="1" x14ac:dyDescent="0.25">
      <c r="A3140" s="9" t="s">
        <v>6161</v>
      </c>
      <c r="C3140" s="9" t="str">
        <f>HYPERLINK("http://www.ncbi.nlm.nih.gov/protein/194018529","Gspt1")</f>
        <v>Gspt1</v>
      </c>
      <c r="D3140" s="10">
        <f t="shared" si="48"/>
        <v>5.5362927263483659</v>
      </c>
      <c r="F3140" s="8" t="str">
        <f>HYPERLINK("https://esbl.nhlbi.nih.gov/Databases/mpkFractions/proteomic_fractions_log_files/Yang_log_img/194018529.jpg","show blot")</f>
        <v>show blot</v>
      </c>
      <c r="H3140" s="8" t="str">
        <f>HYPERLINK("https://esbl.nhlbi.nih.gov/Databases/mpkFractions/proteomic_fractions_linear_files/Yang_linear_img/194018529.jpg","show blot")</f>
        <v>show blot</v>
      </c>
      <c r="J3140" s="5" t="s">
        <v>6162</v>
      </c>
      <c r="L3140" s="11">
        <v>5.5362927263483659</v>
      </c>
      <c r="N3140" s="12"/>
    </row>
    <row r="3141" spans="1:14" s="5" customFormat="1" ht="15" customHeight="1" x14ac:dyDescent="0.25">
      <c r="A3141" s="9" t="s">
        <v>6163</v>
      </c>
      <c r="C3141" s="9" t="str">
        <f>HYPERLINK("http://www.ncbi.nlm.nih.gov/protein/194018533","Gspt1")</f>
        <v>Gspt1</v>
      </c>
      <c r="D3141" s="10">
        <f t="shared" ref="D3141:D3204" si="49">L3141</f>
        <v>5.5362927263483659</v>
      </c>
      <c r="F3141" s="8" t="str">
        <f>HYPERLINK("https://esbl.nhlbi.nih.gov/Databases/mpkFractions/proteomic_fractions_log_files/Yang_log_img/194018533.jpg","show blot")</f>
        <v>show blot</v>
      </c>
      <c r="H3141" s="8" t="str">
        <f>HYPERLINK("https://esbl.nhlbi.nih.gov/Databases/mpkFractions/proteomic_fractions_linear_files/Yang_linear_img/194018533.jpg","show blot")</f>
        <v>show blot</v>
      </c>
      <c r="J3141" s="5" t="s">
        <v>6164</v>
      </c>
      <c r="L3141" s="11">
        <v>5.5362927263483659</v>
      </c>
      <c r="N3141" s="12"/>
    </row>
    <row r="3142" spans="1:14" s="5" customFormat="1" ht="15" customHeight="1" x14ac:dyDescent="0.25">
      <c r="A3142" s="9" t="s">
        <v>6165</v>
      </c>
      <c r="C3142" s="9" t="str">
        <f>HYPERLINK("http://www.ncbi.nlm.nih.gov/protein/58331156","Gspt2")</f>
        <v>Gspt2</v>
      </c>
      <c r="D3142" s="10">
        <f t="shared" si="49"/>
        <v>5.2217966601463921</v>
      </c>
      <c r="F3142" s="8" t="str">
        <f>HYPERLINK("https://esbl.nhlbi.nih.gov/Databases/mpkFractions/proteomic_fractions_log_files/Yang_log_img/58331156.jpg","show blot")</f>
        <v>show blot</v>
      </c>
      <c r="H3142" s="8" t="str">
        <f>HYPERLINK("https://esbl.nhlbi.nih.gov/Databases/mpkFractions/proteomic_fractions_linear_files/Yang_linear_img/58331156.jpg","show blot")</f>
        <v>show blot</v>
      </c>
      <c r="J3142" s="5" t="s">
        <v>6166</v>
      </c>
      <c r="L3142" s="11">
        <v>5.2217966601463921</v>
      </c>
      <c r="N3142" s="12"/>
    </row>
    <row r="3143" spans="1:14" s="5" customFormat="1" ht="15" customHeight="1" x14ac:dyDescent="0.25">
      <c r="A3143" s="9" t="s">
        <v>6167</v>
      </c>
      <c r="C3143" s="9" t="str">
        <f>HYPERLINK("http://www.ncbi.nlm.nih.gov/protein/160298213","Gsr")</f>
        <v>Gsr</v>
      </c>
      <c r="D3143" s="10">
        <f t="shared" si="49"/>
        <v>6.3694431188553651</v>
      </c>
      <c r="F3143" s="8" t="str">
        <f>HYPERLINK("https://esbl.nhlbi.nih.gov/Databases/mpkFractions/proteomic_fractions_log_files/Yang_log_img/160298213.jpg","show blot")</f>
        <v>show blot</v>
      </c>
      <c r="H3143" s="8" t="str">
        <f>HYPERLINK("https://esbl.nhlbi.nih.gov/Databases/mpkFractions/proteomic_fractions_linear_files/Yang_linear_img/160298213.jpg","show blot")</f>
        <v>show blot</v>
      </c>
      <c r="J3143" s="5" t="s">
        <v>6168</v>
      </c>
      <c r="L3143" s="11">
        <v>6.3694431188553651</v>
      </c>
      <c r="N3143" s="12"/>
    </row>
    <row r="3144" spans="1:14" s="5" customFormat="1" ht="15" customHeight="1" x14ac:dyDescent="0.25">
      <c r="A3144" s="9" t="s">
        <v>6169</v>
      </c>
      <c r="C3144" s="9" t="str">
        <f>HYPERLINK("http://www.ncbi.nlm.nih.gov/protein/6680117","Gss")</f>
        <v>Gss</v>
      </c>
      <c r="D3144" s="10">
        <f t="shared" si="49"/>
        <v>5.2662715889595244</v>
      </c>
      <c r="F3144" s="8" t="str">
        <f>HYPERLINK("https://esbl.nhlbi.nih.gov/Databases/mpkFractions/proteomic_fractions_log_files/Yang_log_img/6680117.jpg","show blot")</f>
        <v>show blot</v>
      </c>
      <c r="H3144" s="8" t="str">
        <f>HYPERLINK("https://esbl.nhlbi.nih.gov/Databases/mpkFractions/proteomic_fractions_linear_files/Yang_linear_img/6680117.jpg","show blot")</f>
        <v>show blot</v>
      </c>
      <c r="J3144" s="5" t="s">
        <v>6170</v>
      </c>
      <c r="L3144" s="11">
        <v>5.2662715889595244</v>
      </c>
      <c r="N3144" s="12"/>
    </row>
    <row r="3145" spans="1:14" s="5" customFormat="1" ht="15" customHeight="1" x14ac:dyDescent="0.25">
      <c r="A3145" s="9" t="s">
        <v>6171</v>
      </c>
      <c r="C3145" s="9" t="str">
        <f>HYPERLINK("http://www.ncbi.nlm.nih.gov/protein/154350202","Gsta1")</f>
        <v>Gsta1</v>
      </c>
      <c r="D3145" s="10">
        <f t="shared" si="49"/>
        <v>5.6270578885781184</v>
      </c>
      <c r="F3145" s="8" t="str">
        <f>HYPERLINK("https://esbl.nhlbi.nih.gov/Databases/mpkFractions/proteomic_fractions_log_files/Yang_log_img/154350202.jpg","show blot")</f>
        <v>show blot</v>
      </c>
      <c r="H3145" s="8" t="str">
        <f>HYPERLINK("https://esbl.nhlbi.nih.gov/Databases/mpkFractions/proteomic_fractions_linear_files/Yang_linear_img/154350202.jpg","show blot")</f>
        <v>show blot</v>
      </c>
      <c r="J3145" s="5" t="s">
        <v>6172</v>
      </c>
      <c r="L3145" s="11">
        <v>5.6270578885781184</v>
      </c>
      <c r="N3145" s="12"/>
    </row>
    <row r="3146" spans="1:14" s="5" customFormat="1" ht="15" customHeight="1" x14ac:dyDescent="0.25">
      <c r="A3146" s="9" t="s">
        <v>6173</v>
      </c>
      <c r="C3146" s="9" t="str">
        <f>HYPERLINK("http://www.ncbi.nlm.nih.gov/protein/50263046","Gsta2")</f>
        <v>Gsta2</v>
      </c>
      <c r="D3146" s="10">
        <f t="shared" si="49"/>
        <v>4.9921009365777431</v>
      </c>
      <c r="F3146" s="8" t="str">
        <f>HYPERLINK("https://esbl.nhlbi.nih.gov/Databases/mpkFractions/proteomic_fractions_log_files/Yang_log_img/50263046.jpg","show blot")</f>
        <v>show blot</v>
      </c>
      <c r="H3146" s="8" t="str">
        <f>HYPERLINK("https://esbl.nhlbi.nih.gov/Databases/mpkFractions/proteomic_fractions_linear_files/Yang_linear_img/50263046.jpg","show blot")</f>
        <v>show blot</v>
      </c>
      <c r="J3146" s="5" t="s">
        <v>6174</v>
      </c>
      <c r="L3146" s="11">
        <v>4.9921009365777431</v>
      </c>
      <c r="N3146" s="12"/>
    </row>
    <row r="3147" spans="1:14" s="5" customFormat="1" ht="15" customHeight="1" x14ac:dyDescent="0.25">
      <c r="A3147" s="9" t="s">
        <v>6175</v>
      </c>
      <c r="C3147" s="9" t="str">
        <f>HYPERLINK("http://www.ncbi.nlm.nih.gov/protein/31981724","Gsta3")</f>
        <v>Gsta3</v>
      </c>
      <c r="D3147" s="10">
        <f t="shared" si="49"/>
        <v>5.9076147603610236</v>
      </c>
      <c r="F3147" s="8" t="str">
        <f>HYPERLINK("https://esbl.nhlbi.nih.gov/Databases/mpkFractions/proteomic_fractions_log_files/Yang_log_img/31981724.jpg","show blot")</f>
        <v>show blot</v>
      </c>
      <c r="H3147" s="8" t="str">
        <f>HYPERLINK("https://esbl.nhlbi.nih.gov/Databases/mpkFractions/proteomic_fractions_linear_files/Yang_linear_img/31981724.jpg","show blot")</f>
        <v>show blot</v>
      </c>
      <c r="J3147" s="5" t="s">
        <v>6176</v>
      </c>
      <c r="L3147" s="11">
        <v>5.9076147603610236</v>
      </c>
      <c r="N3147" s="12"/>
    </row>
    <row r="3148" spans="1:14" s="5" customFormat="1" ht="15" customHeight="1" x14ac:dyDescent="0.25">
      <c r="A3148" s="9" t="s">
        <v>6177</v>
      </c>
      <c r="C3148" s="9" t="str">
        <f>HYPERLINK("http://www.ncbi.nlm.nih.gov/protein/160298217","Gsta4")</f>
        <v>Gsta4</v>
      </c>
      <c r="D3148" s="10">
        <f t="shared" si="49"/>
        <v>6.5732799088569491</v>
      </c>
      <c r="F3148" s="8" t="str">
        <f>HYPERLINK("https://esbl.nhlbi.nih.gov/Databases/mpkFractions/proteomic_fractions_log_files/Yang_log_img/160298217.jpg","show blot")</f>
        <v>show blot</v>
      </c>
      <c r="H3148" s="8" t="str">
        <f>HYPERLINK("https://esbl.nhlbi.nih.gov/Databases/mpkFractions/proteomic_fractions_linear_files/Yang_linear_img/160298217.jpg","show blot")</f>
        <v>show blot</v>
      </c>
      <c r="J3148" s="5" t="s">
        <v>6178</v>
      </c>
      <c r="L3148" s="11">
        <v>6.5732799088569491</v>
      </c>
      <c r="N3148" s="12"/>
    </row>
    <row r="3149" spans="1:14" s="5" customFormat="1" ht="15" customHeight="1" x14ac:dyDescent="0.25">
      <c r="A3149" s="9" t="s">
        <v>6179</v>
      </c>
      <c r="C3149" s="9" t="str">
        <f>HYPERLINK("http://www.ncbi.nlm.nih.gov/protein/21313138","Gstk1")</f>
        <v>Gstk1</v>
      </c>
      <c r="D3149" s="10">
        <f t="shared" si="49"/>
        <v>4.9792824380034109</v>
      </c>
      <c r="F3149" s="8" t="str">
        <f>HYPERLINK("https://esbl.nhlbi.nih.gov/Databases/mpkFractions/proteomic_fractions_log_files/Yang_log_img/21313138.jpg","show blot")</f>
        <v>show blot</v>
      </c>
      <c r="H3149" s="8" t="str">
        <f>HYPERLINK("https://esbl.nhlbi.nih.gov/Databases/mpkFractions/proteomic_fractions_linear_files/Yang_linear_img/21313138.jpg","show blot")</f>
        <v>show blot</v>
      </c>
      <c r="J3149" s="5" t="s">
        <v>6180</v>
      </c>
      <c r="L3149" s="11">
        <v>4.9792824380034109</v>
      </c>
      <c r="N3149" s="12"/>
    </row>
    <row r="3150" spans="1:14" s="5" customFormat="1" ht="15" customHeight="1" x14ac:dyDescent="0.25">
      <c r="A3150" s="9" t="s">
        <v>6181</v>
      </c>
      <c r="C3150" s="9" t="str">
        <f>HYPERLINK("http://www.ncbi.nlm.nih.gov/protein/6754084","Gstm1")</f>
        <v>Gstm1</v>
      </c>
      <c r="D3150" s="10">
        <f t="shared" si="49"/>
        <v>7.3907684034622054</v>
      </c>
      <c r="F3150" s="8" t="str">
        <f>HYPERLINK("https://esbl.nhlbi.nih.gov/Databases/mpkFractions/proteomic_fractions_log_files/Yang_log_img/6754084.jpg","show blot")</f>
        <v>show blot</v>
      </c>
      <c r="H3150" s="8" t="str">
        <f>HYPERLINK("https://esbl.nhlbi.nih.gov/Databases/mpkFractions/proteomic_fractions_linear_files/Yang_linear_img/6754084.jpg","show blot")</f>
        <v>show blot</v>
      </c>
      <c r="J3150" s="5" t="s">
        <v>6182</v>
      </c>
      <c r="L3150" s="11">
        <v>7.3907684034622054</v>
      </c>
      <c r="N3150" s="12"/>
    </row>
    <row r="3151" spans="1:14" s="5" customFormat="1" ht="15" customHeight="1" x14ac:dyDescent="0.25">
      <c r="A3151" s="9" t="s">
        <v>6183</v>
      </c>
      <c r="C3151" s="9" t="str">
        <f>HYPERLINK("http://www.ncbi.nlm.nih.gov/protein/6680121","Gstm2")</f>
        <v>Gstm2</v>
      </c>
      <c r="D3151" s="10">
        <f t="shared" si="49"/>
        <v>7.2229402151404498</v>
      </c>
      <c r="F3151" s="8" t="str">
        <f>HYPERLINK("https://esbl.nhlbi.nih.gov/Databases/mpkFractions/proteomic_fractions_log_files/Yang_log_img/6680121.jpg","show blot")</f>
        <v>show blot</v>
      </c>
      <c r="H3151" s="8" t="str">
        <f>HYPERLINK("https://esbl.nhlbi.nih.gov/Databases/mpkFractions/proteomic_fractions_linear_files/Yang_linear_img/6680121.jpg","show blot")</f>
        <v>show blot</v>
      </c>
      <c r="J3151" s="5" t="s">
        <v>6184</v>
      </c>
      <c r="L3151" s="11">
        <v>7.2229402151404498</v>
      </c>
      <c r="N3151" s="12"/>
    </row>
    <row r="3152" spans="1:14" s="5" customFormat="1" ht="15" customHeight="1" x14ac:dyDescent="0.25">
      <c r="A3152" s="9" t="s">
        <v>6185</v>
      </c>
      <c r="C3152" s="9" t="str">
        <f>HYPERLINK("http://www.ncbi.nlm.nih.gov/protein/33468899","Gstm3")</f>
        <v>Gstm3</v>
      </c>
      <c r="D3152" s="10">
        <f t="shared" si="49"/>
        <v>6.8976898155622024</v>
      </c>
      <c r="F3152" s="8" t="str">
        <f>HYPERLINK("https://esbl.nhlbi.nih.gov/Databases/mpkFractions/proteomic_fractions_log_files/Yang_log_img/33468899.jpg","show blot")</f>
        <v>show blot</v>
      </c>
      <c r="H3152" s="8" t="str">
        <f>HYPERLINK("https://esbl.nhlbi.nih.gov/Databases/mpkFractions/proteomic_fractions_linear_files/Yang_linear_img/33468899.jpg","show blot")</f>
        <v>show blot</v>
      </c>
      <c r="J3152" s="5" t="s">
        <v>6186</v>
      </c>
      <c r="L3152" s="11">
        <v>6.8976898155622024</v>
      </c>
      <c r="N3152" s="12"/>
    </row>
    <row r="3153" spans="1:14" s="5" customFormat="1" ht="15" customHeight="1" x14ac:dyDescent="0.25">
      <c r="A3153" s="9" t="s">
        <v>6187</v>
      </c>
      <c r="C3153" s="9" t="str">
        <f>HYPERLINK("http://www.ncbi.nlm.nih.gov/protein/238018082","Gstm4")</f>
        <v>Gstm4</v>
      </c>
      <c r="D3153" s="10">
        <f t="shared" si="49"/>
        <v>6.8141205177000188</v>
      </c>
      <c r="F3153" s="8" t="str">
        <f>HYPERLINK("https://esbl.nhlbi.nih.gov/Databases/mpkFractions/proteomic_fractions_log_files/Yang_log_img/238018082.jpg","show blot")</f>
        <v>show blot</v>
      </c>
      <c r="H3153" s="8" t="str">
        <f>HYPERLINK("https://esbl.nhlbi.nih.gov/Databases/mpkFractions/proteomic_fractions_linear_files/Yang_linear_img/238018082.jpg","show blot")</f>
        <v>show blot</v>
      </c>
      <c r="J3153" s="5" t="s">
        <v>6188</v>
      </c>
      <c r="L3153" s="11">
        <v>6.8141205177000188</v>
      </c>
      <c r="N3153" s="12"/>
    </row>
    <row r="3154" spans="1:14" s="5" customFormat="1" ht="15" customHeight="1" x14ac:dyDescent="0.25">
      <c r="A3154" s="9" t="s">
        <v>6189</v>
      </c>
      <c r="C3154" s="9" t="str">
        <f>HYPERLINK("http://www.ncbi.nlm.nih.gov/protein/28076911","Gstm4")</f>
        <v>Gstm4</v>
      </c>
      <c r="D3154" s="10">
        <f t="shared" si="49"/>
        <v>6.8141205177000188</v>
      </c>
      <c r="F3154" s="8" t="str">
        <f>HYPERLINK("https://esbl.nhlbi.nih.gov/Databases/mpkFractions/proteomic_fractions_log_files/Yang_log_img/28076911.jpg","show blot")</f>
        <v>show blot</v>
      </c>
      <c r="H3154" s="8" t="str">
        <f>HYPERLINK("https://esbl.nhlbi.nih.gov/Databases/mpkFractions/proteomic_fractions_linear_files/Yang_linear_img/28076911.jpg","show blot")</f>
        <v>show blot</v>
      </c>
      <c r="J3154" s="5" t="s">
        <v>6190</v>
      </c>
      <c r="L3154" s="11">
        <v>6.8141205177000188</v>
      </c>
      <c r="N3154" s="12"/>
    </row>
    <row r="3155" spans="1:14" s="5" customFormat="1" ht="15" customHeight="1" x14ac:dyDescent="0.25">
      <c r="A3155" s="9" t="s">
        <v>6191</v>
      </c>
      <c r="C3155" s="9" t="str">
        <f>HYPERLINK("http://www.ncbi.nlm.nih.gov/protein/6754086","Gstm5")</f>
        <v>Gstm5</v>
      </c>
      <c r="D3155" s="10">
        <f t="shared" si="49"/>
        <v>6.5043658646820299</v>
      </c>
      <c r="F3155" s="8" t="str">
        <f>HYPERLINK("https://esbl.nhlbi.nih.gov/Databases/mpkFractions/proteomic_fractions_log_files/Yang_log_img/6754086.jpg","show blot")</f>
        <v>show blot</v>
      </c>
      <c r="H3155" s="8" t="str">
        <f>HYPERLINK("https://esbl.nhlbi.nih.gov/Databases/mpkFractions/proteomic_fractions_linear_files/Yang_linear_img/6754086.jpg","show blot")</f>
        <v>show blot</v>
      </c>
      <c r="J3155" s="5" t="s">
        <v>6192</v>
      </c>
      <c r="L3155" s="11">
        <v>6.5043658646820299</v>
      </c>
      <c r="N3155" s="12"/>
    </row>
    <row r="3156" spans="1:14" s="5" customFormat="1" ht="15" customHeight="1" x14ac:dyDescent="0.25">
      <c r="A3156" s="9" t="s">
        <v>6193</v>
      </c>
      <c r="C3156" s="9" t="str">
        <f>HYPERLINK("http://www.ncbi.nlm.nih.gov/protein/113680506","Gstm6")</f>
        <v>Gstm6</v>
      </c>
      <c r="D3156" s="10">
        <f t="shared" si="49"/>
        <v>6.6678336623504713</v>
      </c>
      <c r="F3156" s="8" t="str">
        <f>HYPERLINK("https://esbl.nhlbi.nih.gov/Databases/mpkFractions/proteomic_fractions_log_files/Yang_log_img/113680506.jpg","show blot")</f>
        <v>show blot</v>
      </c>
      <c r="H3156" s="8" t="str">
        <f>HYPERLINK("https://esbl.nhlbi.nih.gov/Databases/mpkFractions/proteomic_fractions_linear_files/Yang_linear_img/113680506.jpg","show blot")</f>
        <v>show blot</v>
      </c>
      <c r="J3156" s="5" t="s">
        <v>6194</v>
      </c>
      <c r="L3156" s="11">
        <v>6.6678336623504713</v>
      </c>
      <c r="N3156" s="12"/>
    </row>
    <row r="3157" spans="1:14" s="5" customFormat="1" ht="15" customHeight="1" x14ac:dyDescent="0.25">
      <c r="A3157" s="9" t="s">
        <v>6195</v>
      </c>
      <c r="C3157" s="9" t="str">
        <f>HYPERLINK("http://www.ncbi.nlm.nih.gov/protein/113679874","Gstm7")</f>
        <v>Gstm7</v>
      </c>
      <c r="D3157" s="10">
        <f t="shared" si="49"/>
        <v>7.1072689166554799</v>
      </c>
      <c r="F3157" s="8" t="str">
        <f>HYPERLINK("https://esbl.nhlbi.nih.gov/Databases/mpkFractions/proteomic_fractions_log_files/Yang_log_img/113679874.jpg","show blot")</f>
        <v>show blot</v>
      </c>
      <c r="H3157" s="8" t="str">
        <f>HYPERLINK("https://esbl.nhlbi.nih.gov/Databases/mpkFractions/proteomic_fractions_linear_files/Yang_linear_img/113679874.jpg","show blot")</f>
        <v>show blot</v>
      </c>
      <c r="J3157" s="5" t="s">
        <v>6196</v>
      </c>
      <c r="L3157" s="11">
        <v>7.1072689166554799</v>
      </c>
      <c r="N3157" s="12"/>
    </row>
    <row r="3158" spans="1:14" s="5" customFormat="1" ht="15" customHeight="1" x14ac:dyDescent="0.25">
      <c r="A3158" s="9" t="s">
        <v>6197</v>
      </c>
      <c r="C3158" s="9" t="str">
        <f>HYPERLINK("http://www.ncbi.nlm.nih.gov/protein/6754090","Gsto1")</f>
        <v>Gsto1</v>
      </c>
      <c r="D3158" s="10">
        <f t="shared" si="49"/>
        <v>6.6326939698164189</v>
      </c>
      <c r="F3158" s="8" t="str">
        <f>HYPERLINK("https://esbl.nhlbi.nih.gov/Databases/mpkFractions/proteomic_fractions_log_files/Yang_log_img/6754090.jpg","show blot")</f>
        <v>show blot</v>
      </c>
      <c r="H3158" s="8" t="str">
        <f>HYPERLINK("https://esbl.nhlbi.nih.gov/Databases/mpkFractions/proteomic_fractions_linear_files/Yang_linear_img/6754090.jpg","show blot")</f>
        <v>show blot</v>
      </c>
      <c r="J3158" s="5" t="s">
        <v>6198</v>
      </c>
      <c r="L3158" s="11">
        <v>6.6326939698164189</v>
      </c>
      <c r="N3158" s="12"/>
    </row>
    <row r="3159" spans="1:14" s="5" customFormat="1" ht="15" customHeight="1" x14ac:dyDescent="0.25">
      <c r="A3159" s="9" t="s">
        <v>6199</v>
      </c>
      <c r="C3159" s="9" t="str">
        <f>HYPERLINK("http://www.ncbi.nlm.nih.gov/protein/313151238;225007547","Gsto2")</f>
        <v>Gsto2</v>
      </c>
      <c r="D3159" s="10">
        <f t="shared" si="49"/>
        <v>5.5015744071307573</v>
      </c>
      <c r="F3159" s="8" t="str">
        <f>HYPERLINK("https://esbl.nhlbi.nih.gov/Databases/mpkFractions/proteomic_fractions_log_files/Yang_log_img/313151238;225007547.jpg","show blot")</f>
        <v>show blot</v>
      </c>
      <c r="H3159" s="8" t="str">
        <f>HYPERLINK("https://esbl.nhlbi.nih.gov/Databases/mpkFractions/proteomic_fractions_linear_files/Yang_linear_img/313151238;225007547.jpg","show blot")</f>
        <v>show blot</v>
      </c>
      <c r="J3159" s="5" t="s">
        <v>6200</v>
      </c>
      <c r="L3159" s="11">
        <v>5.5015744071307573</v>
      </c>
      <c r="N3159" s="12"/>
    </row>
    <row r="3160" spans="1:14" s="5" customFormat="1" ht="15" customHeight="1" x14ac:dyDescent="0.25">
      <c r="A3160" s="9" t="s">
        <v>6201</v>
      </c>
      <c r="C3160" s="9" t="str">
        <f>HYPERLINK("http://www.ncbi.nlm.nih.gov/protein/10092608","Gstp1")</f>
        <v>Gstp1</v>
      </c>
      <c r="D3160" s="10">
        <f t="shared" si="49"/>
        <v>6.5594756341547367</v>
      </c>
      <c r="F3160" s="8" t="str">
        <f>HYPERLINK("https://esbl.nhlbi.nih.gov/Databases/mpkFractions/proteomic_fractions_log_files/Yang_log_img/10092608.jpg","show blot")</f>
        <v>show blot</v>
      </c>
      <c r="H3160" s="8" t="str">
        <f>HYPERLINK("https://esbl.nhlbi.nih.gov/Databases/mpkFractions/proteomic_fractions_linear_files/Yang_linear_img/10092608.jpg","show blot")</f>
        <v>show blot</v>
      </c>
      <c r="J3160" s="5" t="s">
        <v>6202</v>
      </c>
      <c r="L3160" s="11">
        <v>6.5594756341547367</v>
      </c>
      <c r="N3160" s="12"/>
    </row>
    <row r="3161" spans="1:14" s="5" customFormat="1" ht="15" customHeight="1" x14ac:dyDescent="0.25">
      <c r="A3161" s="9" t="s">
        <v>6203</v>
      </c>
      <c r="C3161" s="9" t="str">
        <f>HYPERLINK("http://www.ncbi.nlm.nih.gov/protein/32401425","Gstp2")</f>
        <v>Gstp2</v>
      </c>
      <c r="D3161" s="10">
        <f t="shared" si="49"/>
        <v>6.3678120897331612</v>
      </c>
      <c r="F3161" s="8" t="str">
        <f>HYPERLINK("https://esbl.nhlbi.nih.gov/Databases/mpkFractions/proteomic_fractions_log_files/Yang_log_img/32401425.jpg","show blot")</f>
        <v>show blot</v>
      </c>
      <c r="H3161" s="8" t="str">
        <f>HYPERLINK("https://esbl.nhlbi.nih.gov/Databases/mpkFractions/proteomic_fractions_linear_files/Yang_linear_img/32401425.jpg","show blot")</f>
        <v>show blot</v>
      </c>
      <c r="J3161" s="5" t="s">
        <v>6204</v>
      </c>
      <c r="L3161" s="11">
        <v>6.3678120897331612</v>
      </c>
      <c r="N3161" s="12"/>
    </row>
    <row r="3162" spans="1:14" s="5" customFormat="1" ht="15" customHeight="1" x14ac:dyDescent="0.25">
      <c r="A3162" s="9" t="s">
        <v>6205</v>
      </c>
      <c r="C3162" s="9" t="str">
        <f>HYPERLINK("http://www.ncbi.nlm.nih.gov/protein/160298219","Gstt1")</f>
        <v>Gstt1</v>
      </c>
      <c r="D3162" s="10">
        <f t="shared" si="49"/>
        <v>5.6728509385773744</v>
      </c>
      <c r="F3162" s="8" t="str">
        <f>HYPERLINK("https://esbl.nhlbi.nih.gov/Databases/mpkFractions/proteomic_fractions_log_files/Yang_log_img/160298219.jpg","show blot")</f>
        <v>show blot</v>
      </c>
      <c r="H3162" s="8" t="str">
        <f>HYPERLINK("https://esbl.nhlbi.nih.gov/Databases/mpkFractions/proteomic_fractions_linear_files/Yang_linear_img/160298219.jpg","show blot")</f>
        <v>show blot</v>
      </c>
      <c r="J3162" s="5" t="s">
        <v>6206</v>
      </c>
      <c r="L3162" s="11">
        <v>5.6728509385773744</v>
      </c>
      <c r="N3162" s="12"/>
    </row>
    <row r="3163" spans="1:14" s="5" customFormat="1" ht="15" customHeight="1" x14ac:dyDescent="0.25">
      <c r="A3163" s="9" t="s">
        <v>6207</v>
      </c>
      <c r="C3163" s="9" t="str">
        <f>HYPERLINK("http://www.ncbi.nlm.nih.gov/protein/158081796","Gstt2")</f>
        <v>Gstt2</v>
      </c>
      <c r="D3163" s="10">
        <f t="shared" si="49"/>
        <v>5.875462947741128</v>
      </c>
      <c r="F3163" s="8" t="str">
        <f>HYPERLINK("https://esbl.nhlbi.nih.gov/Databases/mpkFractions/proteomic_fractions_log_files/Yang_log_img/158081796.jpg","show blot")</f>
        <v>show blot</v>
      </c>
      <c r="H3163" s="8" t="str">
        <f>HYPERLINK("https://esbl.nhlbi.nih.gov/Databases/mpkFractions/proteomic_fractions_linear_files/Yang_linear_img/158081796.jpg","show blot")</f>
        <v>show blot</v>
      </c>
      <c r="J3163" s="5" t="s">
        <v>6208</v>
      </c>
      <c r="L3163" s="11">
        <v>5.875462947741128</v>
      </c>
      <c r="N3163" s="12"/>
    </row>
    <row r="3164" spans="1:14" s="5" customFormat="1" ht="15" customHeight="1" x14ac:dyDescent="0.25">
      <c r="A3164" s="9" t="s">
        <v>6209</v>
      </c>
      <c r="C3164" s="9" t="str">
        <f>HYPERLINK("http://www.ncbi.nlm.nih.gov/protein/21536248","Gstt3")</f>
        <v>Gstt3</v>
      </c>
      <c r="D3164" s="10">
        <f t="shared" si="49"/>
        <v>6.0952583941778196</v>
      </c>
      <c r="F3164" s="8" t="str">
        <f>HYPERLINK("https://esbl.nhlbi.nih.gov/Databases/mpkFractions/proteomic_fractions_log_files/Yang_log_img/21536248.jpg","show blot")</f>
        <v>show blot</v>
      </c>
      <c r="H3164" s="8" t="str">
        <f>HYPERLINK("https://esbl.nhlbi.nih.gov/Databases/mpkFractions/proteomic_fractions_linear_files/Yang_linear_img/21536248.jpg","show blot")</f>
        <v>show blot</v>
      </c>
      <c r="J3164" s="5" t="s">
        <v>6210</v>
      </c>
      <c r="L3164" s="11">
        <v>6.0952583941778196</v>
      </c>
      <c r="N3164" s="12"/>
    </row>
    <row r="3165" spans="1:14" s="5" customFormat="1" ht="15" customHeight="1" x14ac:dyDescent="0.25">
      <c r="A3165" s="9" t="s">
        <v>6211</v>
      </c>
      <c r="C3165" s="9" t="str">
        <f>HYPERLINK("http://www.ncbi.nlm.nih.gov/protein/357527382","Gstz1")</f>
        <v>Gstz1</v>
      </c>
      <c r="D3165" s="10">
        <f t="shared" si="49"/>
        <v>5.4377931348269843</v>
      </c>
      <c r="F3165" s="8" t="str">
        <f>HYPERLINK("https://esbl.nhlbi.nih.gov/Databases/mpkFractions/proteomic_fractions_log_files/Yang_log_img/357527382.jpg","show blot")</f>
        <v>show blot</v>
      </c>
      <c r="H3165" s="8" t="str">
        <f>HYPERLINK("https://esbl.nhlbi.nih.gov/Databases/mpkFractions/proteomic_fractions_linear_files/Yang_linear_img/357527382.jpg","show blot")</f>
        <v>show blot</v>
      </c>
      <c r="J3165" s="5" t="s">
        <v>6212</v>
      </c>
      <c r="L3165" s="11">
        <v>5.4377931348269843</v>
      </c>
      <c r="N3165" s="12"/>
    </row>
    <row r="3166" spans="1:14" s="5" customFormat="1" ht="15" customHeight="1" x14ac:dyDescent="0.25">
      <c r="A3166" s="9" t="s">
        <v>6213</v>
      </c>
      <c r="C3166" s="9" t="str">
        <f>HYPERLINK("http://www.ncbi.nlm.nih.gov/protein/6754092","Gstz1")</f>
        <v>Gstz1</v>
      </c>
      <c r="D3166" s="10">
        <f t="shared" si="49"/>
        <v>5.4377931348269843</v>
      </c>
      <c r="F3166" s="8" t="str">
        <f>HYPERLINK("https://esbl.nhlbi.nih.gov/Databases/mpkFractions/proteomic_fractions_log_files/Yang_log_img/6754092.jpg","show blot")</f>
        <v>show blot</v>
      </c>
      <c r="H3166" s="8" t="str">
        <f>HYPERLINK("https://esbl.nhlbi.nih.gov/Databases/mpkFractions/proteomic_fractions_linear_files/Yang_linear_img/6754092.jpg","show blot")</f>
        <v>show blot</v>
      </c>
      <c r="J3166" s="5" t="s">
        <v>6214</v>
      </c>
      <c r="L3166" s="11">
        <v>5.4377931348269843</v>
      </c>
      <c r="N3166" s="12"/>
    </row>
    <row r="3167" spans="1:14" s="5" customFormat="1" ht="15" customHeight="1" x14ac:dyDescent="0.25">
      <c r="A3167" s="9" t="s">
        <v>6215</v>
      </c>
      <c r="C3167" s="9" t="str">
        <f>HYPERLINK("http://www.ncbi.nlm.nih.gov/protein/226958572","Gtf2a1")</f>
        <v>Gtf2a1</v>
      </c>
      <c r="D3167" s="10">
        <f t="shared" si="49"/>
        <v>4.1485139791962391</v>
      </c>
      <c r="F3167" s="8" t="str">
        <f>HYPERLINK("https://esbl.nhlbi.nih.gov/Databases/mpkFractions/proteomic_fractions_log_files/Yang_log_img/226958572.jpg","show blot")</f>
        <v>show blot</v>
      </c>
      <c r="H3167" s="8" t="str">
        <f>HYPERLINK("https://esbl.nhlbi.nih.gov/Databases/mpkFractions/proteomic_fractions_linear_files/Yang_linear_img/226958572.jpg","show blot")</f>
        <v>show blot</v>
      </c>
      <c r="J3167" s="5" t="s">
        <v>6216</v>
      </c>
      <c r="L3167" s="11">
        <v>4.1485139791962391</v>
      </c>
      <c r="N3167" s="12"/>
    </row>
    <row r="3168" spans="1:14" s="5" customFormat="1" ht="15" customHeight="1" x14ac:dyDescent="0.25">
      <c r="A3168" s="9" t="s">
        <v>6217</v>
      </c>
      <c r="C3168" s="9" t="str">
        <f>HYPERLINK("http://www.ncbi.nlm.nih.gov/protein/30141908","Gtf2a1")</f>
        <v>Gtf2a1</v>
      </c>
      <c r="D3168" s="10">
        <f t="shared" si="49"/>
        <v>4.1485139791962391</v>
      </c>
      <c r="F3168" s="8" t="str">
        <f>HYPERLINK("https://esbl.nhlbi.nih.gov/Databases/mpkFractions/proteomic_fractions_log_files/Yang_log_img/30141908.jpg","show blot")</f>
        <v>show blot</v>
      </c>
      <c r="H3168" s="8" t="str">
        <f>HYPERLINK("https://esbl.nhlbi.nih.gov/Databases/mpkFractions/proteomic_fractions_linear_files/Yang_linear_img/30141908.jpg","show blot")</f>
        <v>show blot</v>
      </c>
      <c r="J3168" s="5" t="s">
        <v>6218</v>
      </c>
      <c r="L3168" s="11">
        <v>4.1485139791962391</v>
      </c>
      <c r="N3168" s="12"/>
    </row>
    <row r="3169" spans="1:14" s="5" customFormat="1" ht="15" customHeight="1" x14ac:dyDescent="0.25">
      <c r="A3169" s="9" t="s">
        <v>6219</v>
      </c>
      <c r="C3169" s="9" t="str">
        <f>HYPERLINK("http://www.ncbi.nlm.nih.gov/protein/530719548","Gtf2a2")</f>
        <v>Gtf2a2</v>
      </c>
      <c r="D3169" s="10">
        <f t="shared" si="49"/>
        <v>4.7200504982130127</v>
      </c>
      <c r="F3169" s="8" t="str">
        <f>HYPERLINK("https://esbl.nhlbi.nih.gov/Databases/mpkFractions/proteomic_fractions_log_files/Yang_log_img/530719548.jpg","show blot")</f>
        <v>show blot</v>
      </c>
      <c r="H3169" s="8" t="str">
        <f>HYPERLINK("https://esbl.nhlbi.nih.gov/Databases/mpkFractions/proteomic_fractions_linear_files/Yang_linear_img/530719548.jpg","show blot")</f>
        <v>show blot</v>
      </c>
      <c r="J3169" s="5" t="s">
        <v>6220</v>
      </c>
      <c r="L3169" s="11">
        <v>4.7200504982130127</v>
      </c>
      <c r="N3169" s="12"/>
    </row>
    <row r="3170" spans="1:14" s="5" customFormat="1" ht="15" customHeight="1" x14ac:dyDescent="0.25">
      <c r="A3170" s="9" t="s">
        <v>6221</v>
      </c>
      <c r="C3170" s="9" t="str">
        <f>HYPERLINK("http://www.ncbi.nlm.nih.gov/protein/87299617","Gtf2a2")</f>
        <v>Gtf2a2</v>
      </c>
      <c r="D3170" s="10">
        <f t="shared" si="49"/>
        <v>4.7200504982130127</v>
      </c>
      <c r="F3170" s="8" t="str">
        <f>HYPERLINK("https://esbl.nhlbi.nih.gov/Databases/mpkFractions/proteomic_fractions_log_files/Yang_log_img/87299617.jpg","show blot")</f>
        <v>show blot</v>
      </c>
      <c r="H3170" s="8" t="str">
        <f>HYPERLINK("https://esbl.nhlbi.nih.gov/Databases/mpkFractions/proteomic_fractions_linear_files/Yang_linear_img/87299617.jpg","show blot")</f>
        <v>show blot</v>
      </c>
      <c r="J3170" s="5" t="s">
        <v>6222</v>
      </c>
      <c r="L3170" s="11">
        <v>4.7200504982130127</v>
      </c>
      <c r="N3170" s="12"/>
    </row>
    <row r="3171" spans="1:14" s="5" customFormat="1" ht="15" customHeight="1" x14ac:dyDescent="0.25">
      <c r="A3171" s="9" t="s">
        <v>6223</v>
      </c>
      <c r="C3171" s="9" t="str">
        <f>HYPERLINK("http://www.ncbi.nlm.nih.gov/protein/21704076","Gtf2b")</f>
        <v>Gtf2b</v>
      </c>
      <c r="D3171" s="10">
        <f t="shared" si="49"/>
        <v>5.2288987016561839</v>
      </c>
      <c r="F3171" s="8" t="str">
        <f>HYPERLINK("https://esbl.nhlbi.nih.gov/Databases/mpkFractions/proteomic_fractions_log_files/Yang_log_img/21704076.jpg","show blot")</f>
        <v>show blot</v>
      </c>
      <c r="H3171" s="8" t="str">
        <f>HYPERLINK("https://esbl.nhlbi.nih.gov/Databases/mpkFractions/proteomic_fractions_linear_files/Yang_linear_img/21704076.jpg","show blot")</f>
        <v>show blot</v>
      </c>
      <c r="J3171" s="5" t="s">
        <v>6224</v>
      </c>
      <c r="L3171" s="11">
        <v>5.2288987016561839</v>
      </c>
      <c r="N3171" s="12"/>
    </row>
    <row r="3172" spans="1:14" s="5" customFormat="1" ht="15" customHeight="1" x14ac:dyDescent="0.25">
      <c r="A3172" s="9" t="s">
        <v>6225</v>
      </c>
      <c r="C3172" s="9" t="str">
        <f>HYPERLINK("http://www.ncbi.nlm.nih.gov/protein/21312660","Gtf2e1")</f>
        <v>Gtf2e1</v>
      </c>
      <c r="D3172" s="10">
        <f t="shared" si="49"/>
        <v>4.2248400795582652</v>
      </c>
      <c r="F3172" s="8" t="str">
        <f>HYPERLINK("https://esbl.nhlbi.nih.gov/Databases/mpkFractions/proteomic_fractions_log_files/Yang_log_img/21312660.jpg","show blot")</f>
        <v>show blot</v>
      </c>
      <c r="H3172" s="8" t="str">
        <f>HYPERLINK("https://esbl.nhlbi.nih.gov/Databases/mpkFractions/proteomic_fractions_linear_files/Yang_linear_img/21312660.jpg","show blot")</f>
        <v>show blot</v>
      </c>
      <c r="J3172" s="5" t="s">
        <v>6226</v>
      </c>
      <c r="L3172" s="11">
        <v>4.2248400795582652</v>
      </c>
      <c r="N3172" s="12"/>
    </row>
    <row r="3173" spans="1:14" s="5" customFormat="1" ht="15" customHeight="1" x14ac:dyDescent="0.25">
      <c r="A3173" s="9" t="s">
        <v>6227</v>
      </c>
      <c r="C3173" s="9" t="str">
        <f>HYPERLINK("http://www.ncbi.nlm.nih.gov/protein/268838606","Gtf2e2")</f>
        <v>Gtf2e2</v>
      </c>
      <c r="D3173" s="10">
        <f t="shared" si="49"/>
        <v>3.2884685899834341</v>
      </c>
      <c r="F3173" s="8" t="str">
        <f>HYPERLINK("https://esbl.nhlbi.nih.gov/Databases/mpkFractions/proteomic_fractions_log_files/Yang_log_img/268838606.jpg","show blot")</f>
        <v>show blot</v>
      </c>
      <c r="H3173" s="8" t="str">
        <f>HYPERLINK("https://esbl.nhlbi.nih.gov/Databases/mpkFractions/proteomic_fractions_linear_files/Yang_linear_img/268838606.jpg","show blot")</f>
        <v>show blot</v>
      </c>
      <c r="J3173" s="5" t="s">
        <v>6228</v>
      </c>
      <c r="L3173" s="11">
        <v>3.2884685899834341</v>
      </c>
      <c r="N3173" s="12"/>
    </row>
    <row r="3174" spans="1:14" s="5" customFormat="1" ht="15" customHeight="1" x14ac:dyDescent="0.25">
      <c r="A3174" s="9" t="s">
        <v>6229</v>
      </c>
      <c r="C3174" s="9" t="str">
        <f>HYPERLINK("http://www.ncbi.nlm.nih.gov/protein/20270031","Gtf2f1")</f>
        <v>Gtf2f1</v>
      </c>
      <c r="D3174" s="10">
        <f t="shared" si="49"/>
        <v>4.692692146407075</v>
      </c>
      <c r="F3174" s="8" t="str">
        <f>HYPERLINK("https://esbl.nhlbi.nih.gov/Databases/mpkFractions/proteomic_fractions_log_files/Yang_log_img/20270031.jpg","show blot")</f>
        <v>show blot</v>
      </c>
      <c r="H3174" s="8" t="str">
        <f>HYPERLINK("https://esbl.nhlbi.nih.gov/Databases/mpkFractions/proteomic_fractions_linear_files/Yang_linear_img/20270031.jpg","show blot")</f>
        <v>show blot</v>
      </c>
      <c r="J3174" s="5" t="s">
        <v>6230</v>
      </c>
      <c r="L3174" s="11">
        <v>4.692692146407075</v>
      </c>
      <c r="N3174" s="12"/>
    </row>
    <row r="3175" spans="1:14" s="5" customFormat="1" ht="15" customHeight="1" x14ac:dyDescent="0.25">
      <c r="A3175" s="9" t="s">
        <v>6231</v>
      </c>
      <c r="C3175" s="9" t="str">
        <f>HYPERLINK("http://www.ncbi.nlm.nih.gov/protein/39930425","Gtf2f2")</f>
        <v>Gtf2f2</v>
      </c>
      <c r="D3175" s="10">
        <f t="shared" si="49"/>
        <v>4.8468288701297393</v>
      </c>
      <c r="F3175" s="8" t="str">
        <f>HYPERLINK("https://esbl.nhlbi.nih.gov/Databases/mpkFractions/proteomic_fractions_log_files/Yang_log_img/39930425.jpg","show blot")</f>
        <v>show blot</v>
      </c>
      <c r="H3175" s="8" t="str">
        <f>HYPERLINK("https://esbl.nhlbi.nih.gov/Databases/mpkFractions/proteomic_fractions_linear_files/Yang_linear_img/39930425.jpg","show blot")</f>
        <v>show blot</v>
      </c>
      <c r="J3175" s="5" t="s">
        <v>6232</v>
      </c>
      <c r="L3175" s="11">
        <v>4.8468288701297393</v>
      </c>
      <c r="N3175" s="12"/>
    </row>
    <row r="3176" spans="1:14" s="5" customFormat="1" ht="15" customHeight="1" x14ac:dyDescent="0.25">
      <c r="A3176" s="9" t="s">
        <v>6233</v>
      </c>
      <c r="C3176" s="9" t="str">
        <f>HYPERLINK("http://www.ncbi.nlm.nih.gov/protein/6754094","Gtf2h4")</f>
        <v>Gtf2h4</v>
      </c>
      <c r="D3176" s="10">
        <f t="shared" si="49"/>
        <v>2.4346610098947621</v>
      </c>
      <c r="F3176" s="8" t="str">
        <f>HYPERLINK("https://esbl.nhlbi.nih.gov/Databases/mpkFractions/proteomic_fractions_log_files/Yang_log_img/6754094.jpg","show blot")</f>
        <v>show blot</v>
      </c>
      <c r="H3176" s="8" t="str">
        <f>HYPERLINK("https://esbl.nhlbi.nih.gov/Databases/mpkFractions/proteomic_fractions_linear_files/Yang_linear_img/6754094.jpg","show blot")</f>
        <v>show blot</v>
      </c>
      <c r="J3176" s="5" t="s">
        <v>6234</v>
      </c>
      <c r="L3176" s="11">
        <v>2.4346610098947621</v>
      </c>
      <c r="N3176" s="12"/>
    </row>
    <row r="3177" spans="1:14" s="5" customFormat="1" ht="15" customHeight="1" x14ac:dyDescent="0.25">
      <c r="A3177" s="9" t="s">
        <v>6235</v>
      </c>
      <c r="C3177" s="9" t="str">
        <f>HYPERLINK("http://www.ncbi.nlm.nih.gov/protein/124001570","Gtf2i")</f>
        <v>Gtf2i</v>
      </c>
      <c r="D3177" s="10">
        <f t="shared" si="49"/>
        <v>4.8063706421600241</v>
      </c>
      <c r="F3177" s="8" t="str">
        <f>HYPERLINK("https://esbl.nhlbi.nih.gov/Databases/mpkFractions/proteomic_fractions_log_files/Yang_log_img/124001570.jpg","show blot")</f>
        <v>show blot</v>
      </c>
      <c r="H3177" s="8" t="str">
        <f>HYPERLINK("https://esbl.nhlbi.nih.gov/Databases/mpkFractions/proteomic_fractions_linear_files/Yang_linear_img/124001570.jpg","show blot")</f>
        <v>show blot</v>
      </c>
      <c r="J3177" s="5" t="s">
        <v>6236</v>
      </c>
      <c r="L3177" s="11">
        <v>4.8063706421600241</v>
      </c>
      <c r="N3177" s="12"/>
    </row>
    <row r="3178" spans="1:14" s="5" customFormat="1" ht="15" customHeight="1" x14ac:dyDescent="0.25">
      <c r="A3178" s="9" t="s">
        <v>6237</v>
      </c>
      <c r="C3178" s="9" t="str">
        <f>HYPERLINK("http://www.ncbi.nlm.nih.gov/protein/124001572","Gtf2i")</f>
        <v>Gtf2i</v>
      </c>
      <c r="D3178" s="10">
        <f t="shared" si="49"/>
        <v>4.8063706421600241</v>
      </c>
      <c r="F3178" s="8" t="str">
        <f>HYPERLINK("https://esbl.nhlbi.nih.gov/Databases/mpkFractions/proteomic_fractions_log_files/Yang_log_img/124001572.jpg","show blot")</f>
        <v>show blot</v>
      </c>
      <c r="H3178" s="8" t="str">
        <f>HYPERLINK("https://esbl.nhlbi.nih.gov/Databases/mpkFractions/proteomic_fractions_linear_files/Yang_linear_img/124001572.jpg","show blot")</f>
        <v>show blot</v>
      </c>
      <c r="J3178" s="5" t="s">
        <v>6238</v>
      </c>
      <c r="L3178" s="11">
        <v>4.8063706421600241</v>
      </c>
      <c r="N3178" s="12"/>
    </row>
    <row r="3179" spans="1:14" s="5" customFormat="1" ht="15" customHeight="1" x14ac:dyDescent="0.25">
      <c r="A3179" s="9" t="s">
        <v>6239</v>
      </c>
      <c r="C3179" s="9" t="str">
        <f>HYPERLINK("http://www.ncbi.nlm.nih.gov/protein/124001574","Gtf2i")</f>
        <v>Gtf2i</v>
      </c>
      <c r="D3179" s="10">
        <f t="shared" si="49"/>
        <v>4.8063706421600241</v>
      </c>
      <c r="F3179" s="8" t="str">
        <f>HYPERLINK("https://esbl.nhlbi.nih.gov/Databases/mpkFractions/proteomic_fractions_log_files/Yang_log_img/124001574.jpg","show blot")</f>
        <v>show blot</v>
      </c>
      <c r="H3179" s="8" t="str">
        <f>HYPERLINK("https://esbl.nhlbi.nih.gov/Databases/mpkFractions/proteomic_fractions_linear_files/Yang_linear_img/124001574.jpg","show blot")</f>
        <v>show blot</v>
      </c>
      <c r="J3179" s="5" t="s">
        <v>6240</v>
      </c>
      <c r="L3179" s="11">
        <v>4.8063706421600241</v>
      </c>
      <c r="N3179" s="12"/>
    </row>
    <row r="3180" spans="1:14" s="5" customFormat="1" ht="15" customHeight="1" x14ac:dyDescent="0.25">
      <c r="A3180" s="9" t="s">
        <v>6241</v>
      </c>
      <c r="C3180" s="9" t="str">
        <f>HYPERLINK("http://www.ncbi.nlm.nih.gov/protein/124001576","Gtf2i")</f>
        <v>Gtf2i</v>
      </c>
      <c r="D3180" s="10">
        <f t="shared" si="49"/>
        <v>4.8063706421600241</v>
      </c>
      <c r="F3180" s="8" t="str">
        <f>HYPERLINK("https://esbl.nhlbi.nih.gov/Databases/mpkFractions/proteomic_fractions_log_files/Yang_log_img/124001576.jpg","show blot")</f>
        <v>show blot</v>
      </c>
      <c r="H3180" s="8" t="str">
        <f>HYPERLINK("https://esbl.nhlbi.nih.gov/Databases/mpkFractions/proteomic_fractions_linear_files/Yang_linear_img/124001576.jpg","show blot")</f>
        <v>show blot</v>
      </c>
      <c r="J3180" s="5" t="s">
        <v>6242</v>
      </c>
      <c r="L3180" s="11">
        <v>4.8063706421600241</v>
      </c>
      <c r="N3180" s="12"/>
    </row>
    <row r="3181" spans="1:14" s="5" customFormat="1" ht="15" customHeight="1" x14ac:dyDescent="0.25">
      <c r="A3181" s="9" t="s">
        <v>6243</v>
      </c>
      <c r="C3181" s="9" t="str">
        <f>HYPERLINK("http://www.ncbi.nlm.nih.gov/protein/124001578","Gtf2i")</f>
        <v>Gtf2i</v>
      </c>
      <c r="D3181" s="10">
        <f t="shared" si="49"/>
        <v>4.8063706421600241</v>
      </c>
      <c r="F3181" s="8" t="str">
        <f>HYPERLINK("https://esbl.nhlbi.nih.gov/Databases/mpkFractions/proteomic_fractions_log_files/Yang_log_img/124001578.jpg","show blot")</f>
        <v>show blot</v>
      </c>
      <c r="H3181" s="8" t="str">
        <f>HYPERLINK("https://esbl.nhlbi.nih.gov/Databases/mpkFractions/proteomic_fractions_linear_files/Yang_linear_img/124001578.jpg","show blot")</f>
        <v>show blot</v>
      </c>
      <c r="J3181" s="5" t="s">
        <v>6244</v>
      </c>
      <c r="L3181" s="11">
        <v>4.8063706421600241</v>
      </c>
      <c r="N3181" s="12"/>
    </row>
    <row r="3182" spans="1:14" s="5" customFormat="1" ht="15" customHeight="1" x14ac:dyDescent="0.25">
      <c r="A3182" s="9" t="s">
        <v>6245</v>
      </c>
      <c r="C3182" s="9" t="str">
        <f>HYPERLINK("http://www.ncbi.nlm.nih.gov/protein/75677510","Gtf3c3")</f>
        <v>Gtf3c3</v>
      </c>
      <c r="D3182" s="10">
        <f t="shared" si="49"/>
        <v>2.3709923461253362</v>
      </c>
      <c r="F3182" s="8" t="str">
        <f>HYPERLINK("https://esbl.nhlbi.nih.gov/Databases/mpkFractions/proteomic_fractions_log_files/Yang_log_img/75677510.jpg","show blot")</f>
        <v>show blot</v>
      </c>
      <c r="H3182" s="8" t="str">
        <f>HYPERLINK("https://esbl.nhlbi.nih.gov/Databases/mpkFractions/proteomic_fractions_linear_files/Yang_linear_img/75677510.jpg","show blot")</f>
        <v>show blot</v>
      </c>
      <c r="J3182" s="5" t="s">
        <v>6246</v>
      </c>
      <c r="L3182" s="11">
        <v>2.3709923461253362</v>
      </c>
      <c r="N3182" s="12"/>
    </row>
    <row r="3183" spans="1:14" s="5" customFormat="1" ht="15" customHeight="1" x14ac:dyDescent="0.25">
      <c r="A3183" s="9" t="s">
        <v>6247</v>
      </c>
      <c r="C3183" s="9" t="str">
        <f>HYPERLINK("http://www.ncbi.nlm.nih.gov/protein/260436918","Gtf3c4")</f>
        <v>Gtf3c4</v>
      </c>
      <c r="D3183" s="10">
        <f t="shared" si="49"/>
        <v>2.576905178664906</v>
      </c>
      <c r="F3183" s="8" t="str">
        <f>HYPERLINK("https://esbl.nhlbi.nih.gov/Databases/mpkFractions/proteomic_fractions_log_files/Yang_log_img/260436918.jpg","show blot")</f>
        <v>show blot</v>
      </c>
      <c r="H3183" s="8" t="str">
        <f>HYPERLINK("https://esbl.nhlbi.nih.gov/Databases/mpkFractions/proteomic_fractions_linear_files/Yang_linear_img/260436918.jpg","show blot")</f>
        <v>show blot</v>
      </c>
      <c r="J3183" s="5" t="s">
        <v>6248</v>
      </c>
      <c r="L3183" s="11">
        <v>2.576905178664906</v>
      </c>
      <c r="N3183" s="12"/>
    </row>
    <row r="3184" spans="1:14" s="5" customFormat="1" ht="15" customHeight="1" x14ac:dyDescent="0.25">
      <c r="A3184" s="9" t="s">
        <v>6249</v>
      </c>
      <c r="C3184" s="9" t="str">
        <f>HYPERLINK("http://www.ncbi.nlm.nih.gov/protein/260447060","Gtf3c4")</f>
        <v>Gtf3c4</v>
      </c>
      <c r="D3184" s="10">
        <f t="shared" si="49"/>
        <v>2.576905178664906</v>
      </c>
      <c r="F3184" s="8" t="str">
        <f>HYPERLINK("https://esbl.nhlbi.nih.gov/Databases/mpkFractions/proteomic_fractions_log_files/Yang_log_img/260447060.jpg","show blot")</f>
        <v>show blot</v>
      </c>
      <c r="H3184" s="8" t="str">
        <f>HYPERLINK("https://esbl.nhlbi.nih.gov/Databases/mpkFractions/proteomic_fractions_linear_files/Yang_linear_img/260447060.jpg","show blot")</f>
        <v>show blot</v>
      </c>
      <c r="J3184" s="5" t="s">
        <v>6250</v>
      </c>
      <c r="L3184" s="11">
        <v>2.576905178664906</v>
      </c>
      <c r="N3184" s="12"/>
    </row>
    <row r="3185" spans="1:14" s="5" customFormat="1" ht="15" customHeight="1" x14ac:dyDescent="0.25">
      <c r="A3185" s="9" t="s">
        <v>6251</v>
      </c>
      <c r="C3185" s="9" t="str">
        <f>HYPERLINK("http://www.ncbi.nlm.nih.gov/protein/225543576","Gtl3")</f>
        <v>Gtl3</v>
      </c>
      <c r="D3185" s="10">
        <f t="shared" si="49"/>
        <v>5.0534483145273628</v>
      </c>
      <c r="F3185" s="8" t="str">
        <f>HYPERLINK("https://esbl.nhlbi.nih.gov/Databases/mpkFractions/proteomic_fractions_log_files/Yang_log_img/225543576.jpg","show blot")</f>
        <v>show blot</v>
      </c>
      <c r="H3185" s="8" t="str">
        <f>HYPERLINK("https://esbl.nhlbi.nih.gov/Databases/mpkFractions/proteomic_fractions_linear_files/Yang_linear_img/225543576.jpg","show blot")</f>
        <v>show blot</v>
      </c>
      <c r="J3185" s="5" t="s">
        <v>6252</v>
      </c>
      <c r="L3185" s="11">
        <v>5.0534483145273628</v>
      </c>
      <c r="N3185" s="12"/>
    </row>
    <row r="3186" spans="1:14" s="5" customFormat="1" ht="15" customHeight="1" x14ac:dyDescent="0.25">
      <c r="A3186" s="9" t="s">
        <v>6253</v>
      </c>
      <c r="C3186" s="9" t="str">
        <f>HYPERLINK("http://www.ncbi.nlm.nih.gov/protein/70778897","Gtpbp1")</f>
        <v>Gtpbp1</v>
      </c>
      <c r="D3186" s="10">
        <f t="shared" si="49"/>
        <v>5.0834325210803151</v>
      </c>
      <c r="F3186" s="8" t="str">
        <f>HYPERLINK("https://esbl.nhlbi.nih.gov/Databases/mpkFractions/proteomic_fractions_log_files/Yang_log_img/70778897.jpg","show blot")</f>
        <v>show blot</v>
      </c>
      <c r="H3186" s="8" t="str">
        <f>HYPERLINK("https://esbl.nhlbi.nih.gov/Databases/mpkFractions/proteomic_fractions_linear_files/Yang_linear_img/70778897.jpg","show blot")</f>
        <v>show blot</v>
      </c>
      <c r="J3186" s="5" t="s">
        <v>6254</v>
      </c>
      <c r="L3186" s="11">
        <v>5.0834325210803151</v>
      </c>
      <c r="N3186" s="12"/>
    </row>
    <row r="3187" spans="1:14" s="5" customFormat="1" ht="15" customHeight="1" x14ac:dyDescent="0.25">
      <c r="A3187" s="9" t="s">
        <v>6255</v>
      </c>
      <c r="C3187" s="9" t="str">
        <f>HYPERLINK("http://www.ncbi.nlm.nih.gov/protein/225543388","Gtpbp2")</f>
        <v>Gtpbp2</v>
      </c>
      <c r="D3187" s="10">
        <f t="shared" si="49"/>
        <v>2.73897864034956</v>
      </c>
      <c r="F3187" s="8" t="str">
        <f>HYPERLINK("https://esbl.nhlbi.nih.gov/Databases/mpkFractions/proteomic_fractions_log_files/Yang_log_img/225543388.jpg","show blot")</f>
        <v>show blot</v>
      </c>
      <c r="H3187" s="8" t="str">
        <f>HYPERLINK("https://esbl.nhlbi.nih.gov/Databases/mpkFractions/proteomic_fractions_linear_files/Yang_linear_img/225543388.jpg","show blot")</f>
        <v>show blot</v>
      </c>
      <c r="J3187" s="5" t="s">
        <v>6256</v>
      </c>
      <c r="L3187" s="11">
        <v>2.73897864034956</v>
      </c>
      <c r="N3187" s="12"/>
    </row>
    <row r="3188" spans="1:14" s="5" customFormat="1" ht="15" customHeight="1" x14ac:dyDescent="0.25">
      <c r="A3188" s="9" t="s">
        <v>6257</v>
      </c>
      <c r="C3188" s="9" t="str">
        <f>HYPERLINK("http://www.ncbi.nlm.nih.gov/protein/225543394","Gtpbp2")</f>
        <v>Gtpbp2</v>
      </c>
      <c r="D3188" s="10">
        <f t="shared" si="49"/>
        <v>2.73897864034956</v>
      </c>
      <c r="F3188" s="8" t="str">
        <f>HYPERLINK("https://esbl.nhlbi.nih.gov/Databases/mpkFractions/proteomic_fractions_log_files/Yang_log_img/225543394.jpg","show blot")</f>
        <v>show blot</v>
      </c>
      <c r="H3188" s="8" t="str">
        <f>HYPERLINK("https://esbl.nhlbi.nih.gov/Databases/mpkFractions/proteomic_fractions_linear_files/Yang_linear_img/225543394.jpg","show blot")</f>
        <v>show blot</v>
      </c>
      <c r="J3188" s="5" t="s">
        <v>6258</v>
      </c>
      <c r="L3188" s="11">
        <v>2.73897864034956</v>
      </c>
      <c r="N3188" s="12"/>
    </row>
    <row r="3189" spans="1:14" s="5" customFormat="1" ht="15" customHeight="1" x14ac:dyDescent="0.25">
      <c r="A3189" s="9" t="s">
        <v>6259</v>
      </c>
      <c r="C3189" s="9" t="str">
        <f>HYPERLINK("http://www.ncbi.nlm.nih.gov/protein/33414589","Gtpbp3")</f>
        <v>Gtpbp3</v>
      </c>
      <c r="D3189" s="10">
        <f t="shared" si="49"/>
        <v>2.808947843049737</v>
      </c>
      <c r="F3189" s="8" t="str">
        <f>HYPERLINK("https://esbl.nhlbi.nih.gov/Databases/mpkFractions/proteomic_fractions_log_files/Yang_log_img/33414589.jpg","show blot")</f>
        <v>show blot</v>
      </c>
      <c r="H3189" s="8" t="str">
        <f>HYPERLINK("https://esbl.nhlbi.nih.gov/Databases/mpkFractions/proteomic_fractions_linear_files/Yang_linear_img/33414589.jpg","show blot")</f>
        <v>show blot</v>
      </c>
      <c r="J3189" s="5" t="s">
        <v>6260</v>
      </c>
      <c r="L3189" s="11">
        <v>2.808947843049737</v>
      </c>
      <c r="N3189" s="12"/>
    </row>
    <row r="3190" spans="1:14" s="5" customFormat="1" ht="15" customHeight="1" x14ac:dyDescent="0.25">
      <c r="A3190" s="9" t="s">
        <v>6261</v>
      </c>
      <c r="C3190" s="9" t="str">
        <f>HYPERLINK("http://www.ncbi.nlm.nih.gov/protein/31560110","Gtpbp4")</f>
        <v>Gtpbp4</v>
      </c>
      <c r="D3190" s="10">
        <f t="shared" si="49"/>
        <v>4.4498741205208354</v>
      </c>
      <c r="F3190" s="8" t="str">
        <f>HYPERLINK("https://esbl.nhlbi.nih.gov/Databases/mpkFractions/proteomic_fractions_log_files/Yang_log_img/31560110.jpg","show blot")</f>
        <v>show blot</v>
      </c>
      <c r="H3190" s="8" t="str">
        <f>HYPERLINK("https://esbl.nhlbi.nih.gov/Databases/mpkFractions/proteomic_fractions_linear_files/Yang_linear_img/31560110.jpg","show blot")</f>
        <v>show blot</v>
      </c>
      <c r="J3190" s="5" t="s">
        <v>6262</v>
      </c>
      <c r="L3190" s="11">
        <v>4.4498741205208354</v>
      </c>
      <c r="N3190" s="12"/>
    </row>
    <row r="3191" spans="1:14" s="5" customFormat="1" ht="15" customHeight="1" x14ac:dyDescent="0.25">
      <c r="A3191" s="9" t="s">
        <v>6263</v>
      </c>
      <c r="C3191" s="9" t="str">
        <f>HYPERLINK("http://www.ncbi.nlm.nih.gov/protein/165972313","Gtpbp6")</f>
        <v>Gtpbp6</v>
      </c>
      <c r="D3191" s="10">
        <f t="shared" si="49"/>
        <v>4.6218611996925931</v>
      </c>
      <c r="F3191" s="8" t="str">
        <f>HYPERLINK("https://esbl.nhlbi.nih.gov/Databases/mpkFractions/proteomic_fractions_log_files/Yang_log_img/165972313.jpg","show blot")</f>
        <v>show blot</v>
      </c>
      <c r="H3191" s="8" t="str">
        <f>HYPERLINK("https://esbl.nhlbi.nih.gov/Databases/mpkFractions/proteomic_fractions_linear_files/Yang_linear_img/165972313.jpg","show blot")</f>
        <v>show blot</v>
      </c>
      <c r="J3191" s="5" t="s">
        <v>6264</v>
      </c>
      <c r="L3191" s="11">
        <v>4.6218611996925931</v>
      </c>
      <c r="N3191" s="12"/>
    </row>
    <row r="3192" spans="1:14" s="5" customFormat="1" ht="15" customHeight="1" x14ac:dyDescent="0.25">
      <c r="A3192" s="9" t="s">
        <v>6265</v>
      </c>
      <c r="C3192" s="9" t="str">
        <f>HYPERLINK("http://www.ncbi.nlm.nih.gov/protein/21313623","Gtpbp8")</f>
        <v>Gtpbp8</v>
      </c>
      <c r="D3192" s="10">
        <f t="shared" si="49"/>
        <v>3.0867479979952441</v>
      </c>
      <c r="F3192" s="8" t="str">
        <f>HYPERLINK("https://esbl.nhlbi.nih.gov/Databases/mpkFractions/proteomic_fractions_log_files/Yang_log_img/21313623.jpg","show blot")</f>
        <v>show blot</v>
      </c>
      <c r="H3192" s="8" t="str">
        <f>HYPERLINK("https://esbl.nhlbi.nih.gov/Databases/mpkFractions/proteomic_fractions_linear_files/Yang_linear_img/21313623.jpg","show blot")</f>
        <v>show blot</v>
      </c>
      <c r="J3192" s="5" t="s">
        <v>6266</v>
      </c>
      <c r="L3192" s="11">
        <v>3.0867479979952441</v>
      </c>
      <c r="N3192" s="12"/>
    </row>
    <row r="3193" spans="1:14" s="5" customFormat="1" ht="15" customHeight="1" x14ac:dyDescent="0.25">
      <c r="A3193" s="9" t="s">
        <v>6267</v>
      </c>
      <c r="C3193" s="9" t="str">
        <f>HYPERLINK("http://www.ncbi.nlm.nih.gov/protein/7305119","Gtse1")</f>
        <v>Gtse1</v>
      </c>
      <c r="D3193" s="10">
        <f t="shared" si="49"/>
        <v>2.407829897361037</v>
      </c>
      <c r="F3193" s="8" t="str">
        <f>HYPERLINK("https://esbl.nhlbi.nih.gov/Databases/mpkFractions/proteomic_fractions_log_files/Yang_log_img/7305119.jpg","show blot")</f>
        <v>show blot</v>
      </c>
      <c r="H3193" s="8" t="str">
        <f>HYPERLINK("https://esbl.nhlbi.nih.gov/Databases/mpkFractions/proteomic_fractions_linear_files/Yang_linear_img/7305119.jpg","show blot")</f>
        <v>show blot</v>
      </c>
      <c r="J3193" s="5" t="s">
        <v>6268</v>
      </c>
      <c r="L3193" s="11">
        <v>2.407829897361037</v>
      </c>
      <c r="N3193" s="12"/>
    </row>
    <row r="3194" spans="1:14" s="5" customFormat="1" ht="15" customHeight="1" x14ac:dyDescent="0.25">
      <c r="A3194" s="9" t="s">
        <v>6269</v>
      </c>
      <c r="C3194" s="9" t="str">
        <f>HYPERLINK("http://www.ncbi.nlm.nih.gov/protein/194688157","Gucy2d")</f>
        <v>Gucy2d</v>
      </c>
      <c r="D3194" s="10">
        <f t="shared" si="49"/>
        <v>1.670960265871924</v>
      </c>
      <c r="F3194" s="8" t="str">
        <f>HYPERLINK("https://esbl.nhlbi.nih.gov/Databases/mpkFractions/proteomic_fractions_log_files/Yang_log_img/194688157.jpg","show blot")</f>
        <v>show blot</v>
      </c>
      <c r="H3194" s="8" t="str">
        <f>HYPERLINK("https://esbl.nhlbi.nih.gov/Databases/mpkFractions/proteomic_fractions_linear_files/Yang_linear_img/194688157.jpg","show blot")</f>
        <v>show blot</v>
      </c>
      <c r="J3194" s="5" t="s">
        <v>6270</v>
      </c>
      <c r="L3194" s="11">
        <v>1.670960265871924</v>
      </c>
      <c r="N3194" s="12"/>
    </row>
    <row r="3195" spans="1:14" s="5" customFormat="1" ht="15" customHeight="1" x14ac:dyDescent="0.25">
      <c r="A3195" s="9" t="s">
        <v>6271</v>
      </c>
      <c r="C3195" s="9" t="str">
        <f>HYPERLINK("http://www.ncbi.nlm.nih.gov/protein/56119098","Gucy2f")</f>
        <v>Gucy2f</v>
      </c>
      <c r="D3195" s="10">
        <f t="shared" si="49"/>
        <v>4.7666836925400542</v>
      </c>
      <c r="F3195" s="8" t="str">
        <f>HYPERLINK("https://esbl.nhlbi.nih.gov/Databases/mpkFractions/proteomic_fractions_log_files/Yang_log_img/56119098.jpg","show blot")</f>
        <v>show blot</v>
      </c>
      <c r="H3195" s="8" t="str">
        <f>HYPERLINK("https://esbl.nhlbi.nih.gov/Databases/mpkFractions/proteomic_fractions_linear_files/Yang_linear_img/56119098.jpg","show blot")</f>
        <v>show blot</v>
      </c>
      <c r="J3195" s="5" t="s">
        <v>6272</v>
      </c>
      <c r="L3195" s="11">
        <v>4.7666836925400542</v>
      </c>
      <c r="N3195" s="12"/>
    </row>
    <row r="3196" spans="1:14" s="5" customFormat="1" ht="15" customHeight="1" x14ac:dyDescent="0.25">
      <c r="A3196" s="9" t="s">
        <v>6273</v>
      </c>
      <c r="C3196" s="9" t="str">
        <f>HYPERLINK("http://www.ncbi.nlm.nih.gov/protein/226874887","Guk1")</f>
        <v>Guk1</v>
      </c>
      <c r="D3196" s="10">
        <f t="shared" si="49"/>
        <v>3.646655493059487</v>
      </c>
      <c r="F3196" s="8" t="str">
        <f>HYPERLINK("https://esbl.nhlbi.nih.gov/Databases/mpkFractions/proteomic_fractions_log_files/Yang_log_img/226874887.jpg","show blot")</f>
        <v>show blot</v>
      </c>
      <c r="H3196" s="8" t="str">
        <f>HYPERLINK("https://esbl.nhlbi.nih.gov/Databases/mpkFractions/proteomic_fractions_linear_files/Yang_linear_img/226874887.jpg","show blot")</f>
        <v>show blot</v>
      </c>
      <c r="J3196" s="5" t="s">
        <v>6274</v>
      </c>
      <c r="L3196" s="11">
        <v>3.646655493059487</v>
      </c>
      <c r="N3196" s="12"/>
    </row>
    <row r="3197" spans="1:14" s="5" customFormat="1" ht="15" customHeight="1" x14ac:dyDescent="0.25">
      <c r="A3197" s="9" t="s">
        <v>6275</v>
      </c>
      <c r="C3197" s="9" t="str">
        <f>HYPERLINK("http://www.ncbi.nlm.nih.gov/protein/226874891","Guk1")</f>
        <v>Guk1</v>
      </c>
      <c r="D3197" s="10">
        <f t="shared" si="49"/>
        <v>3.646655493059487</v>
      </c>
      <c r="F3197" s="8" t="str">
        <f>HYPERLINK("https://esbl.nhlbi.nih.gov/Databases/mpkFractions/proteomic_fractions_log_files/Yang_log_img/226874891.jpg","show blot")</f>
        <v>show blot</v>
      </c>
      <c r="H3197" s="8" t="str">
        <f>HYPERLINK("https://esbl.nhlbi.nih.gov/Databases/mpkFractions/proteomic_fractions_linear_files/Yang_linear_img/226874891.jpg","show blot")</f>
        <v>show blot</v>
      </c>
      <c r="J3197" s="5" t="s">
        <v>6276</v>
      </c>
      <c r="L3197" s="11">
        <v>3.646655493059487</v>
      </c>
      <c r="N3197" s="12"/>
    </row>
    <row r="3198" spans="1:14" s="5" customFormat="1" ht="15" customHeight="1" x14ac:dyDescent="0.25">
      <c r="A3198" s="9" t="s">
        <v>6277</v>
      </c>
      <c r="C3198" s="9" t="str">
        <f>HYPERLINK("http://www.ncbi.nlm.nih.gov/protein/6754098","Gusb")</f>
        <v>Gusb</v>
      </c>
      <c r="D3198" s="10">
        <f t="shared" si="49"/>
        <v>5.5880605185004191</v>
      </c>
      <c r="F3198" s="8" t="str">
        <f>HYPERLINK("https://esbl.nhlbi.nih.gov/Databases/mpkFractions/proteomic_fractions_log_files/Yang_log_img/6754098.jpg","show blot")</f>
        <v>show blot</v>
      </c>
      <c r="H3198" s="8" t="str">
        <f>HYPERLINK("https://esbl.nhlbi.nih.gov/Databases/mpkFractions/proteomic_fractions_linear_files/Yang_linear_img/6754098.jpg","show blot")</f>
        <v>show blot</v>
      </c>
      <c r="J3198" s="5" t="s">
        <v>6278</v>
      </c>
      <c r="L3198" s="11">
        <v>5.5880605185004191</v>
      </c>
      <c r="N3198" s="12"/>
    </row>
    <row r="3199" spans="1:14" s="5" customFormat="1" ht="15" customHeight="1" x14ac:dyDescent="0.25">
      <c r="A3199" s="9" t="s">
        <v>6279</v>
      </c>
      <c r="C3199" s="9" t="str">
        <f>HYPERLINK("http://www.ncbi.nlm.nih.gov/protein/115270958","Gvin1")</f>
        <v>Gvin1</v>
      </c>
      <c r="D3199" s="10">
        <f t="shared" si="49"/>
        <v>1.3520794704226831</v>
      </c>
      <c r="F3199" s="8" t="str">
        <f>HYPERLINK("https://esbl.nhlbi.nih.gov/Databases/mpkFractions/proteomic_fractions_log_files/Yang_log_img/115270958.jpg","show blot")</f>
        <v>show blot</v>
      </c>
      <c r="H3199" s="8" t="str">
        <f>HYPERLINK("https://esbl.nhlbi.nih.gov/Databases/mpkFractions/proteomic_fractions_linear_files/Yang_linear_img/115270958.jpg","show blot")</f>
        <v>show blot</v>
      </c>
      <c r="J3199" s="5" t="s">
        <v>5669</v>
      </c>
      <c r="L3199" s="11">
        <v>1.3520794704226831</v>
      </c>
      <c r="N3199" s="12"/>
    </row>
    <row r="3200" spans="1:14" s="5" customFormat="1" ht="15" customHeight="1" x14ac:dyDescent="0.25">
      <c r="A3200" s="9" t="s">
        <v>6280</v>
      </c>
      <c r="C3200" s="9" t="str">
        <f>HYPERLINK("http://www.ncbi.nlm.nih.gov/protein/85701786","Gxylt1")</f>
        <v>Gxylt1</v>
      </c>
      <c r="D3200" s="10">
        <f t="shared" si="49"/>
        <v>3.2107770436599048</v>
      </c>
      <c r="F3200" s="8" t="str">
        <f>HYPERLINK("https://esbl.nhlbi.nih.gov/Databases/mpkFractions/proteomic_fractions_log_files/Yang_log_img/85701786.jpg","show blot")</f>
        <v>show blot</v>
      </c>
      <c r="H3200" s="8" t="str">
        <f>HYPERLINK("https://esbl.nhlbi.nih.gov/Databases/mpkFractions/proteomic_fractions_linear_files/Yang_linear_img/85701786.jpg","show blot")</f>
        <v>show blot</v>
      </c>
      <c r="J3200" s="5" t="s">
        <v>6281</v>
      </c>
      <c r="L3200" s="11">
        <v>3.2107770436599048</v>
      </c>
      <c r="N3200" s="12"/>
    </row>
    <row r="3201" spans="1:14" s="5" customFormat="1" ht="15" customHeight="1" x14ac:dyDescent="0.25">
      <c r="A3201" s="9" t="s">
        <v>6282</v>
      </c>
      <c r="C3201" s="9" t="str">
        <f>HYPERLINK("http://www.ncbi.nlm.nih.gov/protein/46909579","Gyk")</f>
        <v>Gyk</v>
      </c>
      <c r="D3201" s="10">
        <f t="shared" si="49"/>
        <v>3.9897269308436529</v>
      </c>
      <c r="F3201" s="8" t="str">
        <f>HYPERLINK("https://esbl.nhlbi.nih.gov/Databases/mpkFractions/proteomic_fractions_log_files/Yang_log_img/46909579.jpg","show blot")</f>
        <v>show blot</v>
      </c>
      <c r="H3201" s="8" t="str">
        <f>HYPERLINK("https://esbl.nhlbi.nih.gov/Databases/mpkFractions/proteomic_fractions_linear_files/Yang_linear_img/46909579.jpg","show blot")</f>
        <v>show blot</v>
      </c>
      <c r="J3201" s="5" t="s">
        <v>6283</v>
      </c>
      <c r="L3201" s="11">
        <v>3.9897269308436529</v>
      </c>
      <c r="N3201" s="12"/>
    </row>
    <row r="3202" spans="1:14" s="5" customFormat="1" ht="15" customHeight="1" x14ac:dyDescent="0.25">
      <c r="A3202" s="9" t="s">
        <v>6284</v>
      </c>
      <c r="C3202" s="9" t="str">
        <f>HYPERLINK("http://www.ncbi.nlm.nih.gov/protein/6680139","Gyk")</f>
        <v>Gyk</v>
      </c>
      <c r="D3202" s="10">
        <f t="shared" si="49"/>
        <v>3.9897269308436529</v>
      </c>
      <c r="F3202" s="8" t="str">
        <f>HYPERLINK("https://esbl.nhlbi.nih.gov/Databases/mpkFractions/proteomic_fractions_log_files/Yang_log_img/6680139.jpg","show blot")</f>
        <v>show blot</v>
      </c>
      <c r="H3202" s="8" t="str">
        <f>HYPERLINK("https://esbl.nhlbi.nih.gov/Databases/mpkFractions/proteomic_fractions_linear_files/Yang_linear_img/6680139.jpg","show blot")</f>
        <v>show blot</v>
      </c>
      <c r="J3202" s="5" t="s">
        <v>6285</v>
      </c>
      <c r="L3202" s="11">
        <v>3.9897269308436529</v>
      </c>
      <c r="N3202" s="12"/>
    </row>
    <row r="3203" spans="1:14" s="5" customFormat="1" ht="15" customHeight="1" x14ac:dyDescent="0.25">
      <c r="A3203" s="9" t="s">
        <v>6286</v>
      </c>
      <c r="C3203" s="9" t="str">
        <f>HYPERLINK("http://www.ncbi.nlm.nih.gov/protein/49355801","Gykl1")</f>
        <v>Gykl1</v>
      </c>
      <c r="D3203" s="10">
        <f t="shared" si="49"/>
        <v>3.5982690496995362</v>
      </c>
      <c r="F3203" s="8" t="str">
        <f>HYPERLINK("https://esbl.nhlbi.nih.gov/Databases/mpkFractions/proteomic_fractions_log_files/Yang_log_img/49355801.jpg","show blot")</f>
        <v>show blot</v>
      </c>
      <c r="H3203" s="8" t="str">
        <f>HYPERLINK("https://esbl.nhlbi.nih.gov/Databases/mpkFractions/proteomic_fractions_linear_files/Yang_linear_img/49355801.jpg","show blot")</f>
        <v>show blot</v>
      </c>
      <c r="J3203" s="5" t="s">
        <v>6287</v>
      </c>
      <c r="L3203" s="11">
        <v>3.5982690496995362</v>
      </c>
      <c r="N3203" s="12"/>
    </row>
    <row r="3204" spans="1:14" s="5" customFormat="1" ht="15" customHeight="1" x14ac:dyDescent="0.25">
      <c r="A3204" s="9" t="s">
        <v>6288</v>
      </c>
      <c r="C3204" s="9" t="str">
        <f>HYPERLINK("http://www.ncbi.nlm.nih.gov/protein/262231828","Gyltl1b")</f>
        <v>Gyltl1b</v>
      </c>
      <c r="D3204" s="10">
        <f t="shared" si="49"/>
        <v>2.6757847845358671</v>
      </c>
      <c r="F3204" s="8" t="str">
        <f>HYPERLINK("https://esbl.nhlbi.nih.gov/Databases/mpkFractions/proteomic_fractions_log_files/Yang_log_img/262231828.jpg","show blot")</f>
        <v>show blot</v>
      </c>
      <c r="H3204" s="8" t="str">
        <f>HYPERLINK("https://esbl.nhlbi.nih.gov/Databases/mpkFractions/proteomic_fractions_linear_files/Yang_linear_img/262231828.jpg","show blot")</f>
        <v>show blot</v>
      </c>
      <c r="J3204" s="5" t="s">
        <v>6289</v>
      </c>
      <c r="L3204" s="11">
        <v>2.6757847845358671</v>
      </c>
      <c r="N3204" s="12"/>
    </row>
    <row r="3205" spans="1:14" s="5" customFormat="1" ht="15" customHeight="1" x14ac:dyDescent="0.25">
      <c r="A3205" s="9" t="s">
        <v>6290</v>
      </c>
      <c r="C3205" s="9" t="str">
        <f>HYPERLINK("http://www.ncbi.nlm.nih.gov/protein/262231830","Gyltl1b")</f>
        <v>Gyltl1b</v>
      </c>
      <c r="D3205" s="10">
        <f t="shared" ref="D3205:D3268" si="50">L3205</f>
        <v>2.6757847845358671</v>
      </c>
      <c r="F3205" s="8" t="str">
        <f>HYPERLINK("https://esbl.nhlbi.nih.gov/Databases/mpkFractions/proteomic_fractions_log_files/Yang_log_img/262231830.jpg","show blot")</f>
        <v>show blot</v>
      </c>
      <c r="H3205" s="8" t="str">
        <f>HYPERLINK("https://esbl.nhlbi.nih.gov/Databases/mpkFractions/proteomic_fractions_linear_files/Yang_linear_img/262231830.jpg","show blot")</f>
        <v>show blot</v>
      </c>
      <c r="J3205" s="5" t="s">
        <v>6291</v>
      </c>
      <c r="L3205" s="11">
        <v>2.6757847845358671</v>
      </c>
      <c r="N3205" s="12"/>
    </row>
    <row r="3206" spans="1:14" s="5" customFormat="1" ht="15" customHeight="1" x14ac:dyDescent="0.25">
      <c r="A3206" s="9" t="s">
        <v>6292</v>
      </c>
      <c r="C3206" s="9" t="str">
        <f>HYPERLINK("http://www.ncbi.nlm.nih.gov/protein/31560022","Gys1")</f>
        <v>Gys1</v>
      </c>
      <c r="D3206" s="10">
        <f t="shared" si="50"/>
        <v>5.0520650614858393</v>
      </c>
      <c r="F3206" s="8" t="str">
        <f>HYPERLINK("https://esbl.nhlbi.nih.gov/Databases/mpkFractions/proteomic_fractions_log_files/Yang_log_img/31560022.jpg","show blot")</f>
        <v>show blot</v>
      </c>
      <c r="H3206" s="8" t="str">
        <f>HYPERLINK("https://esbl.nhlbi.nih.gov/Databases/mpkFractions/proteomic_fractions_linear_files/Yang_linear_img/31560022.jpg","show blot")</f>
        <v>show blot</v>
      </c>
      <c r="J3206" s="5" t="s">
        <v>6293</v>
      </c>
      <c r="L3206" s="11">
        <v>5.0520650614858393</v>
      </c>
      <c r="N3206" s="12"/>
    </row>
    <row r="3207" spans="1:14" s="5" customFormat="1" ht="15" customHeight="1" x14ac:dyDescent="0.25">
      <c r="A3207" s="9" t="s">
        <v>6294</v>
      </c>
      <c r="C3207" s="9" t="str">
        <f>HYPERLINK("http://www.ncbi.nlm.nih.gov/protein/37674207","Gzf1")</f>
        <v>Gzf1</v>
      </c>
      <c r="D3207" s="10">
        <f t="shared" si="50"/>
        <v>0.58093940430340196</v>
      </c>
      <c r="F3207" s="8" t="str">
        <f>HYPERLINK("https://esbl.nhlbi.nih.gov/Databases/mpkFractions/proteomic_fractions_log_files/Yang_log_img/37674207.jpg","show blot")</f>
        <v>show blot</v>
      </c>
      <c r="H3207" s="8" t="str">
        <f>HYPERLINK("https://esbl.nhlbi.nih.gov/Databases/mpkFractions/proteomic_fractions_linear_files/Yang_linear_img/37674207.jpg","show blot")</f>
        <v>show blot</v>
      </c>
      <c r="J3207" s="5" t="s">
        <v>6295</v>
      </c>
      <c r="L3207" s="11">
        <v>0.58093940430340196</v>
      </c>
      <c r="N3207" s="12"/>
    </row>
    <row r="3208" spans="1:14" s="5" customFormat="1" ht="15" customHeight="1" x14ac:dyDescent="0.25">
      <c r="A3208" s="9" t="s">
        <v>6296</v>
      </c>
      <c r="C3208" s="9" t="str">
        <f>HYPERLINK("http://www.ncbi.nlm.nih.gov/protein/227116335","H13")</f>
        <v>H13</v>
      </c>
      <c r="D3208" s="10">
        <f t="shared" si="50"/>
        <v>4.1391903287878327</v>
      </c>
      <c r="F3208" s="8" t="str">
        <f>HYPERLINK("https://esbl.nhlbi.nih.gov/Databases/mpkFractions/proteomic_fractions_log_files/Yang_log_img/227116335.jpg","show blot")</f>
        <v>show blot</v>
      </c>
      <c r="H3208" s="8" t="str">
        <f>HYPERLINK("https://esbl.nhlbi.nih.gov/Databases/mpkFractions/proteomic_fractions_linear_files/Yang_linear_img/227116335.jpg","show blot")</f>
        <v>show blot</v>
      </c>
      <c r="J3208" s="5" t="s">
        <v>6297</v>
      </c>
      <c r="L3208" s="11">
        <v>4.1391903287878327</v>
      </c>
      <c r="N3208" s="12"/>
    </row>
    <row r="3209" spans="1:14" s="5" customFormat="1" ht="15" customHeight="1" x14ac:dyDescent="0.25">
      <c r="A3209" s="9" t="s">
        <v>6298</v>
      </c>
      <c r="C3209" s="9" t="str">
        <f>HYPERLINK("http://www.ncbi.nlm.nih.gov/protein/227116337","H13")</f>
        <v>H13</v>
      </c>
      <c r="D3209" s="10">
        <f t="shared" si="50"/>
        <v>4.1391903287878327</v>
      </c>
      <c r="F3209" s="8" t="str">
        <f>HYPERLINK("https://esbl.nhlbi.nih.gov/Databases/mpkFractions/proteomic_fractions_log_files/Yang_log_img/227116337.jpg","show blot")</f>
        <v>show blot</v>
      </c>
      <c r="H3209" s="8" t="str">
        <f>HYPERLINK("https://esbl.nhlbi.nih.gov/Databases/mpkFractions/proteomic_fractions_linear_files/Yang_linear_img/227116337.jpg","show blot")</f>
        <v>show blot</v>
      </c>
      <c r="J3209" s="5" t="s">
        <v>6299</v>
      </c>
      <c r="L3209" s="11">
        <v>4.1391903287878327</v>
      </c>
      <c r="N3209" s="12"/>
    </row>
    <row r="3210" spans="1:14" s="5" customFormat="1" ht="15" customHeight="1" x14ac:dyDescent="0.25">
      <c r="A3210" s="9" t="s">
        <v>6300</v>
      </c>
      <c r="C3210" s="9" t="str">
        <f>HYPERLINK("http://www.ncbi.nlm.nih.gov/protein/227116339","H13")</f>
        <v>H13</v>
      </c>
      <c r="D3210" s="10">
        <f t="shared" si="50"/>
        <v>4.1391903287878327</v>
      </c>
      <c r="F3210" s="8" t="str">
        <f>HYPERLINK("https://esbl.nhlbi.nih.gov/Databases/mpkFractions/proteomic_fractions_log_files/Yang_log_img/227116339.jpg","show blot")</f>
        <v>show blot</v>
      </c>
      <c r="H3210" s="8" t="str">
        <f>HYPERLINK("https://esbl.nhlbi.nih.gov/Databases/mpkFractions/proteomic_fractions_linear_files/Yang_linear_img/227116339.jpg","show blot")</f>
        <v>show blot</v>
      </c>
      <c r="J3210" s="5" t="s">
        <v>6301</v>
      </c>
      <c r="L3210" s="11">
        <v>4.1391903287878327</v>
      </c>
      <c r="N3210" s="12"/>
    </row>
    <row r="3211" spans="1:14" s="5" customFormat="1" ht="15" customHeight="1" x14ac:dyDescent="0.25">
      <c r="A3211" s="9" t="s">
        <v>6302</v>
      </c>
      <c r="C3211" s="9" t="str">
        <f>HYPERLINK("http://www.ncbi.nlm.nih.gov/protein/18034682","H13")</f>
        <v>H13</v>
      </c>
      <c r="D3211" s="10">
        <f t="shared" si="50"/>
        <v>4.1391903287878327</v>
      </c>
      <c r="F3211" s="8" t="str">
        <f>HYPERLINK("https://esbl.nhlbi.nih.gov/Databases/mpkFractions/proteomic_fractions_log_files/Yang_log_img/18034682.jpg","show blot")</f>
        <v>show blot</v>
      </c>
      <c r="H3211" s="8" t="str">
        <f>HYPERLINK("https://esbl.nhlbi.nih.gov/Databases/mpkFractions/proteomic_fractions_linear_files/Yang_linear_img/18034682.jpg","show blot")</f>
        <v>show blot</v>
      </c>
      <c r="J3211" s="5" t="s">
        <v>6303</v>
      </c>
      <c r="L3211" s="11">
        <v>4.1391903287878327</v>
      </c>
      <c r="N3211" s="12"/>
    </row>
    <row r="3212" spans="1:14" s="5" customFormat="1" ht="15" customHeight="1" x14ac:dyDescent="0.25">
      <c r="A3212" s="9" t="s">
        <v>6304</v>
      </c>
      <c r="C3212" s="9" t="str">
        <f>HYPERLINK("http://www.ncbi.nlm.nih.gov/protein/31560697","H1f0")</f>
        <v>H1f0</v>
      </c>
      <c r="D3212" s="10">
        <f t="shared" si="50"/>
        <v>6.5797015899276694</v>
      </c>
      <c r="F3212" s="8" t="str">
        <f>HYPERLINK("https://esbl.nhlbi.nih.gov/Databases/mpkFractions/proteomic_fractions_log_files/Yang_log_img/31560697.jpg","show blot")</f>
        <v>show blot</v>
      </c>
      <c r="H3212" s="8" t="str">
        <f>HYPERLINK("https://esbl.nhlbi.nih.gov/Databases/mpkFractions/proteomic_fractions_linear_files/Yang_linear_img/31560697.jpg","show blot")</f>
        <v>show blot</v>
      </c>
      <c r="J3212" s="5" t="s">
        <v>6305</v>
      </c>
      <c r="L3212" s="11">
        <v>6.5797015899276694</v>
      </c>
      <c r="N3212" s="12"/>
    </row>
    <row r="3213" spans="1:14" s="5" customFormat="1" ht="15" customHeight="1" x14ac:dyDescent="0.25">
      <c r="A3213" s="9" t="s">
        <v>6306</v>
      </c>
      <c r="C3213" s="9" t="str">
        <f>HYPERLINK("http://www.ncbi.nlm.nih.gov/protein/257196238","H1fnt")</f>
        <v>H1fnt</v>
      </c>
      <c r="D3213" s="10">
        <f t="shared" si="50"/>
        <v>3.4142855441389361</v>
      </c>
      <c r="F3213" s="8" t="str">
        <f>HYPERLINK("https://esbl.nhlbi.nih.gov/Databases/mpkFractions/proteomic_fractions_log_files/Yang_log_img/257196238.jpg","show blot")</f>
        <v>show blot</v>
      </c>
      <c r="H3213" s="8" t="str">
        <f>HYPERLINK("https://esbl.nhlbi.nih.gov/Databases/mpkFractions/proteomic_fractions_linear_files/Yang_linear_img/257196238.jpg","show blot")</f>
        <v>show blot</v>
      </c>
      <c r="J3213" s="5" t="s">
        <v>6307</v>
      </c>
      <c r="L3213" s="11">
        <v>3.4142855441389361</v>
      </c>
      <c r="N3213" s="12"/>
    </row>
    <row r="3214" spans="1:14" s="5" customFormat="1" ht="15" customHeight="1" x14ac:dyDescent="0.25">
      <c r="A3214" s="9" t="s">
        <v>6308</v>
      </c>
      <c r="C3214" s="9" t="str">
        <f>HYPERLINK("http://www.ncbi.nlm.nih.gov/protein/29244126","H2afj")</f>
        <v>H2afj</v>
      </c>
      <c r="D3214" s="10">
        <f t="shared" si="50"/>
        <v>8.2426776370021866</v>
      </c>
      <c r="F3214" s="8" t="str">
        <f>HYPERLINK("https://esbl.nhlbi.nih.gov/Databases/mpkFractions/proteomic_fractions_log_files/Yang_log_img/29244126.jpg","show blot")</f>
        <v>show blot</v>
      </c>
      <c r="H3214" s="8" t="str">
        <f>HYPERLINK("https://esbl.nhlbi.nih.gov/Databases/mpkFractions/proteomic_fractions_linear_files/Yang_linear_img/29244126.jpg","show blot")</f>
        <v>show blot</v>
      </c>
      <c r="J3214" s="5" t="s">
        <v>6309</v>
      </c>
      <c r="L3214" s="11">
        <v>8.2426776370021866</v>
      </c>
      <c r="N3214" s="12"/>
    </row>
    <row r="3215" spans="1:14" s="5" customFormat="1" ht="15" customHeight="1" x14ac:dyDescent="0.25">
      <c r="A3215" s="9" t="s">
        <v>6310</v>
      </c>
      <c r="C3215" s="9" t="str">
        <f>HYPERLINK("http://www.ncbi.nlm.nih.gov/protein/256773209","H2afv")</f>
        <v>H2afv</v>
      </c>
      <c r="D3215" s="10">
        <f t="shared" si="50"/>
        <v>8.2790527897710966</v>
      </c>
      <c r="F3215" s="8" t="str">
        <f>HYPERLINK("https://esbl.nhlbi.nih.gov/Databases/mpkFractions/proteomic_fractions_log_files/Yang_log_img/256773209.jpg","show blot")</f>
        <v>show blot</v>
      </c>
      <c r="H3215" s="8" t="str">
        <f>HYPERLINK("https://esbl.nhlbi.nih.gov/Databases/mpkFractions/proteomic_fractions_linear_files/Yang_linear_img/256773209.jpg","show blot")</f>
        <v>show blot</v>
      </c>
      <c r="J3215" s="5" t="s">
        <v>6311</v>
      </c>
      <c r="L3215" s="11">
        <v>8.2790527897710966</v>
      </c>
      <c r="N3215" s="12"/>
    </row>
    <row r="3216" spans="1:14" s="5" customFormat="1" ht="15" customHeight="1" x14ac:dyDescent="0.25">
      <c r="A3216" s="9" t="s">
        <v>6312</v>
      </c>
      <c r="C3216" s="9" t="str">
        <f>HYPERLINK("http://www.ncbi.nlm.nih.gov/protein/7106331","H2afx")</f>
        <v>H2afx</v>
      </c>
      <c r="D3216" s="10">
        <f t="shared" si="50"/>
        <v>8.1948071557842876</v>
      </c>
      <c r="F3216" s="8" t="str">
        <f>HYPERLINK("https://esbl.nhlbi.nih.gov/Databases/mpkFractions/proteomic_fractions_log_files/Yang_log_img/7106331.jpg","show blot")</f>
        <v>show blot</v>
      </c>
      <c r="H3216" s="8" t="str">
        <f>HYPERLINK("https://esbl.nhlbi.nih.gov/Databases/mpkFractions/proteomic_fractions_linear_files/Yang_linear_img/7106331.jpg","show blot")</f>
        <v>show blot</v>
      </c>
      <c r="J3216" s="5" t="s">
        <v>6313</v>
      </c>
      <c r="L3216" s="11">
        <v>8.1948071557842876</v>
      </c>
      <c r="N3216" s="12"/>
    </row>
    <row r="3217" spans="1:14" s="5" customFormat="1" ht="15" customHeight="1" x14ac:dyDescent="0.25">
      <c r="A3217" s="9" t="s">
        <v>6314</v>
      </c>
      <c r="C3217" s="9" t="str">
        <f>HYPERLINK("http://www.ncbi.nlm.nih.gov/protein/283945572","H2afy")</f>
        <v>H2afy</v>
      </c>
      <c r="D3217" s="10">
        <f t="shared" si="50"/>
        <v>6.1388607842830893</v>
      </c>
      <c r="F3217" s="8" t="str">
        <f>HYPERLINK("https://esbl.nhlbi.nih.gov/Databases/mpkFractions/proteomic_fractions_log_files/Yang_log_img/283945572.jpg","show blot")</f>
        <v>show blot</v>
      </c>
      <c r="H3217" s="8" t="str">
        <f>HYPERLINK("https://esbl.nhlbi.nih.gov/Databases/mpkFractions/proteomic_fractions_linear_files/Yang_linear_img/283945572.jpg","show blot")</f>
        <v>show blot</v>
      </c>
      <c r="J3217" s="5" t="s">
        <v>6315</v>
      </c>
      <c r="L3217" s="11">
        <v>6.1388607842830893</v>
      </c>
      <c r="N3217" s="12"/>
    </row>
    <row r="3218" spans="1:14" s="5" customFormat="1" ht="15" customHeight="1" x14ac:dyDescent="0.25">
      <c r="A3218" s="9" t="s">
        <v>6316</v>
      </c>
      <c r="C3218" s="9" t="str">
        <f>HYPERLINK("http://www.ncbi.nlm.nih.gov/protein/283945575","H2afy")</f>
        <v>H2afy</v>
      </c>
      <c r="D3218" s="10">
        <f t="shared" si="50"/>
        <v>6.1388607842830893</v>
      </c>
      <c r="F3218" s="8" t="str">
        <f>HYPERLINK("https://esbl.nhlbi.nih.gov/Databases/mpkFractions/proteomic_fractions_log_files/Yang_log_img/283945575.jpg","show blot")</f>
        <v>show blot</v>
      </c>
      <c r="H3218" s="8" t="str">
        <f>HYPERLINK("https://esbl.nhlbi.nih.gov/Databases/mpkFractions/proteomic_fractions_linear_files/Yang_linear_img/283945575.jpg","show blot")</f>
        <v>show blot</v>
      </c>
      <c r="J3218" s="5" t="s">
        <v>6317</v>
      </c>
      <c r="L3218" s="11">
        <v>6.1388607842830893</v>
      </c>
      <c r="N3218" s="12"/>
    </row>
    <row r="3219" spans="1:14" s="5" customFormat="1" ht="15" customHeight="1" x14ac:dyDescent="0.25">
      <c r="A3219" s="9" t="s">
        <v>6318</v>
      </c>
      <c r="C3219" s="9" t="str">
        <f>HYPERLINK("http://www.ncbi.nlm.nih.gov/protein/283945579","H2afy")</f>
        <v>H2afy</v>
      </c>
      <c r="D3219" s="10">
        <f t="shared" si="50"/>
        <v>6.1388607842830893</v>
      </c>
      <c r="F3219" s="8" t="str">
        <f>HYPERLINK("https://esbl.nhlbi.nih.gov/Databases/mpkFractions/proteomic_fractions_log_files/Yang_log_img/283945579.jpg","show blot")</f>
        <v>show blot</v>
      </c>
      <c r="H3219" s="8" t="str">
        <f>HYPERLINK("https://esbl.nhlbi.nih.gov/Databases/mpkFractions/proteomic_fractions_linear_files/Yang_linear_img/283945579.jpg","show blot")</f>
        <v>show blot</v>
      </c>
      <c r="J3219" s="5" t="s">
        <v>6319</v>
      </c>
      <c r="L3219" s="11">
        <v>6.1388607842830893</v>
      </c>
      <c r="N3219" s="12"/>
    </row>
    <row r="3220" spans="1:14" s="5" customFormat="1" ht="15" customHeight="1" x14ac:dyDescent="0.25">
      <c r="A3220" s="9" t="s">
        <v>6320</v>
      </c>
      <c r="C3220" s="9" t="str">
        <f>HYPERLINK("http://www.ncbi.nlm.nih.gov/protein/41152517","H2afy")</f>
        <v>H2afy</v>
      </c>
      <c r="D3220" s="10">
        <f t="shared" si="50"/>
        <v>6.1388607842830893</v>
      </c>
      <c r="F3220" s="8" t="str">
        <f>HYPERLINK("https://esbl.nhlbi.nih.gov/Databases/mpkFractions/proteomic_fractions_log_files/Yang_log_img/41152517.jpg","show blot")</f>
        <v>show blot</v>
      </c>
      <c r="H3220" s="8" t="str">
        <f>HYPERLINK("https://esbl.nhlbi.nih.gov/Databases/mpkFractions/proteomic_fractions_linear_files/Yang_linear_img/41152517.jpg","show blot")</f>
        <v>show blot</v>
      </c>
      <c r="J3220" s="5" t="s">
        <v>6321</v>
      </c>
      <c r="L3220" s="11">
        <v>6.1388607842830893</v>
      </c>
      <c r="N3220" s="12"/>
    </row>
    <row r="3221" spans="1:14" s="5" customFormat="1" ht="15" customHeight="1" x14ac:dyDescent="0.25">
      <c r="A3221" s="9" t="s">
        <v>6322</v>
      </c>
      <c r="C3221" s="9" t="str">
        <f>HYPERLINK("http://www.ncbi.nlm.nih.gov/protein/46250738","H2afy2")</f>
        <v>H2afy2</v>
      </c>
      <c r="D3221" s="10">
        <f t="shared" si="50"/>
        <v>5.688920122350126</v>
      </c>
      <c r="F3221" s="8" t="str">
        <f>HYPERLINK("https://esbl.nhlbi.nih.gov/Databases/mpkFractions/proteomic_fractions_log_files/Yang_log_img/46250738.jpg","show blot")</f>
        <v>show blot</v>
      </c>
      <c r="H3221" s="8" t="str">
        <f>HYPERLINK("https://esbl.nhlbi.nih.gov/Databases/mpkFractions/proteomic_fractions_linear_files/Yang_linear_img/46250738.jpg","show blot")</f>
        <v>show blot</v>
      </c>
      <c r="J3221" s="5" t="s">
        <v>6323</v>
      </c>
      <c r="L3221" s="11">
        <v>5.688920122350126</v>
      </c>
      <c r="N3221" s="12"/>
    </row>
    <row r="3222" spans="1:14" s="5" customFormat="1" ht="15" customHeight="1" x14ac:dyDescent="0.25">
      <c r="A3222" s="9" t="s">
        <v>6324</v>
      </c>
      <c r="C3222" s="9" t="str">
        <f>HYPERLINK("http://www.ncbi.nlm.nih.gov/protein/7949045","H2afz")</f>
        <v>H2afz</v>
      </c>
      <c r="D3222" s="10">
        <f t="shared" si="50"/>
        <v>8.2789075056856234</v>
      </c>
      <c r="F3222" s="8" t="str">
        <f>HYPERLINK("https://esbl.nhlbi.nih.gov/Databases/mpkFractions/proteomic_fractions_log_files/Yang_log_img/7949045.jpg","show blot")</f>
        <v>show blot</v>
      </c>
      <c r="H3222" s="8" t="str">
        <f>HYPERLINK("https://esbl.nhlbi.nih.gov/Databases/mpkFractions/proteomic_fractions_linear_files/Yang_linear_img/7949045.jpg","show blot")</f>
        <v>show blot</v>
      </c>
      <c r="J3222" s="5" t="s">
        <v>6325</v>
      </c>
      <c r="L3222" s="11">
        <v>8.2789075056856234</v>
      </c>
      <c r="N3222" s="12"/>
    </row>
    <row r="3223" spans="1:14" s="5" customFormat="1" ht="15" customHeight="1" x14ac:dyDescent="0.25">
      <c r="A3223" s="9" t="s">
        <v>6326</v>
      </c>
      <c r="C3223" s="9" t="str">
        <f>HYPERLINK("http://www.ncbi.nlm.nih.gov/protein/133778955","H2-D1")</f>
        <v>H2-D1</v>
      </c>
      <c r="D3223" s="10">
        <f t="shared" si="50"/>
        <v>4.2962285944180909</v>
      </c>
      <c r="F3223" s="8" t="str">
        <f>HYPERLINK("https://esbl.nhlbi.nih.gov/Databases/mpkFractions/proteomic_fractions_log_files/Yang_log_img/133778955.jpg","show blot")</f>
        <v>show blot</v>
      </c>
      <c r="H3223" s="8" t="str">
        <f>HYPERLINK("https://esbl.nhlbi.nih.gov/Databases/mpkFractions/proteomic_fractions_linear_files/Yang_linear_img/133778955.jpg","show blot")</f>
        <v>show blot</v>
      </c>
      <c r="J3223" s="5" t="s">
        <v>6327</v>
      </c>
      <c r="L3223" s="11">
        <v>4.2962285944180909</v>
      </c>
      <c r="N3223" s="12"/>
    </row>
    <row r="3224" spans="1:14" s="5" customFormat="1" ht="15" customHeight="1" x14ac:dyDescent="0.25">
      <c r="A3224" s="9" t="s">
        <v>6328</v>
      </c>
      <c r="C3224" s="9" t="str">
        <f>HYPERLINK("http://www.ncbi.nlm.nih.gov/protein/133922588","H2-K1")</f>
        <v>H2-K1</v>
      </c>
      <c r="D3224" s="10">
        <f t="shared" si="50"/>
        <v>4.6425994880601769</v>
      </c>
      <c r="F3224" s="8" t="str">
        <f>HYPERLINK("https://esbl.nhlbi.nih.gov/Databases/mpkFractions/proteomic_fractions_log_files/Yang_log_img/133922588.jpg","show blot")</f>
        <v>show blot</v>
      </c>
      <c r="H3224" s="8" t="str">
        <f>HYPERLINK("https://esbl.nhlbi.nih.gov/Databases/mpkFractions/proteomic_fractions_linear_files/Yang_linear_img/133922588.jpg","show blot")</f>
        <v>show blot</v>
      </c>
      <c r="J3224" s="5" t="s">
        <v>6329</v>
      </c>
      <c r="L3224" s="11">
        <v>4.6425994880601769</v>
      </c>
      <c r="N3224" s="12"/>
    </row>
    <row r="3225" spans="1:14" s="5" customFormat="1" ht="15" customHeight="1" x14ac:dyDescent="0.25">
      <c r="A3225" s="9" t="s">
        <v>6330</v>
      </c>
      <c r="C3225" s="9" t="str">
        <f>HYPERLINK("http://www.ncbi.nlm.nih.gov/protein/6754128;297747288","H2-Ke2")</f>
        <v>H2-Ke2</v>
      </c>
      <c r="D3225" s="10">
        <f t="shared" si="50"/>
        <v>4.7591613733744662</v>
      </c>
      <c r="F3225" s="8" t="str">
        <f>HYPERLINK("https://esbl.nhlbi.nih.gov/Databases/mpkFractions/proteomic_fractions_log_files/Yang_log_img/6754128;297747288.jpg","show blot")</f>
        <v>show blot</v>
      </c>
      <c r="H3225" s="8" t="str">
        <f>HYPERLINK("https://esbl.nhlbi.nih.gov/Databases/mpkFractions/proteomic_fractions_linear_files/Yang_linear_img/6754128;297747288.jpg","show blot")</f>
        <v>show blot</v>
      </c>
      <c r="J3225" s="5" t="s">
        <v>6331</v>
      </c>
      <c r="L3225" s="11">
        <v>4.7591613733744662</v>
      </c>
      <c r="N3225" s="12"/>
    </row>
    <row r="3226" spans="1:14" s="5" customFormat="1" ht="15" customHeight="1" x14ac:dyDescent="0.25">
      <c r="A3226" s="9" t="s">
        <v>6332</v>
      </c>
      <c r="C3226" s="9" t="str">
        <f>HYPERLINK("http://www.ncbi.nlm.nih.gov/protein/297747288","H2-Ke2")</f>
        <v>H2-Ke2</v>
      </c>
      <c r="D3226" s="10">
        <f t="shared" si="50"/>
        <v>4.7591613733744662</v>
      </c>
      <c r="F3226" s="8" t="str">
        <f>HYPERLINK("https://esbl.nhlbi.nih.gov/Databases/mpkFractions/proteomic_fractions_log_files/Yang_log_img/297747288.jpg","show blot")</f>
        <v>show blot</v>
      </c>
      <c r="H3226" s="8" t="str">
        <f>HYPERLINK("https://esbl.nhlbi.nih.gov/Databases/mpkFractions/proteomic_fractions_linear_files/Yang_linear_img/297747288.jpg","show blot")</f>
        <v>show blot</v>
      </c>
      <c r="J3226" s="5" t="s">
        <v>6331</v>
      </c>
      <c r="L3226" s="11">
        <v>4.7591613733744662</v>
      </c>
      <c r="N3226" s="12"/>
    </row>
    <row r="3227" spans="1:14" s="5" customFormat="1" ht="15" customHeight="1" x14ac:dyDescent="0.25">
      <c r="A3227" s="9" t="s">
        <v>6333</v>
      </c>
      <c r="C3227" s="9" t="str">
        <f>HYPERLINK("http://www.ncbi.nlm.nih.gov/protein/157951743","H2-Ke6")</f>
        <v>H2-Ke6</v>
      </c>
      <c r="D3227" s="10">
        <f t="shared" si="50"/>
        <v>5.3039696592409866</v>
      </c>
      <c r="F3227" s="8" t="str">
        <f>HYPERLINK("https://esbl.nhlbi.nih.gov/Databases/mpkFractions/proteomic_fractions_log_files/Yang_log_img/157951743.jpg","show blot")</f>
        <v>show blot</v>
      </c>
      <c r="H3227" s="8" t="str">
        <f>HYPERLINK("https://esbl.nhlbi.nih.gov/Databases/mpkFractions/proteomic_fractions_linear_files/Yang_linear_img/157951743.jpg","show blot")</f>
        <v>show blot</v>
      </c>
      <c r="J3227" s="5" t="s">
        <v>6334</v>
      </c>
      <c r="L3227" s="11">
        <v>5.3039696592409866</v>
      </c>
      <c r="N3227" s="12"/>
    </row>
    <row r="3228" spans="1:14" s="5" customFormat="1" ht="15" customHeight="1" x14ac:dyDescent="0.25">
      <c r="A3228" s="9" t="s">
        <v>6335</v>
      </c>
      <c r="C3228" s="9" t="str">
        <f>HYPERLINK("http://www.ncbi.nlm.nih.gov/protein/392357527","H2-L")</f>
        <v>H2-L</v>
      </c>
      <c r="D3228" s="10">
        <f t="shared" si="50"/>
        <v>4.2170389941216104</v>
      </c>
      <c r="F3228" s="8" t="str">
        <f>HYPERLINK("https://esbl.nhlbi.nih.gov/Databases/mpkFractions/proteomic_fractions_log_files/Yang_log_img/392357527.jpg","show blot")</f>
        <v>show blot</v>
      </c>
      <c r="H3228" s="8" t="str">
        <f>HYPERLINK("https://esbl.nhlbi.nih.gov/Databases/mpkFractions/proteomic_fractions_linear_files/Yang_linear_img/392357527.jpg","show blot")</f>
        <v>show blot</v>
      </c>
      <c r="J3228" s="5" t="s">
        <v>6336</v>
      </c>
      <c r="L3228" s="11">
        <v>4.2170389941216104</v>
      </c>
      <c r="N3228" s="12"/>
    </row>
    <row r="3229" spans="1:14" s="5" customFormat="1" ht="15" customHeight="1" x14ac:dyDescent="0.25">
      <c r="A3229" s="9" t="s">
        <v>6337</v>
      </c>
      <c r="C3229" s="9" t="str">
        <f>HYPERLINK("http://www.ncbi.nlm.nih.gov/protein/160333390","H2-Q1")</f>
        <v>H2-Q1</v>
      </c>
      <c r="D3229" s="10">
        <f t="shared" si="50"/>
        <v>3.091621871223269</v>
      </c>
      <c r="F3229" s="8" t="str">
        <f>HYPERLINK("https://esbl.nhlbi.nih.gov/Databases/mpkFractions/proteomic_fractions_log_files/Yang_log_img/160333390.jpg","show blot")</f>
        <v>show blot</v>
      </c>
      <c r="H3229" s="8" t="str">
        <f>HYPERLINK("https://esbl.nhlbi.nih.gov/Databases/mpkFractions/proteomic_fractions_linear_files/Yang_linear_img/160333390.jpg","show blot")</f>
        <v>show blot</v>
      </c>
      <c r="J3229" s="5" t="s">
        <v>6338</v>
      </c>
      <c r="L3229" s="11">
        <v>3.091621871223269</v>
      </c>
      <c r="N3229" s="12"/>
    </row>
    <row r="3230" spans="1:14" s="5" customFormat="1" ht="15" customHeight="1" x14ac:dyDescent="0.25">
      <c r="A3230" s="9" t="s">
        <v>6339</v>
      </c>
      <c r="C3230" s="9" t="str">
        <f>HYPERLINK("http://www.ncbi.nlm.nih.gov/protein/6754132","H2-Q10")</f>
        <v>H2-Q10</v>
      </c>
      <c r="D3230" s="10">
        <f t="shared" si="50"/>
        <v>3.138618433899492</v>
      </c>
      <c r="F3230" s="8" t="str">
        <f>HYPERLINK("https://esbl.nhlbi.nih.gov/Databases/mpkFractions/proteomic_fractions_log_files/Yang_log_img/6754132.jpg","show blot")</f>
        <v>show blot</v>
      </c>
      <c r="H3230" s="8" t="str">
        <f>HYPERLINK("https://esbl.nhlbi.nih.gov/Databases/mpkFractions/proteomic_fractions_linear_files/Yang_linear_img/6754132.jpg","show blot")</f>
        <v>show blot</v>
      </c>
      <c r="J3230" s="5" t="s">
        <v>6340</v>
      </c>
      <c r="L3230" s="11">
        <v>3.138618433899492</v>
      </c>
      <c r="N3230" s="12"/>
    </row>
    <row r="3231" spans="1:14" s="5" customFormat="1" ht="15" customHeight="1" x14ac:dyDescent="0.25">
      <c r="A3231" s="9" t="s">
        <v>6341</v>
      </c>
      <c r="C3231" s="9" t="str">
        <f>HYPERLINK("http://www.ncbi.nlm.nih.gov/protein/72535146","H2-Q2")</f>
        <v>H2-Q2</v>
      </c>
      <c r="D3231" s="10">
        <f t="shared" si="50"/>
        <v>4.1521718304452424</v>
      </c>
      <c r="F3231" s="8" t="str">
        <f>HYPERLINK("https://esbl.nhlbi.nih.gov/Databases/mpkFractions/proteomic_fractions_log_files/Yang_log_img/72535146.jpg","show blot")</f>
        <v>show blot</v>
      </c>
      <c r="H3231" s="8" t="str">
        <f>HYPERLINK("https://esbl.nhlbi.nih.gov/Databases/mpkFractions/proteomic_fractions_linear_files/Yang_linear_img/72535146.jpg","show blot")</f>
        <v>show blot</v>
      </c>
      <c r="J3231" s="5" t="s">
        <v>6342</v>
      </c>
      <c r="L3231" s="11">
        <v>4.1521718304452424</v>
      </c>
      <c r="N3231" s="12"/>
    </row>
    <row r="3232" spans="1:14" s="5" customFormat="1" ht="15" customHeight="1" x14ac:dyDescent="0.25">
      <c r="A3232" s="9" t="s">
        <v>6343</v>
      </c>
      <c r="C3232" s="9" t="str">
        <f>HYPERLINK("http://www.ncbi.nlm.nih.gov/protein/219521935","H2-Q4")</f>
        <v>H2-Q4</v>
      </c>
      <c r="D3232" s="10">
        <f t="shared" si="50"/>
        <v>4.3619135186511331</v>
      </c>
      <c r="F3232" s="8" t="str">
        <f>HYPERLINK("https://esbl.nhlbi.nih.gov/Databases/mpkFractions/proteomic_fractions_log_files/Yang_log_img/219521935.jpg","show blot")</f>
        <v>show blot</v>
      </c>
      <c r="H3232" s="8" t="str">
        <f>HYPERLINK("https://esbl.nhlbi.nih.gov/Databases/mpkFractions/proteomic_fractions_linear_files/Yang_linear_img/219521935.jpg","show blot")</f>
        <v>show blot</v>
      </c>
      <c r="J3232" s="5" t="s">
        <v>6344</v>
      </c>
      <c r="L3232" s="11">
        <v>4.3619135186511331</v>
      </c>
      <c r="N3232" s="12"/>
    </row>
    <row r="3233" spans="1:14" s="5" customFormat="1" ht="15" customHeight="1" x14ac:dyDescent="0.25">
      <c r="A3233" s="9" t="s">
        <v>6345</v>
      </c>
      <c r="C3233" s="9" t="str">
        <f>HYPERLINK("http://www.ncbi.nlm.nih.gov/protein/46559400","H2-Q6")</f>
        <v>H2-Q6</v>
      </c>
      <c r="D3233" s="10">
        <f t="shared" si="50"/>
        <v>4.2250250166670744</v>
      </c>
      <c r="F3233" s="8" t="str">
        <f>HYPERLINK("https://esbl.nhlbi.nih.gov/Databases/mpkFractions/proteomic_fractions_log_files/Yang_log_img/46559400.jpg","show blot")</f>
        <v>show blot</v>
      </c>
      <c r="H3233" s="8" t="str">
        <f>HYPERLINK("https://esbl.nhlbi.nih.gov/Databases/mpkFractions/proteomic_fractions_linear_files/Yang_linear_img/46559400.jpg","show blot")</f>
        <v>show blot</v>
      </c>
      <c r="J3233" s="5" t="s">
        <v>6346</v>
      </c>
      <c r="L3233" s="11">
        <v>4.2250250166670744</v>
      </c>
      <c r="N3233" s="12"/>
    </row>
    <row r="3234" spans="1:14" s="5" customFormat="1" ht="15" customHeight="1" x14ac:dyDescent="0.25">
      <c r="A3234" s="9" t="s">
        <v>6347</v>
      </c>
      <c r="C3234" s="9" t="str">
        <f>HYPERLINK("http://www.ncbi.nlm.nih.gov/protein/310616733","H2-Q7")</f>
        <v>H2-Q7</v>
      </c>
      <c r="D3234" s="10">
        <f t="shared" si="50"/>
        <v>4.4266703801951426</v>
      </c>
      <c r="F3234" s="8" t="str">
        <f>HYPERLINK("https://esbl.nhlbi.nih.gov/Databases/mpkFractions/proteomic_fractions_log_files/Yang_log_img/310616733.jpg","show blot")</f>
        <v>show blot</v>
      </c>
      <c r="H3234" s="8" t="str">
        <f>HYPERLINK("https://esbl.nhlbi.nih.gov/Databases/mpkFractions/proteomic_fractions_linear_files/Yang_linear_img/310616733.jpg","show blot")</f>
        <v>show blot</v>
      </c>
      <c r="J3234" s="5" t="s">
        <v>6348</v>
      </c>
      <c r="L3234" s="11">
        <v>4.4266703801951426</v>
      </c>
      <c r="N3234" s="12"/>
    </row>
    <row r="3235" spans="1:14" s="5" customFormat="1" ht="15" customHeight="1" x14ac:dyDescent="0.25">
      <c r="A3235" s="9" t="s">
        <v>6349</v>
      </c>
      <c r="C3235" s="9" t="str">
        <f>HYPERLINK("http://www.ncbi.nlm.nih.gov/protein/310616735","H2-Q7")</f>
        <v>H2-Q7</v>
      </c>
      <c r="D3235" s="10">
        <f t="shared" si="50"/>
        <v>4.4266703801951426</v>
      </c>
      <c r="F3235" s="8" t="str">
        <f>HYPERLINK("https://esbl.nhlbi.nih.gov/Databases/mpkFractions/proteomic_fractions_log_files/Yang_log_img/310616735.jpg","show blot")</f>
        <v>show blot</v>
      </c>
      <c r="H3235" s="8" t="str">
        <f>HYPERLINK("https://esbl.nhlbi.nih.gov/Databases/mpkFractions/proteomic_fractions_linear_files/Yang_linear_img/310616735.jpg","show blot")</f>
        <v>show blot</v>
      </c>
      <c r="J3235" s="5" t="s">
        <v>6350</v>
      </c>
      <c r="L3235" s="11">
        <v>4.4266703801951426</v>
      </c>
      <c r="N3235" s="12"/>
    </row>
    <row r="3236" spans="1:14" s="5" customFormat="1" ht="15" customHeight="1" x14ac:dyDescent="0.25">
      <c r="A3236" s="9" t="s">
        <v>6351</v>
      </c>
      <c r="C3236" s="9" t="str">
        <f>HYPERLINK("http://www.ncbi.nlm.nih.gov/protein/310616737","H2-Q7")</f>
        <v>H2-Q7</v>
      </c>
      <c r="D3236" s="10">
        <f t="shared" si="50"/>
        <v>4.4266703801951426</v>
      </c>
      <c r="F3236" s="8" t="str">
        <f>HYPERLINK("https://esbl.nhlbi.nih.gov/Databases/mpkFractions/proteomic_fractions_log_files/Yang_log_img/310616737.jpg","show blot")</f>
        <v>show blot</v>
      </c>
      <c r="H3236" s="8" t="str">
        <f>HYPERLINK("https://esbl.nhlbi.nih.gov/Databases/mpkFractions/proteomic_fractions_linear_files/Yang_linear_img/310616737.jpg","show blot")</f>
        <v>show blot</v>
      </c>
      <c r="J3236" s="5" t="s">
        <v>6352</v>
      </c>
      <c r="L3236" s="11">
        <v>4.4266703801951426</v>
      </c>
      <c r="N3236" s="12"/>
    </row>
    <row r="3237" spans="1:14" s="5" customFormat="1" ht="15" customHeight="1" x14ac:dyDescent="0.25">
      <c r="A3237" s="9" t="s">
        <v>6353</v>
      </c>
      <c r="C3237" s="9" t="str">
        <f>HYPERLINK("http://www.ncbi.nlm.nih.gov/protein/389595436","H2-Q8")</f>
        <v>H2-Q8</v>
      </c>
      <c r="D3237" s="10">
        <f t="shared" si="50"/>
        <v>4.2250250166670744</v>
      </c>
      <c r="F3237" s="8" t="str">
        <f>HYPERLINK("https://esbl.nhlbi.nih.gov/Databases/mpkFractions/proteomic_fractions_log_files/Yang_log_img/389595436.jpg","show blot")</f>
        <v>show blot</v>
      </c>
      <c r="H3237" s="8" t="str">
        <f>HYPERLINK("https://esbl.nhlbi.nih.gov/Databases/mpkFractions/proteomic_fractions_linear_files/Yang_linear_img/389595436.jpg","show blot")</f>
        <v>show blot</v>
      </c>
      <c r="J3237" s="5" t="s">
        <v>6354</v>
      </c>
      <c r="L3237" s="11">
        <v>4.2250250166670744</v>
      </c>
      <c r="N3237" s="12"/>
    </row>
    <row r="3238" spans="1:14" s="5" customFormat="1" ht="15" customHeight="1" x14ac:dyDescent="0.25">
      <c r="A3238" s="9" t="s">
        <v>6355</v>
      </c>
      <c r="C3238" s="9" t="str">
        <f>HYPERLINK("http://www.ncbi.nlm.nih.gov/protein/319803125","H2-Q9")</f>
        <v>H2-Q9</v>
      </c>
      <c r="D3238" s="10">
        <f t="shared" si="50"/>
        <v>4.2127905602500624</v>
      </c>
      <c r="F3238" s="8" t="str">
        <f>HYPERLINK("https://esbl.nhlbi.nih.gov/Databases/mpkFractions/proteomic_fractions_log_files/Yang_log_img/319803125.jpg","show blot")</f>
        <v>show blot</v>
      </c>
      <c r="H3238" s="8" t="str">
        <f>HYPERLINK("https://esbl.nhlbi.nih.gov/Databases/mpkFractions/proteomic_fractions_linear_files/Yang_linear_img/319803125.jpg","show blot")</f>
        <v>show blot</v>
      </c>
      <c r="J3238" s="5" t="s">
        <v>6356</v>
      </c>
      <c r="L3238" s="11">
        <v>4.2127905602500624</v>
      </c>
      <c r="N3238" s="12"/>
    </row>
    <row r="3239" spans="1:14" s="5" customFormat="1" ht="15" customHeight="1" x14ac:dyDescent="0.25">
      <c r="A3239" s="9" t="s">
        <v>6357</v>
      </c>
      <c r="C3239" s="9" t="str">
        <f>HYPERLINK("http://www.ncbi.nlm.nih.gov/protein/407260856","H2-T23")</f>
        <v>H2-T23</v>
      </c>
      <c r="D3239" s="10">
        <f t="shared" si="50"/>
        <v>4.1408908200355539</v>
      </c>
      <c r="F3239" s="8" t="str">
        <f>HYPERLINK("https://esbl.nhlbi.nih.gov/Databases/mpkFractions/proteomic_fractions_log_files/Yang_log_img/407260856.jpg","show blot")</f>
        <v>show blot</v>
      </c>
      <c r="H3239" s="8" t="str">
        <f>HYPERLINK("https://esbl.nhlbi.nih.gov/Databases/mpkFractions/proteomic_fractions_linear_files/Yang_linear_img/407260856.jpg","show blot")</f>
        <v>show blot</v>
      </c>
      <c r="J3239" s="5" t="s">
        <v>6358</v>
      </c>
      <c r="L3239" s="11">
        <v>4.1408908200355539</v>
      </c>
      <c r="N3239" s="12"/>
    </row>
    <row r="3240" spans="1:14" s="5" customFormat="1" ht="15" customHeight="1" x14ac:dyDescent="0.25">
      <c r="A3240" s="9" t="s">
        <v>6359</v>
      </c>
      <c r="C3240" s="9" t="str">
        <f>HYPERLINK("http://www.ncbi.nlm.nih.gov/protein/6754148","H2-T23")</f>
        <v>H2-T23</v>
      </c>
      <c r="D3240" s="10">
        <f t="shared" si="50"/>
        <v>4.1408908200355539</v>
      </c>
      <c r="F3240" s="8" t="str">
        <f>HYPERLINK("https://esbl.nhlbi.nih.gov/Databases/mpkFractions/proteomic_fractions_log_files/Yang_log_img/6754148.jpg","show blot")</f>
        <v>show blot</v>
      </c>
      <c r="H3240" s="8" t="str">
        <f>HYPERLINK("https://esbl.nhlbi.nih.gov/Databases/mpkFractions/proteomic_fractions_linear_files/Yang_linear_img/6754148.jpg","show blot")</f>
        <v>show blot</v>
      </c>
      <c r="J3240" s="5" t="s">
        <v>6360</v>
      </c>
      <c r="L3240" s="11">
        <v>4.1408908200355539</v>
      </c>
      <c r="N3240" s="12"/>
    </row>
    <row r="3241" spans="1:14" s="5" customFormat="1" ht="15" customHeight="1" x14ac:dyDescent="0.25">
      <c r="A3241" s="9" t="s">
        <v>6361</v>
      </c>
      <c r="C3241" s="9" t="str">
        <f>HYPERLINK("http://www.ncbi.nlm.nih.gov/protein/6680159","H3f3a")</f>
        <v>H3f3a</v>
      </c>
      <c r="D3241" s="10">
        <f t="shared" si="50"/>
        <v>6.8442986656868117</v>
      </c>
      <c r="F3241" s="8" t="str">
        <f>HYPERLINK("https://esbl.nhlbi.nih.gov/Databases/mpkFractions/proteomic_fractions_log_files/Yang_log_img/6680159.jpg","show blot")</f>
        <v>show blot</v>
      </c>
      <c r="H3241" s="8" t="str">
        <f>HYPERLINK("https://esbl.nhlbi.nih.gov/Databases/mpkFractions/proteomic_fractions_linear_files/Yang_linear_img/6680159.jpg","show blot")</f>
        <v>show blot</v>
      </c>
      <c r="J3241" s="5" t="s">
        <v>6362</v>
      </c>
      <c r="L3241" s="11">
        <v>6.8442986656868117</v>
      </c>
      <c r="N3241" s="12"/>
    </row>
    <row r="3242" spans="1:14" s="5" customFormat="1" ht="15" customHeight="1" x14ac:dyDescent="0.25">
      <c r="A3242" s="9" t="s">
        <v>6363</v>
      </c>
      <c r="C3242" s="9" t="str">
        <f>HYPERLINK("http://www.ncbi.nlm.nih.gov/protein/6680161","H3f3b")</f>
        <v>H3f3b</v>
      </c>
      <c r="D3242" s="10">
        <f t="shared" si="50"/>
        <v>7.711458180242813</v>
      </c>
      <c r="F3242" s="8" t="str">
        <f>HYPERLINK("https://esbl.nhlbi.nih.gov/Databases/mpkFractions/proteomic_fractions_log_files/Yang_log_img/6680161.jpg","show blot")</f>
        <v>show blot</v>
      </c>
      <c r="H3242" s="8" t="str">
        <f>HYPERLINK("https://esbl.nhlbi.nih.gov/Databases/mpkFractions/proteomic_fractions_linear_files/Yang_linear_img/6680161.jpg","show blot")</f>
        <v>show blot</v>
      </c>
      <c r="J3242" s="5" t="s">
        <v>6362</v>
      </c>
      <c r="L3242" s="11">
        <v>7.711458180242813</v>
      </c>
      <c r="N3242" s="12"/>
    </row>
    <row r="3243" spans="1:14" s="5" customFormat="1" ht="15" customHeight="1" x14ac:dyDescent="0.25">
      <c r="A3243" s="9" t="s">
        <v>6364</v>
      </c>
      <c r="C3243" s="9" t="str">
        <f>HYPERLINK("http://www.ncbi.nlm.nih.gov/protein/82886797","H3f3c")</f>
        <v>H3f3c</v>
      </c>
      <c r="D3243" s="10">
        <f t="shared" si="50"/>
        <v>7.7667529567654761</v>
      </c>
      <c r="F3243" s="8" t="str">
        <f>HYPERLINK("https://esbl.nhlbi.nih.gov/Databases/mpkFractions/proteomic_fractions_log_files/Yang_log_img/82886797.jpg","show blot")</f>
        <v>show blot</v>
      </c>
      <c r="H3243" s="8" t="str">
        <f>HYPERLINK("https://esbl.nhlbi.nih.gov/Databases/mpkFractions/proteomic_fractions_linear_files/Yang_linear_img/82886797.jpg","show blot")</f>
        <v>show blot</v>
      </c>
      <c r="J3243" s="5" t="s">
        <v>6365</v>
      </c>
      <c r="L3243" s="11">
        <v>7.7667529567654761</v>
      </c>
      <c r="N3243" s="12"/>
    </row>
    <row r="3244" spans="1:14" s="5" customFormat="1" ht="15" customHeight="1" x14ac:dyDescent="0.25">
      <c r="A3244" s="9" t="s">
        <v>6366</v>
      </c>
      <c r="C3244" s="9" t="str">
        <f>HYPERLINK("http://www.ncbi.nlm.nih.gov/protein/31982147","H6pd")</f>
        <v>H6pd</v>
      </c>
      <c r="D3244" s="10">
        <f t="shared" si="50"/>
        <v>5.5522096113284363</v>
      </c>
      <c r="F3244" s="8" t="str">
        <f>HYPERLINK("https://esbl.nhlbi.nih.gov/Databases/mpkFractions/proteomic_fractions_log_files/Yang_log_img/31982147.jpg","show blot")</f>
        <v>show blot</v>
      </c>
      <c r="H3244" s="8" t="str">
        <f>HYPERLINK("https://esbl.nhlbi.nih.gov/Databases/mpkFractions/proteomic_fractions_linear_files/Yang_linear_img/31982147.jpg","show blot")</f>
        <v>show blot</v>
      </c>
      <c r="J3244" s="5" t="s">
        <v>6367</v>
      </c>
      <c r="L3244" s="11">
        <v>5.5522096113284363</v>
      </c>
      <c r="N3244" s="12"/>
    </row>
    <row r="3245" spans="1:14" s="5" customFormat="1" ht="15" customHeight="1" x14ac:dyDescent="0.25">
      <c r="A3245" s="9" t="s">
        <v>6368</v>
      </c>
      <c r="C3245" s="9" t="str">
        <f>HYPERLINK("http://www.ncbi.nlm.nih.gov/protein/283436216","Hace1")</f>
        <v>Hace1</v>
      </c>
      <c r="D3245" s="10">
        <f t="shared" si="50"/>
        <v>1.8115176275539739</v>
      </c>
      <c r="F3245" s="8" t="str">
        <f>HYPERLINK("https://esbl.nhlbi.nih.gov/Databases/mpkFractions/proteomic_fractions_log_files/Yang_log_img/283436216.jpg","show blot")</f>
        <v>show blot</v>
      </c>
      <c r="H3245" s="8" t="str">
        <f>HYPERLINK("https://esbl.nhlbi.nih.gov/Databases/mpkFractions/proteomic_fractions_linear_files/Yang_linear_img/283436216.jpg","show blot")</f>
        <v>show blot</v>
      </c>
      <c r="J3245" s="5" t="s">
        <v>6369</v>
      </c>
      <c r="L3245" s="11">
        <v>1.8115176275539739</v>
      </c>
      <c r="N3245" s="12"/>
    </row>
    <row r="3246" spans="1:14" s="5" customFormat="1" ht="15" customHeight="1" x14ac:dyDescent="0.25">
      <c r="A3246" s="9" t="s">
        <v>6370</v>
      </c>
      <c r="C3246" s="9" t="str">
        <f>HYPERLINK("http://www.ncbi.nlm.nih.gov/protein/31560355","Hacl1")</f>
        <v>Hacl1</v>
      </c>
      <c r="D3246" s="10">
        <f t="shared" si="50"/>
        <v>2.9442281281464551</v>
      </c>
      <c r="F3246" s="8" t="str">
        <f>HYPERLINK("https://esbl.nhlbi.nih.gov/Databases/mpkFractions/proteomic_fractions_log_files/Yang_log_img/31560355.jpg","show blot")</f>
        <v>show blot</v>
      </c>
      <c r="H3246" s="8" t="str">
        <f>HYPERLINK("https://esbl.nhlbi.nih.gov/Databases/mpkFractions/proteomic_fractions_linear_files/Yang_linear_img/31560355.jpg","show blot")</f>
        <v>show blot</v>
      </c>
      <c r="J3246" s="5" t="s">
        <v>6371</v>
      </c>
      <c r="L3246" s="11">
        <v>2.9442281281464551</v>
      </c>
      <c r="N3246" s="12"/>
    </row>
    <row r="3247" spans="1:14" s="5" customFormat="1" ht="15" customHeight="1" x14ac:dyDescent="0.25">
      <c r="A3247" s="9" t="s">
        <v>6372</v>
      </c>
      <c r="C3247" s="9" t="str">
        <f>HYPERLINK("http://www.ncbi.nlm.nih.gov/protein/111038118","Hadh")</f>
        <v>Hadh</v>
      </c>
      <c r="D3247" s="10">
        <f t="shared" si="50"/>
        <v>5.4143881677166688</v>
      </c>
      <c r="F3247" s="8" t="str">
        <f>HYPERLINK("https://esbl.nhlbi.nih.gov/Databases/mpkFractions/proteomic_fractions_log_files/Yang_log_img/111038118.jpg","show blot")</f>
        <v>show blot</v>
      </c>
      <c r="H3247" s="8" t="str">
        <f>HYPERLINK("https://esbl.nhlbi.nih.gov/Databases/mpkFractions/proteomic_fractions_linear_files/Yang_linear_img/111038118.jpg","show blot")</f>
        <v>show blot</v>
      </c>
      <c r="J3247" s="5" t="s">
        <v>6373</v>
      </c>
      <c r="L3247" s="11">
        <v>5.4143881677166688</v>
      </c>
      <c r="N3247" s="12"/>
    </row>
    <row r="3248" spans="1:14" s="5" customFormat="1" ht="15" customHeight="1" x14ac:dyDescent="0.25">
      <c r="A3248" s="9" t="s">
        <v>6374</v>
      </c>
      <c r="C3248" s="9" t="str">
        <f>HYPERLINK("http://www.ncbi.nlm.nih.gov/protein/33859811","Hadha")</f>
        <v>Hadha</v>
      </c>
      <c r="D3248" s="10">
        <f t="shared" si="50"/>
        <v>6.1311372578143484</v>
      </c>
      <c r="F3248" s="8" t="str">
        <f>HYPERLINK("https://esbl.nhlbi.nih.gov/Databases/mpkFractions/proteomic_fractions_log_files/Yang_log_img/33859811.jpg","show blot")</f>
        <v>show blot</v>
      </c>
      <c r="H3248" s="8" t="str">
        <f>HYPERLINK("https://esbl.nhlbi.nih.gov/Databases/mpkFractions/proteomic_fractions_linear_files/Yang_linear_img/33859811.jpg","show blot")</f>
        <v>show blot</v>
      </c>
      <c r="J3248" s="5" t="s">
        <v>6375</v>
      </c>
      <c r="L3248" s="11">
        <v>6.1311372578143484</v>
      </c>
      <c r="N3248" s="12"/>
    </row>
    <row r="3249" spans="1:14" s="5" customFormat="1" ht="15" customHeight="1" x14ac:dyDescent="0.25">
      <c r="A3249" s="9" t="s">
        <v>6376</v>
      </c>
      <c r="C3249" s="9" t="str">
        <f>HYPERLINK("http://www.ncbi.nlm.nih.gov/protein/21704100","Hadhb")</f>
        <v>Hadhb</v>
      </c>
      <c r="D3249" s="10">
        <f t="shared" si="50"/>
        <v>6.0697734882345866</v>
      </c>
      <c r="F3249" s="8" t="str">
        <f>HYPERLINK("https://esbl.nhlbi.nih.gov/Databases/mpkFractions/proteomic_fractions_log_files/Yang_log_img/21704100.jpg","show blot")</f>
        <v>show blot</v>
      </c>
      <c r="H3249" s="8" t="str">
        <f>HYPERLINK("https://esbl.nhlbi.nih.gov/Databases/mpkFractions/proteomic_fractions_linear_files/Yang_linear_img/21704100.jpg","show blot")</f>
        <v>show blot</v>
      </c>
      <c r="J3249" s="5" t="s">
        <v>6377</v>
      </c>
      <c r="L3249" s="11">
        <v>6.0697734882345866</v>
      </c>
      <c r="N3249" s="12"/>
    </row>
    <row r="3250" spans="1:14" s="5" customFormat="1" ht="15" customHeight="1" x14ac:dyDescent="0.25">
      <c r="A3250" s="9" t="s">
        <v>6378</v>
      </c>
      <c r="C3250" s="9" t="str">
        <f>HYPERLINK("http://www.ncbi.nlm.nih.gov/protein/227499238","Hagh")</f>
        <v>Hagh</v>
      </c>
      <c r="D3250" s="10">
        <f t="shared" si="50"/>
        <v>5.5458475809202046</v>
      </c>
      <c r="F3250" s="8" t="str">
        <f>HYPERLINK("https://esbl.nhlbi.nih.gov/Databases/mpkFractions/proteomic_fractions_log_files/Yang_log_img/227499238.jpg","show blot")</f>
        <v>show blot</v>
      </c>
      <c r="H3250" s="8" t="str">
        <f>HYPERLINK("https://esbl.nhlbi.nih.gov/Databases/mpkFractions/proteomic_fractions_linear_files/Yang_linear_img/227499238.jpg","show blot")</f>
        <v>show blot</v>
      </c>
      <c r="J3250" s="5" t="s">
        <v>6379</v>
      </c>
      <c r="L3250" s="11">
        <v>5.5458475809202046</v>
      </c>
      <c r="N3250" s="12"/>
    </row>
    <row r="3251" spans="1:14" s="5" customFormat="1" ht="15" customHeight="1" x14ac:dyDescent="0.25">
      <c r="A3251" s="9" t="s">
        <v>6380</v>
      </c>
      <c r="C3251" s="9" t="str">
        <f>HYPERLINK("http://www.ncbi.nlm.nih.gov/protein/227499240","Hagh")</f>
        <v>Hagh</v>
      </c>
      <c r="D3251" s="10">
        <f t="shared" si="50"/>
        <v>5.5458475809202046</v>
      </c>
      <c r="F3251" s="8" t="str">
        <f>HYPERLINK("https://esbl.nhlbi.nih.gov/Databases/mpkFractions/proteomic_fractions_log_files/Yang_log_img/227499240.jpg","show blot")</f>
        <v>show blot</v>
      </c>
      <c r="H3251" s="8" t="str">
        <f>HYPERLINK("https://esbl.nhlbi.nih.gov/Databases/mpkFractions/proteomic_fractions_linear_files/Yang_linear_img/227499240.jpg","show blot")</f>
        <v>show blot</v>
      </c>
      <c r="J3251" s="5" t="s">
        <v>6381</v>
      </c>
      <c r="L3251" s="11">
        <v>5.5458475809202046</v>
      </c>
      <c r="N3251" s="12"/>
    </row>
    <row r="3252" spans="1:14" s="5" customFormat="1" ht="15" customHeight="1" x14ac:dyDescent="0.25">
      <c r="A3252" s="9" t="s">
        <v>6382</v>
      </c>
      <c r="C3252" s="9" t="str">
        <f>HYPERLINK("http://www.ncbi.nlm.nih.gov/protein/406855413","Haghl")</f>
        <v>Haghl</v>
      </c>
      <c r="D3252" s="10">
        <f t="shared" si="50"/>
        <v>2.6826864782497681</v>
      </c>
      <c r="F3252" s="8" t="str">
        <f>HYPERLINK("https://esbl.nhlbi.nih.gov/Databases/mpkFractions/proteomic_fractions_log_files/Yang_log_img/406855413.jpg","show blot")</f>
        <v>show blot</v>
      </c>
      <c r="H3252" s="8" t="str">
        <f>HYPERLINK("https://esbl.nhlbi.nih.gov/Databases/mpkFractions/proteomic_fractions_linear_files/Yang_linear_img/406855413.jpg","show blot")</f>
        <v>show blot</v>
      </c>
      <c r="J3252" s="5" t="s">
        <v>6383</v>
      </c>
      <c r="L3252" s="11">
        <v>2.6826864782497681</v>
      </c>
      <c r="N3252" s="12"/>
    </row>
    <row r="3253" spans="1:14" s="5" customFormat="1" ht="15" customHeight="1" x14ac:dyDescent="0.25">
      <c r="A3253" s="9" t="s">
        <v>6384</v>
      </c>
      <c r="C3253" s="9" t="str">
        <f>HYPERLINK("http://www.ncbi.nlm.nih.gov/protein/251823891","Hars")</f>
        <v>Hars</v>
      </c>
      <c r="D3253" s="10">
        <f t="shared" si="50"/>
        <v>5.6767079665365356</v>
      </c>
      <c r="F3253" s="8" t="str">
        <f>HYPERLINK("https://esbl.nhlbi.nih.gov/Databases/mpkFractions/proteomic_fractions_log_files/Yang_log_img/251823891.jpg","show blot")</f>
        <v>show blot</v>
      </c>
      <c r="H3253" s="8" t="str">
        <f>HYPERLINK("https://esbl.nhlbi.nih.gov/Databases/mpkFractions/proteomic_fractions_linear_files/Yang_linear_img/251823891.jpg","show blot")</f>
        <v>show blot</v>
      </c>
      <c r="J3253" s="5" t="s">
        <v>6385</v>
      </c>
      <c r="L3253" s="11">
        <v>5.6767079665365356</v>
      </c>
      <c r="N3253" s="12"/>
    </row>
    <row r="3254" spans="1:14" s="5" customFormat="1" ht="15" customHeight="1" x14ac:dyDescent="0.25">
      <c r="A3254" s="9" t="s">
        <v>6386</v>
      </c>
      <c r="C3254" s="9" t="str">
        <f>HYPERLINK("http://www.ncbi.nlm.nih.gov/protein/18079343","Hars2")</f>
        <v>Hars2</v>
      </c>
      <c r="D3254" s="10">
        <f t="shared" si="50"/>
        <v>4.312976051551126</v>
      </c>
      <c r="F3254" s="8" t="str">
        <f>HYPERLINK("https://esbl.nhlbi.nih.gov/Databases/mpkFractions/proteomic_fractions_log_files/Yang_log_img/18079343.jpg","show blot")</f>
        <v>show blot</v>
      </c>
      <c r="H3254" s="8" t="str">
        <f>HYPERLINK("https://esbl.nhlbi.nih.gov/Databases/mpkFractions/proteomic_fractions_linear_files/Yang_linear_img/18079343.jpg","show blot")</f>
        <v>show blot</v>
      </c>
      <c r="J3254" s="5" t="s">
        <v>6387</v>
      </c>
      <c r="L3254" s="11">
        <v>4.312976051551126</v>
      </c>
      <c r="N3254" s="12"/>
    </row>
    <row r="3255" spans="1:14" s="5" customFormat="1" ht="15" customHeight="1" x14ac:dyDescent="0.25">
      <c r="A3255" s="9" t="s">
        <v>6388</v>
      </c>
      <c r="C3255" s="9" t="str">
        <f>HYPERLINK("http://www.ncbi.nlm.nih.gov/protein/6680169","Has1")</f>
        <v>Has1</v>
      </c>
      <c r="D3255" s="10">
        <f t="shared" si="50"/>
        <v>5.0083071226560811</v>
      </c>
      <c r="F3255" s="8" t="str">
        <f>HYPERLINK("https://esbl.nhlbi.nih.gov/Databases/mpkFractions/proteomic_fractions_log_files/Yang_log_img/6680169.jpg","show blot")</f>
        <v>show blot</v>
      </c>
      <c r="H3255" s="8" t="str">
        <f>HYPERLINK("https://esbl.nhlbi.nih.gov/Databases/mpkFractions/proteomic_fractions_linear_files/Yang_linear_img/6680169.jpg","show blot")</f>
        <v>show blot</v>
      </c>
      <c r="J3255" s="5" t="s">
        <v>6389</v>
      </c>
      <c r="L3255" s="11">
        <v>5.0083071226560811</v>
      </c>
      <c r="N3255" s="12"/>
    </row>
    <row r="3256" spans="1:14" s="5" customFormat="1" ht="15" customHeight="1" x14ac:dyDescent="0.25">
      <c r="A3256" s="9" t="s">
        <v>6390</v>
      </c>
      <c r="C3256" s="9" t="str">
        <f>HYPERLINK("http://www.ncbi.nlm.nih.gov/protein/28076885","Hat1")</f>
        <v>Hat1</v>
      </c>
      <c r="D3256" s="10">
        <f t="shared" si="50"/>
        <v>5.6105111254518052</v>
      </c>
      <c r="F3256" s="8" t="str">
        <f>HYPERLINK("https://esbl.nhlbi.nih.gov/Databases/mpkFractions/proteomic_fractions_log_files/Yang_log_img/28076885.jpg","show blot")</f>
        <v>show blot</v>
      </c>
      <c r="H3256" s="8" t="str">
        <f>HYPERLINK("https://esbl.nhlbi.nih.gov/Databases/mpkFractions/proteomic_fractions_linear_files/Yang_linear_img/28076885.jpg","show blot")</f>
        <v>show blot</v>
      </c>
      <c r="J3256" s="5" t="s">
        <v>6391</v>
      </c>
      <c r="L3256" s="11">
        <v>5.6105111254518052</v>
      </c>
      <c r="N3256" s="12"/>
    </row>
    <row r="3257" spans="1:14" s="5" customFormat="1" ht="15" customHeight="1" x14ac:dyDescent="0.25">
      <c r="A3257" s="9" t="s">
        <v>6392</v>
      </c>
      <c r="C3257" s="9" t="str">
        <f>HYPERLINK("http://www.ncbi.nlm.nih.gov/protein/22122693","Haus3")</f>
        <v>Haus3</v>
      </c>
      <c r="D3257" s="10">
        <f t="shared" si="50"/>
        <v>0.96005255571595594</v>
      </c>
      <c r="F3257" s="8" t="str">
        <f>HYPERLINK("https://esbl.nhlbi.nih.gov/Databases/mpkFractions/proteomic_fractions_log_files/Yang_log_img/22122693.jpg","show blot")</f>
        <v>show blot</v>
      </c>
      <c r="H3257" s="8" t="str">
        <f>HYPERLINK("https://esbl.nhlbi.nih.gov/Databases/mpkFractions/proteomic_fractions_linear_files/Yang_linear_img/22122693.jpg","show blot")</f>
        <v>show blot</v>
      </c>
      <c r="J3257" s="5" t="s">
        <v>6393</v>
      </c>
      <c r="L3257" s="11">
        <v>0.96005255571595594</v>
      </c>
      <c r="N3257" s="12"/>
    </row>
    <row r="3258" spans="1:14" s="5" customFormat="1" ht="15" customHeight="1" x14ac:dyDescent="0.25">
      <c r="A3258" s="9" t="s">
        <v>6394</v>
      </c>
      <c r="C3258" s="9" t="str">
        <f>HYPERLINK("http://www.ncbi.nlm.nih.gov/protein/226442837","Haus5")</f>
        <v>Haus5</v>
      </c>
      <c r="D3258" s="10">
        <f t="shared" si="50"/>
        <v>2.1711963218988428</v>
      </c>
      <c r="F3258" s="8" t="str">
        <f>HYPERLINK("https://esbl.nhlbi.nih.gov/Databases/mpkFractions/proteomic_fractions_log_files/Yang_log_img/226442837.jpg","show blot")</f>
        <v>show blot</v>
      </c>
      <c r="H3258" s="8" t="str">
        <f>HYPERLINK("https://esbl.nhlbi.nih.gov/Databases/mpkFractions/proteomic_fractions_linear_files/Yang_linear_img/226442837.jpg","show blot")</f>
        <v>show blot</v>
      </c>
      <c r="J3258" s="5" t="s">
        <v>6395</v>
      </c>
      <c r="L3258" s="11">
        <v>2.1711963218988428</v>
      </c>
      <c r="N3258" s="12"/>
    </row>
    <row r="3259" spans="1:14" s="5" customFormat="1" ht="15" customHeight="1" x14ac:dyDescent="0.25">
      <c r="A3259" s="9" t="s">
        <v>6396</v>
      </c>
      <c r="C3259" s="9" t="str">
        <f>HYPERLINK("http://www.ncbi.nlm.nih.gov/protein/498752597","Hbb-b1")</f>
        <v>Hbb-b1</v>
      </c>
      <c r="D3259" s="10">
        <f t="shared" si="50"/>
        <v>5.4282247425260204</v>
      </c>
      <c r="F3259" s="8" t="str">
        <f>HYPERLINK("https://esbl.nhlbi.nih.gov/Databases/mpkFractions/proteomic_fractions_log_files/Yang_log_img/498752597.jpg","show blot")</f>
        <v>show blot</v>
      </c>
      <c r="H3259" s="8" t="str">
        <f>HYPERLINK("https://esbl.nhlbi.nih.gov/Databases/mpkFractions/proteomic_fractions_linear_files/Yang_linear_img/498752597.jpg","show blot")</f>
        <v>show blot</v>
      </c>
      <c r="J3259" s="5" t="s">
        <v>6397</v>
      </c>
      <c r="L3259" s="11">
        <v>5.4282247425260204</v>
      </c>
      <c r="N3259" s="12"/>
    </row>
    <row r="3260" spans="1:14" s="5" customFormat="1" ht="15" customHeight="1" x14ac:dyDescent="0.25">
      <c r="A3260" s="9" t="s">
        <v>6398</v>
      </c>
      <c r="C3260" s="9" t="str">
        <f>HYPERLINK("http://www.ncbi.nlm.nih.gov/protein/31982300;319402143","Hbb-bt")</f>
        <v>Hbb-bt</v>
      </c>
      <c r="D3260" s="10">
        <f t="shared" si="50"/>
        <v>3.863062712281192</v>
      </c>
      <c r="F3260" s="8" t="str">
        <f>HYPERLINK("https://esbl.nhlbi.nih.gov/Databases/mpkFractions/proteomic_fractions_log_files/Yang_log_img/31982300;319402143.jpg","show blot")</f>
        <v>show blot</v>
      </c>
      <c r="H3260" s="8" t="str">
        <f>HYPERLINK("https://esbl.nhlbi.nih.gov/Databases/mpkFractions/proteomic_fractions_linear_files/Yang_linear_img/31982300;319402143.jpg","show blot")</f>
        <v>show blot</v>
      </c>
      <c r="J3260" s="5" t="s">
        <v>6399</v>
      </c>
      <c r="L3260" s="11">
        <v>3.863062712281192</v>
      </c>
      <c r="N3260" s="12"/>
    </row>
    <row r="3261" spans="1:14" s="5" customFormat="1" ht="15" customHeight="1" x14ac:dyDescent="0.25">
      <c r="A3261" s="9" t="s">
        <v>6400</v>
      </c>
      <c r="C3261" s="9" t="str">
        <f>HYPERLINK("http://www.ncbi.nlm.nih.gov/protein/6754178","Hbegf")</f>
        <v>Hbegf</v>
      </c>
      <c r="D3261" s="10">
        <f t="shared" si="50"/>
        <v>3.962153792562737</v>
      </c>
      <c r="F3261" s="8" t="str">
        <f>HYPERLINK("https://esbl.nhlbi.nih.gov/Databases/mpkFractions/proteomic_fractions_log_files/Yang_log_img/6754178.jpg","show blot")</f>
        <v>show blot</v>
      </c>
      <c r="H3261" s="8" t="str">
        <f>HYPERLINK("https://esbl.nhlbi.nih.gov/Databases/mpkFractions/proteomic_fractions_linear_files/Yang_linear_img/6754178.jpg","show blot")</f>
        <v>show blot</v>
      </c>
      <c r="J3261" s="5" t="s">
        <v>6401</v>
      </c>
      <c r="L3261" s="11">
        <v>3.962153792562737</v>
      </c>
      <c r="N3261" s="12"/>
    </row>
    <row r="3262" spans="1:14" s="5" customFormat="1" ht="15" customHeight="1" x14ac:dyDescent="0.25">
      <c r="A3262" s="9" t="s">
        <v>6402</v>
      </c>
      <c r="C3262" s="9" t="str">
        <f>HYPERLINK("http://www.ncbi.nlm.nih.gov/protein/223634002","Hbs1l")</f>
        <v>Hbs1l</v>
      </c>
      <c r="D3262" s="10">
        <f t="shared" si="50"/>
        <v>3.7789385945622009</v>
      </c>
      <c r="F3262" s="8" t="str">
        <f>HYPERLINK("https://esbl.nhlbi.nih.gov/Databases/mpkFractions/proteomic_fractions_log_files/Yang_log_img/223634002.jpg","show blot")</f>
        <v>show blot</v>
      </c>
      <c r="H3262" s="8" t="str">
        <f>HYPERLINK("https://esbl.nhlbi.nih.gov/Databases/mpkFractions/proteomic_fractions_linear_files/Yang_linear_img/223634002.jpg","show blot")</f>
        <v>show blot</v>
      </c>
      <c r="J3262" s="5" t="s">
        <v>6403</v>
      </c>
      <c r="L3262" s="11">
        <v>3.7789385945622009</v>
      </c>
      <c r="N3262" s="12"/>
    </row>
    <row r="3263" spans="1:14" s="5" customFormat="1" ht="15" customHeight="1" x14ac:dyDescent="0.25">
      <c r="A3263" s="9" t="s">
        <v>6404</v>
      </c>
      <c r="C3263" s="9" t="str">
        <f>HYPERLINK("http://www.ncbi.nlm.nih.gov/protein/110611222","Hbs1l")</f>
        <v>Hbs1l</v>
      </c>
      <c r="D3263" s="10">
        <f t="shared" si="50"/>
        <v>3.7789385945622009</v>
      </c>
      <c r="F3263" s="8" t="str">
        <f>HYPERLINK("https://esbl.nhlbi.nih.gov/Databases/mpkFractions/proteomic_fractions_log_files/Yang_log_img/110611222.jpg","show blot")</f>
        <v>show blot</v>
      </c>
      <c r="H3263" s="8" t="str">
        <f>HYPERLINK("https://esbl.nhlbi.nih.gov/Databases/mpkFractions/proteomic_fractions_linear_files/Yang_linear_img/110611222.jpg","show blot")</f>
        <v>show blot</v>
      </c>
      <c r="J3263" s="5" t="s">
        <v>6405</v>
      </c>
      <c r="L3263" s="11">
        <v>3.7789385945622009</v>
      </c>
      <c r="N3263" s="12"/>
    </row>
    <row r="3264" spans="1:14" s="5" customFormat="1" ht="15" customHeight="1" x14ac:dyDescent="0.25">
      <c r="A3264" s="9" t="s">
        <v>6406</v>
      </c>
      <c r="C3264" s="9" t="str">
        <f>HYPERLINK("http://www.ncbi.nlm.nih.gov/protein/110611224","Hbs1l")</f>
        <v>Hbs1l</v>
      </c>
      <c r="D3264" s="10">
        <f t="shared" si="50"/>
        <v>3.7789385945622009</v>
      </c>
      <c r="F3264" s="8" t="str">
        <f>HYPERLINK("https://esbl.nhlbi.nih.gov/Databases/mpkFractions/proteomic_fractions_log_files/Yang_log_img/110611224.jpg","show blot")</f>
        <v>show blot</v>
      </c>
      <c r="H3264" s="8" t="str">
        <f>HYPERLINK("https://esbl.nhlbi.nih.gov/Databases/mpkFractions/proteomic_fractions_linear_files/Yang_linear_img/110611224.jpg","show blot")</f>
        <v>show blot</v>
      </c>
      <c r="J3264" s="5" t="s">
        <v>6407</v>
      </c>
      <c r="L3264" s="11">
        <v>3.7789385945622009</v>
      </c>
      <c r="N3264" s="12"/>
    </row>
    <row r="3265" spans="1:14" s="5" customFormat="1" ht="15" customHeight="1" x14ac:dyDescent="0.25">
      <c r="A3265" s="9" t="s">
        <v>6408</v>
      </c>
      <c r="C3265" s="9" t="str">
        <f>HYPERLINK("http://www.ncbi.nlm.nih.gov/protein/225543251","Hccs")</f>
        <v>Hccs</v>
      </c>
      <c r="D3265" s="10">
        <f t="shared" si="50"/>
        <v>4.1246699621975962</v>
      </c>
      <c r="F3265" s="8" t="str">
        <f>HYPERLINK("https://esbl.nhlbi.nih.gov/Databases/mpkFractions/proteomic_fractions_log_files/Yang_log_img/225543251.jpg","show blot")</f>
        <v>show blot</v>
      </c>
      <c r="H3265" s="8" t="str">
        <f>HYPERLINK("https://esbl.nhlbi.nih.gov/Databases/mpkFractions/proteomic_fractions_linear_files/Yang_linear_img/225543251.jpg","show blot")</f>
        <v>show blot</v>
      </c>
      <c r="J3265" s="5" t="s">
        <v>6409</v>
      </c>
      <c r="L3265" s="11">
        <v>4.1246699621975962</v>
      </c>
      <c r="N3265" s="12"/>
    </row>
    <row r="3266" spans="1:14" s="5" customFormat="1" ht="15" customHeight="1" x14ac:dyDescent="0.25">
      <c r="A3266" s="9" t="s">
        <v>6410</v>
      </c>
      <c r="C3266" s="9" t="str">
        <f>HYPERLINK("http://www.ncbi.nlm.nih.gov/protein/34328130","Hcfc1")</f>
        <v>Hcfc1</v>
      </c>
      <c r="D3266" s="10">
        <f t="shared" si="50"/>
        <v>3.347086720038797</v>
      </c>
      <c r="F3266" s="8" t="str">
        <f>HYPERLINK("https://esbl.nhlbi.nih.gov/Databases/mpkFractions/proteomic_fractions_log_files/Yang_log_img/34328130.jpg","show blot")</f>
        <v>show blot</v>
      </c>
      <c r="H3266" s="8" t="str">
        <f>HYPERLINK("https://esbl.nhlbi.nih.gov/Databases/mpkFractions/proteomic_fractions_linear_files/Yang_linear_img/34328130.jpg","show blot")</f>
        <v>show blot</v>
      </c>
      <c r="J3266" s="5" t="s">
        <v>6411</v>
      </c>
      <c r="L3266" s="11">
        <v>3.347086720038797</v>
      </c>
      <c r="N3266" s="12"/>
    </row>
    <row r="3267" spans="1:14" s="5" customFormat="1" ht="15" customHeight="1" x14ac:dyDescent="0.25">
      <c r="A3267" s="9" t="s">
        <v>6412</v>
      </c>
      <c r="C3267" s="9" t="str">
        <f>HYPERLINK("http://www.ncbi.nlm.nih.gov/protein/287323109","Hck")</f>
        <v>Hck</v>
      </c>
      <c r="D3267" s="10">
        <f t="shared" si="50"/>
        <v>5.4107693347487693</v>
      </c>
      <c r="F3267" s="8" t="str">
        <f>HYPERLINK("https://esbl.nhlbi.nih.gov/Databases/mpkFractions/proteomic_fractions_log_files/Yang_log_img/287323109.jpg","show blot")</f>
        <v>show blot</v>
      </c>
      <c r="H3267" s="8" t="str">
        <f>HYPERLINK("https://esbl.nhlbi.nih.gov/Databases/mpkFractions/proteomic_fractions_linear_files/Yang_linear_img/287323109.jpg","show blot")</f>
        <v>show blot</v>
      </c>
      <c r="J3267" s="5" t="s">
        <v>6413</v>
      </c>
      <c r="L3267" s="11">
        <v>5.4107693347487693</v>
      </c>
      <c r="N3267" s="12"/>
    </row>
    <row r="3268" spans="1:14" s="5" customFormat="1" ht="15" customHeight="1" x14ac:dyDescent="0.25">
      <c r="A3268" s="9" t="s">
        <v>6414</v>
      </c>
      <c r="C3268" s="9" t="str">
        <f>HYPERLINK("http://www.ncbi.nlm.nih.gov/protein/34734056","Hck")</f>
        <v>Hck</v>
      </c>
      <c r="D3268" s="10">
        <f t="shared" si="50"/>
        <v>5.4107693347487693</v>
      </c>
      <c r="F3268" s="8" t="str">
        <f>HYPERLINK("https://esbl.nhlbi.nih.gov/Databases/mpkFractions/proteomic_fractions_log_files/Yang_log_img/34734056.jpg","show blot")</f>
        <v>show blot</v>
      </c>
      <c r="H3268" s="8" t="str">
        <f>HYPERLINK("https://esbl.nhlbi.nih.gov/Databases/mpkFractions/proteomic_fractions_linear_files/Yang_linear_img/34734056.jpg","show blot")</f>
        <v>show blot</v>
      </c>
      <c r="J3268" s="5" t="s">
        <v>6415</v>
      </c>
      <c r="L3268" s="11">
        <v>5.4107693347487693</v>
      </c>
      <c r="N3268" s="12"/>
    </row>
    <row r="3269" spans="1:14" s="5" customFormat="1" ht="15" customHeight="1" x14ac:dyDescent="0.25">
      <c r="A3269" s="9" t="s">
        <v>6416</v>
      </c>
      <c r="C3269" s="9" t="str">
        <f>HYPERLINK("http://www.ncbi.nlm.nih.gov/protein/6680191","Hcn3")</f>
        <v>Hcn3</v>
      </c>
      <c r="D3269" s="10">
        <f t="shared" ref="D3269:D3332" si="51">L3269</f>
        <v>1.2867564899852351</v>
      </c>
      <c r="F3269" s="8" t="str">
        <f>HYPERLINK("https://esbl.nhlbi.nih.gov/Databases/mpkFractions/proteomic_fractions_log_files/Yang_log_img/6680191.jpg","show blot")</f>
        <v>show blot</v>
      </c>
      <c r="H3269" s="8" t="str">
        <f>HYPERLINK("https://esbl.nhlbi.nih.gov/Databases/mpkFractions/proteomic_fractions_linear_files/Yang_linear_img/6680191.jpg","show blot")</f>
        <v>show blot</v>
      </c>
      <c r="J3269" s="5" t="s">
        <v>6417</v>
      </c>
      <c r="L3269" s="11">
        <v>1.2867564899852351</v>
      </c>
      <c r="N3269" s="12"/>
    </row>
    <row r="3270" spans="1:14" s="5" customFormat="1" ht="15" customHeight="1" x14ac:dyDescent="0.25">
      <c r="A3270" s="9" t="s">
        <v>6418</v>
      </c>
      <c r="C3270" s="9" t="str">
        <f>HYPERLINK("http://www.ncbi.nlm.nih.gov/protein/6680193","Hdac1")</f>
        <v>Hdac1</v>
      </c>
      <c r="D3270" s="10">
        <f t="shared" si="51"/>
        <v>5.7759913968542387</v>
      </c>
      <c r="F3270" s="8" t="str">
        <f>HYPERLINK("https://esbl.nhlbi.nih.gov/Databases/mpkFractions/proteomic_fractions_log_files/Yang_log_img/6680193.jpg","show blot")</f>
        <v>show blot</v>
      </c>
      <c r="H3270" s="8" t="str">
        <f>HYPERLINK("https://esbl.nhlbi.nih.gov/Databases/mpkFractions/proteomic_fractions_linear_files/Yang_linear_img/6680193.jpg","show blot")</f>
        <v>show blot</v>
      </c>
      <c r="J3270" s="5" t="s">
        <v>6419</v>
      </c>
      <c r="L3270" s="11">
        <v>5.7759913968542387</v>
      </c>
      <c r="N3270" s="12"/>
    </row>
    <row r="3271" spans="1:14" s="5" customFormat="1" ht="15" customHeight="1" x14ac:dyDescent="0.25">
      <c r="A3271" s="9" t="s">
        <v>6420</v>
      </c>
      <c r="C3271" s="9" t="str">
        <f>HYPERLINK("http://www.ncbi.nlm.nih.gov/protein/259089444","Hdac10")</f>
        <v>Hdac10</v>
      </c>
      <c r="D3271" s="10">
        <f t="shared" si="51"/>
        <v>3.108913338562862</v>
      </c>
      <c r="F3271" s="8" t="str">
        <f>HYPERLINK("https://esbl.nhlbi.nih.gov/Databases/mpkFractions/proteomic_fractions_log_files/Yang_log_img/259089444.jpg","show blot")</f>
        <v>show blot</v>
      </c>
      <c r="H3271" s="8" t="str">
        <f>HYPERLINK("https://esbl.nhlbi.nih.gov/Databases/mpkFractions/proteomic_fractions_linear_files/Yang_linear_img/259089444.jpg","show blot")</f>
        <v>show blot</v>
      </c>
      <c r="J3271" s="5" t="s">
        <v>6421</v>
      </c>
      <c r="L3271" s="11">
        <v>3.108913338562862</v>
      </c>
      <c r="N3271" s="12"/>
    </row>
    <row r="3272" spans="1:14" s="5" customFormat="1" ht="15" customHeight="1" x14ac:dyDescent="0.25">
      <c r="A3272" s="9" t="s">
        <v>6422</v>
      </c>
      <c r="C3272" s="9" t="str">
        <f>HYPERLINK("http://www.ncbi.nlm.nih.gov/protein/87162464","Hdac2")</f>
        <v>Hdac2</v>
      </c>
      <c r="D3272" s="10">
        <f t="shared" si="51"/>
        <v>5.2879995830429323</v>
      </c>
      <c r="F3272" s="8" t="str">
        <f>HYPERLINK("https://esbl.nhlbi.nih.gov/Databases/mpkFractions/proteomic_fractions_log_files/Yang_log_img/87162464.jpg","show blot")</f>
        <v>show blot</v>
      </c>
      <c r="H3272" s="8" t="str">
        <f>HYPERLINK("https://esbl.nhlbi.nih.gov/Databases/mpkFractions/proteomic_fractions_linear_files/Yang_linear_img/87162464.jpg","show blot")</f>
        <v>show blot</v>
      </c>
      <c r="J3272" s="5" t="s">
        <v>6423</v>
      </c>
      <c r="L3272" s="11">
        <v>5.2879995830429323</v>
      </c>
      <c r="N3272" s="12"/>
    </row>
    <row r="3273" spans="1:14" s="5" customFormat="1" ht="15" customHeight="1" x14ac:dyDescent="0.25">
      <c r="A3273" s="9" t="s">
        <v>6424</v>
      </c>
      <c r="C3273" s="9" t="str">
        <f>HYPERLINK("http://www.ncbi.nlm.nih.gov/protein/89257352","Hdac3")</f>
        <v>Hdac3</v>
      </c>
      <c r="D3273" s="10">
        <f t="shared" si="51"/>
        <v>4.0929970359915844</v>
      </c>
      <c r="F3273" s="8" t="str">
        <f>HYPERLINK("https://esbl.nhlbi.nih.gov/Databases/mpkFractions/proteomic_fractions_log_files/Yang_log_img/89257352.jpg","show blot")</f>
        <v>show blot</v>
      </c>
      <c r="H3273" s="8" t="str">
        <f>HYPERLINK("https://esbl.nhlbi.nih.gov/Databases/mpkFractions/proteomic_fractions_linear_files/Yang_linear_img/89257352.jpg","show blot")</f>
        <v>show blot</v>
      </c>
      <c r="J3273" s="5" t="s">
        <v>6425</v>
      </c>
      <c r="L3273" s="11">
        <v>4.0929970359915844</v>
      </c>
      <c r="N3273" s="12"/>
    </row>
    <row r="3274" spans="1:14" s="5" customFormat="1" ht="15" customHeight="1" x14ac:dyDescent="0.25">
      <c r="A3274" s="9" t="s">
        <v>6426</v>
      </c>
      <c r="C3274" s="9" t="str">
        <f>HYPERLINK("http://www.ncbi.nlm.nih.gov/protein/46402201","Hdac4")</f>
        <v>Hdac4</v>
      </c>
      <c r="D3274" s="10">
        <f t="shared" si="51"/>
        <v>3.0772945112739909</v>
      </c>
      <c r="F3274" s="8" t="str">
        <f>HYPERLINK("https://esbl.nhlbi.nih.gov/Databases/mpkFractions/proteomic_fractions_log_files/Yang_log_img/46402201.jpg","show blot")</f>
        <v>show blot</v>
      </c>
      <c r="H3274" s="8" t="str">
        <f>HYPERLINK("https://esbl.nhlbi.nih.gov/Databases/mpkFractions/proteomic_fractions_linear_files/Yang_linear_img/46402201.jpg","show blot")</f>
        <v>show blot</v>
      </c>
      <c r="J3274" s="5" t="s">
        <v>6427</v>
      </c>
      <c r="L3274" s="11">
        <v>3.0772945112739909</v>
      </c>
      <c r="N3274" s="12"/>
    </row>
    <row r="3275" spans="1:14" s="5" customFormat="1" ht="15" customHeight="1" x14ac:dyDescent="0.25">
      <c r="A3275" s="9" t="s">
        <v>6428</v>
      </c>
      <c r="C3275" s="9" t="str">
        <f>HYPERLINK("http://www.ncbi.nlm.nih.gov/protein/194353997","Hdac6")</f>
        <v>Hdac6</v>
      </c>
      <c r="D3275" s="10">
        <f t="shared" si="51"/>
        <v>4.377544426029961</v>
      </c>
      <c r="F3275" s="8" t="str">
        <f>HYPERLINK("https://esbl.nhlbi.nih.gov/Databases/mpkFractions/proteomic_fractions_log_files/Yang_log_img/194353997.jpg","show blot")</f>
        <v>show blot</v>
      </c>
      <c r="H3275" s="8" t="str">
        <f>HYPERLINK("https://esbl.nhlbi.nih.gov/Databases/mpkFractions/proteomic_fractions_linear_files/Yang_linear_img/194353997.jpg","show blot")</f>
        <v>show blot</v>
      </c>
      <c r="J3275" s="5" t="s">
        <v>6429</v>
      </c>
      <c r="L3275" s="11">
        <v>4.377544426029961</v>
      </c>
      <c r="N3275" s="12"/>
    </row>
    <row r="3276" spans="1:14" s="5" customFormat="1" ht="15" customHeight="1" x14ac:dyDescent="0.25">
      <c r="A3276" s="9" t="s">
        <v>6430</v>
      </c>
      <c r="C3276" s="9" t="str">
        <f>HYPERLINK("http://www.ncbi.nlm.nih.gov/protein/58037203","Hdac8")</f>
        <v>Hdac8</v>
      </c>
      <c r="D3276" s="10">
        <f t="shared" si="51"/>
        <v>3.2638152985486051</v>
      </c>
      <c r="F3276" s="8" t="str">
        <f>HYPERLINK("https://esbl.nhlbi.nih.gov/Databases/mpkFractions/proteomic_fractions_log_files/Yang_log_img/58037203.jpg","show blot")</f>
        <v>show blot</v>
      </c>
      <c r="H3276" s="8" t="str">
        <f>HYPERLINK("https://esbl.nhlbi.nih.gov/Databases/mpkFractions/proteomic_fractions_linear_files/Yang_linear_img/58037203.jpg","show blot")</f>
        <v>show blot</v>
      </c>
      <c r="J3276" s="5" t="s">
        <v>6431</v>
      </c>
      <c r="L3276" s="11">
        <v>3.2638152985486051</v>
      </c>
      <c r="N3276" s="12"/>
    </row>
    <row r="3277" spans="1:14" s="5" customFormat="1" ht="15" customHeight="1" x14ac:dyDescent="0.25">
      <c r="A3277" s="9" t="s">
        <v>6432</v>
      </c>
      <c r="C3277" s="9" t="str">
        <f>HYPERLINK("http://www.ncbi.nlm.nih.gov/protein/75832031","Hddc2")</f>
        <v>Hddc2</v>
      </c>
      <c r="D3277" s="10">
        <f t="shared" si="51"/>
        <v>5.2276494257856294</v>
      </c>
      <c r="F3277" s="8" t="str">
        <f>HYPERLINK("https://esbl.nhlbi.nih.gov/Databases/mpkFractions/proteomic_fractions_log_files/Yang_log_img/75832031.jpg","show blot")</f>
        <v>show blot</v>
      </c>
      <c r="H3277" s="8" t="str">
        <f>HYPERLINK("https://esbl.nhlbi.nih.gov/Databases/mpkFractions/proteomic_fractions_linear_files/Yang_linear_img/75832031.jpg","show blot")</f>
        <v>show blot</v>
      </c>
      <c r="J3277" s="5" t="s">
        <v>6433</v>
      </c>
      <c r="L3277" s="11">
        <v>5.2276494257856294</v>
      </c>
      <c r="N3277" s="12"/>
    </row>
    <row r="3278" spans="1:14" s="5" customFormat="1" ht="15" customHeight="1" x14ac:dyDescent="0.25">
      <c r="A3278" s="9" t="s">
        <v>6434</v>
      </c>
      <c r="C3278" s="9" t="str">
        <f>HYPERLINK("http://www.ncbi.nlm.nih.gov/protein/21312092","Hddc3")</f>
        <v>Hddc3</v>
      </c>
      <c r="D3278" s="10">
        <f t="shared" si="51"/>
        <v>4.6054476343266586</v>
      </c>
      <c r="F3278" s="8" t="str">
        <f>HYPERLINK("https://esbl.nhlbi.nih.gov/Databases/mpkFractions/proteomic_fractions_log_files/Yang_log_img/21312092.jpg","show blot")</f>
        <v>show blot</v>
      </c>
      <c r="H3278" s="8" t="str">
        <f>HYPERLINK("https://esbl.nhlbi.nih.gov/Databases/mpkFractions/proteomic_fractions_linear_files/Yang_linear_img/21312092.jpg","show blot")</f>
        <v>show blot</v>
      </c>
      <c r="J3278" s="5" t="s">
        <v>6435</v>
      </c>
      <c r="L3278" s="11">
        <v>4.6054476343266586</v>
      </c>
      <c r="N3278" s="12"/>
    </row>
    <row r="3279" spans="1:14" s="5" customFormat="1" ht="15" customHeight="1" x14ac:dyDescent="0.25">
      <c r="A3279" s="9" t="s">
        <v>6436</v>
      </c>
      <c r="C3279" s="9" t="str">
        <f>HYPERLINK("http://www.ncbi.nlm.nih.gov/protein/188497724","Hdgf")</f>
        <v>Hdgf</v>
      </c>
      <c r="D3279" s="10">
        <f t="shared" si="51"/>
        <v>6.2865408198986543</v>
      </c>
      <c r="F3279" s="8" t="str">
        <f>HYPERLINK("https://esbl.nhlbi.nih.gov/Databases/mpkFractions/proteomic_fractions_log_files/Yang_log_img/188497724.jpg","show blot")</f>
        <v>show blot</v>
      </c>
      <c r="H3279" s="8" t="str">
        <f>HYPERLINK("https://esbl.nhlbi.nih.gov/Databases/mpkFractions/proteomic_fractions_linear_files/Yang_linear_img/188497724.jpg","show blot")</f>
        <v>show blot</v>
      </c>
      <c r="J3279" s="5" t="s">
        <v>6437</v>
      </c>
      <c r="L3279" s="11">
        <v>6.2865408198986543</v>
      </c>
      <c r="N3279" s="12"/>
    </row>
    <row r="3280" spans="1:14" s="5" customFormat="1" ht="15" customHeight="1" x14ac:dyDescent="0.25">
      <c r="A3280" s="9" t="s">
        <v>6438</v>
      </c>
      <c r="C3280" s="9" t="str">
        <f>HYPERLINK("http://www.ncbi.nlm.nih.gov/protein/6680201","Hdgfrp2")</f>
        <v>Hdgfrp2</v>
      </c>
      <c r="D3280" s="10">
        <f t="shared" si="51"/>
        <v>4.1907731035080031</v>
      </c>
      <c r="F3280" s="8" t="str">
        <f>HYPERLINK("https://esbl.nhlbi.nih.gov/Databases/mpkFractions/proteomic_fractions_log_files/Yang_log_img/6680201.jpg","show blot")</f>
        <v>show blot</v>
      </c>
      <c r="H3280" s="8" t="str">
        <f>HYPERLINK("https://esbl.nhlbi.nih.gov/Databases/mpkFractions/proteomic_fractions_linear_files/Yang_linear_img/6680201.jpg","show blot")</f>
        <v>show blot</v>
      </c>
      <c r="J3280" s="5" t="s">
        <v>6439</v>
      </c>
      <c r="L3280" s="11">
        <v>4.1907731035080031</v>
      </c>
      <c r="N3280" s="12"/>
    </row>
    <row r="3281" spans="1:14" s="5" customFormat="1" ht="15" customHeight="1" x14ac:dyDescent="0.25">
      <c r="A3281" s="9" t="s">
        <v>6440</v>
      </c>
      <c r="C3281" s="9" t="str">
        <f>HYPERLINK("http://www.ncbi.nlm.nih.gov/protein/21313310","Hdhd2")</f>
        <v>Hdhd2</v>
      </c>
      <c r="D3281" s="10">
        <f t="shared" si="51"/>
        <v>3.7742187717042728</v>
      </c>
      <c r="F3281" s="8" t="str">
        <f>HYPERLINK("https://esbl.nhlbi.nih.gov/Databases/mpkFractions/proteomic_fractions_log_files/Yang_log_img/21313310.jpg","show blot")</f>
        <v>show blot</v>
      </c>
      <c r="H3281" s="8" t="str">
        <f>HYPERLINK("https://esbl.nhlbi.nih.gov/Databases/mpkFractions/proteomic_fractions_linear_files/Yang_linear_img/21313310.jpg","show blot")</f>
        <v>show blot</v>
      </c>
      <c r="J3281" s="5" t="s">
        <v>6441</v>
      </c>
      <c r="L3281" s="11">
        <v>3.7742187717042728</v>
      </c>
      <c r="N3281" s="12"/>
    </row>
    <row r="3282" spans="1:14" s="5" customFormat="1" ht="15" customHeight="1" x14ac:dyDescent="0.25">
      <c r="A3282" s="9" t="s">
        <v>6442</v>
      </c>
      <c r="C3282" s="9" t="str">
        <f>HYPERLINK("http://www.ncbi.nlm.nih.gov/protein/21312204","Hdhd3")</f>
        <v>Hdhd3</v>
      </c>
      <c r="D3282" s="10">
        <f t="shared" si="51"/>
        <v>4.4070743351631094</v>
      </c>
      <c r="F3282" s="8" t="str">
        <f>HYPERLINK("https://esbl.nhlbi.nih.gov/Databases/mpkFractions/proteomic_fractions_log_files/Yang_log_img/21312204.jpg","show blot")</f>
        <v>show blot</v>
      </c>
      <c r="H3282" s="8" t="str">
        <f>HYPERLINK("https://esbl.nhlbi.nih.gov/Databases/mpkFractions/proteomic_fractions_linear_files/Yang_linear_img/21312204.jpg","show blot")</f>
        <v>show blot</v>
      </c>
      <c r="J3282" s="5" t="s">
        <v>6443</v>
      </c>
      <c r="L3282" s="11">
        <v>4.4070743351631094</v>
      </c>
      <c r="N3282" s="12"/>
    </row>
    <row r="3283" spans="1:14" s="5" customFormat="1" ht="15" customHeight="1" x14ac:dyDescent="0.25">
      <c r="A3283" s="9" t="s">
        <v>6444</v>
      </c>
      <c r="C3283" s="9" t="str">
        <f>HYPERLINK("http://www.ncbi.nlm.nih.gov/protein/19527028","Hdlbp")</f>
        <v>Hdlbp</v>
      </c>
      <c r="D3283" s="10">
        <f t="shared" si="51"/>
        <v>5.3183236710869624</v>
      </c>
      <c r="F3283" s="8" t="str">
        <f>HYPERLINK("https://esbl.nhlbi.nih.gov/Databases/mpkFractions/proteomic_fractions_log_files/Yang_log_img/19527028.jpg","show blot")</f>
        <v>show blot</v>
      </c>
      <c r="H3283" s="8" t="str">
        <f>HYPERLINK("https://esbl.nhlbi.nih.gov/Databases/mpkFractions/proteomic_fractions_linear_files/Yang_linear_img/19527028.jpg","show blot")</f>
        <v>show blot</v>
      </c>
      <c r="J3283" s="5" t="s">
        <v>6445</v>
      </c>
      <c r="L3283" s="11">
        <v>5.3183236710869624</v>
      </c>
      <c r="N3283" s="12"/>
    </row>
    <row r="3284" spans="1:14" s="5" customFormat="1" ht="15" customHeight="1" x14ac:dyDescent="0.25">
      <c r="A3284" s="9" t="s">
        <v>6446</v>
      </c>
      <c r="C3284" s="9" t="str">
        <f>HYPERLINK("http://www.ncbi.nlm.nih.gov/protein/46519149","Heatr1")</f>
        <v>Heatr1</v>
      </c>
      <c r="D3284" s="10">
        <f t="shared" si="51"/>
        <v>3.090259166505624</v>
      </c>
      <c r="F3284" s="8" t="str">
        <f>HYPERLINK("https://esbl.nhlbi.nih.gov/Databases/mpkFractions/proteomic_fractions_log_files/Yang_log_img/46519149.jpg","show blot")</f>
        <v>show blot</v>
      </c>
      <c r="H3284" s="8" t="str">
        <f>HYPERLINK("https://esbl.nhlbi.nih.gov/Databases/mpkFractions/proteomic_fractions_linear_files/Yang_linear_img/46519149.jpg","show blot")</f>
        <v>show blot</v>
      </c>
      <c r="J3284" s="5" t="s">
        <v>6447</v>
      </c>
      <c r="L3284" s="11">
        <v>3.090259166505624</v>
      </c>
      <c r="N3284" s="12"/>
    </row>
    <row r="3285" spans="1:14" s="5" customFormat="1" ht="15" customHeight="1" x14ac:dyDescent="0.25">
      <c r="A3285" s="9" t="s">
        <v>6448</v>
      </c>
      <c r="C3285" s="9" t="str">
        <f>HYPERLINK("http://www.ncbi.nlm.nih.gov/protein/124486915","Heatr2")</f>
        <v>Heatr2</v>
      </c>
      <c r="D3285" s="10">
        <f t="shared" si="51"/>
        <v>3.7061363429900198</v>
      </c>
      <c r="F3285" s="8" t="str">
        <f>HYPERLINK("https://esbl.nhlbi.nih.gov/Databases/mpkFractions/proteomic_fractions_log_files/Yang_log_img/124486915.jpg","show blot")</f>
        <v>show blot</v>
      </c>
      <c r="H3285" s="8" t="str">
        <f>HYPERLINK("https://esbl.nhlbi.nih.gov/Databases/mpkFractions/proteomic_fractions_linear_files/Yang_linear_img/124486915.jpg","show blot")</f>
        <v>show blot</v>
      </c>
      <c r="J3285" s="5" t="s">
        <v>6449</v>
      </c>
      <c r="L3285" s="11">
        <v>3.7061363429900198</v>
      </c>
      <c r="N3285" s="12"/>
    </row>
    <row r="3286" spans="1:14" s="5" customFormat="1" ht="15" customHeight="1" x14ac:dyDescent="0.25">
      <c r="A3286" s="9" t="s">
        <v>6450</v>
      </c>
      <c r="C3286" s="9" t="str">
        <f>HYPERLINK("http://www.ncbi.nlm.nih.gov/protein/40789301","Heatr3")</f>
        <v>Heatr3</v>
      </c>
      <c r="D3286" s="10">
        <f t="shared" si="51"/>
        <v>4.5844405826632704</v>
      </c>
      <c r="F3286" s="8" t="str">
        <f>HYPERLINK("https://esbl.nhlbi.nih.gov/Databases/mpkFractions/proteomic_fractions_log_files/Yang_log_img/40789301.jpg","show blot")</f>
        <v>show blot</v>
      </c>
      <c r="H3286" s="8" t="str">
        <f>HYPERLINK("https://esbl.nhlbi.nih.gov/Databases/mpkFractions/proteomic_fractions_linear_files/Yang_linear_img/40789301.jpg","show blot")</f>
        <v>show blot</v>
      </c>
      <c r="J3286" s="5" t="s">
        <v>6451</v>
      </c>
      <c r="L3286" s="11">
        <v>4.5844405826632704</v>
      </c>
      <c r="N3286" s="12"/>
    </row>
    <row r="3287" spans="1:14" s="5" customFormat="1" ht="15" customHeight="1" x14ac:dyDescent="0.25">
      <c r="A3287" s="9" t="s">
        <v>6452</v>
      </c>
      <c r="C3287" s="9" t="str">
        <f>HYPERLINK("http://www.ncbi.nlm.nih.gov/protein/38505263","Heatr5a")</f>
        <v>Heatr5a</v>
      </c>
      <c r="D3287" s="10">
        <f t="shared" si="51"/>
        <v>3.4471782355773581</v>
      </c>
      <c r="F3287" s="8" t="str">
        <f>HYPERLINK("https://esbl.nhlbi.nih.gov/Databases/mpkFractions/proteomic_fractions_log_files/Yang_log_img/38505263.jpg","show blot")</f>
        <v>show blot</v>
      </c>
      <c r="H3287" s="8" t="str">
        <f>HYPERLINK("https://esbl.nhlbi.nih.gov/Databases/mpkFractions/proteomic_fractions_linear_files/Yang_linear_img/38505263.jpg","show blot")</f>
        <v>show blot</v>
      </c>
      <c r="J3287" s="5" t="s">
        <v>6453</v>
      </c>
      <c r="L3287" s="11">
        <v>3.4471782355773581</v>
      </c>
      <c r="N3287" s="12"/>
    </row>
    <row r="3288" spans="1:14" s="5" customFormat="1" ht="15" customHeight="1" x14ac:dyDescent="0.25">
      <c r="A3288" s="9" t="s">
        <v>6454</v>
      </c>
      <c r="C3288" s="9" t="str">
        <f>HYPERLINK("http://www.ncbi.nlm.nih.gov/protein/124487157","Heatr5b")</f>
        <v>Heatr5b</v>
      </c>
      <c r="D3288" s="10">
        <f t="shared" si="51"/>
        <v>3.9997133253857839</v>
      </c>
      <c r="F3288" s="8" t="str">
        <f>HYPERLINK("https://esbl.nhlbi.nih.gov/Databases/mpkFractions/proteomic_fractions_log_files/Yang_log_img/124487157.jpg","show blot")</f>
        <v>show blot</v>
      </c>
      <c r="H3288" s="8" t="str">
        <f>HYPERLINK("https://esbl.nhlbi.nih.gov/Databases/mpkFractions/proteomic_fractions_linear_files/Yang_linear_img/124487157.jpg","show blot")</f>
        <v>show blot</v>
      </c>
      <c r="J3288" s="5" t="s">
        <v>6455</v>
      </c>
      <c r="L3288" s="11">
        <v>3.9997133253857839</v>
      </c>
      <c r="N3288" s="12"/>
    </row>
    <row r="3289" spans="1:14" s="5" customFormat="1" ht="15" customHeight="1" x14ac:dyDescent="0.25">
      <c r="A3289" s="9" t="s">
        <v>6456</v>
      </c>
      <c r="C3289" s="9" t="str">
        <f>HYPERLINK("http://www.ncbi.nlm.nih.gov/protein/124249080","Heatr6")</f>
        <v>Heatr6</v>
      </c>
      <c r="D3289" s="10">
        <f t="shared" si="51"/>
        <v>3.47523222706783</v>
      </c>
      <c r="F3289" s="8" t="str">
        <f>HYPERLINK("https://esbl.nhlbi.nih.gov/Databases/mpkFractions/proteomic_fractions_log_files/Yang_log_img/124249080.jpg","show blot")</f>
        <v>show blot</v>
      </c>
      <c r="H3289" s="8" t="str">
        <f>HYPERLINK("https://esbl.nhlbi.nih.gov/Databases/mpkFractions/proteomic_fractions_linear_files/Yang_linear_img/124249080.jpg","show blot")</f>
        <v>show blot</v>
      </c>
      <c r="J3289" s="5" t="s">
        <v>6457</v>
      </c>
      <c r="L3289" s="11">
        <v>3.47523222706783</v>
      </c>
      <c r="N3289" s="12"/>
    </row>
    <row r="3290" spans="1:14" s="5" customFormat="1" ht="15" customHeight="1" x14ac:dyDescent="0.25">
      <c r="A3290" s="9" t="s">
        <v>6458</v>
      </c>
      <c r="C3290" s="9" t="str">
        <f>HYPERLINK("http://www.ncbi.nlm.nih.gov/protein/124001580","Hebp1")</f>
        <v>Hebp1</v>
      </c>
      <c r="D3290" s="10">
        <f t="shared" si="51"/>
        <v>4.3825050858799033</v>
      </c>
      <c r="F3290" s="8" t="str">
        <f>HYPERLINK("https://esbl.nhlbi.nih.gov/Databases/mpkFractions/proteomic_fractions_log_files/Yang_log_img/124001580.jpg","show blot")</f>
        <v>show blot</v>
      </c>
      <c r="H3290" s="8" t="str">
        <f>HYPERLINK("https://esbl.nhlbi.nih.gov/Databases/mpkFractions/proteomic_fractions_linear_files/Yang_linear_img/124001580.jpg","show blot")</f>
        <v>show blot</v>
      </c>
      <c r="J3290" s="5" t="s">
        <v>6459</v>
      </c>
      <c r="L3290" s="11">
        <v>4.3825050858799033</v>
      </c>
      <c r="N3290" s="12"/>
    </row>
    <row r="3291" spans="1:14" s="5" customFormat="1" ht="15" customHeight="1" x14ac:dyDescent="0.25">
      <c r="A3291" s="9" t="s">
        <v>6460</v>
      </c>
      <c r="C3291" s="9" t="str">
        <f>HYPERLINK("http://www.ncbi.nlm.nih.gov/protein/9507129","Hebp2")</f>
        <v>Hebp2</v>
      </c>
      <c r="D3291" s="10">
        <f t="shared" si="51"/>
        <v>4.8027822369834086</v>
      </c>
      <c r="F3291" s="8" t="str">
        <f>HYPERLINK("https://esbl.nhlbi.nih.gov/Databases/mpkFractions/proteomic_fractions_log_files/Yang_log_img/9507129.jpg","show blot")</f>
        <v>show blot</v>
      </c>
      <c r="H3291" s="8" t="str">
        <f>HYPERLINK("https://esbl.nhlbi.nih.gov/Databases/mpkFractions/proteomic_fractions_linear_files/Yang_linear_img/9507129.jpg","show blot")</f>
        <v>show blot</v>
      </c>
      <c r="J3291" s="5" t="s">
        <v>6461</v>
      </c>
      <c r="L3291" s="11">
        <v>4.8027822369834086</v>
      </c>
      <c r="N3291" s="12"/>
    </row>
    <row r="3292" spans="1:14" s="5" customFormat="1" ht="15" customHeight="1" x14ac:dyDescent="0.25">
      <c r="A3292" s="9" t="s">
        <v>6462</v>
      </c>
      <c r="C3292" s="9" t="str">
        <f>HYPERLINK("http://www.ncbi.nlm.nih.gov/protein/205277432","Hectd1")</f>
        <v>Hectd1</v>
      </c>
      <c r="D3292" s="10">
        <f t="shared" si="51"/>
        <v>4.2345829936532304</v>
      </c>
      <c r="F3292" s="8" t="str">
        <f>HYPERLINK("https://esbl.nhlbi.nih.gov/Databases/mpkFractions/proteomic_fractions_log_files/Yang_log_img/205277432.jpg","show blot")</f>
        <v>show blot</v>
      </c>
      <c r="H3292" s="8" t="str">
        <f>HYPERLINK("https://esbl.nhlbi.nih.gov/Databases/mpkFractions/proteomic_fractions_linear_files/Yang_linear_img/205277432.jpg","show blot")</f>
        <v>show blot</v>
      </c>
      <c r="J3292" s="5" t="s">
        <v>6463</v>
      </c>
      <c r="L3292" s="11">
        <v>4.2345829936532304</v>
      </c>
      <c r="N3292" s="12"/>
    </row>
    <row r="3293" spans="1:14" s="5" customFormat="1" ht="15" customHeight="1" x14ac:dyDescent="0.25">
      <c r="A3293" s="9" t="s">
        <v>6464</v>
      </c>
      <c r="C3293" s="9" t="str">
        <f>HYPERLINK("http://www.ncbi.nlm.nih.gov/protein/30424882","Hectd3")</f>
        <v>Hectd3</v>
      </c>
      <c r="D3293" s="10">
        <f t="shared" si="51"/>
        <v>4.4420714506757024</v>
      </c>
      <c r="F3293" s="8" t="str">
        <f>HYPERLINK("https://esbl.nhlbi.nih.gov/Databases/mpkFractions/proteomic_fractions_log_files/Yang_log_img/30424882.jpg","show blot")</f>
        <v>show blot</v>
      </c>
      <c r="H3293" s="8" t="str">
        <f>HYPERLINK("https://esbl.nhlbi.nih.gov/Databases/mpkFractions/proteomic_fractions_linear_files/Yang_linear_img/30424882.jpg","show blot")</f>
        <v>show blot</v>
      </c>
      <c r="J3293" s="5" t="s">
        <v>6465</v>
      </c>
      <c r="L3293" s="11">
        <v>4.4420714506757024</v>
      </c>
      <c r="N3293" s="12"/>
    </row>
    <row r="3294" spans="1:14" s="5" customFormat="1" ht="15" customHeight="1" x14ac:dyDescent="0.25">
      <c r="A3294" s="9" t="s">
        <v>6466</v>
      </c>
      <c r="C3294" s="9" t="str">
        <f>HYPERLINK("http://www.ncbi.nlm.nih.gov/protein/163644255","Hecw1")</f>
        <v>Hecw1</v>
      </c>
      <c r="D3294" s="10">
        <f t="shared" si="51"/>
        <v>3.0724147466559049</v>
      </c>
      <c r="F3294" s="8" t="str">
        <f>HYPERLINK("https://esbl.nhlbi.nih.gov/Databases/mpkFractions/proteomic_fractions_log_files/Yang_log_img/163644255.jpg","show blot")</f>
        <v>show blot</v>
      </c>
      <c r="H3294" s="8" t="str">
        <f>HYPERLINK("https://esbl.nhlbi.nih.gov/Databases/mpkFractions/proteomic_fractions_linear_files/Yang_linear_img/163644255.jpg","show blot")</f>
        <v>show blot</v>
      </c>
      <c r="J3294" s="5" t="s">
        <v>6467</v>
      </c>
      <c r="L3294" s="11">
        <v>3.0724147466559049</v>
      </c>
      <c r="N3294" s="12"/>
    </row>
    <row r="3295" spans="1:14" s="5" customFormat="1" ht="15" customHeight="1" x14ac:dyDescent="0.25">
      <c r="A3295" s="9" t="s">
        <v>6468</v>
      </c>
      <c r="C3295" s="9" t="str">
        <f>HYPERLINK("http://www.ncbi.nlm.nih.gov/protein/165932362","Helb")</f>
        <v>Helb</v>
      </c>
      <c r="D3295" s="10">
        <f t="shared" si="51"/>
        <v>4.0621780951472779</v>
      </c>
      <c r="F3295" s="8" t="str">
        <f>HYPERLINK("https://esbl.nhlbi.nih.gov/Databases/mpkFractions/proteomic_fractions_log_files/Yang_log_img/165932362.jpg","show blot")</f>
        <v>show blot</v>
      </c>
      <c r="H3295" s="8" t="str">
        <f>HYPERLINK("https://esbl.nhlbi.nih.gov/Databases/mpkFractions/proteomic_fractions_linear_files/Yang_linear_img/165932362.jpg","show blot")</f>
        <v>show blot</v>
      </c>
      <c r="J3295" s="5" t="s">
        <v>6469</v>
      </c>
      <c r="L3295" s="11">
        <v>4.0621780951472779</v>
      </c>
      <c r="N3295" s="12"/>
    </row>
    <row r="3296" spans="1:14" s="5" customFormat="1" ht="15" customHeight="1" x14ac:dyDescent="0.25">
      <c r="A3296" s="9" t="s">
        <v>6470</v>
      </c>
      <c r="C3296" s="9" t="str">
        <f>HYPERLINK("http://www.ncbi.nlm.nih.gov/protein/12232371","Hells")</f>
        <v>Hells</v>
      </c>
      <c r="D3296" s="10">
        <f t="shared" si="51"/>
        <v>4.7695765758524473</v>
      </c>
      <c r="F3296" s="8" t="str">
        <f>HYPERLINK("https://esbl.nhlbi.nih.gov/Databases/mpkFractions/proteomic_fractions_log_files/Yang_log_img/12232371.jpg","show blot")</f>
        <v>show blot</v>
      </c>
      <c r="H3296" s="8" t="str">
        <f>HYPERLINK("https://esbl.nhlbi.nih.gov/Databases/mpkFractions/proteomic_fractions_linear_files/Yang_linear_img/12232371.jpg","show blot")</f>
        <v>show blot</v>
      </c>
      <c r="J3296" s="5" t="s">
        <v>6471</v>
      </c>
      <c r="L3296" s="11">
        <v>4.7695765758524473</v>
      </c>
      <c r="N3296" s="12"/>
    </row>
    <row r="3297" spans="1:14" s="5" customFormat="1" ht="15" customHeight="1" x14ac:dyDescent="0.25">
      <c r="A3297" s="9" t="s">
        <v>6472</v>
      </c>
      <c r="C3297" s="9" t="str">
        <f>HYPERLINK("http://www.ncbi.nlm.nih.gov/protein/50355943","Helz")</f>
        <v>Helz</v>
      </c>
      <c r="D3297" s="10">
        <f t="shared" si="51"/>
        <v>2.2728643819280441</v>
      </c>
      <c r="F3297" s="8" t="str">
        <f>HYPERLINK("https://esbl.nhlbi.nih.gov/Databases/mpkFractions/proteomic_fractions_log_files/Yang_log_img/50355943.jpg","show blot")</f>
        <v>show blot</v>
      </c>
      <c r="H3297" s="8" t="str">
        <f>HYPERLINK("https://esbl.nhlbi.nih.gov/Databases/mpkFractions/proteomic_fractions_linear_files/Yang_linear_img/50355943.jpg","show blot")</f>
        <v>show blot</v>
      </c>
      <c r="J3297" s="5" t="s">
        <v>6473</v>
      </c>
      <c r="L3297" s="11">
        <v>2.2728643819280441</v>
      </c>
      <c r="N3297" s="12"/>
    </row>
    <row r="3298" spans="1:14" s="5" customFormat="1" ht="15" customHeight="1" x14ac:dyDescent="0.25">
      <c r="A3298" s="9" t="s">
        <v>6474</v>
      </c>
      <c r="C3298" s="9" t="str">
        <f>HYPERLINK("http://www.ncbi.nlm.nih.gov/protein/125347767","Helz2")</f>
        <v>Helz2</v>
      </c>
      <c r="D3298" s="10">
        <f t="shared" si="51"/>
        <v>2.3635722184380632</v>
      </c>
      <c r="F3298" s="8" t="str">
        <f>HYPERLINK("https://esbl.nhlbi.nih.gov/Databases/mpkFractions/proteomic_fractions_log_files/Yang_log_img/125347767.jpg","show blot")</f>
        <v>show blot</v>
      </c>
      <c r="H3298" s="8" t="str">
        <f>HYPERLINK("https://esbl.nhlbi.nih.gov/Databases/mpkFractions/proteomic_fractions_linear_files/Yang_linear_img/125347767.jpg","show blot")</f>
        <v>show blot</v>
      </c>
      <c r="J3298" s="5" t="s">
        <v>6475</v>
      </c>
      <c r="L3298" s="11">
        <v>2.3635722184380632</v>
      </c>
      <c r="N3298" s="12"/>
    </row>
    <row r="3299" spans="1:14" s="5" customFormat="1" ht="15" customHeight="1" x14ac:dyDescent="0.25">
      <c r="A3299" s="9" t="s">
        <v>6476</v>
      </c>
      <c r="C3299" s="9" t="str">
        <f>HYPERLINK("http://www.ncbi.nlm.nih.gov/protein/257196144","Herc1")</f>
        <v>Herc1</v>
      </c>
      <c r="D3299" s="10">
        <f t="shared" si="51"/>
        <v>3.36465250821841</v>
      </c>
      <c r="F3299" s="8" t="str">
        <f>HYPERLINK("https://esbl.nhlbi.nih.gov/Databases/mpkFractions/proteomic_fractions_log_files/Yang_log_img/257196144.jpg","show blot")</f>
        <v>show blot</v>
      </c>
      <c r="H3299" s="8" t="str">
        <f>HYPERLINK("https://esbl.nhlbi.nih.gov/Databases/mpkFractions/proteomic_fractions_linear_files/Yang_linear_img/257196144.jpg","show blot")</f>
        <v>show blot</v>
      </c>
      <c r="J3299" s="5" t="s">
        <v>6477</v>
      </c>
      <c r="L3299" s="11">
        <v>3.36465250821841</v>
      </c>
      <c r="N3299" s="12"/>
    </row>
    <row r="3300" spans="1:14" s="5" customFormat="1" ht="15" customHeight="1" x14ac:dyDescent="0.25">
      <c r="A3300" s="9" t="s">
        <v>6478</v>
      </c>
      <c r="C3300" s="9" t="str">
        <f>HYPERLINK("http://www.ncbi.nlm.nih.gov/protein/134288898","Herc2")</f>
        <v>Herc2</v>
      </c>
      <c r="D3300" s="10">
        <f t="shared" si="51"/>
        <v>1.2307022931260729</v>
      </c>
      <c r="F3300" s="8" t="str">
        <f>HYPERLINK("https://esbl.nhlbi.nih.gov/Databases/mpkFractions/proteomic_fractions_log_files/Yang_log_img/134288898.jpg","show blot")</f>
        <v>show blot</v>
      </c>
      <c r="H3300" s="8" t="str">
        <f>HYPERLINK("https://esbl.nhlbi.nih.gov/Databases/mpkFractions/proteomic_fractions_linear_files/Yang_linear_img/134288898.jpg","show blot")</f>
        <v>show blot</v>
      </c>
      <c r="J3300" s="5" t="s">
        <v>6479</v>
      </c>
      <c r="L3300" s="11">
        <v>1.2307022931260729</v>
      </c>
      <c r="N3300" s="12"/>
    </row>
    <row r="3301" spans="1:14" s="5" customFormat="1" ht="15" customHeight="1" x14ac:dyDescent="0.25">
      <c r="A3301" s="9" t="s">
        <v>6480</v>
      </c>
      <c r="C3301" s="9" t="str">
        <f>HYPERLINK("http://www.ncbi.nlm.nih.gov/protein/312433980","Herc4")</f>
        <v>Herc4</v>
      </c>
      <c r="D3301" s="10">
        <f t="shared" si="51"/>
        <v>4.7339615731217766</v>
      </c>
      <c r="F3301" s="8" t="str">
        <f>HYPERLINK("https://esbl.nhlbi.nih.gov/Databases/mpkFractions/proteomic_fractions_log_files/Yang_log_img/312433980.jpg","show blot")</f>
        <v>show blot</v>
      </c>
      <c r="H3301" s="8" t="str">
        <f>HYPERLINK("https://esbl.nhlbi.nih.gov/Databases/mpkFractions/proteomic_fractions_linear_files/Yang_linear_img/312433980.jpg","show blot")</f>
        <v>show blot</v>
      </c>
      <c r="J3301" s="5" t="s">
        <v>6481</v>
      </c>
      <c r="L3301" s="11">
        <v>4.7339615731217766</v>
      </c>
      <c r="N3301" s="12"/>
    </row>
    <row r="3302" spans="1:14" s="5" customFormat="1" ht="15" customHeight="1" x14ac:dyDescent="0.25">
      <c r="A3302" s="9" t="s">
        <v>6482</v>
      </c>
      <c r="C3302" s="9" t="str">
        <f>HYPERLINK("http://www.ncbi.nlm.nih.gov/protein/32451488","Herc4")</f>
        <v>Herc4</v>
      </c>
      <c r="D3302" s="10">
        <f t="shared" si="51"/>
        <v>4.7339615731217766</v>
      </c>
      <c r="F3302" s="8" t="str">
        <f>HYPERLINK("https://esbl.nhlbi.nih.gov/Databases/mpkFractions/proteomic_fractions_log_files/Yang_log_img/32451488.jpg","show blot")</f>
        <v>show blot</v>
      </c>
      <c r="H3302" s="8" t="str">
        <f>HYPERLINK("https://esbl.nhlbi.nih.gov/Databases/mpkFractions/proteomic_fractions_linear_files/Yang_linear_img/32451488.jpg","show blot")</f>
        <v>show blot</v>
      </c>
      <c r="J3302" s="5" t="s">
        <v>6483</v>
      </c>
      <c r="L3302" s="11">
        <v>4.7339615731217766</v>
      </c>
      <c r="N3302" s="12"/>
    </row>
    <row r="3303" spans="1:14" s="5" customFormat="1" ht="15" customHeight="1" x14ac:dyDescent="0.25">
      <c r="A3303" s="9" t="s">
        <v>6484</v>
      </c>
      <c r="C3303" s="9" t="str">
        <f>HYPERLINK("http://www.ncbi.nlm.nih.gov/protein/11612515","Herpud1")</f>
        <v>Herpud1</v>
      </c>
      <c r="D3303" s="10">
        <f t="shared" si="51"/>
        <v>2.565870298907134</v>
      </c>
      <c r="F3303" s="8" t="str">
        <f>HYPERLINK("https://esbl.nhlbi.nih.gov/Databases/mpkFractions/proteomic_fractions_log_files/Yang_log_img/11612515.jpg","show blot")</f>
        <v>show blot</v>
      </c>
      <c r="H3303" s="8" t="str">
        <f>HYPERLINK("https://esbl.nhlbi.nih.gov/Databases/mpkFractions/proteomic_fractions_linear_files/Yang_linear_img/11612515.jpg","show blot")</f>
        <v>show blot</v>
      </c>
      <c r="J3303" s="5" t="s">
        <v>6485</v>
      </c>
      <c r="L3303" s="11">
        <v>2.565870298907134</v>
      </c>
      <c r="N3303" s="12"/>
    </row>
    <row r="3304" spans="1:14" s="5" customFormat="1" ht="15" customHeight="1" x14ac:dyDescent="0.25">
      <c r="A3304" s="9" t="s">
        <v>6486</v>
      </c>
      <c r="C3304" s="9" t="str">
        <f>HYPERLINK("http://www.ncbi.nlm.nih.gov/protein/67514549","Hexa")</f>
        <v>Hexa</v>
      </c>
      <c r="D3304" s="10">
        <f t="shared" si="51"/>
        <v>4.9814007718279552</v>
      </c>
      <c r="F3304" s="8" t="str">
        <f>HYPERLINK("https://esbl.nhlbi.nih.gov/Databases/mpkFractions/proteomic_fractions_log_files/Yang_log_img/67514549.jpg","show blot")</f>
        <v>show blot</v>
      </c>
      <c r="H3304" s="8" t="str">
        <f>HYPERLINK("https://esbl.nhlbi.nih.gov/Databases/mpkFractions/proteomic_fractions_linear_files/Yang_linear_img/67514549.jpg","show blot")</f>
        <v>show blot</v>
      </c>
      <c r="J3304" s="5" t="s">
        <v>6487</v>
      </c>
      <c r="L3304" s="11">
        <v>4.9814007718279552</v>
      </c>
      <c r="N3304" s="12"/>
    </row>
    <row r="3305" spans="1:14" s="5" customFormat="1" ht="15" customHeight="1" x14ac:dyDescent="0.25">
      <c r="A3305" s="9" t="s">
        <v>6488</v>
      </c>
      <c r="C3305" s="9" t="str">
        <f>HYPERLINK("http://www.ncbi.nlm.nih.gov/protein/6754186","Hexb")</f>
        <v>Hexb</v>
      </c>
      <c r="D3305" s="10">
        <f t="shared" si="51"/>
        <v>4.9992680471419044</v>
      </c>
      <c r="F3305" s="8" t="str">
        <f>HYPERLINK("https://esbl.nhlbi.nih.gov/Databases/mpkFractions/proteomic_fractions_log_files/Yang_log_img/6754186.jpg","show blot")</f>
        <v>show blot</v>
      </c>
      <c r="H3305" s="8" t="str">
        <f>HYPERLINK("https://esbl.nhlbi.nih.gov/Databases/mpkFractions/proteomic_fractions_linear_files/Yang_linear_img/6754186.jpg","show blot")</f>
        <v>show blot</v>
      </c>
      <c r="J3305" s="5" t="s">
        <v>6489</v>
      </c>
      <c r="L3305" s="11">
        <v>4.9992680471419044</v>
      </c>
      <c r="N3305" s="12"/>
    </row>
    <row r="3306" spans="1:14" s="5" customFormat="1" ht="15" customHeight="1" x14ac:dyDescent="0.25">
      <c r="A3306" s="9" t="s">
        <v>6490</v>
      </c>
      <c r="C3306" s="9" t="str">
        <f>HYPERLINK("http://www.ncbi.nlm.nih.gov/protein/20270289","Hexim1")</f>
        <v>Hexim1</v>
      </c>
      <c r="D3306" s="10">
        <f t="shared" si="51"/>
        <v>4.2483261881307808</v>
      </c>
      <c r="F3306" s="8" t="str">
        <f>HYPERLINK("https://esbl.nhlbi.nih.gov/Databases/mpkFractions/proteomic_fractions_log_files/Yang_log_img/20270289.jpg","show blot")</f>
        <v>show blot</v>
      </c>
      <c r="H3306" s="8" t="str">
        <f>HYPERLINK("https://esbl.nhlbi.nih.gov/Databases/mpkFractions/proteomic_fractions_linear_files/Yang_linear_img/20270289.jpg","show blot")</f>
        <v>show blot</v>
      </c>
      <c r="J3306" s="5" t="s">
        <v>6491</v>
      </c>
      <c r="L3306" s="11">
        <v>4.2483261881307808</v>
      </c>
      <c r="N3306" s="12"/>
    </row>
    <row r="3307" spans="1:14" s="5" customFormat="1" ht="15" customHeight="1" x14ac:dyDescent="0.25">
      <c r="A3307" s="9" t="s">
        <v>6492</v>
      </c>
      <c r="C3307" s="9" t="str">
        <f>HYPERLINK("http://www.ncbi.nlm.nih.gov/protein/226693388","Hgs")</f>
        <v>Hgs</v>
      </c>
      <c r="D3307" s="10">
        <f t="shared" si="51"/>
        <v>4.8185132876923076</v>
      </c>
      <c r="F3307" s="8" t="str">
        <f>HYPERLINK("https://esbl.nhlbi.nih.gov/Databases/mpkFractions/proteomic_fractions_log_files/Yang_log_img/226693388.jpg","show blot")</f>
        <v>show blot</v>
      </c>
      <c r="H3307" s="8" t="str">
        <f>HYPERLINK("https://esbl.nhlbi.nih.gov/Databases/mpkFractions/proteomic_fractions_linear_files/Yang_linear_img/226693388.jpg","show blot")</f>
        <v>show blot</v>
      </c>
      <c r="J3307" s="5" t="s">
        <v>6493</v>
      </c>
      <c r="L3307" s="11">
        <v>4.8185132876923076</v>
      </c>
      <c r="N3307" s="12"/>
    </row>
    <row r="3308" spans="1:14" s="5" customFormat="1" ht="15" customHeight="1" x14ac:dyDescent="0.25">
      <c r="A3308" s="9" t="s">
        <v>6494</v>
      </c>
      <c r="C3308" s="9" t="str">
        <f>HYPERLINK("http://www.ncbi.nlm.nih.gov/protein/226874952","Hgs")</f>
        <v>Hgs</v>
      </c>
      <c r="D3308" s="10">
        <f t="shared" si="51"/>
        <v>4.8185132876923076</v>
      </c>
      <c r="F3308" s="8" t="str">
        <f>HYPERLINK("https://esbl.nhlbi.nih.gov/Databases/mpkFractions/proteomic_fractions_log_files/Yang_log_img/226874952.jpg","show blot")</f>
        <v>show blot</v>
      </c>
      <c r="H3308" s="8" t="str">
        <f>HYPERLINK("https://esbl.nhlbi.nih.gov/Databases/mpkFractions/proteomic_fractions_linear_files/Yang_linear_img/226874952.jpg","show blot")</f>
        <v>show blot</v>
      </c>
      <c r="J3308" s="5" t="s">
        <v>6495</v>
      </c>
      <c r="L3308" s="11">
        <v>4.8185132876923076</v>
      </c>
      <c r="N3308" s="12"/>
    </row>
    <row r="3309" spans="1:14" s="5" customFormat="1" ht="15" customHeight="1" x14ac:dyDescent="0.25">
      <c r="A3309" s="9" t="s">
        <v>6496</v>
      </c>
      <c r="C3309" s="9" t="str">
        <f>HYPERLINK("http://www.ncbi.nlm.nih.gov/protein/115292433","Hgsnat")</f>
        <v>Hgsnat</v>
      </c>
      <c r="D3309" s="10">
        <f t="shared" si="51"/>
        <v>3.5896840733132169</v>
      </c>
      <c r="F3309" s="8" t="str">
        <f>HYPERLINK("https://esbl.nhlbi.nih.gov/Databases/mpkFractions/proteomic_fractions_log_files/Yang_log_img/115292433.jpg","show blot")</f>
        <v>show blot</v>
      </c>
      <c r="H3309" s="8" t="str">
        <f>HYPERLINK("https://esbl.nhlbi.nih.gov/Databases/mpkFractions/proteomic_fractions_linear_files/Yang_linear_img/115292433.jpg","show blot")</f>
        <v>show blot</v>
      </c>
      <c r="J3309" s="5" t="s">
        <v>6497</v>
      </c>
      <c r="L3309" s="11">
        <v>3.5896840733132169</v>
      </c>
      <c r="N3309" s="12"/>
    </row>
    <row r="3310" spans="1:14" s="5" customFormat="1" ht="15" customHeight="1" x14ac:dyDescent="0.25">
      <c r="A3310" s="9" t="s">
        <v>6498</v>
      </c>
      <c r="C3310" s="9" t="str">
        <f>HYPERLINK("http://www.ncbi.nlm.nih.gov/protein/160358774","Hhip")</f>
        <v>Hhip</v>
      </c>
      <c r="D3310" s="10">
        <f t="shared" si="51"/>
        <v>4.2233538297608773</v>
      </c>
      <c r="F3310" s="8" t="str">
        <f>HYPERLINK("https://esbl.nhlbi.nih.gov/Databases/mpkFractions/proteomic_fractions_log_files/Yang_log_img/160358774.jpg","show blot")</f>
        <v>show blot</v>
      </c>
      <c r="H3310" s="8" t="str">
        <f>HYPERLINK("https://esbl.nhlbi.nih.gov/Databases/mpkFractions/proteomic_fractions_linear_files/Yang_linear_img/160358774.jpg","show blot")</f>
        <v>show blot</v>
      </c>
      <c r="J3310" s="5" t="s">
        <v>6499</v>
      </c>
      <c r="L3310" s="11">
        <v>4.2233538297608773</v>
      </c>
      <c r="N3310" s="12"/>
    </row>
    <row r="3311" spans="1:14" s="5" customFormat="1" ht="15" customHeight="1" x14ac:dyDescent="0.25">
      <c r="A3311" s="9" t="s">
        <v>6500</v>
      </c>
      <c r="C3311" s="9" t="str">
        <f>HYPERLINK("http://www.ncbi.nlm.nih.gov/protein/21704140","Hibadh")</f>
        <v>Hibadh</v>
      </c>
      <c r="D3311" s="10">
        <f t="shared" si="51"/>
        <v>5.5098969315140209</v>
      </c>
      <c r="F3311" s="8" t="str">
        <f>HYPERLINK("https://esbl.nhlbi.nih.gov/Databases/mpkFractions/proteomic_fractions_log_files/Yang_log_img/21704140.jpg","show blot")</f>
        <v>show blot</v>
      </c>
      <c r="H3311" s="8" t="str">
        <f>HYPERLINK("https://esbl.nhlbi.nih.gov/Databases/mpkFractions/proteomic_fractions_linear_files/Yang_linear_img/21704140.jpg","show blot")</f>
        <v>show blot</v>
      </c>
      <c r="J3311" s="5" t="s">
        <v>6501</v>
      </c>
      <c r="L3311" s="11">
        <v>5.5098969315140209</v>
      </c>
      <c r="N3311" s="12"/>
    </row>
    <row r="3312" spans="1:14" s="5" customFormat="1" ht="15" customHeight="1" x14ac:dyDescent="0.25">
      <c r="A3312" s="9" t="s">
        <v>6502</v>
      </c>
      <c r="C3312" s="9" t="str">
        <f>HYPERLINK("http://www.ncbi.nlm.nih.gov/protein/22122625","Hibch")</f>
        <v>Hibch</v>
      </c>
      <c r="D3312" s="10">
        <f t="shared" si="51"/>
        <v>4.5281387019114314</v>
      </c>
      <c r="F3312" s="8" t="str">
        <f>HYPERLINK("https://esbl.nhlbi.nih.gov/Databases/mpkFractions/proteomic_fractions_log_files/Yang_log_img/22122625.jpg","show blot")</f>
        <v>show blot</v>
      </c>
      <c r="H3312" s="8" t="str">
        <f>HYPERLINK("https://esbl.nhlbi.nih.gov/Databases/mpkFractions/proteomic_fractions_linear_files/Yang_linear_img/22122625.jpg","show blot")</f>
        <v>show blot</v>
      </c>
      <c r="J3312" s="5" t="s">
        <v>6503</v>
      </c>
      <c r="L3312" s="11">
        <v>4.5281387019114314</v>
      </c>
      <c r="N3312" s="12"/>
    </row>
    <row r="3313" spans="1:14" s="5" customFormat="1" ht="15" customHeight="1" x14ac:dyDescent="0.25">
      <c r="A3313" s="9" t="s">
        <v>6504</v>
      </c>
      <c r="C3313" s="9" t="str">
        <f>HYPERLINK("http://www.ncbi.nlm.nih.gov/protein/70887767","Hic2")</f>
        <v>Hic2</v>
      </c>
      <c r="D3313" s="10">
        <f t="shared" si="51"/>
        <v>4.9011421008759362</v>
      </c>
      <c r="F3313" s="8" t="str">
        <f>HYPERLINK("https://esbl.nhlbi.nih.gov/Databases/mpkFractions/proteomic_fractions_log_files/Yang_log_img/70887767.jpg","show blot")</f>
        <v>show blot</v>
      </c>
      <c r="H3313" s="8" t="str">
        <f>HYPERLINK("https://esbl.nhlbi.nih.gov/Databases/mpkFractions/proteomic_fractions_linear_files/Yang_linear_img/70887767.jpg","show blot")</f>
        <v>show blot</v>
      </c>
      <c r="J3313" s="5" t="s">
        <v>6505</v>
      </c>
      <c r="L3313" s="11">
        <v>4.9011421008759362</v>
      </c>
      <c r="N3313" s="12"/>
    </row>
    <row r="3314" spans="1:14" s="5" customFormat="1" ht="15" customHeight="1" x14ac:dyDescent="0.25">
      <c r="A3314" s="9" t="s">
        <v>6506</v>
      </c>
      <c r="C3314" s="9" t="str">
        <f>HYPERLINK("http://www.ncbi.nlm.nih.gov/protein/29825825","Hid1")</f>
        <v>Hid1</v>
      </c>
      <c r="D3314" s="10">
        <f t="shared" si="51"/>
        <v>3.7433617356650362</v>
      </c>
      <c r="F3314" s="8" t="str">
        <f>HYPERLINK("https://esbl.nhlbi.nih.gov/Databases/mpkFractions/proteomic_fractions_log_files/Yang_log_img/29825825.jpg","show blot")</f>
        <v>show blot</v>
      </c>
      <c r="H3314" s="8" t="str">
        <f>HYPERLINK("https://esbl.nhlbi.nih.gov/Databases/mpkFractions/proteomic_fractions_linear_files/Yang_linear_img/29825825.jpg","show blot")</f>
        <v>show blot</v>
      </c>
      <c r="J3314" s="5" t="s">
        <v>6507</v>
      </c>
      <c r="L3314" s="11">
        <v>3.7433617356650362</v>
      </c>
      <c r="N3314" s="12"/>
    </row>
    <row r="3315" spans="1:14" s="5" customFormat="1" ht="15" customHeight="1" x14ac:dyDescent="0.25">
      <c r="A3315" s="9" t="s">
        <v>6508</v>
      </c>
      <c r="C3315" s="9" t="str">
        <f>HYPERLINK("http://www.ncbi.nlm.nih.gov/protein/70909332","Hif1an")</f>
        <v>Hif1an</v>
      </c>
      <c r="D3315" s="10">
        <f t="shared" si="51"/>
        <v>4.4518996722635427</v>
      </c>
      <c r="F3315" s="8" t="str">
        <f>HYPERLINK("https://esbl.nhlbi.nih.gov/Databases/mpkFractions/proteomic_fractions_log_files/Yang_log_img/70909332.jpg","show blot")</f>
        <v>show blot</v>
      </c>
      <c r="H3315" s="8" t="str">
        <f>HYPERLINK("https://esbl.nhlbi.nih.gov/Databases/mpkFractions/proteomic_fractions_linear_files/Yang_linear_img/70909332.jpg","show blot")</f>
        <v>show blot</v>
      </c>
      <c r="J3315" s="5" t="s">
        <v>6509</v>
      </c>
      <c r="L3315" s="11">
        <v>4.4518996722635427</v>
      </c>
      <c r="N3315" s="12"/>
    </row>
    <row r="3316" spans="1:14" s="5" customFormat="1" ht="15" customHeight="1" x14ac:dyDescent="0.25">
      <c r="A3316" s="9" t="s">
        <v>6510</v>
      </c>
      <c r="C3316" s="9" t="str">
        <f>HYPERLINK("http://www.ncbi.nlm.nih.gov/protein/9789977","Higd1a")</f>
        <v>Higd1a</v>
      </c>
      <c r="D3316" s="10">
        <f t="shared" si="51"/>
        <v>3.1099778387137191</v>
      </c>
      <c r="F3316" s="8" t="str">
        <f>HYPERLINK("https://esbl.nhlbi.nih.gov/Databases/mpkFractions/proteomic_fractions_log_files/Yang_log_img/9789977.jpg","show blot")</f>
        <v>show blot</v>
      </c>
      <c r="H3316" s="8" t="str">
        <f>HYPERLINK("https://esbl.nhlbi.nih.gov/Databases/mpkFractions/proteomic_fractions_linear_files/Yang_linear_img/9789977.jpg","show blot")</f>
        <v>show blot</v>
      </c>
      <c r="J3316" s="5" t="s">
        <v>6511</v>
      </c>
      <c r="L3316" s="11">
        <v>3.1099778387137191</v>
      </c>
      <c r="N3316" s="12"/>
    </row>
    <row r="3317" spans="1:14" s="5" customFormat="1" ht="15" customHeight="1" x14ac:dyDescent="0.25">
      <c r="A3317" s="9" t="s">
        <v>6512</v>
      </c>
      <c r="C3317" s="9" t="str">
        <f>HYPERLINK("http://www.ncbi.nlm.nih.gov/protein/12963711","Hilpda")</f>
        <v>Hilpda</v>
      </c>
      <c r="D3317" s="10">
        <f t="shared" si="51"/>
        <v>3.2245330626060862</v>
      </c>
      <c r="F3317" s="8" t="str">
        <f>HYPERLINK("https://esbl.nhlbi.nih.gov/Databases/mpkFractions/proteomic_fractions_log_files/Yang_log_img/12963711.jpg","show blot")</f>
        <v>show blot</v>
      </c>
      <c r="H3317" s="8" t="str">
        <f>HYPERLINK("https://esbl.nhlbi.nih.gov/Databases/mpkFractions/proteomic_fractions_linear_files/Yang_linear_img/12963711.jpg","show blot")</f>
        <v>show blot</v>
      </c>
      <c r="J3317" s="5" t="s">
        <v>6513</v>
      </c>
      <c r="L3317" s="11">
        <v>3.2245330626060862</v>
      </c>
      <c r="N3317" s="12"/>
    </row>
    <row r="3318" spans="1:14" s="5" customFormat="1" ht="15" customHeight="1" x14ac:dyDescent="0.25">
      <c r="A3318" s="9" t="s">
        <v>6514</v>
      </c>
      <c r="C3318" s="9" t="str">
        <f>HYPERLINK("http://www.ncbi.nlm.nih.gov/protein/299758486","Hilpda")</f>
        <v>Hilpda</v>
      </c>
      <c r="D3318" s="10">
        <f t="shared" si="51"/>
        <v>3.2245330626060862</v>
      </c>
      <c r="F3318" s="8" t="str">
        <f>HYPERLINK("https://esbl.nhlbi.nih.gov/Databases/mpkFractions/proteomic_fractions_log_files/Yang_log_img/299758486.jpg","show blot")</f>
        <v>show blot</v>
      </c>
      <c r="H3318" s="8" t="str">
        <f>HYPERLINK("https://esbl.nhlbi.nih.gov/Databases/mpkFractions/proteomic_fractions_linear_files/Yang_linear_img/299758486.jpg","show blot")</f>
        <v>show blot</v>
      </c>
      <c r="J3318" s="5" t="s">
        <v>6515</v>
      </c>
      <c r="L3318" s="11">
        <v>3.2245330626060862</v>
      </c>
      <c r="N3318" s="12"/>
    </row>
    <row r="3319" spans="1:14" s="5" customFormat="1" ht="15" customHeight="1" x14ac:dyDescent="0.25">
      <c r="A3319" s="9" t="s">
        <v>6516</v>
      </c>
      <c r="C3319" s="9" t="str">
        <f>HYPERLINK("http://www.ncbi.nlm.nih.gov/protein/33468857","Hint1")</f>
        <v>Hint1</v>
      </c>
      <c r="D3319" s="10">
        <f t="shared" si="51"/>
        <v>6.308036137939121</v>
      </c>
      <c r="F3319" s="8" t="str">
        <f>HYPERLINK("https://esbl.nhlbi.nih.gov/Databases/mpkFractions/proteomic_fractions_log_files/Yang_log_img/33468857.jpg","show blot")</f>
        <v>show blot</v>
      </c>
      <c r="H3319" s="8" t="str">
        <f>HYPERLINK("https://esbl.nhlbi.nih.gov/Databases/mpkFractions/proteomic_fractions_linear_files/Yang_linear_img/33468857.jpg","show blot")</f>
        <v>show blot</v>
      </c>
      <c r="J3319" s="5" t="s">
        <v>6517</v>
      </c>
      <c r="L3319" s="11">
        <v>6.308036137939121</v>
      </c>
      <c r="N3319" s="12"/>
    </row>
    <row r="3320" spans="1:14" s="5" customFormat="1" ht="15" customHeight="1" x14ac:dyDescent="0.25">
      <c r="A3320" s="9" t="s">
        <v>6518</v>
      </c>
      <c r="C3320" s="9" t="str">
        <f>HYPERLINK("http://www.ncbi.nlm.nih.gov/protein/110625719","Hint2")</f>
        <v>Hint2</v>
      </c>
      <c r="D3320" s="10">
        <f t="shared" si="51"/>
        <v>4.5755094646672303</v>
      </c>
      <c r="F3320" s="8" t="str">
        <f>HYPERLINK("https://esbl.nhlbi.nih.gov/Databases/mpkFractions/proteomic_fractions_log_files/Yang_log_img/110625719.jpg","show blot")</f>
        <v>show blot</v>
      </c>
      <c r="H3320" s="8" t="str">
        <f>HYPERLINK("https://esbl.nhlbi.nih.gov/Databases/mpkFractions/proteomic_fractions_linear_files/Yang_linear_img/110625719.jpg","show blot")</f>
        <v>show blot</v>
      </c>
      <c r="J3320" s="5" t="s">
        <v>6519</v>
      </c>
      <c r="L3320" s="11">
        <v>4.5755094646672303</v>
      </c>
      <c r="N3320" s="12"/>
    </row>
    <row r="3321" spans="1:14" s="5" customFormat="1" ht="15" customHeight="1" x14ac:dyDescent="0.25">
      <c r="A3321" s="9" t="s">
        <v>6520</v>
      </c>
      <c r="C3321" s="9" t="str">
        <f>HYPERLINK("http://www.ncbi.nlm.nih.gov/protein/13385270","Hint3")</f>
        <v>Hint3</v>
      </c>
      <c r="D3321" s="10">
        <f t="shared" si="51"/>
        <v>4.5858840271113053</v>
      </c>
      <c r="F3321" s="8" t="str">
        <f>HYPERLINK("https://esbl.nhlbi.nih.gov/Databases/mpkFractions/proteomic_fractions_log_files/Yang_log_img/13385270.jpg","show blot")</f>
        <v>show blot</v>
      </c>
      <c r="H3321" s="8" t="str">
        <f>HYPERLINK("https://esbl.nhlbi.nih.gov/Databases/mpkFractions/proteomic_fractions_linear_files/Yang_linear_img/13385270.jpg","show blot")</f>
        <v>show blot</v>
      </c>
      <c r="J3321" s="5" t="s">
        <v>6521</v>
      </c>
      <c r="L3321" s="11">
        <v>4.5858840271113053</v>
      </c>
      <c r="N3321" s="12"/>
    </row>
    <row r="3322" spans="1:14" s="5" customFormat="1" ht="15" customHeight="1" x14ac:dyDescent="0.25">
      <c r="A3322" s="9" t="s">
        <v>6522</v>
      </c>
      <c r="C3322" s="9" t="str">
        <f>HYPERLINK("http://www.ncbi.nlm.nih.gov/protein/225007582","Hip1")</f>
        <v>Hip1</v>
      </c>
      <c r="D3322" s="10">
        <f t="shared" si="51"/>
        <v>2.5514075636104492</v>
      </c>
      <c r="F3322" s="8" t="str">
        <f>HYPERLINK("https://esbl.nhlbi.nih.gov/Databases/mpkFractions/proteomic_fractions_log_files/Yang_log_img/225007582.jpg","show blot")</f>
        <v>show blot</v>
      </c>
      <c r="H3322" s="8" t="str">
        <f>HYPERLINK("https://esbl.nhlbi.nih.gov/Databases/mpkFractions/proteomic_fractions_linear_files/Yang_linear_img/225007582.jpg","show blot")</f>
        <v>show blot</v>
      </c>
      <c r="J3322" s="5" t="s">
        <v>6523</v>
      </c>
      <c r="L3322" s="11">
        <v>2.5514075636104492</v>
      </c>
      <c r="N3322" s="12"/>
    </row>
    <row r="3323" spans="1:14" s="5" customFormat="1" ht="15" customHeight="1" x14ac:dyDescent="0.25">
      <c r="A3323" s="9" t="s">
        <v>6524</v>
      </c>
      <c r="C3323" s="9" t="str">
        <f>HYPERLINK("http://www.ncbi.nlm.nih.gov/protein/255308928","Hip1r")</f>
        <v>Hip1r</v>
      </c>
      <c r="D3323" s="10">
        <f t="shared" si="51"/>
        <v>4.1102468194052193</v>
      </c>
      <c r="F3323" s="8" t="str">
        <f>HYPERLINK("https://esbl.nhlbi.nih.gov/Databases/mpkFractions/proteomic_fractions_log_files/Yang_log_img/255308928.jpg","show blot")</f>
        <v>show blot</v>
      </c>
      <c r="H3323" s="8" t="str">
        <f>HYPERLINK("https://esbl.nhlbi.nih.gov/Databases/mpkFractions/proteomic_fractions_linear_files/Yang_linear_img/255308928.jpg","show blot")</f>
        <v>show blot</v>
      </c>
      <c r="J3323" s="5" t="s">
        <v>6525</v>
      </c>
      <c r="L3323" s="11">
        <v>4.1102468194052193</v>
      </c>
      <c r="N3323" s="12"/>
    </row>
    <row r="3324" spans="1:14" s="5" customFormat="1" ht="15" customHeight="1" x14ac:dyDescent="0.25">
      <c r="A3324" s="9" t="s">
        <v>6526</v>
      </c>
      <c r="C3324" s="9" t="str">
        <f>HYPERLINK("http://www.ncbi.nlm.nih.gov/protein/27370102","Hirip3")</f>
        <v>Hirip3</v>
      </c>
      <c r="D3324" s="10">
        <f t="shared" si="51"/>
        <v>2.6762112236316118</v>
      </c>
      <c r="F3324" s="8" t="str">
        <f>HYPERLINK("https://esbl.nhlbi.nih.gov/Databases/mpkFractions/proteomic_fractions_log_files/Yang_log_img/27370102.jpg","show blot")</f>
        <v>show blot</v>
      </c>
      <c r="H3324" s="8" t="str">
        <f>HYPERLINK("https://esbl.nhlbi.nih.gov/Databases/mpkFractions/proteomic_fractions_linear_files/Yang_linear_img/27370102.jpg","show blot")</f>
        <v>show blot</v>
      </c>
      <c r="J3324" s="5" t="s">
        <v>6527</v>
      </c>
      <c r="L3324" s="11">
        <v>2.6762112236316118</v>
      </c>
      <c r="N3324" s="12"/>
    </row>
    <row r="3325" spans="1:14" s="5" customFormat="1" ht="15" customHeight="1" x14ac:dyDescent="0.25">
      <c r="A3325" s="9" t="s">
        <v>6528</v>
      </c>
      <c r="C3325" s="9" t="str">
        <f>HYPERLINK("http://www.ncbi.nlm.nih.gov/protein/21426823","Hist1h1a")</f>
        <v>Hist1h1a</v>
      </c>
      <c r="D3325" s="10">
        <f t="shared" si="51"/>
        <v>7.0746539666495778</v>
      </c>
      <c r="F3325" s="8" t="str">
        <f>HYPERLINK("https://esbl.nhlbi.nih.gov/Databases/mpkFractions/proteomic_fractions_log_files/Yang_log_img/21426823.jpg","show blot")</f>
        <v>show blot</v>
      </c>
      <c r="H3325" s="8" t="str">
        <f>HYPERLINK("https://esbl.nhlbi.nih.gov/Databases/mpkFractions/proteomic_fractions_linear_files/Yang_linear_img/21426823.jpg","show blot")</f>
        <v>show blot</v>
      </c>
      <c r="J3325" s="5" t="s">
        <v>6529</v>
      </c>
      <c r="L3325" s="11">
        <v>7.0746539666495778</v>
      </c>
      <c r="N3325" s="12"/>
    </row>
    <row r="3326" spans="1:14" s="5" customFormat="1" ht="15" customHeight="1" x14ac:dyDescent="0.25">
      <c r="A3326" s="9" t="s">
        <v>6530</v>
      </c>
      <c r="C3326" s="9" t="str">
        <f>HYPERLINK("http://www.ncbi.nlm.nih.gov/protein/21426893","Hist1h1b")</f>
        <v>Hist1h1b</v>
      </c>
      <c r="D3326" s="10">
        <f t="shared" si="51"/>
        <v>7.1657061342431234</v>
      </c>
      <c r="F3326" s="8" t="str">
        <f>HYPERLINK("https://esbl.nhlbi.nih.gov/Databases/mpkFractions/proteomic_fractions_log_files/Yang_log_img/21426893.jpg","show blot")</f>
        <v>show blot</v>
      </c>
      <c r="H3326" s="8" t="str">
        <f>HYPERLINK("https://esbl.nhlbi.nih.gov/Databases/mpkFractions/proteomic_fractions_linear_files/Yang_linear_img/21426893.jpg","show blot")</f>
        <v>show blot</v>
      </c>
      <c r="J3326" s="5" t="s">
        <v>6531</v>
      </c>
      <c r="L3326" s="11">
        <v>7.1657061342431234</v>
      </c>
      <c r="N3326" s="12"/>
    </row>
    <row r="3327" spans="1:14" s="5" customFormat="1" ht="15" customHeight="1" x14ac:dyDescent="0.25">
      <c r="A3327" s="9" t="s">
        <v>6532</v>
      </c>
      <c r="C3327" s="9" t="str">
        <f>HYPERLINK("http://www.ncbi.nlm.nih.gov/protein/9845257","Hist1h1c")</f>
        <v>Hist1h1c</v>
      </c>
      <c r="D3327" s="10">
        <f t="shared" si="51"/>
        <v>7.6691991142201514</v>
      </c>
      <c r="F3327" s="8" t="str">
        <f>HYPERLINK("https://esbl.nhlbi.nih.gov/Databases/mpkFractions/proteomic_fractions_log_files/Yang_log_img/9845257.jpg","show blot")</f>
        <v>show blot</v>
      </c>
      <c r="H3327" s="8" t="str">
        <f>HYPERLINK("https://esbl.nhlbi.nih.gov/Databases/mpkFractions/proteomic_fractions_linear_files/Yang_linear_img/9845257.jpg","show blot")</f>
        <v>show blot</v>
      </c>
      <c r="J3327" s="5" t="s">
        <v>6533</v>
      </c>
      <c r="L3327" s="11">
        <v>7.6691991142201514</v>
      </c>
      <c r="N3327" s="12"/>
    </row>
    <row r="3328" spans="1:14" s="5" customFormat="1" ht="15" customHeight="1" x14ac:dyDescent="0.25">
      <c r="A3328" s="9" t="s">
        <v>6534</v>
      </c>
      <c r="C3328" s="9" t="str">
        <f>HYPERLINK("http://www.ncbi.nlm.nih.gov/protein/254588110","Hist1h1d")</f>
        <v>Hist1h1d</v>
      </c>
      <c r="D3328" s="10">
        <f t="shared" si="51"/>
        <v>7.6505660462007912</v>
      </c>
      <c r="F3328" s="8" t="str">
        <f>HYPERLINK("https://esbl.nhlbi.nih.gov/Databases/mpkFractions/proteomic_fractions_log_files/Yang_log_img/254588110.jpg","show blot")</f>
        <v>show blot</v>
      </c>
      <c r="H3328" s="8" t="str">
        <f>HYPERLINK("https://esbl.nhlbi.nih.gov/Databases/mpkFractions/proteomic_fractions_linear_files/Yang_linear_img/254588110.jpg","show blot")</f>
        <v>show blot</v>
      </c>
      <c r="J3328" s="5" t="s">
        <v>6535</v>
      </c>
      <c r="L3328" s="11">
        <v>7.6505660462007912</v>
      </c>
      <c r="N3328" s="12"/>
    </row>
    <row r="3329" spans="1:14" s="5" customFormat="1" ht="15" customHeight="1" x14ac:dyDescent="0.25">
      <c r="A3329" s="9" t="s">
        <v>6536</v>
      </c>
      <c r="C3329" s="9" t="str">
        <f>HYPERLINK("http://www.ncbi.nlm.nih.gov/protein/13430890","Hist1h1e")</f>
        <v>Hist1h1e</v>
      </c>
      <c r="D3329" s="10">
        <f t="shared" si="51"/>
        <v>7.4616550293290897</v>
      </c>
      <c r="F3329" s="8" t="str">
        <f>HYPERLINK("https://esbl.nhlbi.nih.gov/Databases/mpkFractions/proteomic_fractions_log_files/Yang_log_img/13430890.jpg","show blot")</f>
        <v>show blot</v>
      </c>
      <c r="H3329" s="8" t="str">
        <f>HYPERLINK("https://esbl.nhlbi.nih.gov/Databases/mpkFractions/proteomic_fractions_linear_files/Yang_linear_img/13430890.jpg","show blot")</f>
        <v>show blot</v>
      </c>
      <c r="J3329" s="5" t="s">
        <v>6537</v>
      </c>
      <c r="L3329" s="11">
        <v>7.4616550293290897</v>
      </c>
      <c r="N3329" s="12"/>
    </row>
    <row r="3330" spans="1:14" s="5" customFormat="1" ht="15" customHeight="1" x14ac:dyDescent="0.25">
      <c r="A3330" s="9" t="s">
        <v>6538</v>
      </c>
      <c r="C3330" s="9" t="str">
        <f>HYPERLINK("http://www.ncbi.nlm.nih.gov/protein/112807207","Hist1h1t")</f>
        <v>Hist1h1t</v>
      </c>
      <c r="D3330" s="10">
        <f t="shared" si="51"/>
        <v>6.9372273810098886</v>
      </c>
      <c r="F3330" s="8" t="str">
        <f>HYPERLINK("https://esbl.nhlbi.nih.gov/Databases/mpkFractions/proteomic_fractions_log_files/Yang_log_img/112807207.jpg","show blot")</f>
        <v>show blot</v>
      </c>
      <c r="H3330" s="8" t="str">
        <f>HYPERLINK("https://esbl.nhlbi.nih.gov/Databases/mpkFractions/proteomic_fractions_linear_files/Yang_linear_img/112807207.jpg","show blot")</f>
        <v>show blot</v>
      </c>
      <c r="J3330" s="5" t="s">
        <v>6539</v>
      </c>
      <c r="L3330" s="11">
        <v>6.9372273810098886</v>
      </c>
      <c r="N3330" s="12"/>
    </row>
    <row r="3331" spans="1:14" s="5" customFormat="1" ht="15" customHeight="1" x14ac:dyDescent="0.25">
      <c r="A3331" s="9" t="s">
        <v>6540</v>
      </c>
      <c r="C3331" s="9" t="str">
        <f>HYPERLINK("http://www.ncbi.nlm.nih.gov/protein/28316756","Hist1h2aa")</f>
        <v>Hist1h2aa</v>
      </c>
      <c r="D3331" s="10">
        <f t="shared" si="51"/>
        <v>8.2452327661609672</v>
      </c>
      <c r="F3331" s="8" t="str">
        <f>HYPERLINK("https://esbl.nhlbi.nih.gov/Databases/mpkFractions/proteomic_fractions_log_files/Yang_log_img/28316756.jpg","show blot")</f>
        <v>show blot</v>
      </c>
      <c r="H3331" s="8" t="str">
        <f>HYPERLINK("https://esbl.nhlbi.nih.gov/Databases/mpkFractions/proteomic_fractions_linear_files/Yang_linear_img/28316756.jpg","show blot")</f>
        <v>show blot</v>
      </c>
      <c r="J3331" s="5" t="s">
        <v>6541</v>
      </c>
      <c r="L3331" s="11">
        <v>8.2452327661609672</v>
      </c>
      <c r="N3331" s="12"/>
    </row>
    <row r="3332" spans="1:14" s="5" customFormat="1" ht="15" customHeight="1" x14ac:dyDescent="0.25">
      <c r="A3332" s="9" t="s">
        <v>6542</v>
      </c>
      <c r="C3332" s="9" t="str">
        <f>HYPERLINK("http://www.ncbi.nlm.nih.gov/protein/30061379","Hist1h2af")</f>
        <v>Hist1h2af</v>
      </c>
      <c r="D3332" s="10">
        <f t="shared" si="51"/>
        <v>8.2450691367786177</v>
      </c>
      <c r="F3332" s="8" t="str">
        <f>HYPERLINK("https://esbl.nhlbi.nih.gov/Databases/mpkFractions/proteomic_fractions_log_files/Yang_log_img/30061379.jpg","show blot")</f>
        <v>show blot</v>
      </c>
      <c r="H3332" s="8" t="str">
        <f>HYPERLINK("https://esbl.nhlbi.nih.gov/Databases/mpkFractions/proteomic_fractions_linear_files/Yang_linear_img/30061379.jpg","show blot")</f>
        <v>show blot</v>
      </c>
      <c r="J3332" s="5" t="s">
        <v>6543</v>
      </c>
      <c r="L3332" s="11">
        <v>8.2450691367786177</v>
      </c>
      <c r="N3332" s="12"/>
    </row>
    <row r="3333" spans="1:14" s="5" customFormat="1" ht="15" customHeight="1" x14ac:dyDescent="0.25">
      <c r="A3333" s="9" t="s">
        <v>6544</v>
      </c>
      <c r="C3333" s="9" t="str">
        <f>HYPERLINK("http://www.ncbi.nlm.nih.gov/protein/30061327","Hist1h2ah")</f>
        <v>Hist1h2ah</v>
      </c>
      <c r="D3333" s="10">
        <f t="shared" ref="D3333:D3396" si="52">L3333</f>
        <v>8.2471182295440428</v>
      </c>
      <c r="F3333" s="8" t="str">
        <f>HYPERLINK("https://esbl.nhlbi.nih.gov/Databases/mpkFractions/proteomic_fractions_log_files/Yang_log_img/30061327.jpg","show blot")</f>
        <v>show blot</v>
      </c>
      <c r="H3333" s="8" t="str">
        <f>HYPERLINK("https://esbl.nhlbi.nih.gov/Databases/mpkFractions/proteomic_fractions_linear_files/Yang_linear_img/30061327.jpg","show blot")</f>
        <v>show blot</v>
      </c>
      <c r="J3333" s="5" t="s">
        <v>6545</v>
      </c>
      <c r="L3333" s="11">
        <v>8.2471182295440428</v>
      </c>
      <c r="N3333" s="12"/>
    </row>
    <row r="3334" spans="1:14" s="5" customFormat="1" ht="15" customHeight="1" x14ac:dyDescent="0.25">
      <c r="A3334" s="9" t="s">
        <v>6546</v>
      </c>
      <c r="C3334" s="9" t="str">
        <f>HYPERLINK("http://www.ncbi.nlm.nih.gov/protein/30061371","Hist1h2ak")</f>
        <v>Hist1h2ak</v>
      </c>
      <c r="D3334" s="10">
        <f t="shared" si="52"/>
        <v>8.2474507359734393</v>
      </c>
      <c r="F3334" s="8" t="str">
        <f>HYPERLINK("https://esbl.nhlbi.nih.gov/Databases/mpkFractions/proteomic_fractions_log_files/Yang_log_img/30061371.jpg","show blot")</f>
        <v>show blot</v>
      </c>
      <c r="H3334" s="8" t="str">
        <f>HYPERLINK("https://esbl.nhlbi.nih.gov/Databases/mpkFractions/proteomic_fractions_linear_files/Yang_linear_img/30061371.jpg","show blot")</f>
        <v>show blot</v>
      </c>
      <c r="J3334" s="5" t="s">
        <v>6547</v>
      </c>
      <c r="L3334" s="11">
        <v>8.2474507359734393</v>
      </c>
      <c r="N3334" s="12"/>
    </row>
    <row r="3335" spans="1:14" s="5" customFormat="1" ht="15" customHeight="1" x14ac:dyDescent="0.25">
      <c r="A3335" s="9" t="s">
        <v>6548</v>
      </c>
      <c r="C3335" s="9" t="str">
        <f>HYPERLINK("http://www.ncbi.nlm.nih.gov/protein/407262045","Hist1h2al")</f>
        <v>Hist1h2al</v>
      </c>
      <c r="D3335" s="10">
        <f t="shared" si="52"/>
        <v>8.1872900806451341</v>
      </c>
      <c r="F3335" s="8" t="str">
        <f>HYPERLINK("https://esbl.nhlbi.nih.gov/Databases/mpkFractions/proteomic_fractions_log_files/Yang_log_img/407262045.jpg","show blot")</f>
        <v>show blot</v>
      </c>
      <c r="H3335" s="8" t="str">
        <f>HYPERLINK("https://esbl.nhlbi.nih.gov/Databases/mpkFractions/proteomic_fractions_linear_files/Yang_linear_img/407262045.jpg","show blot")</f>
        <v>show blot</v>
      </c>
      <c r="J3335" s="5" t="s">
        <v>6549</v>
      </c>
      <c r="L3335" s="11">
        <v>8.1872900806451341</v>
      </c>
      <c r="N3335" s="12"/>
    </row>
    <row r="3336" spans="1:14" s="5" customFormat="1" ht="15" customHeight="1" x14ac:dyDescent="0.25">
      <c r="A3336" s="9" t="s">
        <v>6550</v>
      </c>
      <c r="C3336" s="9" t="str">
        <f>HYPERLINK("http://www.ncbi.nlm.nih.gov/protein/294712564;30061365","Hist1h2ao")</f>
        <v>Hist1h2ao</v>
      </c>
      <c r="D3336" s="10">
        <f t="shared" si="52"/>
        <v>6.8962093301908594</v>
      </c>
      <c r="F3336" s="8" t="str">
        <f>HYPERLINK("https://esbl.nhlbi.nih.gov/Databases/mpkFractions/proteomic_fractions_log_files/Yang_log_img/294712564;30061365.jpg","show blot")</f>
        <v>show blot</v>
      </c>
      <c r="H3336" s="8" t="str">
        <f>HYPERLINK("https://esbl.nhlbi.nih.gov/Databases/mpkFractions/proteomic_fractions_linear_files/Yang_linear_img/294712564;30061365.jpg","show blot")</f>
        <v>show blot</v>
      </c>
      <c r="J3336" s="5" t="s">
        <v>6551</v>
      </c>
      <c r="L3336" s="11">
        <v>6.8962093301908594</v>
      </c>
      <c r="N3336" s="12"/>
    </row>
    <row r="3337" spans="1:14" s="5" customFormat="1" ht="15" customHeight="1" x14ac:dyDescent="0.25">
      <c r="A3337" s="9" t="s">
        <v>6552</v>
      </c>
      <c r="C3337" s="9" t="str">
        <f>HYPERLINK("http://www.ncbi.nlm.nih.gov/protein/30061375;30061365","Hist1h2ap")</f>
        <v>Hist1h2ap</v>
      </c>
      <c r="D3337" s="10">
        <f t="shared" si="52"/>
        <v>8.2211113057332721</v>
      </c>
      <c r="F3337" s="8" t="str">
        <f>HYPERLINK("https://esbl.nhlbi.nih.gov/Databases/mpkFractions/proteomic_fractions_log_files/Yang_log_img/30061375;30061365.jpg","show blot")</f>
        <v>show blot</v>
      </c>
      <c r="H3337" s="8" t="str">
        <f>HYPERLINK("https://esbl.nhlbi.nih.gov/Databases/mpkFractions/proteomic_fractions_linear_files/Yang_linear_img/30061375;30061365.jpg","show blot")</f>
        <v>show blot</v>
      </c>
      <c r="J3337" s="5" t="s">
        <v>6551</v>
      </c>
      <c r="L3337" s="11">
        <v>8.2211113057332721</v>
      </c>
      <c r="N3337" s="12"/>
    </row>
    <row r="3338" spans="1:14" s="5" customFormat="1" ht="15" customHeight="1" x14ac:dyDescent="0.25">
      <c r="A3338" s="9" t="s">
        <v>6553</v>
      </c>
      <c r="C3338" s="9" t="str">
        <f>HYPERLINK("http://www.ncbi.nlm.nih.gov/protein/30061375;294712564;30061365","Hist1h2ap")</f>
        <v>Hist1h2ap</v>
      </c>
      <c r="D3338" s="10">
        <f t="shared" si="52"/>
        <v>8.2211113057332721</v>
      </c>
      <c r="F3338" s="8" t="str">
        <f>HYPERLINK("https://esbl.nhlbi.nih.gov/Databases/mpkFractions/proteomic_fractions_log_files/Yang_log_img/30061375;294712564;30061365.jpg","show blot")</f>
        <v>show blot</v>
      </c>
      <c r="H3338" s="8" t="str">
        <f>HYPERLINK("https://esbl.nhlbi.nih.gov/Databases/mpkFractions/proteomic_fractions_linear_files/Yang_linear_img/30061375;294712564;30061365.jpg","show blot")</f>
        <v>show blot</v>
      </c>
      <c r="J3338" s="5" t="s">
        <v>6551</v>
      </c>
      <c r="L3338" s="11">
        <v>8.2211113057332721</v>
      </c>
      <c r="N3338" s="12"/>
    </row>
    <row r="3339" spans="1:14" s="5" customFormat="1" ht="15" customHeight="1" x14ac:dyDescent="0.25">
      <c r="A3339" s="9" t="s">
        <v>6554</v>
      </c>
      <c r="C3339" s="9" t="str">
        <f>HYPERLINK("http://www.ncbi.nlm.nih.gov/protein/28316750","Hist1h2ba")</f>
        <v>Hist1h2ba</v>
      </c>
      <c r="D3339" s="10">
        <f t="shared" si="52"/>
        <v>8.4627875557056385</v>
      </c>
      <c r="F3339" s="8" t="str">
        <f>HYPERLINK("https://esbl.nhlbi.nih.gov/Databases/mpkFractions/proteomic_fractions_log_files/Yang_log_img/28316750.jpg","show blot")</f>
        <v>show blot</v>
      </c>
      <c r="H3339" s="8" t="str">
        <f>HYPERLINK("https://esbl.nhlbi.nih.gov/Databases/mpkFractions/proteomic_fractions_linear_files/Yang_linear_img/28316750.jpg","show blot")</f>
        <v>show blot</v>
      </c>
      <c r="J3339" s="5" t="s">
        <v>6555</v>
      </c>
      <c r="L3339" s="11">
        <v>8.4627875557056385</v>
      </c>
      <c r="N3339" s="12"/>
    </row>
    <row r="3340" spans="1:14" s="5" customFormat="1" ht="15" customHeight="1" x14ac:dyDescent="0.25">
      <c r="A3340" s="9" t="s">
        <v>6556</v>
      </c>
      <c r="C3340" s="9" t="str">
        <f>HYPERLINK("http://www.ncbi.nlm.nih.gov/protein/28316760","Hist1h2bb")</f>
        <v>Hist1h2bb</v>
      </c>
      <c r="D3340" s="10">
        <f t="shared" si="52"/>
        <v>8.4974985171285624</v>
      </c>
      <c r="F3340" s="8" t="str">
        <f>HYPERLINK("https://esbl.nhlbi.nih.gov/Databases/mpkFractions/proteomic_fractions_log_files/Yang_log_img/28316760.jpg","show blot")</f>
        <v>show blot</v>
      </c>
      <c r="H3340" s="8" t="str">
        <f>HYPERLINK("https://esbl.nhlbi.nih.gov/Databases/mpkFractions/proteomic_fractions_linear_files/Yang_linear_img/28316760.jpg","show blot")</f>
        <v>show blot</v>
      </c>
      <c r="J3340" s="5" t="s">
        <v>6557</v>
      </c>
      <c r="L3340" s="11">
        <v>8.4974985171285624</v>
      </c>
      <c r="N3340" s="12"/>
    </row>
    <row r="3341" spans="1:14" s="5" customFormat="1" ht="15" customHeight="1" x14ac:dyDescent="0.25">
      <c r="A3341" s="9" t="s">
        <v>6558</v>
      </c>
      <c r="C3341" s="9" t="str">
        <f>HYPERLINK("http://www.ncbi.nlm.nih.gov/protein/30089706;68131547","Hist1h2be")</f>
        <v>Hist1h2be</v>
      </c>
      <c r="D3341" s="10">
        <f t="shared" si="52"/>
        <v>8.4974985171285624</v>
      </c>
      <c r="F3341" s="8" t="str">
        <f>HYPERLINK("https://esbl.nhlbi.nih.gov/Databases/mpkFractions/proteomic_fractions_log_files/Yang_log_img/30089706;68131547.jpg","show blot")</f>
        <v>show blot</v>
      </c>
      <c r="H3341" s="8" t="str">
        <f>HYPERLINK("https://esbl.nhlbi.nih.gov/Databases/mpkFractions/proteomic_fractions_linear_files/Yang_linear_img/30089706;68131547.jpg","show blot")</f>
        <v>show blot</v>
      </c>
      <c r="J3341" s="5" t="s">
        <v>6559</v>
      </c>
      <c r="L3341" s="11">
        <v>8.4974985171285624</v>
      </c>
      <c r="N3341" s="12"/>
    </row>
    <row r="3342" spans="1:14" s="5" customFormat="1" ht="15" customHeight="1" x14ac:dyDescent="0.25">
      <c r="A3342" s="9" t="s">
        <v>6560</v>
      </c>
      <c r="C3342" s="9" t="str">
        <f>HYPERLINK("http://www.ncbi.nlm.nih.gov/protein/30061383","Hist1h2bf")</f>
        <v>Hist1h2bf</v>
      </c>
      <c r="D3342" s="10">
        <f t="shared" si="52"/>
        <v>8.5029262963747101</v>
      </c>
      <c r="F3342" s="8" t="str">
        <f>HYPERLINK("https://esbl.nhlbi.nih.gov/Databases/mpkFractions/proteomic_fractions_log_files/Yang_log_img/30061383.jpg","show blot")</f>
        <v>show blot</v>
      </c>
      <c r="H3342" s="8" t="str">
        <f>HYPERLINK("https://esbl.nhlbi.nih.gov/Databases/mpkFractions/proteomic_fractions_linear_files/Yang_linear_img/30061383.jpg","show blot")</f>
        <v>show blot</v>
      </c>
      <c r="J3342" s="5" t="s">
        <v>6561</v>
      </c>
      <c r="L3342" s="11">
        <v>8.5029262963747101</v>
      </c>
      <c r="N3342" s="12"/>
    </row>
    <row r="3343" spans="1:14" s="5" customFormat="1" ht="15" customHeight="1" x14ac:dyDescent="0.25">
      <c r="A3343" s="9" t="s">
        <v>6562</v>
      </c>
      <c r="C3343" s="9" t="str">
        <f>HYPERLINK("http://www.ncbi.nlm.nih.gov/protein/30061387","Hist1h2bh")</f>
        <v>Hist1h2bh</v>
      </c>
      <c r="D3343" s="10">
        <f t="shared" si="52"/>
        <v>8.497507155512956</v>
      </c>
      <c r="F3343" s="8" t="str">
        <f>HYPERLINK("https://esbl.nhlbi.nih.gov/Databases/mpkFractions/proteomic_fractions_log_files/Yang_log_img/30061387.jpg","show blot")</f>
        <v>show blot</v>
      </c>
      <c r="H3343" s="8" t="str">
        <f>HYPERLINK("https://esbl.nhlbi.nih.gov/Databases/mpkFractions/proteomic_fractions_linear_files/Yang_linear_img/30061387.jpg","show blot")</f>
        <v>show blot</v>
      </c>
      <c r="J3343" s="5" t="s">
        <v>6563</v>
      </c>
      <c r="L3343" s="11">
        <v>8.497507155512956</v>
      </c>
      <c r="N3343" s="12"/>
    </row>
    <row r="3344" spans="1:14" s="5" customFormat="1" ht="15" customHeight="1" x14ac:dyDescent="0.25">
      <c r="A3344" s="9" t="s">
        <v>6564</v>
      </c>
      <c r="C3344" s="9" t="str">
        <f>HYPERLINK("http://www.ncbi.nlm.nih.gov/protein/30089704","Hist1h2bk")</f>
        <v>Hist1h2bk</v>
      </c>
      <c r="D3344" s="10">
        <f t="shared" si="52"/>
        <v>8.4974933672407307</v>
      </c>
      <c r="F3344" s="8" t="str">
        <f>HYPERLINK("https://esbl.nhlbi.nih.gov/Databases/mpkFractions/proteomic_fractions_log_files/Yang_log_img/30089704.jpg","show blot")</f>
        <v>show blot</v>
      </c>
      <c r="H3344" s="8" t="str">
        <f>HYPERLINK("https://esbl.nhlbi.nih.gov/Databases/mpkFractions/proteomic_fractions_linear_files/Yang_linear_img/30089704.jpg","show blot")</f>
        <v>show blot</v>
      </c>
      <c r="J3344" s="5" t="s">
        <v>6565</v>
      </c>
      <c r="L3344" s="11">
        <v>8.4974933672407307</v>
      </c>
      <c r="N3344" s="12"/>
    </row>
    <row r="3345" spans="1:14" s="5" customFormat="1" ht="15" customHeight="1" x14ac:dyDescent="0.25">
      <c r="A3345" s="9" t="s">
        <v>6566</v>
      </c>
      <c r="C3345" s="9" t="str">
        <f>HYPERLINK("http://www.ncbi.nlm.nih.gov/protein/30061385","Hist1h2bm")</f>
        <v>Hist1h2bm</v>
      </c>
      <c r="D3345" s="10">
        <f t="shared" si="52"/>
        <v>8.4974956930040868</v>
      </c>
      <c r="F3345" s="8" t="str">
        <f>HYPERLINK("https://esbl.nhlbi.nih.gov/Databases/mpkFractions/proteomic_fractions_log_files/Yang_log_img/30061385.jpg","show blot")</f>
        <v>show blot</v>
      </c>
      <c r="H3345" s="8" t="str">
        <f>HYPERLINK("https://esbl.nhlbi.nih.gov/Databases/mpkFractions/proteomic_fractions_linear_files/Yang_linear_img/30061385.jpg","show blot")</f>
        <v>show blot</v>
      </c>
      <c r="J3345" s="5" t="s">
        <v>6567</v>
      </c>
      <c r="L3345" s="11">
        <v>8.4974956930040868</v>
      </c>
      <c r="N3345" s="12"/>
    </row>
    <row r="3346" spans="1:14" s="5" customFormat="1" ht="15" customHeight="1" x14ac:dyDescent="0.25">
      <c r="A3346" s="9" t="s">
        <v>6568</v>
      </c>
      <c r="C3346" s="9" t="str">
        <f>HYPERLINK("http://www.ncbi.nlm.nih.gov/protein/160420308","Hist1h2bp")</f>
        <v>Hist1h2bp</v>
      </c>
      <c r="D3346" s="10">
        <f t="shared" si="52"/>
        <v>8.4675326357521215</v>
      </c>
      <c r="F3346" s="8" t="str">
        <f>HYPERLINK("https://esbl.nhlbi.nih.gov/Databases/mpkFractions/proteomic_fractions_log_files/Yang_log_img/160420308.jpg","show blot")</f>
        <v>show blot</v>
      </c>
      <c r="H3346" s="8" t="str">
        <f>HYPERLINK("https://esbl.nhlbi.nih.gov/Databases/mpkFractions/proteomic_fractions_linear_files/Yang_linear_img/160420308.jpg","show blot")</f>
        <v>show blot</v>
      </c>
      <c r="J3346" s="5" t="s">
        <v>6569</v>
      </c>
      <c r="L3346" s="11">
        <v>8.4675326357521215</v>
      </c>
      <c r="N3346" s="12"/>
    </row>
    <row r="3347" spans="1:14" s="5" customFormat="1" ht="15" customHeight="1" x14ac:dyDescent="0.25">
      <c r="A3347" s="9" t="s">
        <v>6570</v>
      </c>
      <c r="C3347" s="9" t="str">
        <f>HYPERLINK("http://www.ncbi.nlm.nih.gov/protein/160420310;160420312","Hist1h2bq")</f>
        <v>Hist1h2bq</v>
      </c>
      <c r="D3347" s="10">
        <f t="shared" si="52"/>
        <v>8.4438785856733602</v>
      </c>
      <c r="F3347" s="8" t="str">
        <f>HYPERLINK("https://esbl.nhlbi.nih.gov/Databases/mpkFractions/proteomic_fractions_log_files/Yang_log_img/160420310;160420312.jpg","show blot")</f>
        <v>show blot</v>
      </c>
      <c r="H3347" s="8" t="str">
        <f>HYPERLINK("https://esbl.nhlbi.nih.gov/Databases/mpkFractions/proteomic_fractions_linear_files/Yang_linear_img/160420310;160420312.jpg","show blot")</f>
        <v>show blot</v>
      </c>
      <c r="J3347" s="5" t="s">
        <v>6571</v>
      </c>
      <c r="L3347" s="11">
        <v>8.4438785856733602</v>
      </c>
      <c r="N3347" s="12"/>
    </row>
    <row r="3348" spans="1:14" s="5" customFormat="1" ht="15" customHeight="1" x14ac:dyDescent="0.25">
      <c r="A3348" s="9" t="s">
        <v>6572</v>
      </c>
      <c r="C3348" s="9" t="str">
        <f>HYPERLINK("http://www.ncbi.nlm.nih.gov/protein/160420312","Hist1h2br")</f>
        <v>Hist1h2br</v>
      </c>
      <c r="D3348" s="10">
        <f t="shared" si="52"/>
        <v>7.1920935448738126</v>
      </c>
      <c r="F3348" s="8" t="str">
        <f>HYPERLINK("https://esbl.nhlbi.nih.gov/Databases/mpkFractions/proteomic_fractions_log_files/Yang_log_img/160420312.jpg","show blot")</f>
        <v>show blot</v>
      </c>
      <c r="H3348" s="8" t="str">
        <f>HYPERLINK("https://esbl.nhlbi.nih.gov/Databases/mpkFractions/proteomic_fractions_linear_files/Yang_linear_img/160420312.jpg","show blot")</f>
        <v>show blot</v>
      </c>
      <c r="J3348" s="5" t="s">
        <v>6573</v>
      </c>
      <c r="L3348" s="11">
        <v>7.1920935448738126</v>
      </c>
      <c r="N3348" s="12"/>
    </row>
    <row r="3349" spans="1:14" s="5" customFormat="1" ht="15" customHeight="1" x14ac:dyDescent="0.25">
      <c r="A3349" s="9" t="s">
        <v>6574</v>
      </c>
      <c r="C3349" s="9" t="str">
        <f>HYPERLINK("http://www.ncbi.nlm.nih.gov/protein/30089712","Hist1h3c")</f>
        <v>Hist1h3c</v>
      </c>
      <c r="D3349" s="10">
        <f t="shared" si="52"/>
        <v>7.711458180242813</v>
      </c>
      <c r="F3349" s="8" t="str">
        <f>HYPERLINK("https://esbl.nhlbi.nih.gov/Databases/mpkFractions/proteomic_fractions_log_files/Yang_log_img/30089712.jpg","show blot")</f>
        <v>show blot</v>
      </c>
      <c r="H3349" s="8" t="str">
        <f>HYPERLINK("https://esbl.nhlbi.nih.gov/Databases/mpkFractions/proteomic_fractions_linear_files/Yang_linear_img/30089712.jpg","show blot")</f>
        <v>show blot</v>
      </c>
      <c r="J3349" s="5" t="s">
        <v>6575</v>
      </c>
      <c r="L3349" s="11">
        <v>7.711458180242813</v>
      </c>
      <c r="N3349" s="12"/>
    </row>
    <row r="3350" spans="1:14" s="5" customFormat="1" ht="15" customHeight="1" x14ac:dyDescent="0.25">
      <c r="A3350" s="9" t="s">
        <v>6576</v>
      </c>
      <c r="C3350" s="9" t="str">
        <f>HYPERLINK("http://www.ncbi.nlm.nih.gov/protein/30089712;21489953","Hist1h3c")</f>
        <v>Hist1h3c</v>
      </c>
      <c r="D3350" s="10">
        <f t="shared" si="52"/>
        <v>7.711458180242813</v>
      </c>
      <c r="F3350" s="8" t="str">
        <f>HYPERLINK("https://esbl.nhlbi.nih.gov/Databases/mpkFractions/proteomic_fractions_log_files/Yang_log_img/30089712;21489953.jpg","show blot")</f>
        <v>show blot</v>
      </c>
      <c r="H3350" s="8" t="str">
        <f>HYPERLINK("https://esbl.nhlbi.nih.gov/Databases/mpkFractions/proteomic_fractions_linear_files/Yang_linear_img/30089712;21489953.jpg","show blot")</f>
        <v>show blot</v>
      </c>
      <c r="J3350" s="5" t="s">
        <v>6575</v>
      </c>
      <c r="L3350" s="11">
        <v>7.711458180242813</v>
      </c>
      <c r="N3350" s="12"/>
    </row>
    <row r="3351" spans="1:14" s="5" customFormat="1" ht="15" customHeight="1" x14ac:dyDescent="0.25">
      <c r="A3351" s="9" t="s">
        <v>6577</v>
      </c>
      <c r="C3351" s="9" t="str">
        <f>HYPERLINK("http://www.ncbi.nlm.nih.gov/protein/21489955","Hist1h3g")</f>
        <v>Hist1h3g</v>
      </c>
      <c r="D3351" s="10">
        <f t="shared" si="52"/>
        <v>7.7589852072310803</v>
      </c>
      <c r="F3351" s="8" t="str">
        <f>HYPERLINK("https://esbl.nhlbi.nih.gov/Databases/mpkFractions/proteomic_fractions_log_files/Yang_log_img/21489955.jpg","show blot")</f>
        <v>show blot</v>
      </c>
      <c r="H3351" s="8" t="str">
        <f>HYPERLINK("https://esbl.nhlbi.nih.gov/Databases/mpkFractions/proteomic_fractions_linear_files/Yang_linear_img/21489955.jpg","show blot")</f>
        <v>show blot</v>
      </c>
      <c r="J3351" s="5" t="s">
        <v>6578</v>
      </c>
      <c r="L3351" s="11">
        <v>7.7589852072310803</v>
      </c>
      <c r="N3351" s="12"/>
    </row>
    <row r="3352" spans="1:14" s="5" customFormat="1" ht="15" customHeight="1" x14ac:dyDescent="0.25">
      <c r="A3352" s="9" t="s">
        <v>6579</v>
      </c>
      <c r="C3352" s="9" t="str">
        <f>HYPERLINK("http://www.ncbi.nlm.nih.gov/protein/30061345;21489955","Hist1h3i")</f>
        <v>Hist1h3i</v>
      </c>
      <c r="D3352" s="10">
        <f t="shared" si="52"/>
        <v>6.0153857731731462</v>
      </c>
      <c r="F3352" s="8" t="str">
        <f>HYPERLINK("https://esbl.nhlbi.nih.gov/Databases/mpkFractions/proteomic_fractions_log_files/Yang_log_img/30061345;21489955.jpg","show blot")</f>
        <v>show blot</v>
      </c>
      <c r="H3352" s="8" t="str">
        <f>HYPERLINK("https://esbl.nhlbi.nih.gov/Databases/mpkFractions/proteomic_fractions_linear_files/Yang_linear_img/30061345;21489955.jpg","show blot")</f>
        <v>show blot</v>
      </c>
      <c r="J3352" s="5" t="s">
        <v>6578</v>
      </c>
      <c r="L3352" s="11">
        <v>6.0153857731731462</v>
      </c>
      <c r="N3352" s="12"/>
    </row>
    <row r="3353" spans="1:14" s="5" customFormat="1" ht="15" customHeight="1" x14ac:dyDescent="0.25">
      <c r="A3353" s="9" t="s">
        <v>6580</v>
      </c>
      <c r="C3353" s="9" t="str">
        <f>HYPERLINK("http://www.ncbi.nlm.nih.gov/protein/306482623","Hist1h4m")</f>
        <v>Hist1h4m</v>
      </c>
      <c r="D3353" s="10">
        <f t="shared" si="52"/>
        <v>8.3624743540048048</v>
      </c>
      <c r="F3353" s="8" t="str">
        <f>HYPERLINK("https://esbl.nhlbi.nih.gov/Databases/mpkFractions/proteomic_fractions_log_files/Yang_log_img/306482623.jpg","show blot")</f>
        <v>show blot</v>
      </c>
      <c r="H3353" s="8" t="str">
        <f>HYPERLINK("https://esbl.nhlbi.nih.gov/Databases/mpkFractions/proteomic_fractions_linear_files/Yang_linear_img/306482623.jpg","show blot")</f>
        <v>show blot</v>
      </c>
      <c r="J3353" s="5" t="s">
        <v>6581</v>
      </c>
      <c r="L3353" s="11">
        <v>8.3624743540048048</v>
      </c>
      <c r="N3353" s="12"/>
    </row>
    <row r="3354" spans="1:14" s="5" customFormat="1" ht="15" customHeight="1" x14ac:dyDescent="0.25">
      <c r="A3354" s="9" t="s">
        <v>6582</v>
      </c>
      <c r="C3354" s="9" t="str">
        <f>HYPERLINK("http://www.ncbi.nlm.nih.gov/protein/306482623;30089708","Hist1h4m")</f>
        <v>Hist1h4m</v>
      </c>
      <c r="D3354" s="10">
        <f t="shared" si="52"/>
        <v>8.3624743540048048</v>
      </c>
      <c r="F3354" s="8" t="str">
        <f>HYPERLINK("https://esbl.nhlbi.nih.gov/Databases/mpkFractions/proteomic_fractions_log_files/Yang_log_img/306482623;30089708.jpg","show blot")</f>
        <v>show blot</v>
      </c>
      <c r="H3354" s="8" t="str">
        <f>HYPERLINK("https://esbl.nhlbi.nih.gov/Databases/mpkFractions/proteomic_fractions_linear_files/Yang_linear_img/306482623;30089708.jpg","show blot")</f>
        <v>show blot</v>
      </c>
      <c r="J3354" s="5" t="s">
        <v>6581</v>
      </c>
      <c r="L3354" s="11">
        <v>8.3624743540048048</v>
      </c>
      <c r="N3354" s="12"/>
    </row>
    <row r="3355" spans="1:14" s="5" customFormat="1" ht="15" customHeight="1" x14ac:dyDescent="0.25">
      <c r="A3355" s="9" t="s">
        <v>6583</v>
      </c>
      <c r="C3355" s="9" t="str">
        <f>HYPERLINK("http://www.ncbi.nlm.nih.gov/protein/30089708;306482623","Hist1h4n")</f>
        <v>Hist1h4n</v>
      </c>
      <c r="D3355" s="10">
        <f t="shared" si="52"/>
        <v>7.1035340769970423</v>
      </c>
      <c r="F3355" s="8" t="str">
        <f>HYPERLINK("https://esbl.nhlbi.nih.gov/Databases/mpkFractions/proteomic_fractions_log_files/Yang_log_img/30089708;306482623.jpg","show blot")</f>
        <v>show blot</v>
      </c>
      <c r="H3355" s="8" t="str">
        <f>HYPERLINK("https://esbl.nhlbi.nih.gov/Databases/mpkFractions/proteomic_fractions_linear_files/Yang_linear_img/30089708;306482623.jpg","show blot")</f>
        <v>show blot</v>
      </c>
      <c r="J3355" s="5" t="s">
        <v>6581</v>
      </c>
      <c r="L3355" s="11">
        <v>7.1035340769970423</v>
      </c>
      <c r="N3355" s="12"/>
    </row>
    <row r="3356" spans="1:14" s="5" customFormat="1" ht="15" customHeight="1" x14ac:dyDescent="0.25">
      <c r="A3356" s="9" t="s">
        <v>6584</v>
      </c>
      <c r="C3356" s="9" t="str">
        <f>HYPERLINK("http://www.ncbi.nlm.nih.gov/protein/20799907","Hist2h2aa1")</f>
        <v>Hist2h2aa1</v>
      </c>
      <c r="D3356" s="10">
        <f t="shared" si="52"/>
        <v>8.2211386846895653</v>
      </c>
      <c r="F3356" s="8" t="str">
        <f>HYPERLINK("https://esbl.nhlbi.nih.gov/Databases/mpkFractions/proteomic_fractions_log_files/Yang_log_img/20799907.jpg","show blot")</f>
        <v>show blot</v>
      </c>
      <c r="H3356" s="8" t="str">
        <f>HYPERLINK("https://esbl.nhlbi.nih.gov/Databases/mpkFractions/proteomic_fractions_linear_files/Yang_linear_img/20799907.jpg","show blot")</f>
        <v>show blot</v>
      </c>
      <c r="J3356" s="5" t="s">
        <v>6585</v>
      </c>
      <c r="L3356" s="11">
        <v>8.2211386846895653</v>
      </c>
      <c r="N3356" s="12"/>
    </row>
    <row r="3357" spans="1:14" s="5" customFormat="1" ht="15" customHeight="1" x14ac:dyDescent="0.25">
      <c r="A3357" s="9" t="s">
        <v>6586</v>
      </c>
      <c r="C3357" s="9" t="str">
        <f>HYPERLINK("http://www.ncbi.nlm.nih.gov/protein/30061399;20799907","Hist2h2aa2")</f>
        <v>Hist2h2aa2</v>
      </c>
      <c r="D3357" s="10">
        <f t="shared" si="52"/>
        <v>6.9651119837094733</v>
      </c>
      <c r="F3357" s="8" t="str">
        <f>HYPERLINK("https://esbl.nhlbi.nih.gov/Databases/mpkFractions/proteomic_fractions_log_files/Yang_log_img/30061399;20799907.jpg","show blot")</f>
        <v>show blot</v>
      </c>
      <c r="H3357" s="8" t="str">
        <f>HYPERLINK("https://esbl.nhlbi.nih.gov/Databases/mpkFractions/proteomic_fractions_linear_files/Yang_linear_img/30061399;20799907.jpg","show blot")</f>
        <v>show blot</v>
      </c>
      <c r="J3357" s="5" t="s">
        <v>6585</v>
      </c>
      <c r="L3357" s="11">
        <v>6.9651119837094733</v>
      </c>
      <c r="N3357" s="12"/>
    </row>
    <row r="3358" spans="1:14" s="5" customFormat="1" ht="15" customHeight="1" x14ac:dyDescent="0.25">
      <c r="A3358" s="9" t="s">
        <v>6587</v>
      </c>
      <c r="C3358" s="9" t="str">
        <f>HYPERLINK("http://www.ncbi.nlm.nih.gov/protein/119433657","Hist2h2ab")</f>
        <v>Hist2h2ab</v>
      </c>
      <c r="D3358" s="10">
        <f t="shared" si="52"/>
        <v>7.7394638375129601</v>
      </c>
      <c r="F3358" s="8" t="str">
        <f>HYPERLINK("https://esbl.nhlbi.nih.gov/Databases/mpkFractions/proteomic_fractions_log_files/Yang_log_img/119433657.jpg","show blot")</f>
        <v>show blot</v>
      </c>
      <c r="H3358" s="8" t="str">
        <f>HYPERLINK("https://esbl.nhlbi.nih.gov/Databases/mpkFractions/proteomic_fractions_linear_files/Yang_linear_img/119433657.jpg","show blot")</f>
        <v>show blot</v>
      </c>
      <c r="J3358" s="5" t="s">
        <v>6588</v>
      </c>
      <c r="L3358" s="11">
        <v>7.7394638375129601</v>
      </c>
      <c r="N3358" s="12"/>
    </row>
    <row r="3359" spans="1:14" s="5" customFormat="1" ht="15" customHeight="1" x14ac:dyDescent="0.25">
      <c r="A3359" s="9" t="s">
        <v>6589</v>
      </c>
      <c r="C3359" s="9" t="str">
        <f>HYPERLINK("http://www.ncbi.nlm.nih.gov/protein/30089710","Hist2h2ac")</f>
        <v>Hist2h2ac</v>
      </c>
      <c r="D3359" s="10">
        <f t="shared" si="52"/>
        <v>8.2446092636109789</v>
      </c>
      <c r="F3359" s="8" t="str">
        <f>HYPERLINK("https://esbl.nhlbi.nih.gov/Databases/mpkFractions/proteomic_fractions_log_files/Yang_log_img/30089710.jpg","show blot")</f>
        <v>show blot</v>
      </c>
      <c r="H3359" s="8" t="str">
        <f>HYPERLINK("https://esbl.nhlbi.nih.gov/Databases/mpkFractions/proteomic_fractions_linear_files/Yang_linear_img/30089710.jpg","show blot")</f>
        <v>show blot</v>
      </c>
      <c r="J3359" s="5" t="s">
        <v>6590</v>
      </c>
      <c r="L3359" s="11">
        <v>8.2446092636109789</v>
      </c>
      <c r="N3359" s="12"/>
    </row>
    <row r="3360" spans="1:14" s="5" customFormat="1" ht="15" customHeight="1" x14ac:dyDescent="0.25">
      <c r="A3360" s="9" t="s">
        <v>6591</v>
      </c>
      <c r="C3360" s="9" t="str">
        <f>HYPERLINK("http://www.ncbi.nlm.nih.gov/protein/68226433","Hist2h2bb")</f>
        <v>Hist2h2bb</v>
      </c>
      <c r="D3360" s="10">
        <f t="shared" si="52"/>
        <v>8.4974870543916925</v>
      </c>
      <c r="F3360" s="8" t="str">
        <f>HYPERLINK("https://esbl.nhlbi.nih.gov/Databases/mpkFractions/proteomic_fractions_log_files/Yang_log_img/68226433.jpg","show blot")</f>
        <v>show blot</v>
      </c>
      <c r="H3360" s="8" t="str">
        <f>HYPERLINK("https://esbl.nhlbi.nih.gov/Databases/mpkFractions/proteomic_fractions_linear_files/Yang_linear_img/68226433.jpg","show blot")</f>
        <v>show blot</v>
      </c>
      <c r="J3360" s="5" t="s">
        <v>6592</v>
      </c>
      <c r="L3360" s="11">
        <v>8.4974870543916925</v>
      </c>
      <c r="N3360" s="12"/>
    </row>
    <row r="3361" spans="1:14" s="5" customFormat="1" ht="15" customHeight="1" x14ac:dyDescent="0.25">
      <c r="A3361" s="9" t="s">
        <v>6593</v>
      </c>
      <c r="C3361" s="9" t="str">
        <f>HYPERLINK("http://www.ncbi.nlm.nih.gov/protein/68226431","Hist2h2be")</f>
        <v>Hist2h2be</v>
      </c>
      <c r="D3361" s="10">
        <f t="shared" si="52"/>
        <v>8.4704857823392423</v>
      </c>
      <c r="F3361" s="8" t="str">
        <f>HYPERLINK("https://esbl.nhlbi.nih.gov/Databases/mpkFractions/proteomic_fractions_log_files/Yang_log_img/68226431.jpg","show blot")</f>
        <v>show blot</v>
      </c>
      <c r="H3361" s="8" t="str">
        <f>HYPERLINK("https://esbl.nhlbi.nih.gov/Databases/mpkFractions/proteomic_fractions_linear_files/Yang_linear_img/68226431.jpg","show blot")</f>
        <v>show blot</v>
      </c>
      <c r="J3361" s="5" t="s">
        <v>6594</v>
      </c>
      <c r="L3361" s="11">
        <v>8.4704857823392423</v>
      </c>
      <c r="N3361" s="12"/>
    </row>
    <row r="3362" spans="1:14" s="5" customFormat="1" ht="15" customHeight="1" x14ac:dyDescent="0.25">
      <c r="A3362" s="9" t="s">
        <v>6595</v>
      </c>
      <c r="C3362" s="9" t="str">
        <f>HYPERLINK("http://www.ncbi.nlm.nih.gov/protein/21489953","Hist2h3c2")</f>
        <v>Hist2h3c2</v>
      </c>
      <c r="D3362" s="10">
        <f t="shared" si="52"/>
        <v>6.7745947224331147</v>
      </c>
      <c r="F3362" s="8" t="str">
        <f>HYPERLINK("https://esbl.nhlbi.nih.gov/Databases/mpkFractions/proteomic_fractions_log_files/Yang_log_img/21489953.jpg","show blot")</f>
        <v>show blot</v>
      </c>
      <c r="H3362" s="8" t="str">
        <f>HYPERLINK("https://esbl.nhlbi.nih.gov/Databases/mpkFractions/proteomic_fractions_linear_files/Yang_linear_img/21489953.jpg","show blot")</f>
        <v>show blot</v>
      </c>
      <c r="J3362" s="5" t="s">
        <v>6575</v>
      </c>
      <c r="L3362" s="11">
        <v>6.7745947224331147</v>
      </c>
      <c r="N3362" s="12"/>
    </row>
    <row r="3363" spans="1:14" s="5" customFormat="1" ht="15" customHeight="1" x14ac:dyDescent="0.25">
      <c r="A3363" s="9" t="s">
        <v>6596</v>
      </c>
      <c r="C3363" s="9" t="str">
        <f>HYPERLINK("http://www.ncbi.nlm.nih.gov/protein/30061353","Hist3h2a")</f>
        <v>Hist3h2a</v>
      </c>
      <c r="D3363" s="10">
        <f t="shared" si="52"/>
        <v>8.2445780680962919</v>
      </c>
      <c r="F3363" s="8" t="str">
        <f>HYPERLINK("https://esbl.nhlbi.nih.gov/Databases/mpkFractions/proteomic_fractions_log_files/Yang_log_img/30061353.jpg","show blot")</f>
        <v>show blot</v>
      </c>
      <c r="H3363" s="8" t="str">
        <f>HYPERLINK("https://esbl.nhlbi.nih.gov/Databases/mpkFractions/proteomic_fractions_linear_files/Yang_linear_img/30061353.jpg","show blot")</f>
        <v>show blot</v>
      </c>
      <c r="J3363" s="5" t="s">
        <v>6597</v>
      </c>
      <c r="L3363" s="11">
        <v>8.2445780680962919</v>
      </c>
      <c r="N3363" s="12"/>
    </row>
    <row r="3364" spans="1:14" s="5" customFormat="1" ht="15" customHeight="1" x14ac:dyDescent="0.25">
      <c r="A3364" s="9" t="s">
        <v>6598</v>
      </c>
      <c r="C3364" s="9" t="str">
        <f>HYPERLINK("http://www.ncbi.nlm.nih.gov/protein/13386452","Hist3h2ba")</f>
        <v>Hist3h2ba</v>
      </c>
      <c r="D3364" s="10">
        <f t="shared" si="52"/>
        <v>8.4703372572635534</v>
      </c>
      <c r="F3364" s="8" t="str">
        <f>HYPERLINK("https://esbl.nhlbi.nih.gov/Databases/mpkFractions/proteomic_fractions_log_files/Yang_log_img/13386452.jpg","show blot")</f>
        <v>show blot</v>
      </c>
      <c r="H3364" s="8" t="str">
        <f>HYPERLINK("https://esbl.nhlbi.nih.gov/Databases/mpkFractions/proteomic_fractions_linear_files/Yang_linear_img/13386452.jpg","show blot")</f>
        <v>show blot</v>
      </c>
      <c r="J3364" s="5" t="s">
        <v>6599</v>
      </c>
      <c r="L3364" s="11">
        <v>8.4703372572635534</v>
      </c>
      <c r="N3364" s="12"/>
    </row>
    <row r="3365" spans="1:14" s="5" customFormat="1" ht="15" customHeight="1" x14ac:dyDescent="0.25">
      <c r="A3365" s="9" t="s">
        <v>6600</v>
      </c>
      <c r="C3365" s="9" t="str">
        <f>HYPERLINK("http://www.ncbi.nlm.nih.gov/protein/46049029","Hist3h2bb-ps")</f>
        <v>Hist3h2bb-ps</v>
      </c>
      <c r="D3365" s="10">
        <f t="shared" si="52"/>
        <v>8.3860163715635174</v>
      </c>
      <c r="F3365" s="8" t="str">
        <f>HYPERLINK("https://esbl.nhlbi.nih.gov/Databases/mpkFractions/proteomic_fractions_log_files/Yang_log_img/46049029.jpg","show blot")</f>
        <v>show blot</v>
      </c>
      <c r="H3365" s="8" t="str">
        <f>HYPERLINK("https://esbl.nhlbi.nih.gov/Databases/mpkFractions/proteomic_fractions_linear_files/Yang_linear_img/46049029.jpg","show blot")</f>
        <v>show blot</v>
      </c>
      <c r="J3365" s="5" t="s">
        <v>6601</v>
      </c>
      <c r="L3365" s="11">
        <v>8.3860163715635174</v>
      </c>
      <c r="N3365" s="12"/>
    </row>
    <row r="3366" spans="1:14" s="5" customFormat="1" ht="15" customHeight="1" x14ac:dyDescent="0.25">
      <c r="A3366" s="9" t="s">
        <v>6602</v>
      </c>
      <c r="C3366" s="9" t="str">
        <f>HYPERLINK("http://www.ncbi.nlm.nih.gov/protein/225735582","Hk1")</f>
        <v>Hk1</v>
      </c>
      <c r="D3366" s="10">
        <f t="shared" si="52"/>
        <v>6.5550244039292522</v>
      </c>
      <c r="F3366" s="8" t="str">
        <f>HYPERLINK("https://esbl.nhlbi.nih.gov/Databases/mpkFractions/proteomic_fractions_log_files/Yang_log_img/225735582.jpg","show blot")</f>
        <v>show blot</v>
      </c>
      <c r="H3366" s="8" t="str">
        <f>HYPERLINK("https://esbl.nhlbi.nih.gov/Databases/mpkFractions/proteomic_fractions_linear_files/Yang_linear_img/225735582.jpg","show blot")</f>
        <v>show blot</v>
      </c>
      <c r="J3366" s="5" t="s">
        <v>6603</v>
      </c>
      <c r="L3366" s="11">
        <v>6.5550244039292522</v>
      </c>
      <c r="N3366" s="12"/>
    </row>
    <row r="3367" spans="1:14" s="5" customFormat="1" ht="15" customHeight="1" x14ac:dyDescent="0.25">
      <c r="A3367" s="9" t="s">
        <v>6604</v>
      </c>
      <c r="C3367" s="9" t="str">
        <f>HYPERLINK("http://www.ncbi.nlm.nih.gov/protein/225735584","Hk1")</f>
        <v>Hk1</v>
      </c>
      <c r="D3367" s="10">
        <f t="shared" si="52"/>
        <v>6.5550244039292522</v>
      </c>
      <c r="F3367" s="8" t="str">
        <f>HYPERLINK("https://esbl.nhlbi.nih.gov/Databases/mpkFractions/proteomic_fractions_log_files/Yang_log_img/225735584.jpg","show blot")</f>
        <v>show blot</v>
      </c>
      <c r="H3367" s="8" t="str">
        <f>HYPERLINK("https://esbl.nhlbi.nih.gov/Databases/mpkFractions/proteomic_fractions_linear_files/Yang_linear_img/225735584.jpg","show blot")</f>
        <v>show blot</v>
      </c>
      <c r="J3367" s="5" t="s">
        <v>6605</v>
      </c>
      <c r="L3367" s="11">
        <v>6.5550244039292522</v>
      </c>
      <c r="N3367" s="12"/>
    </row>
    <row r="3368" spans="1:14" s="5" customFormat="1" ht="15" customHeight="1" x14ac:dyDescent="0.25">
      <c r="A3368" s="9" t="s">
        <v>6606</v>
      </c>
      <c r="C3368" s="9" t="str">
        <f>HYPERLINK("http://www.ncbi.nlm.nih.gov/protein/7305143","Hk2")</f>
        <v>Hk2</v>
      </c>
      <c r="D3368" s="10">
        <f t="shared" si="52"/>
        <v>5.6330354197938304</v>
      </c>
      <c r="F3368" s="8" t="str">
        <f>HYPERLINK("https://esbl.nhlbi.nih.gov/Databases/mpkFractions/proteomic_fractions_log_files/Yang_log_img/7305143.jpg","show blot")</f>
        <v>show blot</v>
      </c>
      <c r="H3368" s="8" t="str">
        <f>HYPERLINK("https://esbl.nhlbi.nih.gov/Databases/mpkFractions/proteomic_fractions_linear_files/Yang_linear_img/7305143.jpg","show blot")</f>
        <v>show blot</v>
      </c>
      <c r="J3368" s="5" t="s">
        <v>6607</v>
      </c>
      <c r="L3368" s="11">
        <v>5.6330354197938304</v>
      </c>
      <c r="N3368" s="12"/>
    </row>
    <row r="3369" spans="1:14" s="5" customFormat="1" ht="15" customHeight="1" x14ac:dyDescent="0.25">
      <c r="A3369" s="9" t="s">
        <v>6608</v>
      </c>
      <c r="C3369" s="9" t="str">
        <f>HYPERLINK("http://www.ncbi.nlm.nih.gov/protein/329755310","Hk3")</f>
        <v>Hk3</v>
      </c>
      <c r="D3369" s="10">
        <f t="shared" si="52"/>
        <v>4.8957051988227622</v>
      </c>
      <c r="F3369" s="8" t="str">
        <f>HYPERLINK("https://esbl.nhlbi.nih.gov/Databases/mpkFractions/proteomic_fractions_log_files/Yang_log_img/329755310.jpg","show blot")</f>
        <v>show blot</v>
      </c>
      <c r="H3369" s="8" t="str">
        <f>HYPERLINK("https://esbl.nhlbi.nih.gov/Databases/mpkFractions/proteomic_fractions_linear_files/Yang_linear_img/329755310.jpg","show blot")</f>
        <v>show blot</v>
      </c>
      <c r="J3369" s="5" t="s">
        <v>6609</v>
      </c>
      <c r="L3369" s="11">
        <v>4.8957051988227622</v>
      </c>
      <c r="N3369" s="12"/>
    </row>
    <row r="3370" spans="1:14" s="5" customFormat="1" ht="15" customHeight="1" x14ac:dyDescent="0.25">
      <c r="A3370" s="9" t="s">
        <v>6610</v>
      </c>
      <c r="C3370" s="9" t="str">
        <f>HYPERLINK("http://www.ncbi.nlm.nih.gov/protein/329755312","Hk3")</f>
        <v>Hk3</v>
      </c>
      <c r="D3370" s="10">
        <f t="shared" si="52"/>
        <v>4.8957051988227622</v>
      </c>
      <c r="F3370" s="8" t="str">
        <f>HYPERLINK("https://esbl.nhlbi.nih.gov/Databases/mpkFractions/proteomic_fractions_log_files/Yang_log_img/329755312.jpg","show blot")</f>
        <v>show blot</v>
      </c>
      <c r="H3370" s="8" t="str">
        <f>HYPERLINK("https://esbl.nhlbi.nih.gov/Databases/mpkFractions/proteomic_fractions_linear_files/Yang_linear_img/329755312.jpg","show blot")</f>
        <v>show blot</v>
      </c>
      <c r="J3370" s="5" t="s">
        <v>6611</v>
      </c>
      <c r="L3370" s="11">
        <v>4.8957051988227622</v>
      </c>
      <c r="N3370" s="12"/>
    </row>
    <row r="3371" spans="1:14" s="5" customFormat="1" ht="15" customHeight="1" x14ac:dyDescent="0.25">
      <c r="A3371" s="9" t="s">
        <v>6612</v>
      </c>
      <c r="C3371" s="9" t="str">
        <f>HYPERLINK("http://www.ncbi.nlm.nih.gov/protein/84370288","Hk3")</f>
        <v>Hk3</v>
      </c>
      <c r="D3371" s="10">
        <f t="shared" si="52"/>
        <v>4.8957051988227622</v>
      </c>
      <c r="F3371" s="8" t="str">
        <f>HYPERLINK("https://esbl.nhlbi.nih.gov/Databases/mpkFractions/proteomic_fractions_log_files/Yang_log_img/84370288.jpg","show blot")</f>
        <v>show blot</v>
      </c>
      <c r="H3371" s="8" t="str">
        <f>HYPERLINK("https://esbl.nhlbi.nih.gov/Databases/mpkFractions/proteomic_fractions_linear_files/Yang_linear_img/84370288.jpg","show blot")</f>
        <v>show blot</v>
      </c>
      <c r="J3371" s="5" t="s">
        <v>6613</v>
      </c>
      <c r="L3371" s="11">
        <v>4.8957051988227622</v>
      </c>
      <c r="N3371" s="12"/>
    </row>
    <row r="3372" spans="1:14" s="5" customFormat="1" ht="15" customHeight="1" x14ac:dyDescent="0.25">
      <c r="A3372" s="9" t="s">
        <v>6614</v>
      </c>
      <c r="C3372" s="9" t="str">
        <f>HYPERLINK("http://www.ncbi.nlm.nih.gov/protein/21703836","Hkdc1")</f>
        <v>Hkdc1</v>
      </c>
      <c r="D3372" s="10">
        <f t="shared" si="52"/>
        <v>5.7556786893317913</v>
      </c>
      <c r="F3372" s="8" t="str">
        <f>HYPERLINK("https://esbl.nhlbi.nih.gov/Databases/mpkFractions/proteomic_fractions_log_files/Yang_log_img/21703836.jpg","show blot")</f>
        <v>show blot</v>
      </c>
      <c r="H3372" s="8" t="str">
        <f>HYPERLINK("https://esbl.nhlbi.nih.gov/Databases/mpkFractions/proteomic_fractions_linear_files/Yang_linear_img/21703836.jpg","show blot")</f>
        <v>show blot</v>
      </c>
      <c r="J3372" s="5" t="s">
        <v>6615</v>
      </c>
      <c r="L3372" s="11">
        <v>5.7556786893317913</v>
      </c>
      <c r="N3372" s="12"/>
    </row>
    <row r="3373" spans="1:14" s="5" customFormat="1" ht="15" customHeight="1" x14ac:dyDescent="0.25">
      <c r="A3373" s="9" t="s">
        <v>6616</v>
      </c>
      <c r="C3373" s="9" t="str">
        <f>HYPERLINK("http://www.ncbi.nlm.nih.gov/protein/20982837","Hlcs")</f>
        <v>Hlcs</v>
      </c>
      <c r="D3373" s="10">
        <f t="shared" si="52"/>
        <v>2.019515582256405</v>
      </c>
      <c r="F3373" s="8" t="str">
        <f>HYPERLINK("https://esbl.nhlbi.nih.gov/Databases/mpkFractions/proteomic_fractions_log_files/Yang_log_img/20982837.jpg","show blot")</f>
        <v>show blot</v>
      </c>
      <c r="H3373" s="8" t="str">
        <f>HYPERLINK("https://esbl.nhlbi.nih.gov/Databases/mpkFractions/proteomic_fractions_linear_files/Yang_linear_img/20982837.jpg","show blot")</f>
        <v>show blot</v>
      </c>
      <c r="J3373" s="5" t="s">
        <v>6617</v>
      </c>
      <c r="L3373" s="11">
        <v>2.019515582256405</v>
      </c>
      <c r="N3373" s="12"/>
    </row>
    <row r="3374" spans="1:14" s="5" customFormat="1" ht="15" customHeight="1" x14ac:dyDescent="0.25">
      <c r="A3374" s="9" t="s">
        <v>6618</v>
      </c>
      <c r="C3374" s="9" t="str">
        <f>HYPERLINK("http://www.ncbi.nlm.nih.gov/protein/67763824","Hltf")</f>
        <v>Hltf</v>
      </c>
      <c r="D3374" s="10">
        <f t="shared" si="52"/>
        <v>0.90260930683008611</v>
      </c>
      <c r="F3374" s="8" t="str">
        <f>HYPERLINK("https://esbl.nhlbi.nih.gov/Databases/mpkFractions/proteomic_fractions_log_files/Yang_log_img/67763824.jpg","show blot")</f>
        <v>show blot</v>
      </c>
      <c r="H3374" s="8" t="str">
        <f>HYPERLINK("https://esbl.nhlbi.nih.gov/Databases/mpkFractions/proteomic_fractions_linear_files/Yang_linear_img/67763824.jpg","show blot")</f>
        <v>show blot</v>
      </c>
      <c r="J3374" s="5" t="s">
        <v>6619</v>
      </c>
      <c r="L3374" s="11">
        <v>0.90260930683008611</v>
      </c>
      <c r="N3374" s="12"/>
    </row>
    <row r="3375" spans="1:14" s="5" customFormat="1" ht="15" customHeight="1" x14ac:dyDescent="0.25">
      <c r="A3375" s="9" t="s">
        <v>6620</v>
      </c>
      <c r="C3375" s="9" t="str">
        <f>HYPERLINK("http://www.ncbi.nlm.nih.gov/protein/159110431","Hmbs")</f>
        <v>Hmbs</v>
      </c>
      <c r="D3375" s="10">
        <f t="shared" si="52"/>
        <v>4.9109321757669964</v>
      </c>
      <c r="F3375" s="8" t="str">
        <f>HYPERLINK("https://esbl.nhlbi.nih.gov/Databases/mpkFractions/proteomic_fractions_log_files/Yang_log_img/159110431.jpg","show blot")</f>
        <v>show blot</v>
      </c>
      <c r="H3375" s="8" t="str">
        <f>HYPERLINK("https://esbl.nhlbi.nih.gov/Databases/mpkFractions/proteomic_fractions_linear_files/Yang_linear_img/159110431.jpg","show blot")</f>
        <v>show blot</v>
      </c>
      <c r="J3375" s="5" t="s">
        <v>6621</v>
      </c>
      <c r="L3375" s="11">
        <v>4.9109321757669964</v>
      </c>
      <c r="N3375" s="12"/>
    </row>
    <row r="3376" spans="1:14" s="5" customFormat="1" ht="15" customHeight="1" x14ac:dyDescent="0.25">
      <c r="A3376" s="9" t="s">
        <v>6622</v>
      </c>
      <c r="C3376" s="9" t="str">
        <f>HYPERLINK("http://www.ncbi.nlm.nih.gov/protein/159110463","Hmbs")</f>
        <v>Hmbs</v>
      </c>
      <c r="D3376" s="10">
        <f t="shared" si="52"/>
        <v>4.9109321757669964</v>
      </c>
      <c r="F3376" s="8" t="str">
        <f>HYPERLINK("https://esbl.nhlbi.nih.gov/Databases/mpkFractions/proteomic_fractions_log_files/Yang_log_img/159110463.jpg","show blot")</f>
        <v>show blot</v>
      </c>
      <c r="H3376" s="8" t="str">
        <f>HYPERLINK("https://esbl.nhlbi.nih.gov/Databases/mpkFractions/proteomic_fractions_linear_files/Yang_linear_img/159110463.jpg","show blot")</f>
        <v>show blot</v>
      </c>
      <c r="J3376" s="5" t="s">
        <v>6623</v>
      </c>
      <c r="L3376" s="11">
        <v>4.9109321757669964</v>
      </c>
      <c r="N3376" s="12"/>
    </row>
    <row r="3377" spans="1:14" s="5" customFormat="1" ht="15" customHeight="1" x14ac:dyDescent="0.25">
      <c r="A3377" s="9" t="s">
        <v>6624</v>
      </c>
      <c r="C3377" s="9" t="str">
        <f>HYPERLINK("http://www.ncbi.nlm.nih.gov/protein/154689979","Hmcn1")</f>
        <v>Hmcn1</v>
      </c>
      <c r="D3377" s="10">
        <f t="shared" si="52"/>
        <v>2.669097280800881</v>
      </c>
      <c r="F3377" s="8" t="str">
        <f>HYPERLINK("https://esbl.nhlbi.nih.gov/Databases/mpkFractions/proteomic_fractions_log_files/Yang_log_img/154689979.jpg","show blot")</f>
        <v>show blot</v>
      </c>
      <c r="H3377" s="8" t="str">
        <f>HYPERLINK("https://esbl.nhlbi.nih.gov/Databases/mpkFractions/proteomic_fractions_linear_files/Yang_linear_img/154689979.jpg","show blot")</f>
        <v>show blot</v>
      </c>
      <c r="J3377" s="5" t="s">
        <v>6625</v>
      </c>
      <c r="L3377" s="11">
        <v>2.669097280800881</v>
      </c>
      <c r="N3377" s="12"/>
    </row>
    <row r="3378" spans="1:14" s="5" customFormat="1" ht="15" customHeight="1" x14ac:dyDescent="0.25">
      <c r="A3378" s="9" t="s">
        <v>6626</v>
      </c>
      <c r="C3378" s="9" t="str">
        <f>HYPERLINK("http://www.ncbi.nlm.nih.gov/protein/262331501","Hmga1")</f>
        <v>Hmga1</v>
      </c>
      <c r="D3378" s="10">
        <f t="shared" si="52"/>
        <v>5.6364688026162444</v>
      </c>
      <c r="F3378" s="8" t="str">
        <f>HYPERLINK("https://esbl.nhlbi.nih.gov/Databases/mpkFractions/proteomic_fractions_log_files/Yang_log_img/262331501.jpg","show blot")</f>
        <v>show blot</v>
      </c>
      <c r="H3378" s="8" t="str">
        <f>HYPERLINK("https://esbl.nhlbi.nih.gov/Databases/mpkFractions/proteomic_fractions_linear_files/Yang_linear_img/262331501.jpg","show blot")</f>
        <v>show blot</v>
      </c>
      <c r="J3378" s="5" t="s">
        <v>6627</v>
      </c>
      <c r="L3378" s="11">
        <v>5.6364688026162444</v>
      </c>
      <c r="N3378" s="12"/>
    </row>
    <row r="3379" spans="1:14" s="5" customFormat="1" ht="15" customHeight="1" x14ac:dyDescent="0.25">
      <c r="A3379" s="9" t="s">
        <v>6628</v>
      </c>
      <c r="C3379" s="9" t="str">
        <f>HYPERLINK("http://www.ncbi.nlm.nih.gov/protein/262331513","Hmga1")</f>
        <v>Hmga1</v>
      </c>
      <c r="D3379" s="10">
        <f t="shared" si="52"/>
        <v>5.6364688026162444</v>
      </c>
      <c r="F3379" s="8" t="str">
        <f>HYPERLINK("https://esbl.nhlbi.nih.gov/Databases/mpkFractions/proteomic_fractions_log_files/Yang_log_img/262331513.jpg","show blot")</f>
        <v>show blot</v>
      </c>
      <c r="H3379" s="8" t="str">
        <f>HYPERLINK("https://esbl.nhlbi.nih.gov/Databases/mpkFractions/proteomic_fractions_linear_files/Yang_linear_img/262331513.jpg","show blot")</f>
        <v>show blot</v>
      </c>
      <c r="J3379" s="5" t="s">
        <v>6629</v>
      </c>
      <c r="L3379" s="11">
        <v>5.6364688026162444</v>
      </c>
      <c r="N3379" s="12"/>
    </row>
    <row r="3380" spans="1:14" s="5" customFormat="1" ht="15" customHeight="1" x14ac:dyDescent="0.25">
      <c r="A3380" s="9" t="s">
        <v>6630</v>
      </c>
      <c r="C3380" s="9" t="str">
        <f>HYPERLINK("http://www.ncbi.nlm.nih.gov/protein/262331509","Hmga1")</f>
        <v>Hmga1</v>
      </c>
      <c r="D3380" s="10">
        <f t="shared" si="52"/>
        <v>5.6364688026162444</v>
      </c>
      <c r="F3380" s="8" t="str">
        <f>HYPERLINK("https://esbl.nhlbi.nih.gov/Databases/mpkFractions/proteomic_fractions_log_files/Yang_log_img/262331509.jpg","show blot")</f>
        <v>show blot</v>
      </c>
      <c r="H3380" s="8" t="str">
        <f>HYPERLINK("https://esbl.nhlbi.nih.gov/Databases/mpkFractions/proteomic_fractions_linear_files/Yang_linear_img/262331509.jpg","show blot")</f>
        <v>show blot</v>
      </c>
      <c r="J3380" s="5" t="s">
        <v>6631</v>
      </c>
      <c r="L3380" s="11">
        <v>5.6364688026162444</v>
      </c>
      <c r="N3380" s="12"/>
    </row>
    <row r="3381" spans="1:14" s="5" customFormat="1" ht="15" customHeight="1" x14ac:dyDescent="0.25">
      <c r="A3381" s="9" t="s">
        <v>6632</v>
      </c>
      <c r="C3381" s="9" t="str">
        <f>HYPERLINK("http://www.ncbi.nlm.nih.gov/protein/262331515","Hmga1")</f>
        <v>Hmga1</v>
      </c>
      <c r="D3381" s="10">
        <f t="shared" si="52"/>
        <v>5.6364688026162444</v>
      </c>
      <c r="F3381" s="8" t="str">
        <f>HYPERLINK("https://esbl.nhlbi.nih.gov/Databases/mpkFractions/proteomic_fractions_log_files/Yang_log_img/262331515.jpg","show blot")</f>
        <v>show blot</v>
      </c>
      <c r="H3381" s="8" t="str">
        <f>HYPERLINK("https://esbl.nhlbi.nih.gov/Databases/mpkFractions/proteomic_fractions_linear_files/Yang_linear_img/262331515.jpg","show blot")</f>
        <v>show blot</v>
      </c>
      <c r="J3381" s="5" t="s">
        <v>6633</v>
      </c>
      <c r="L3381" s="11">
        <v>5.6364688026162444</v>
      </c>
      <c r="N3381" s="12"/>
    </row>
    <row r="3382" spans="1:14" s="5" customFormat="1" ht="15" customHeight="1" x14ac:dyDescent="0.25">
      <c r="A3382" s="9" t="s">
        <v>6634</v>
      </c>
      <c r="C3382" s="9" t="str">
        <f>HYPERLINK("http://www.ncbi.nlm.nih.gov/protein/262072972;262331501","Hmga1-rs1")</f>
        <v>Hmga1-rs1</v>
      </c>
      <c r="D3382" s="10">
        <f t="shared" si="52"/>
        <v>5.6380872571408158</v>
      </c>
      <c r="F3382" s="8" t="str">
        <f>HYPERLINK("https://esbl.nhlbi.nih.gov/Databases/mpkFractions/proteomic_fractions_log_files/Yang_log_img/262072972;262331501.jpg","show blot")</f>
        <v>show blot</v>
      </c>
      <c r="H3382" s="8" t="str">
        <f>HYPERLINK("https://esbl.nhlbi.nih.gov/Databases/mpkFractions/proteomic_fractions_linear_files/Yang_linear_img/262072972;262331501.jpg","show blot")</f>
        <v>show blot</v>
      </c>
      <c r="J3382" s="5" t="s">
        <v>6635</v>
      </c>
      <c r="L3382" s="11">
        <v>5.6380872571408158</v>
      </c>
      <c r="N3382" s="12"/>
    </row>
    <row r="3383" spans="1:14" s="5" customFormat="1" ht="15" customHeight="1" x14ac:dyDescent="0.25">
      <c r="A3383" s="9" t="s">
        <v>6636</v>
      </c>
      <c r="C3383" s="9" t="str">
        <f>HYPERLINK("http://www.ncbi.nlm.nih.gov/protein/262072970;86198323","Hmga1-rs1")</f>
        <v>Hmga1-rs1</v>
      </c>
      <c r="D3383" s="10">
        <f t="shared" si="52"/>
        <v>5.6380872571408158</v>
      </c>
      <c r="F3383" s="8" t="str">
        <f>HYPERLINK("https://esbl.nhlbi.nih.gov/Databases/mpkFractions/proteomic_fractions_log_files/Yang_log_img/262072970;86198323.jpg","show blot")</f>
        <v>show blot</v>
      </c>
      <c r="H3383" s="8" t="str">
        <f>HYPERLINK("https://esbl.nhlbi.nih.gov/Databases/mpkFractions/proteomic_fractions_linear_files/Yang_linear_img/262072970;86198323.jpg","show blot")</f>
        <v>show blot</v>
      </c>
      <c r="J3383" s="5" t="s">
        <v>6637</v>
      </c>
      <c r="L3383" s="11">
        <v>5.6380872571408158</v>
      </c>
      <c r="N3383" s="12"/>
    </row>
    <row r="3384" spans="1:14" s="5" customFormat="1" ht="15" customHeight="1" x14ac:dyDescent="0.25">
      <c r="A3384" s="9" t="s">
        <v>6638</v>
      </c>
      <c r="C3384" s="9" t="str">
        <f>HYPERLINK("http://www.ncbi.nlm.nih.gov/protein/262072970","Hmga1-rs1")</f>
        <v>Hmga1-rs1</v>
      </c>
      <c r="D3384" s="10">
        <f t="shared" si="52"/>
        <v>5.6380872571408158</v>
      </c>
      <c r="F3384" s="8" t="str">
        <f>HYPERLINK("https://esbl.nhlbi.nih.gov/Databases/mpkFractions/proteomic_fractions_log_files/Yang_log_img/262072970.jpg","show blot")</f>
        <v>show blot</v>
      </c>
      <c r="H3384" s="8" t="str">
        <f>HYPERLINK("https://esbl.nhlbi.nih.gov/Databases/mpkFractions/proteomic_fractions_linear_files/Yang_linear_img/262072970.jpg","show blot")</f>
        <v>show blot</v>
      </c>
      <c r="J3384" s="5" t="s">
        <v>6637</v>
      </c>
      <c r="L3384" s="11">
        <v>5.6380872571408158</v>
      </c>
      <c r="N3384" s="12"/>
    </row>
    <row r="3385" spans="1:14" s="5" customFormat="1" ht="15" customHeight="1" x14ac:dyDescent="0.25">
      <c r="A3385" s="9" t="s">
        <v>6639</v>
      </c>
      <c r="C3385" s="9" t="str">
        <f>HYPERLINK("http://www.ncbi.nlm.nih.gov/protein/6754210","Hmga2")</f>
        <v>Hmga2</v>
      </c>
      <c r="D3385" s="10">
        <f t="shared" si="52"/>
        <v>4.9571200230745252</v>
      </c>
      <c r="F3385" s="8" t="str">
        <f>HYPERLINK("https://esbl.nhlbi.nih.gov/Databases/mpkFractions/proteomic_fractions_log_files/Yang_log_img/6754210.jpg","show blot")</f>
        <v>show blot</v>
      </c>
      <c r="H3385" s="8" t="str">
        <f>HYPERLINK("https://esbl.nhlbi.nih.gov/Databases/mpkFractions/proteomic_fractions_linear_files/Yang_linear_img/6754210.jpg","show blot")</f>
        <v>show blot</v>
      </c>
      <c r="J3385" s="5" t="s">
        <v>6640</v>
      </c>
      <c r="L3385" s="11">
        <v>4.9571200230745252</v>
      </c>
      <c r="N3385" s="12"/>
    </row>
    <row r="3386" spans="1:14" s="5" customFormat="1" ht="15" customHeight="1" x14ac:dyDescent="0.25">
      <c r="A3386" s="9" t="s">
        <v>6641</v>
      </c>
      <c r="C3386" s="9" t="str">
        <f>HYPERLINK("http://www.ncbi.nlm.nih.gov/protein/6680229","Hmgb2")</f>
        <v>Hmgb2</v>
      </c>
      <c r="D3386" s="10">
        <f t="shared" si="52"/>
        <v>6.8405655142824093</v>
      </c>
      <c r="F3386" s="8" t="str">
        <f>HYPERLINK("https://esbl.nhlbi.nih.gov/Databases/mpkFractions/proteomic_fractions_log_files/Yang_log_img/6680229.jpg","show blot")</f>
        <v>show blot</v>
      </c>
      <c r="H3386" s="8" t="str">
        <f>HYPERLINK("https://esbl.nhlbi.nih.gov/Databases/mpkFractions/proteomic_fractions_linear_files/Yang_linear_img/6680229.jpg","show blot")</f>
        <v>show blot</v>
      </c>
      <c r="J3386" s="5" t="s">
        <v>6642</v>
      </c>
      <c r="L3386" s="11">
        <v>6.8405655142824093</v>
      </c>
      <c r="N3386" s="12"/>
    </row>
    <row r="3387" spans="1:14" s="5" customFormat="1" ht="15" customHeight="1" x14ac:dyDescent="0.25">
      <c r="A3387" s="9" t="s">
        <v>6643</v>
      </c>
      <c r="C3387" s="9" t="str">
        <f>HYPERLINK("http://www.ncbi.nlm.nih.gov/protein/6680231","Hmgb3")</f>
        <v>Hmgb3</v>
      </c>
      <c r="D3387" s="10">
        <f t="shared" si="52"/>
        <v>5.9811909486113519</v>
      </c>
      <c r="F3387" s="8" t="str">
        <f>HYPERLINK("https://esbl.nhlbi.nih.gov/Databases/mpkFractions/proteomic_fractions_log_files/Yang_log_img/6680231.jpg","show blot")</f>
        <v>show blot</v>
      </c>
      <c r="H3387" s="8" t="str">
        <f>HYPERLINK("https://esbl.nhlbi.nih.gov/Databases/mpkFractions/proteomic_fractions_linear_files/Yang_linear_img/6680231.jpg","show blot")</f>
        <v>show blot</v>
      </c>
      <c r="J3387" s="5" t="s">
        <v>6644</v>
      </c>
      <c r="L3387" s="11">
        <v>5.9811909486113519</v>
      </c>
      <c r="N3387" s="12"/>
    </row>
    <row r="3388" spans="1:14" s="5" customFormat="1" ht="15" customHeight="1" x14ac:dyDescent="0.25">
      <c r="A3388" s="9" t="s">
        <v>6645</v>
      </c>
      <c r="C3388" s="9" t="str">
        <f>HYPERLINK("http://www.ncbi.nlm.nih.gov/protein/171543858","Hmgcl")</f>
        <v>Hmgcl</v>
      </c>
      <c r="D3388" s="10">
        <f t="shared" si="52"/>
        <v>4.3562586227668261</v>
      </c>
      <c r="F3388" s="8" t="str">
        <f>HYPERLINK("https://esbl.nhlbi.nih.gov/Databases/mpkFractions/proteomic_fractions_log_files/Yang_log_img/171543858.jpg","show blot")</f>
        <v>show blot</v>
      </c>
      <c r="H3388" s="8" t="str">
        <f>HYPERLINK("https://esbl.nhlbi.nih.gov/Databases/mpkFractions/proteomic_fractions_linear_files/Yang_linear_img/171543858.jpg","show blot")</f>
        <v>show blot</v>
      </c>
      <c r="J3388" s="5" t="s">
        <v>6646</v>
      </c>
      <c r="L3388" s="11">
        <v>4.3562586227668261</v>
      </c>
      <c r="N3388" s="12"/>
    </row>
    <row r="3389" spans="1:14" s="5" customFormat="1" ht="15" customHeight="1" x14ac:dyDescent="0.25">
      <c r="A3389" s="9" t="s">
        <v>6647</v>
      </c>
      <c r="C3389" s="9" t="str">
        <f>HYPERLINK("http://www.ncbi.nlm.nih.gov/protein/31981842","Hmgcs1")</f>
        <v>Hmgcs1</v>
      </c>
      <c r="D3389" s="10">
        <f t="shared" si="52"/>
        <v>5.2506234797444282</v>
      </c>
      <c r="F3389" s="8" t="str">
        <f>HYPERLINK("https://esbl.nhlbi.nih.gov/Databases/mpkFractions/proteomic_fractions_log_files/Yang_log_img/31981842.jpg","show blot")</f>
        <v>show blot</v>
      </c>
      <c r="H3389" s="8" t="str">
        <f>HYPERLINK("https://esbl.nhlbi.nih.gov/Databases/mpkFractions/proteomic_fractions_linear_files/Yang_linear_img/31981842.jpg","show blot")</f>
        <v>show blot</v>
      </c>
      <c r="J3389" s="5" t="s">
        <v>6648</v>
      </c>
      <c r="L3389" s="11">
        <v>5.2506234797444282</v>
      </c>
      <c r="N3389" s="12"/>
    </row>
    <row r="3390" spans="1:14" s="5" customFormat="1" ht="15" customHeight="1" x14ac:dyDescent="0.25">
      <c r="A3390" s="9" t="s">
        <v>6649</v>
      </c>
      <c r="C3390" s="9" t="str">
        <f>HYPERLINK("http://www.ncbi.nlm.nih.gov/protein/31560689","Hmgcs2")</f>
        <v>Hmgcs2</v>
      </c>
      <c r="D3390" s="10">
        <f t="shared" si="52"/>
        <v>4.5320045767558588</v>
      </c>
      <c r="F3390" s="8" t="str">
        <f>HYPERLINK("https://esbl.nhlbi.nih.gov/Databases/mpkFractions/proteomic_fractions_log_files/Yang_log_img/31560689.jpg","show blot")</f>
        <v>show blot</v>
      </c>
      <c r="H3390" s="8" t="str">
        <f>HYPERLINK("https://esbl.nhlbi.nih.gov/Databases/mpkFractions/proteomic_fractions_linear_files/Yang_linear_img/31560689.jpg","show blot")</f>
        <v>show blot</v>
      </c>
      <c r="J3390" s="5" t="s">
        <v>6650</v>
      </c>
      <c r="L3390" s="11">
        <v>4.5320045767558588</v>
      </c>
      <c r="N3390" s="12"/>
    </row>
    <row r="3391" spans="1:14" s="5" customFormat="1" ht="15" customHeight="1" x14ac:dyDescent="0.25">
      <c r="A3391" s="9" t="s">
        <v>6651</v>
      </c>
      <c r="C3391" s="9" t="str">
        <f>HYPERLINK("http://www.ncbi.nlm.nih.gov/protein/21313298","Hmgn3")</f>
        <v>Hmgn3</v>
      </c>
      <c r="D3391" s="10">
        <f t="shared" si="52"/>
        <v>3.6551486112181748</v>
      </c>
      <c r="F3391" s="8" t="str">
        <f>HYPERLINK("https://esbl.nhlbi.nih.gov/Databases/mpkFractions/proteomic_fractions_log_files/Yang_log_img/21313298.jpg","show blot")</f>
        <v>show blot</v>
      </c>
      <c r="H3391" s="8" t="str">
        <f>HYPERLINK("https://esbl.nhlbi.nih.gov/Databases/mpkFractions/proteomic_fractions_linear_files/Yang_linear_img/21313298.jpg","show blot")</f>
        <v>show blot</v>
      </c>
      <c r="J3391" s="5" t="s">
        <v>6652</v>
      </c>
      <c r="L3391" s="11">
        <v>3.6551486112181748</v>
      </c>
      <c r="N3391" s="12"/>
    </row>
    <row r="3392" spans="1:14" s="5" customFormat="1" ht="15" customHeight="1" x14ac:dyDescent="0.25">
      <c r="A3392" s="9" t="s">
        <v>6653</v>
      </c>
      <c r="C3392" s="9" t="str">
        <f>HYPERLINK("http://www.ncbi.nlm.nih.gov/protein/133778915","Hmgn5")</f>
        <v>Hmgn5</v>
      </c>
      <c r="D3392" s="10">
        <f t="shared" si="52"/>
        <v>4.758936212304941</v>
      </c>
      <c r="F3392" s="8" t="str">
        <f>HYPERLINK("https://esbl.nhlbi.nih.gov/Databases/mpkFractions/proteomic_fractions_log_files/Yang_log_img/133778915.jpg","show blot")</f>
        <v>show blot</v>
      </c>
      <c r="H3392" s="8" t="str">
        <f>HYPERLINK("https://esbl.nhlbi.nih.gov/Databases/mpkFractions/proteomic_fractions_linear_files/Yang_linear_img/133778915.jpg","show blot")</f>
        <v>show blot</v>
      </c>
      <c r="J3392" s="5" t="s">
        <v>6654</v>
      </c>
      <c r="L3392" s="11">
        <v>4.758936212304941</v>
      </c>
      <c r="N3392" s="12"/>
    </row>
    <row r="3393" spans="1:14" s="5" customFormat="1" ht="15" customHeight="1" x14ac:dyDescent="0.25">
      <c r="A3393" s="9" t="s">
        <v>6655</v>
      </c>
      <c r="C3393" s="9" t="str">
        <f>HYPERLINK("http://www.ncbi.nlm.nih.gov/protein/225007593","Hmox2")</f>
        <v>Hmox2</v>
      </c>
      <c r="D3393" s="10">
        <f t="shared" si="52"/>
        <v>5.5020439920415063</v>
      </c>
      <c r="F3393" s="8" t="str">
        <f>HYPERLINK("https://esbl.nhlbi.nih.gov/Databases/mpkFractions/proteomic_fractions_log_files/Yang_log_img/225007593.jpg","show blot")</f>
        <v>show blot</v>
      </c>
      <c r="H3393" s="8" t="str">
        <f>HYPERLINK("https://esbl.nhlbi.nih.gov/Databases/mpkFractions/proteomic_fractions_linear_files/Yang_linear_img/225007593.jpg","show blot")</f>
        <v>show blot</v>
      </c>
      <c r="J3393" s="5" t="s">
        <v>6656</v>
      </c>
      <c r="L3393" s="11">
        <v>5.5020439920415063</v>
      </c>
      <c r="N3393" s="12"/>
    </row>
    <row r="3394" spans="1:14" s="5" customFormat="1" ht="15" customHeight="1" x14ac:dyDescent="0.25">
      <c r="A3394" s="9" t="s">
        <v>6657</v>
      </c>
      <c r="C3394" s="9" t="str">
        <f>HYPERLINK("http://www.ncbi.nlm.nih.gov/protein/6680237","Hn1")</f>
        <v>Hn1</v>
      </c>
      <c r="D3394" s="10">
        <f t="shared" si="52"/>
        <v>5.444795078480368</v>
      </c>
      <c r="F3394" s="8" t="str">
        <f>HYPERLINK("https://esbl.nhlbi.nih.gov/Databases/mpkFractions/proteomic_fractions_log_files/Yang_log_img/6680237.jpg","show blot")</f>
        <v>show blot</v>
      </c>
      <c r="H3394" s="8" t="str">
        <f>HYPERLINK("https://esbl.nhlbi.nih.gov/Databases/mpkFractions/proteomic_fractions_linear_files/Yang_linear_img/6680237.jpg","show blot")</f>
        <v>show blot</v>
      </c>
      <c r="J3394" s="5" t="s">
        <v>6658</v>
      </c>
      <c r="L3394" s="11">
        <v>5.444795078480368</v>
      </c>
      <c r="N3394" s="12"/>
    </row>
    <row r="3395" spans="1:14" s="5" customFormat="1" ht="15" customHeight="1" x14ac:dyDescent="0.25">
      <c r="A3395" s="9" t="s">
        <v>6659</v>
      </c>
      <c r="C3395" s="9" t="str">
        <f>HYPERLINK("http://www.ncbi.nlm.nih.gov/protein/39573709","Hn1l")</f>
        <v>Hn1l</v>
      </c>
      <c r="D3395" s="10">
        <f t="shared" si="52"/>
        <v>5.9537108163230563</v>
      </c>
      <c r="F3395" s="8" t="str">
        <f>HYPERLINK("https://esbl.nhlbi.nih.gov/Databases/mpkFractions/proteomic_fractions_log_files/Yang_log_img/39573709.jpg","show blot")</f>
        <v>show blot</v>
      </c>
      <c r="H3395" s="8" t="str">
        <f>HYPERLINK("https://esbl.nhlbi.nih.gov/Databases/mpkFractions/proteomic_fractions_linear_files/Yang_linear_img/39573709.jpg","show blot")</f>
        <v>show blot</v>
      </c>
      <c r="J3395" s="5" t="s">
        <v>6660</v>
      </c>
      <c r="L3395" s="11">
        <v>5.9537108163230563</v>
      </c>
      <c r="N3395" s="12"/>
    </row>
    <row r="3396" spans="1:14" s="5" customFormat="1" ht="15" customHeight="1" x14ac:dyDescent="0.25">
      <c r="A3396" s="9" t="s">
        <v>6661</v>
      </c>
      <c r="C3396" s="9" t="str">
        <f>HYPERLINK("http://www.ncbi.nlm.nih.gov/protein/226443091","Hnrnpa0")</f>
        <v>Hnrnpa0</v>
      </c>
      <c r="D3396" s="10">
        <f t="shared" si="52"/>
        <v>6.4661433444050536</v>
      </c>
      <c r="F3396" s="8" t="str">
        <f>HYPERLINK("https://esbl.nhlbi.nih.gov/Databases/mpkFractions/proteomic_fractions_log_files/Yang_log_img/226443091.jpg","show blot")</f>
        <v>show blot</v>
      </c>
      <c r="H3396" s="8" t="str">
        <f>HYPERLINK("https://esbl.nhlbi.nih.gov/Databases/mpkFractions/proteomic_fractions_linear_files/Yang_linear_img/226443091.jpg","show blot")</f>
        <v>show blot</v>
      </c>
      <c r="J3396" s="5" t="s">
        <v>6662</v>
      </c>
      <c r="L3396" s="11">
        <v>6.4661433444050536</v>
      </c>
      <c r="N3396" s="12"/>
    </row>
    <row r="3397" spans="1:14" s="5" customFormat="1" ht="15" customHeight="1" x14ac:dyDescent="0.25">
      <c r="A3397" s="9" t="s">
        <v>6663</v>
      </c>
      <c r="C3397" s="9" t="str">
        <f>HYPERLINK("http://www.ncbi.nlm.nih.gov/protein/6754220","Hnrnpa1")</f>
        <v>Hnrnpa1</v>
      </c>
      <c r="D3397" s="10">
        <f t="shared" ref="D3397:D3460" si="53">L3397</f>
        <v>6.9721372213562613</v>
      </c>
      <c r="F3397" s="8" t="str">
        <f>HYPERLINK("https://esbl.nhlbi.nih.gov/Databases/mpkFractions/proteomic_fractions_log_files/Yang_log_img/6754220.jpg","show blot")</f>
        <v>show blot</v>
      </c>
      <c r="H3397" s="8" t="str">
        <f>HYPERLINK("https://esbl.nhlbi.nih.gov/Databases/mpkFractions/proteomic_fractions_linear_files/Yang_linear_img/6754220.jpg","show blot")</f>
        <v>show blot</v>
      </c>
      <c r="J3397" s="5" t="s">
        <v>6664</v>
      </c>
      <c r="L3397" s="11">
        <v>6.9721372213562613</v>
      </c>
      <c r="N3397" s="12"/>
    </row>
    <row r="3398" spans="1:14" s="5" customFormat="1" ht="15" customHeight="1" x14ac:dyDescent="0.25">
      <c r="A3398" s="9" t="s">
        <v>6665</v>
      </c>
      <c r="C3398" s="9" t="str">
        <f>HYPERLINK("http://www.ncbi.nlm.nih.gov/protein/85060507","Hnrnpa1")</f>
        <v>Hnrnpa1</v>
      </c>
      <c r="D3398" s="10">
        <f t="shared" si="53"/>
        <v>6.9721372213562613</v>
      </c>
      <c r="F3398" s="8" t="str">
        <f>HYPERLINK("https://esbl.nhlbi.nih.gov/Databases/mpkFractions/proteomic_fractions_log_files/Yang_log_img/85060507.jpg","show blot")</f>
        <v>show blot</v>
      </c>
      <c r="H3398" s="8" t="str">
        <f>HYPERLINK("https://esbl.nhlbi.nih.gov/Databases/mpkFractions/proteomic_fractions_linear_files/Yang_linear_img/85060507.jpg","show blot")</f>
        <v>show blot</v>
      </c>
      <c r="J3398" s="5" t="s">
        <v>6666</v>
      </c>
      <c r="L3398" s="11">
        <v>6.9721372213562613</v>
      </c>
      <c r="N3398" s="12"/>
    </row>
    <row r="3399" spans="1:14" s="5" customFormat="1" ht="15" customHeight="1" x14ac:dyDescent="0.25">
      <c r="A3399" s="9" t="s">
        <v>6667</v>
      </c>
      <c r="C3399" s="9" t="str">
        <f>HYPERLINK("http://www.ncbi.nlm.nih.gov/protein/109134362;309267107","Hnrnpa2b1")</f>
        <v>Hnrnpa2b1</v>
      </c>
      <c r="D3399" s="10">
        <f t="shared" si="53"/>
        <v>7.1715458071545717</v>
      </c>
      <c r="F3399" s="8" t="str">
        <f>HYPERLINK("https://esbl.nhlbi.nih.gov/Databases/mpkFractions/proteomic_fractions_log_files/Yang_log_img/109134362;309267107.jpg","show blot")</f>
        <v>show blot</v>
      </c>
      <c r="H3399" s="8" t="str">
        <f>HYPERLINK("https://esbl.nhlbi.nih.gov/Databases/mpkFractions/proteomic_fractions_linear_files/Yang_linear_img/109134362;309267107.jpg","show blot")</f>
        <v>show blot</v>
      </c>
      <c r="J3399" s="5" t="s">
        <v>6668</v>
      </c>
      <c r="L3399" s="11">
        <v>7.1715458071545717</v>
      </c>
      <c r="N3399" s="12"/>
    </row>
    <row r="3400" spans="1:14" s="5" customFormat="1" ht="15" customHeight="1" x14ac:dyDescent="0.25">
      <c r="A3400" s="9" t="s">
        <v>6669</v>
      </c>
      <c r="C3400" s="9" t="str">
        <f>HYPERLINK("http://www.ncbi.nlm.nih.gov/protein/32880197","Hnrnpa2b1")</f>
        <v>Hnrnpa2b1</v>
      </c>
      <c r="D3400" s="10">
        <f t="shared" si="53"/>
        <v>7.1715458071545717</v>
      </c>
      <c r="F3400" s="8" t="str">
        <f>HYPERLINK("https://esbl.nhlbi.nih.gov/Databases/mpkFractions/proteomic_fractions_log_files/Yang_log_img/32880197.jpg","show blot")</f>
        <v>show blot</v>
      </c>
      <c r="H3400" s="8" t="str">
        <f>HYPERLINK("https://esbl.nhlbi.nih.gov/Databases/mpkFractions/proteomic_fractions_linear_files/Yang_linear_img/32880197.jpg","show blot")</f>
        <v>show blot</v>
      </c>
      <c r="J3400" s="5" t="s">
        <v>6670</v>
      </c>
      <c r="L3400" s="11">
        <v>7.1715458071545717</v>
      </c>
      <c r="N3400" s="12"/>
    </row>
    <row r="3401" spans="1:14" s="5" customFormat="1" ht="15" customHeight="1" x14ac:dyDescent="0.25">
      <c r="A3401" s="9" t="s">
        <v>6671</v>
      </c>
      <c r="C3401" s="9" t="str">
        <f>HYPERLINK("http://www.ncbi.nlm.nih.gov/protein/157277969","Hnrnpa3")</f>
        <v>Hnrnpa3</v>
      </c>
      <c r="D3401" s="10">
        <f t="shared" si="53"/>
        <v>7.0186396400299413</v>
      </c>
      <c r="F3401" s="8" t="str">
        <f>HYPERLINK("https://esbl.nhlbi.nih.gov/Databases/mpkFractions/proteomic_fractions_log_files/Yang_log_img/157277969.jpg","show blot")</f>
        <v>show blot</v>
      </c>
      <c r="H3401" s="8" t="str">
        <f>HYPERLINK("https://esbl.nhlbi.nih.gov/Databases/mpkFractions/proteomic_fractions_linear_files/Yang_linear_img/157277969.jpg","show blot")</f>
        <v>show blot</v>
      </c>
      <c r="J3401" s="5" t="s">
        <v>6672</v>
      </c>
      <c r="L3401" s="11">
        <v>7.0186396400299413</v>
      </c>
      <c r="N3401" s="12"/>
    </row>
    <row r="3402" spans="1:14" s="5" customFormat="1" ht="15" customHeight="1" x14ac:dyDescent="0.25">
      <c r="A3402" s="9" t="s">
        <v>6673</v>
      </c>
      <c r="C3402" s="9" t="str">
        <f>HYPERLINK("http://www.ncbi.nlm.nih.gov/protein/37674277","Hnrnpa3")</f>
        <v>Hnrnpa3</v>
      </c>
      <c r="D3402" s="10">
        <f t="shared" si="53"/>
        <v>7.0186396400299413</v>
      </c>
      <c r="F3402" s="8" t="str">
        <f>HYPERLINK("https://esbl.nhlbi.nih.gov/Databases/mpkFractions/proteomic_fractions_log_files/Yang_log_img/37674277.jpg","show blot")</f>
        <v>show blot</v>
      </c>
      <c r="H3402" s="8" t="str">
        <f>HYPERLINK("https://esbl.nhlbi.nih.gov/Databases/mpkFractions/proteomic_fractions_linear_files/Yang_linear_img/37674277.jpg","show blot")</f>
        <v>show blot</v>
      </c>
      <c r="J3402" s="5" t="s">
        <v>6674</v>
      </c>
      <c r="L3402" s="11">
        <v>7.0186396400299413</v>
      </c>
      <c r="N3402" s="12"/>
    </row>
    <row r="3403" spans="1:14" s="5" customFormat="1" ht="15" customHeight="1" x14ac:dyDescent="0.25">
      <c r="A3403" s="9" t="s">
        <v>6675</v>
      </c>
      <c r="C3403" s="9" t="str">
        <f>HYPERLINK("http://www.ncbi.nlm.nih.gov/protein/146260280","Hnrnpab")</f>
        <v>Hnrnpab</v>
      </c>
      <c r="D3403" s="10">
        <f t="shared" si="53"/>
        <v>6.8486765821175091</v>
      </c>
      <c r="F3403" s="8" t="str">
        <f>HYPERLINK("https://esbl.nhlbi.nih.gov/Databases/mpkFractions/proteomic_fractions_log_files/Yang_log_img/146260280.jpg","show blot")</f>
        <v>show blot</v>
      </c>
      <c r="H3403" s="8" t="str">
        <f>HYPERLINK("https://esbl.nhlbi.nih.gov/Databases/mpkFractions/proteomic_fractions_linear_files/Yang_linear_img/146260280.jpg","show blot")</f>
        <v>show blot</v>
      </c>
      <c r="J3403" s="5" t="s">
        <v>6676</v>
      </c>
      <c r="L3403" s="11">
        <v>6.8486765821175091</v>
      </c>
      <c r="N3403" s="12"/>
    </row>
    <row r="3404" spans="1:14" s="5" customFormat="1" ht="15" customHeight="1" x14ac:dyDescent="0.25">
      <c r="A3404" s="9" t="s">
        <v>6677</v>
      </c>
      <c r="C3404" s="9" t="str">
        <f>HYPERLINK("http://www.ncbi.nlm.nih.gov/protein/6754222","Hnrnpab")</f>
        <v>Hnrnpab</v>
      </c>
      <c r="D3404" s="10">
        <f t="shared" si="53"/>
        <v>6.8486765821175091</v>
      </c>
      <c r="F3404" s="8" t="str">
        <f>HYPERLINK("https://esbl.nhlbi.nih.gov/Databases/mpkFractions/proteomic_fractions_log_files/Yang_log_img/6754222.jpg","show blot")</f>
        <v>show blot</v>
      </c>
      <c r="H3404" s="8" t="str">
        <f>HYPERLINK("https://esbl.nhlbi.nih.gov/Databases/mpkFractions/proteomic_fractions_linear_files/Yang_linear_img/6754222.jpg","show blot")</f>
        <v>show blot</v>
      </c>
      <c r="J3404" s="5" t="s">
        <v>6678</v>
      </c>
      <c r="L3404" s="11">
        <v>6.8486765821175091</v>
      </c>
      <c r="N3404" s="12"/>
    </row>
    <row r="3405" spans="1:14" s="5" customFormat="1" ht="15" customHeight="1" x14ac:dyDescent="0.25">
      <c r="A3405" s="9" t="s">
        <v>6679</v>
      </c>
      <c r="C3405" s="9" t="str">
        <f>HYPERLINK("http://www.ncbi.nlm.nih.gov/protein/283436176","Hnrnpc")</f>
        <v>Hnrnpc</v>
      </c>
      <c r="D3405" s="10">
        <f t="shared" si="53"/>
        <v>6.4355891038035056</v>
      </c>
      <c r="F3405" s="8" t="str">
        <f>HYPERLINK("https://esbl.nhlbi.nih.gov/Databases/mpkFractions/proteomic_fractions_log_files/Yang_log_img/283436176.jpg","show blot")</f>
        <v>show blot</v>
      </c>
      <c r="H3405" s="8" t="str">
        <f>HYPERLINK("https://esbl.nhlbi.nih.gov/Databases/mpkFractions/proteomic_fractions_linear_files/Yang_linear_img/283436176.jpg","show blot")</f>
        <v>show blot</v>
      </c>
      <c r="J3405" s="5" t="s">
        <v>6680</v>
      </c>
      <c r="L3405" s="11">
        <v>6.4355891038035056</v>
      </c>
      <c r="N3405" s="12"/>
    </row>
    <row r="3406" spans="1:14" s="5" customFormat="1" ht="15" customHeight="1" x14ac:dyDescent="0.25">
      <c r="A3406" s="9" t="s">
        <v>6681</v>
      </c>
      <c r="C3406" s="9" t="str">
        <f>HYPERLINK("http://www.ncbi.nlm.nih.gov/protein/283436180","Hnrnpc")</f>
        <v>Hnrnpc</v>
      </c>
      <c r="D3406" s="10">
        <f t="shared" si="53"/>
        <v>6.4355891038035056</v>
      </c>
      <c r="F3406" s="8" t="str">
        <f>HYPERLINK("https://esbl.nhlbi.nih.gov/Databases/mpkFractions/proteomic_fractions_log_files/Yang_log_img/283436180.jpg","show blot")</f>
        <v>show blot</v>
      </c>
      <c r="H3406" s="8" t="str">
        <f>HYPERLINK("https://esbl.nhlbi.nih.gov/Databases/mpkFractions/proteomic_fractions_linear_files/Yang_linear_img/283436180.jpg","show blot")</f>
        <v>show blot</v>
      </c>
      <c r="J3406" s="5" t="s">
        <v>6682</v>
      </c>
      <c r="L3406" s="11">
        <v>6.4355891038035056</v>
      </c>
      <c r="N3406" s="12"/>
    </row>
    <row r="3407" spans="1:14" s="5" customFormat="1" ht="15" customHeight="1" x14ac:dyDescent="0.25">
      <c r="A3407" s="9" t="s">
        <v>6683</v>
      </c>
      <c r="C3407" s="9" t="str">
        <f>HYPERLINK("http://www.ncbi.nlm.nih.gov/protein/283436182","Hnrnpc")</f>
        <v>Hnrnpc</v>
      </c>
      <c r="D3407" s="10">
        <f t="shared" si="53"/>
        <v>6.4355891038035056</v>
      </c>
      <c r="F3407" s="8" t="str">
        <f>HYPERLINK("https://esbl.nhlbi.nih.gov/Databases/mpkFractions/proteomic_fractions_log_files/Yang_log_img/283436182.jpg","show blot")</f>
        <v>show blot</v>
      </c>
      <c r="H3407" s="8" t="str">
        <f>HYPERLINK("https://esbl.nhlbi.nih.gov/Databases/mpkFractions/proteomic_fractions_linear_files/Yang_linear_img/283436182.jpg","show blot")</f>
        <v>show blot</v>
      </c>
      <c r="J3407" s="5" t="s">
        <v>6684</v>
      </c>
      <c r="L3407" s="11">
        <v>6.4355891038035056</v>
      </c>
      <c r="N3407" s="12"/>
    </row>
    <row r="3408" spans="1:14" s="5" customFormat="1" ht="15" customHeight="1" x14ac:dyDescent="0.25">
      <c r="A3408" s="9" t="s">
        <v>6685</v>
      </c>
      <c r="C3408" s="9" t="str">
        <f>HYPERLINK("http://www.ncbi.nlm.nih.gov/protein/8393544","Hnrnpc")</f>
        <v>Hnrnpc</v>
      </c>
      <c r="D3408" s="10">
        <f t="shared" si="53"/>
        <v>6.4355891038035056</v>
      </c>
      <c r="F3408" s="8" t="str">
        <f>HYPERLINK("https://esbl.nhlbi.nih.gov/Databases/mpkFractions/proteomic_fractions_log_files/Yang_log_img/8393544.jpg","show blot")</f>
        <v>show blot</v>
      </c>
      <c r="H3408" s="8" t="str">
        <f>HYPERLINK("https://esbl.nhlbi.nih.gov/Databases/mpkFractions/proteomic_fractions_linear_files/Yang_linear_img/8393544.jpg","show blot")</f>
        <v>show blot</v>
      </c>
      <c r="J3408" s="5" t="s">
        <v>6686</v>
      </c>
      <c r="L3408" s="11">
        <v>6.4355891038035056</v>
      </c>
      <c r="N3408" s="12"/>
    </row>
    <row r="3409" spans="1:14" s="5" customFormat="1" ht="15" customHeight="1" x14ac:dyDescent="0.25">
      <c r="A3409" s="9" t="s">
        <v>6687</v>
      </c>
      <c r="C3409" s="9" t="str">
        <f>HYPERLINK("http://www.ncbi.nlm.nih.gov/protein/116256512","Hnrnpd")</f>
        <v>Hnrnpd</v>
      </c>
      <c r="D3409" s="10">
        <f t="shared" si="53"/>
        <v>6.6347016613376342</v>
      </c>
      <c r="F3409" s="8" t="str">
        <f>HYPERLINK("https://esbl.nhlbi.nih.gov/Databases/mpkFractions/proteomic_fractions_log_files/Yang_log_img/116256512.jpg","show blot")</f>
        <v>show blot</v>
      </c>
      <c r="H3409" s="8" t="str">
        <f>HYPERLINK("https://esbl.nhlbi.nih.gov/Databases/mpkFractions/proteomic_fractions_linear_files/Yang_linear_img/116256512.jpg","show blot")</f>
        <v>show blot</v>
      </c>
      <c r="J3409" s="5" t="s">
        <v>6688</v>
      </c>
      <c r="L3409" s="11">
        <v>6.6347016613376342</v>
      </c>
      <c r="N3409" s="12"/>
    </row>
    <row r="3410" spans="1:14" s="5" customFormat="1" ht="15" customHeight="1" x14ac:dyDescent="0.25">
      <c r="A3410" s="9" t="s">
        <v>6689</v>
      </c>
      <c r="C3410" s="9" t="str">
        <f>HYPERLINK("http://www.ncbi.nlm.nih.gov/protein/116256514","Hnrnpd")</f>
        <v>Hnrnpd</v>
      </c>
      <c r="D3410" s="10">
        <f t="shared" si="53"/>
        <v>6.6347016613376342</v>
      </c>
      <c r="F3410" s="8" t="str">
        <f>HYPERLINK("https://esbl.nhlbi.nih.gov/Databases/mpkFractions/proteomic_fractions_log_files/Yang_log_img/116256514.jpg","show blot")</f>
        <v>show blot</v>
      </c>
      <c r="H3410" s="8" t="str">
        <f>HYPERLINK("https://esbl.nhlbi.nih.gov/Databases/mpkFractions/proteomic_fractions_linear_files/Yang_linear_img/116256514.jpg","show blot")</f>
        <v>show blot</v>
      </c>
      <c r="J3410" s="5" t="s">
        <v>6690</v>
      </c>
      <c r="L3410" s="11">
        <v>6.6347016613376342</v>
      </c>
      <c r="N3410" s="12"/>
    </row>
    <row r="3411" spans="1:14" s="5" customFormat="1" ht="15" customHeight="1" x14ac:dyDescent="0.25">
      <c r="A3411" s="9" t="s">
        <v>6691</v>
      </c>
      <c r="C3411" s="9" t="str">
        <f>HYPERLINK("http://www.ncbi.nlm.nih.gov/protein/116256516","Hnrnpd")</f>
        <v>Hnrnpd</v>
      </c>
      <c r="D3411" s="10">
        <f t="shared" si="53"/>
        <v>6.6347016613376342</v>
      </c>
      <c r="F3411" s="8" t="str">
        <f>HYPERLINK("https://esbl.nhlbi.nih.gov/Databases/mpkFractions/proteomic_fractions_log_files/Yang_log_img/116256516.jpg","show blot")</f>
        <v>show blot</v>
      </c>
      <c r="H3411" s="8" t="str">
        <f>HYPERLINK("https://esbl.nhlbi.nih.gov/Databases/mpkFractions/proteomic_fractions_linear_files/Yang_linear_img/116256516.jpg","show blot")</f>
        <v>show blot</v>
      </c>
      <c r="J3411" s="5" t="s">
        <v>6692</v>
      </c>
      <c r="L3411" s="11">
        <v>6.6347016613376342</v>
      </c>
      <c r="N3411" s="12"/>
    </row>
    <row r="3412" spans="1:14" s="5" customFormat="1" ht="15" customHeight="1" x14ac:dyDescent="0.25">
      <c r="A3412" s="9" t="s">
        <v>6693</v>
      </c>
      <c r="C3412" s="9" t="str">
        <f>HYPERLINK("http://www.ncbi.nlm.nih.gov/protein/116256518","Hnrnpd")</f>
        <v>Hnrnpd</v>
      </c>
      <c r="D3412" s="10">
        <f t="shared" si="53"/>
        <v>6.6347016613376342</v>
      </c>
      <c r="F3412" s="8" t="str">
        <f>HYPERLINK("https://esbl.nhlbi.nih.gov/Databases/mpkFractions/proteomic_fractions_log_files/Yang_log_img/116256518.jpg","show blot")</f>
        <v>show blot</v>
      </c>
      <c r="H3412" s="8" t="str">
        <f>HYPERLINK("https://esbl.nhlbi.nih.gov/Databases/mpkFractions/proteomic_fractions_linear_files/Yang_linear_img/116256518.jpg","show blot")</f>
        <v>show blot</v>
      </c>
      <c r="J3412" s="5" t="s">
        <v>6694</v>
      </c>
      <c r="L3412" s="11">
        <v>6.6347016613376342</v>
      </c>
      <c r="N3412" s="12"/>
    </row>
    <row r="3413" spans="1:14" s="5" customFormat="1" ht="15" customHeight="1" x14ac:dyDescent="0.25">
      <c r="A3413" s="9" t="s">
        <v>6695</v>
      </c>
      <c r="C3413" s="9" t="str">
        <f>HYPERLINK("http://www.ncbi.nlm.nih.gov/protein/148664250","Hnrnpdl")</f>
        <v>Hnrnpdl</v>
      </c>
      <c r="D3413" s="10">
        <f t="shared" si="53"/>
        <v>6.1985115082142954</v>
      </c>
      <c r="F3413" s="8" t="str">
        <f>HYPERLINK("https://esbl.nhlbi.nih.gov/Databases/mpkFractions/proteomic_fractions_log_files/Yang_log_img/148664250.jpg","show blot")</f>
        <v>show blot</v>
      </c>
      <c r="H3413" s="8" t="str">
        <f>HYPERLINK("https://esbl.nhlbi.nih.gov/Databases/mpkFractions/proteomic_fractions_linear_files/Yang_linear_img/148664250.jpg","show blot")</f>
        <v>show blot</v>
      </c>
      <c r="J3413" s="5" t="s">
        <v>6696</v>
      </c>
      <c r="L3413" s="11">
        <v>6.1985115082142954</v>
      </c>
      <c r="N3413" s="12"/>
    </row>
    <row r="3414" spans="1:14" s="5" customFormat="1" ht="15" customHeight="1" x14ac:dyDescent="0.25">
      <c r="A3414" s="9" t="s">
        <v>6697</v>
      </c>
      <c r="C3414" s="9" t="str">
        <f>HYPERLINK("http://www.ncbi.nlm.nih.gov/protein/261878599;19527048","Hnrnpf")</f>
        <v>Hnrnpf</v>
      </c>
      <c r="D3414" s="10">
        <f t="shared" si="53"/>
        <v>6.5416720113869404</v>
      </c>
      <c r="F3414" s="8" t="str">
        <f>HYPERLINK("https://esbl.nhlbi.nih.gov/Databases/mpkFractions/proteomic_fractions_log_files/Yang_log_img/261878599;19527048.jpg","show blot")</f>
        <v>show blot</v>
      </c>
      <c r="H3414" s="8" t="str">
        <f>HYPERLINK("https://esbl.nhlbi.nih.gov/Databases/mpkFractions/proteomic_fractions_linear_files/Yang_linear_img/261878599;19527048.jpg","show blot")</f>
        <v>show blot</v>
      </c>
      <c r="J3414" s="5" t="s">
        <v>6698</v>
      </c>
      <c r="L3414" s="11">
        <v>6.5416720113869404</v>
      </c>
      <c r="N3414" s="12"/>
    </row>
    <row r="3415" spans="1:14" s="5" customFormat="1" ht="15" customHeight="1" x14ac:dyDescent="0.25">
      <c r="A3415" s="9" t="s">
        <v>6699</v>
      </c>
      <c r="C3415" s="9" t="str">
        <f>HYPERLINK("http://www.ncbi.nlm.nih.gov/protein/19527048","Hnrnpf")</f>
        <v>Hnrnpf</v>
      </c>
      <c r="D3415" s="10">
        <f t="shared" si="53"/>
        <v>6.5416720113869404</v>
      </c>
      <c r="F3415" s="8" t="str">
        <f>HYPERLINK("https://esbl.nhlbi.nih.gov/Databases/mpkFractions/proteomic_fractions_log_files/Yang_log_img/19527048.jpg","show blot")</f>
        <v>show blot</v>
      </c>
      <c r="H3415" s="8" t="str">
        <f>HYPERLINK("https://esbl.nhlbi.nih.gov/Databases/mpkFractions/proteomic_fractions_linear_files/Yang_linear_img/19527048.jpg","show blot")</f>
        <v>show blot</v>
      </c>
      <c r="J3415" s="5" t="s">
        <v>6698</v>
      </c>
      <c r="L3415" s="11">
        <v>6.5416720113869404</v>
      </c>
      <c r="N3415" s="12"/>
    </row>
    <row r="3416" spans="1:14" s="5" customFormat="1" ht="15" customHeight="1" x14ac:dyDescent="0.25">
      <c r="A3416" s="9" t="s">
        <v>6700</v>
      </c>
      <c r="C3416" s="9" t="str">
        <f>HYPERLINK("http://www.ncbi.nlm.nih.gov/protein/10946928","Hnrnph1")</f>
        <v>Hnrnph1</v>
      </c>
      <c r="D3416" s="10">
        <f t="shared" si="53"/>
        <v>6.5570518113052527</v>
      </c>
      <c r="F3416" s="8" t="str">
        <f>HYPERLINK("https://esbl.nhlbi.nih.gov/Databases/mpkFractions/proteomic_fractions_log_files/Yang_log_img/10946928.jpg","show blot")</f>
        <v>show blot</v>
      </c>
      <c r="H3416" s="8" t="str">
        <f>HYPERLINK("https://esbl.nhlbi.nih.gov/Databases/mpkFractions/proteomic_fractions_linear_files/Yang_linear_img/10946928.jpg","show blot")</f>
        <v>show blot</v>
      </c>
      <c r="J3416" s="5" t="s">
        <v>6701</v>
      </c>
      <c r="L3416" s="11">
        <v>6.5570518113052527</v>
      </c>
      <c r="N3416" s="12"/>
    </row>
    <row r="3417" spans="1:14" s="5" customFormat="1" ht="15" customHeight="1" x14ac:dyDescent="0.25">
      <c r="A3417" s="9" t="s">
        <v>6702</v>
      </c>
      <c r="C3417" s="9" t="str">
        <f>HYPERLINK("http://www.ncbi.nlm.nih.gov/protein/9845253","Hnrnph2")</f>
        <v>Hnrnph2</v>
      </c>
      <c r="D3417" s="10">
        <f t="shared" si="53"/>
        <v>6.3982470003464176</v>
      </c>
      <c r="F3417" s="8" t="str">
        <f>HYPERLINK("https://esbl.nhlbi.nih.gov/Databases/mpkFractions/proteomic_fractions_log_files/Yang_log_img/9845253.jpg","show blot")</f>
        <v>show blot</v>
      </c>
      <c r="H3417" s="8" t="str">
        <f>HYPERLINK("https://esbl.nhlbi.nih.gov/Databases/mpkFractions/proteomic_fractions_linear_files/Yang_linear_img/9845253.jpg","show blot")</f>
        <v>show blot</v>
      </c>
      <c r="J3417" s="5" t="s">
        <v>6703</v>
      </c>
      <c r="L3417" s="11">
        <v>6.3982470003464176</v>
      </c>
      <c r="N3417" s="12"/>
    </row>
    <row r="3418" spans="1:14" s="5" customFormat="1" ht="15" customHeight="1" x14ac:dyDescent="0.25">
      <c r="A3418" s="9" t="s">
        <v>6704</v>
      </c>
      <c r="C3418" s="9" t="str">
        <f>HYPERLINK("http://www.ncbi.nlm.nih.gov/protein/119637823","Hnrnph3")</f>
        <v>Hnrnph3</v>
      </c>
      <c r="D3418" s="10">
        <f t="shared" si="53"/>
        <v>4.5506218184150509</v>
      </c>
      <c r="F3418" s="8" t="str">
        <f>HYPERLINK("https://esbl.nhlbi.nih.gov/Databases/mpkFractions/proteomic_fractions_log_files/Yang_log_img/119637823.jpg","show blot")</f>
        <v>show blot</v>
      </c>
      <c r="H3418" s="8" t="str">
        <f>HYPERLINK("https://esbl.nhlbi.nih.gov/Databases/mpkFractions/proteomic_fractions_linear_files/Yang_linear_img/119637823.jpg","show blot")</f>
        <v>show blot</v>
      </c>
      <c r="J3418" s="5" t="s">
        <v>6705</v>
      </c>
      <c r="L3418" s="11">
        <v>4.5506218184150509</v>
      </c>
      <c r="N3418" s="12"/>
    </row>
    <row r="3419" spans="1:14" s="5" customFormat="1" ht="15" customHeight="1" x14ac:dyDescent="0.25">
      <c r="A3419" s="9" t="s">
        <v>6706</v>
      </c>
      <c r="C3419" s="9" t="str">
        <f>HYPERLINK("http://www.ncbi.nlm.nih.gov/protein/13384620","Hnrnpk")</f>
        <v>Hnrnpk</v>
      </c>
      <c r="D3419" s="10">
        <f t="shared" si="53"/>
        <v>6.9804511512759024</v>
      </c>
      <c r="F3419" s="8" t="str">
        <f>HYPERLINK("https://esbl.nhlbi.nih.gov/Databases/mpkFractions/proteomic_fractions_log_files/Yang_log_img/13384620.jpg","show blot")</f>
        <v>show blot</v>
      </c>
      <c r="H3419" s="8" t="str">
        <f>HYPERLINK("https://esbl.nhlbi.nih.gov/Databases/mpkFractions/proteomic_fractions_linear_files/Yang_linear_img/13384620.jpg","show blot")</f>
        <v>show blot</v>
      </c>
      <c r="J3419" s="5" t="s">
        <v>6707</v>
      </c>
      <c r="L3419" s="11">
        <v>6.9804511512759024</v>
      </c>
      <c r="N3419" s="12"/>
    </row>
    <row r="3420" spans="1:14" s="5" customFormat="1" ht="15" customHeight="1" x14ac:dyDescent="0.25">
      <c r="A3420" s="9" t="s">
        <v>6708</v>
      </c>
      <c r="C3420" s="9" t="str">
        <f>HYPERLINK("http://www.ncbi.nlm.nih.gov/protein/183980004","Hnrnpl")</f>
        <v>Hnrnpl</v>
      </c>
      <c r="D3420" s="10">
        <f t="shared" si="53"/>
        <v>6.2181397098439506</v>
      </c>
      <c r="F3420" s="8" t="str">
        <f>HYPERLINK("https://esbl.nhlbi.nih.gov/Databases/mpkFractions/proteomic_fractions_log_files/Yang_log_img/183980004.jpg","show blot")</f>
        <v>show blot</v>
      </c>
      <c r="H3420" s="8" t="str">
        <f>HYPERLINK("https://esbl.nhlbi.nih.gov/Databases/mpkFractions/proteomic_fractions_linear_files/Yang_linear_img/183980004.jpg","show blot")</f>
        <v>show blot</v>
      </c>
      <c r="J3420" s="5" t="s">
        <v>6709</v>
      </c>
      <c r="L3420" s="11">
        <v>6.2181397098439506</v>
      </c>
      <c r="N3420" s="12"/>
    </row>
    <row r="3421" spans="1:14" s="5" customFormat="1" ht="15" customHeight="1" x14ac:dyDescent="0.25">
      <c r="A3421" s="9" t="s">
        <v>6710</v>
      </c>
      <c r="C3421" s="9" t="str">
        <f>HYPERLINK("http://www.ncbi.nlm.nih.gov/protein/110347535","Hnrnpll")</f>
        <v>Hnrnpll</v>
      </c>
      <c r="D3421" s="10">
        <f t="shared" si="53"/>
        <v>5.1779835886392922</v>
      </c>
      <c r="F3421" s="8" t="str">
        <f>HYPERLINK("https://esbl.nhlbi.nih.gov/Databases/mpkFractions/proteomic_fractions_log_files/Yang_log_img/110347535.jpg","show blot")</f>
        <v>show blot</v>
      </c>
      <c r="H3421" s="8" t="str">
        <f>HYPERLINK("https://esbl.nhlbi.nih.gov/Databases/mpkFractions/proteomic_fractions_linear_files/Yang_linear_img/110347535.jpg","show blot")</f>
        <v>show blot</v>
      </c>
      <c r="J3421" s="5" t="s">
        <v>6711</v>
      </c>
      <c r="L3421" s="11">
        <v>5.1779835886392922</v>
      </c>
      <c r="N3421" s="12"/>
    </row>
    <row r="3422" spans="1:14" s="5" customFormat="1" ht="15" customHeight="1" x14ac:dyDescent="0.25">
      <c r="A3422" s="9" t="s">
        <v>6712</v>
      </c>
      <c r="C3422" s="9" t="str">
        <f>HYPERLINK("http://www.ncbi.nlm.nih.gov/protein/158186704","Hnrnpm")</f>
        <v>Hnrnpm</v>
      </c>
      <c r="D3422" s="10">
        <f t="shared" si="53"/>
        <v>6.2264238475557656</v>
      </c>
      <c r="F3422" s="8" t="str">
        <f>HYPERLINK("https://esbl.nhlbi.nih.gov/Databases/mpkFractions/proteomic_fractions_log_files/Yang_log_img/158186704.jpg","show blot")</f>
        <v>show blot</v>
      </c>
      <c r="H3422" s="8" t="str">
        <f>HYPERLINK("https://esbl.nhlbi.nih.gov/Databases/mpkFractions/proteomic_fractions_linear_files/Yang_linear_img/158186704.jpg","show blot")</f>
        <v>show blot</v>
      </c>
      <c r="J3422" s="5" t="s">
        <v>6713</v>
      </c>
      <c r="L3422" s="11">
        <v>6.2264238475557656</v>
      </c>
      <c r="N3422" s="12"/>
    </row>
    <row r="3423" spans="1:14" s="5" customFormat="1" ht="15" customHeight="1" x14ac:dyDescent="0.25">
      <c r="A3423" s="9" t="s">
        <v>6714</v>
      </c>
      <c r="C3423" s="9" t="str">
        <f>HYPERLINK("http://www.ncbi.nlm.nih.gov/protein/21313308","Hnrnpm")</f>
        <v>Hnrnpm</v>
      </c>
      <c r="D3423" s="10">
        <f t="shared" si="53"/>
        <v>6.2264238475557656</v>
      </c>
      <c r="F3423" s="8" t="str">
        <f>HYPERLINK("https://esbl.nhlbi.nih.gov/Databases/mpkFractions/proteomic_fractions_log_files/Yang_log_img/21313308.jpg","show blot")</f>
        <v>show blot</v>
      </c>
      <c r="H3423" s="8" t="str">
        <f>HYPERLINK("https://esbl.nhlbi.nih.gov/Databases/mpkFractions/proteomic_fractions_linear_files/Yang_linear_img/21313308.jpg","show blot")</f>
        <v>show blot</v>
      </c>
      <c r="J3423" s="5" t="s">
        <v>6715</v>
      </c>
      <c r="L3423" s="11">
        <v>6.2264238475557656</v>
      </c>
      <c r="N3423" s="12"/>
    </row>
    <row r="3424" spans="1:14" s="5" customFormat="1" ht="15" customHeight="1" x14ac:dyDescent="0.25">
      <c r="A3424" s="9" t="s">
        <v>6716</v>
      </c>
      <c r="C3424" s="9" t="str">
        <f>HYPERLINK("http://www.ncbi.nlm.nih.gov/protein/459683866","Hnrnpr")</f>
        <v>Hnrnpr</v>
      </c>
      <c r="D3424" s="10">
        <f t="shared" si="53"/>
        <v>5.8658577759160506</v>
      </c>
      <c r="F3424" s="8" t="str">
        <f>HYPERLINK("https://esbl.nhlbi.nih.gov/Databases/mpkFractions/proteomic_fractions_log_files/Yang_log_img/459683866.jpg","show blot")</f>
        <v>show blot</v>
      </c>
      <c r="H3424" s="8" t="str">
        <f>HYPERLINK("https://esbl.nhlbi.nih.gov/Databases/mpkFractions/proteomic_fractions_linear_files/Yang_linear_img/459683866.jpg","show blot")</f>
        <v>show blot</v>
      </c>
      <c r="J3424" s="5" t="s">
        <v>6717</v>
      </c>
      <c r="L3424" s="11">
        <v>5.8658577759160506</v>
      </c>
      <c r="N3424" s="12"/>
    </row>
    <row r="3425" spans="1:14" s="5" customFormat="1" ht="15" customHeight="1" x14ac:dyDescent="0.25">
      <c r="A3425" s="9" t="s">
        <v>6718</v>
      </c>
      <c r="C3425" s="9" t="str">
        <f>HYPERLINK("http://www.ncbi.nlm.nih.gov/protein/459683868","Hnrnpr")</f>
        <v>Hnrnpr</v>
      </c>
      <c r="D3425" s="10">
        <f t="shared" si="53"/>
        <v>5.8658577759160506</v>
      </c>
      <c r="F3425" s="8" t="str">
        <f>HYPERLINK("https://esbl.nhlbi.nih.gov/Databases/mpkFractions/proteomic_fractions_log_files/Yang_log_img/459683868.jpg","show blot")</f>
        <v>show blot</v>
      </c>
      <c r="H3425" s="8" t="str">
        <f>HYPERLINK("https://esbl.nhlbi.nih.gov/Databases/mpkFractions/proteomic_fractions_linear_files/Yang_linear_img/459683868.jpg","show blot")</f>
        <v>show blot</v>
      </c>
      <c r="J3425" s="5" t="s">
        <v>6717</v>
      </c>
      <c r="L3425" s="11">
        <v>5.8658577759160506</v>
      </c>
      <c r="N3425" s="12"/>
    </row>
    <row r="3426" spans="1:14" s="5" customFormat="1" ht="15" customHeight="1" x14ac:dyDescent="0.25">
      <c r="A3426" s="9" t="s">
        <v>6719</v>
      </c>
      <c r="C3426" s="9" t="str">
        <f>HYPERLINK("http://www.ncbi.nlm.nih.gov/protein/33859724","Hnrnpr")</f>
        <v>Hnrnpr</v>
      </c>
      <c r="D3426" s="10">
        <f t="shared" si="53"/>
        <v>5.8658577759160506</v>
      </c>
      <c r="F3426" s="8" t="str">
        <f>HYPERLINK("https://esbl.nhlbi.nih.gov/Databases/mpkFractions/proteomic_fractions_log_files/Yang_log_img/33859724.jpg","show blot")</f>
        <v>show blot</v>
      </c>
      <c r="H3426" s="8" t="str">
        <f>HYPERLINK("https://esbl.nhlbi.nih.gov/Databases/mpkFractions/proteomic_fractions_linear_files/Yang_linear_img/33859724.jpg","show blot")</f>
        <v>show blot</v>
      </c>
      <c r="J3426" s="5" t="s">
        <v>6720</v>
      </c>
      <c r="L3426" s="11">
        <v>5.8658577759160506</v>
      </c>
      <c r="N3426" s="12"/>
    </row>
    <row r="3427" spans="1:14" s="5" customFormat="1" ht="15" customHeight="1" x14ac:dyDescent="0.25">
      <c r="A3427" s="9" t="s">
        <v>6721</v>
      </c>
      <c r="C3427" s="9" t="str">
        <f>HYPERLINK("http://www.ncbi.nlm.nih.gov/protein/160333923","Hnrnpu")</f>
        <v>Hnrnpu</v>
      </c>
      <c r="D3427" s="10">
        <f t="shared" si="53"/>
        <v>6.6926239335136817</v>
      </c>
      <c r="F3427" s="8" t="str">
        <f>HYPERLINK("https://esbl.nhlbi.nih.gov/Databases/mpkFractions/proteomic_fractions_log_files/Yang_log_img/160333923.jpg","show blot")</f>
        <v>show blot</v>
      </c>
      <c r="H3427" s="8" t="str">
        <f>HYPERLINK("https://esbl.nhlbi.nih.gov/Databases/mpkFractions/proteomic_fractions_linear_files/Yang_linear_img/160333923.jpg","show blot")</f>
        <v>show blot</v>
      </c>
      <c r="J3427" s="5" t="s">
        <v>6722</v>
      </c>
      <c r="L3427" s="11">
        <v>6.6926239335136817</v>
      </c>
      <c r="N3427" s="12"/>
    </row>
    <row r="3428" spans="1:14" s="5" customFormat="1" ht="15" customHeight="1" x14ac:dyDescent="0.25">
      <c r="A3428" s="9" t="s">
        <v>6723</v>
      </c>
      <c r="C3428" s="9" t="str">
        <f>HYPERLINK("http://www.ncbi.nlm.nih.gov/protein/30017405","Hnrnpul1")</f>
        <v>Hnrnpul1</v>
      </c>
      <c r="D3428" s="10">
        <f t="shared" si="53"/>
        <v>4.7512235881348124</v>
      </c>
      <c r="F3428" s="8" t="str">
        <f>HYPERLINK("https://esbl.nhlbi.nih.gov/Databases/mpkFractions/proteomic_fractions_log_files/Yang_log_img/30017405.jpg","show blot")</f>
        <v>show blot</v>
      </c>
      <c r="H3428" s="8" t="str">
        <f>HYPERLINK("https://esbl.nhlbi.nih.gov/Databases/mpkFractions/proteomic_fractions_linear_files/Yang_linear_img/30017405.jpg","show blot")</f>
        <v>show blot</v>
      </c>
      <c r="J3428" s="5" t="s">
        <v>6724</v>
      </c>
      <c r="L3428" s="11">
        <v>4.7512235881348124</v>
      </c>
      <c r="N3428" s="12"/>
    </row>
    <row r="3429" spans="1:14" s="5" customFormat="1" ht="15" customHeight="1" x14ac:dyDescent="0.25">
      <c r="A3429" s="9" t="s">
        <v>6725</v>
      </c>
      <c r="C3429" s="9" t="str">
        <f>HYPERLINK("http://www.ncbi.nlm.nih.gov/protein/21450323","Hnrnpul1")</f>
        <v>Hnrnpul1</v>
      </c>
      <c r="D3429" s="10">
        <f t="shared" si="53"/>
        <v>4.7512235881348124</v>
      </c>
      <c r="F3429" s="8" t="str">
        <f>HYPERLINK("https://esbl.nhlbi.nih.gov/Databases/mpkFractions/proteomic_fractions_log_files/Yang_log_img/21450323.jpg","show blot")</f>
        <v>show blot</v>
      </c>
      <c r="H3429" s="8" t="str">
        <f>HYPERLINK("https://esbl.nhlbi.nih.gov/Databases/mpkFractions/proteomic_fractions_linear_files/Yang_linear_img/21450323.jpg","show blot")</f>
        <v>show blot</v>
      </c>
      <c r="J3429" s="5" t="s">
        <v>6726</v>
      </c>
      <c r="L3429" s="11">
        <v>4.7512235881348124</v>
      </c>
      <c r="N3429" s="12"/>
    </row>
    <row r="3430" spans="1:14" s="5" customFormat="1" ht="15" customHeight="1" x14ac:dyDescent="0.25">
      <c r="A3430" s="9" t="s">
        <v>6727</v>
      </c>
      <c r="C3430" s="9" t="str">
        <f>HYPERLINK("http://www.ncbi.nlm.nih.gov/protein/124487099","Hnrnpul2")</f>
        <v>Hnrnpul2</v>
      </c>
      <c r="D3430" s="10">
        <f t="shared" si="53"/>
        <v>5.8924382182589623</v>
      </c>
      <c r="F3430" s="8" t="str">
        <f>HYPERLINK("https://esbl.nhlbi.nih.gov/Databases/mpkFractions/proteomic_fractions_log_files/Yang_log_img/124487099.jpg","show blot")</f>
        <v>show blot</v>
      </c>
      <c r="H3430" s="8" t="str">
        <f>HYPERLINK("https://esbl.nhlbi.nih.gov/Databases/mpkFractions/proteomic_fractions_linear_files/Yang_linear_img/124487099.jpg","show blot")</f>
        <v>show blot</v>
      </c>
      <c r="J3430" s="5" t="s">
        <v>6728</v>
      </c>
      <c r="L3430" s="11">
        <v>5.8924382182589623</v>
      </c>
      <c r="N3430" s="12"/>
    </row>
    <row r="3431" spans="1:14" s="5" customFormat="1" ht="15" customHeight="1" x14ac:dyDescent="0.25">
      <c r="A3431" s="9" t="s">
        <v>6729</v>
      </c>
      <c r="C3431" s="9" t="str">
        <f>HYPERLINK("http://www.ncbi.nlm.nih.gov/protein/13385656","Hoga1")</f>
        <v>Hoga1</v>
      </c>
      <c r="D3431" s="10">
        <f t="shared" si="53"/>
        <v>4.5502967736309703</v>
      </c>
      <c r="F3431" s="8" t="str">
        <f>HYPERLINK("https://esbl.nhlbi.nih.gov/Databases/mpkFractions/proteomic_fractions_log_files/Yang_log_img/13385656.jpg","show blot")</f>
        <v>show blot</v>
      </c>
      <c r="H3431" s="8" t="str">
        <f>HYPERLINK("https://esbl.nhlbi.nih.gov/Databases/mpkFractions/proteomic_fractions_linear_files/Yang_linear_img/13385656.jpg","show blot")</f>
        <v>show blot</v>
      </c>
      <c r="J3431" s="5" t="s">
        <v>6730</v>
      </c>
      <c r="L3431" s="11">
        <v>4.5502967736309703</v>
      </c>
      <c r="N3431" s="12"/>
    </row>
    <row r="3432" spans="1:14" s="5" customFormat="1" ht="15" customHeight="1" x14ac:dyDescent="0.25">
      <c r="A3432" s="9" t="s">
        <v>6731</v>
      </c>
      <c r="C3432" s="9" t="str">
        <f>HYPERLINK("http://www.ncbi.nlm.nih.gov/protein/225903402","Homer3")</f>
        <v>Homer3</v>
      </c>
      <c r="D3432" s="10">
        <f t="shared" si="53"/>
        <v>3.356513447223032</v>
      </c>
      <c r="F3432" s="8" t="str">
        <f>HYPERLINK("https://esbl.nhlbi.nih.gov/Databases/mpkFractions/proteomic_fractions_log_files/Yang_log_img/225903402.jpg","show blot")</f>
        <v>show blot</v>
      </c>
      <c r="H3432" s="8" t="str">
        <f>HYPERLINK("https://esbl.nhlbi.nih.gov/Databases/mpkFractions/proteomic_fractions_linear_files/Yang_linear_img/225903402.jpg","show blot")</f>
        <v>show blot</v>
      </c>
      <c r="J3432" s="5" t="s">
        <v>6732</v>
      </c>
      <c r="L3432" s="11">
        <v>3.356513447223032</v>
      </c>
      <c r="N3432" s="12"/>
    </row>
    <row r="3433" spans="1:14" s="5" customFormat="1" ht="15" customHeight="1" x14ac:dyDescent="0.25">
      <c r="A3433" s="9" t="s">
        <v>6733</v>
      </c>
      <c r="C3433" s="9" t="str">
        <f>HYPERLINK("http://www.ncbi.nlm.nih.gov/protein/225903404","Homer3")</f>
        <v>Homer3</v>
      </c>
      <c r="D3433" s="10">
        <f t="shared" si="53"/>
        <v>3.356513447223032</v>
      </c>
      <c r="F3433" s="8" t="str">
        <f>HYPERLINK("https://esbl.nhlbi.nih.gov/Databases/mpkFractions/proteomic_fractions_log_files/Yang_log_img/225903404.jpg","show blot")</f>
        <v>show blot</v>
      </c>
      <c r="H3433" s="8" t="str">
        <f>HYPERLINK("https://esbl.nhlbi.nih.gov/Databases/mpkFractions/proteomic_fractions_linear_files/Yang_linear_img/225903404.jpg","show blot")</f>
        <v>show blot</v>
      </c>
      <c r="J3433" s="5" t="s">
        <v>6734</v>
      </c>
      <c r="L3433" s="11">
        <v>3.356513447223032</v>
      </c>
      <c r="N3433" s="12"/>
    </row>
    <row r="3434" spans="1:14" s="5" customFormat="1" ht="15" customHeight="1" x14ac:dyDescent="0.25">
      <c r="A3434" s="9" t="s">
        <v>6735</v>
      </c>
      <c r="C3434" s="9" t="str">
        <f>HYPERLINK("http://www.ncbi.nlm.nih.gov/protein/22003856","Hook1")</f>
        <v>Hook1</v>
      </c>
      <c r="D3434" s="10">
        <f t="shared" si="53"/>
        <v>4.6663580950606134</v>
      </c>
      <c r="F3434" s="8" t="str">
        <f>HYPERLINK("https://esbl.nhlbi.nih.gov/Databases/mpkFractions/proteomic_fractions_log_files/Yang_log_img/22003856.jpg","show blot")</f>
        <v>show blot</v>
      </c>
      <c r="H3434" s="8" t="str">
        <f>HYPERLINK("https://esbl.nhlbi.nih.gov/Databases/mpkFractions/proteomic_fractions_linear_files/Yang_linear_img/22003856.jpg","show blot")</f>
        <v>show blot</v>
      </c>
      <c r="J3434" s="5" t="s">
        <v>6736</v>
      </c>
      <c r="L3434" s="11">
        <v>4.6663580950606134</v>
      </c>
      <c r="N3434" s="12"/>
    </row>
    <row r="3435" spans="1:14" s="5" customFormat="1" ht="15" customHeight="1" x14ac:dyDescent="0.25">
      <c r="A3435" s="9" t="s">
        <v>6737</v>
      </c>
      <c r="C3435" s="9" t="str">
        <f>HYPERLINK("http://www.ncbi.nlm.nih.gov/protein/269784731","Hook2")</f>
        <v>Hook2</v>
      </c>
      <c r="D3435" s="10">
        <f t="shared" si="53"/>
        <v>3.6334334667627859</v>
      </c>
      <c r="F3435" s="8" t="str">
        <f>HYPERLINK("https://esbl.nhlbi.nih.gov/Databases/mpkFractions/proteomic_fractions_log_files/Yang_log_img/269784731.jpg","show blot")</f>
        <v>show blot</v>
      </c>
      <c r="H3435" s="8" t="str">
        <f>HYPERLINK("https://esbl.nhlbi.nih.gov/Databases/mpkFractions/proteomic_fractions_linear_files/Yang_linear_img/269784731.jpg","show blot")</f>
        <v>show blot</v>
      </c>
      <c r="J3435" s="5" t="s">
        <v>6738</v>
      </c>
      <c r="L3435" s="11">
        <v>3.6334334667627859</v>
      </c>
      <c r="N3435" s="12"/>
    </row>
    <row r="3436" spans="1:14" s="5" customFormat="1" ht="15" customHeight="1" x14ac:dyDescent="0.25">
      <c r="A3436" s="9" t="s">
        <v>6739</v>
      </c>
      <c r="C3436" s="9" t="str">
        <f>HYPERLINK("http://www.ncbi.nlm.nih.gov/protein/269784735","Hook2")</f>
        <v>Hook2</v>
      </c>
      <c r="D3436" s="10">
        <f t="shared" si="53"/>
        <v>3.6334334667627859</v>
      </c>
      <c r="F3436" s="8" t="str">
        <f>HYPERLINK("https://esbl.nhlbi.nih.gov/Databases/mpkFractions/proteomic_fractions_log_files/Yang_log_img/269784735.jpg","show blot")</f>
        <v>show blot</v>
      </c>
      <c r="H3436" s="8" t="str">
        <f>HYPERLINK("https://esbl.nhlbi.nih.gov/Databases/mpkFractions/proteomic_fractions_linear_files/Yang_linear_img/269784735.jpg","show blot")</f>
        <v>show blot</v>
      </c>
      <c r="J3436" s="5" t="s">
        <v>6740</v>
      </c>
      <c r="L3436" s="11">
        <v>3.6334334667627859</v>
      </c>
      <c r="N3436" s="12"/>
    </row>
    <row r="3437" spans="1:14" s="5" customFormat="1" ht="15" customHeight="1" x14ac:dyDescent="0.25">
      <c r="A3437" s="9" t="s">
        <v>6741</v>
      </c>
      <c r="C3437" s="9" t="str">
        <f>HYPERLINK("http://www.ncbi.nlm.nih.gov/protein/46559745","Hook3")</f>
        <v>Hook3</v>
      </c>
      <c r="D3437" s="10">
        <f t="shared" si="53"/>
        <v>4.4618320308795152</v>
      </c>
      <c r="F3437" s="8" t="str">
        <f>HYPERLINK("https://esbl.nhlbi.nih.gov/Databases/mpkFractions/proteomic_fractions_log_files/Yang_log_img/46559745.jpg","show blot")</f>
        <v>show blot</v>
      </c>
      <c r="H3437" s="8" t="str">
        <f>HYPERLINK("https://esbl.nhlbi.nih.gov/Databases/mpkFractions/proteomic_fractions_linear_files/Yang_linear_img/46559745.jpg","show blot")</f>
        <v>show blot</v>
      </c>
      <c r="J3437" s="5" t="s">
        <v>6742</v>
      </c>
      <c r="L3437" s="11">
        <v>4.4618320308795152</v>
      </c>
      <c r="N3437" s="12"/>
    </row>
    <row r="3438" spans="1:14" s="5" customFormat="1" ht="15" customHeight="1" x14ac:dyDescent="0.25">
      <c r="A3438" s="9" t="s">
        <v>6743</v>
      </c>
      <c r="C3438" s="9" t="str">
        <f>HYPERLINK("http://www.ncbi.nlm.nih.gov/protein/6754232","Hoxa5")</f>
        <v>Hoxa5</v>
      </c>
      <c r="D3438" s="10">
        <f t="shared" si="53"/>
        <v>2.2409989994245598</v>
      </c>
      <c r="F3438" s="8" t="str">
        <f>HYPERLINK("https://esbl.nhlbi.nih.gov/Databases/mpkFractions/proteomic_fractions_log_files/Yang_log_img/6754232.jpg","show blot")</f>
        <v>show blot</v>
      </c>
      <c r="H3438" s="8" t="str">
        <f>HYPERLINK("https://esbl.nhlbi.nih.gov/Databases/mpkFractions/proteomic_fractions_linear_files/Yang_linear_img/6754232.jpg","show blot")</f>
        <v>show blot</v>
      </c>
      <c r="J3438" s="5" t="s">
        <v>6744</v>
      </c>
      <c r="L3438" s="11">
        <v>2.2409989994245598</v>
      </c>
      <c r="N3438" s="12"/>
    </row>
    <row r="3439" spans="1:14" s="5" customFormat="1" ht="15" customHeight="1" x14ac:dyDescent="0.25">
      <c r="A3439" s="9" t="s">
        <v>6745</v>
      </c>
      <c r="C3439" s="9" t="str">
        <f>HYPERLINK("http://www.ncbi.nlm.nih.gov/protein/88014652","Hoxb7")</f>
        <v>Hoxb7</v>
      </c>
      <c r="D3439" s="10">
        <f t="shared" si="53"/>
        <v>3.8630978401910281</v>
      </c>
      <c r="F3439" s="8" t="str">
        <f>HYPERLINK("https://esbl.nhlbi.nih.gov/Databases/mpkFractions/proteomic_fractions_log_files/Yang_log_img/88014652.jpg","show blot")</f>
        <v>show blot</v>
      </c>
      <c r="H3439" s="8" t="str">
        <f>HYPERLINK("https://esbl.nhlbi.nih.gov/Databases/mpkFractions/proteomic_fractions_linear_files/Yang_linear_img/88014652.jpg","show blot")</f>
        <v>show blot</v>
      </c>
      <c r="J3439" s="5" t="s">
        <v>6746</v>
      </c>
      <c r="L3439" s="11">
        <v>3.8630978401910281</v>
      </c>
      <c r="N3439" s="12"/>
    </row>
    <row r="3440" spans="1:14" s="5" customFormat="1" ht="15" customHeight="1" x14ac:dyDescent="0.25">
      <c r="A3440" s="9" t="s">
        <v>6747</v>
      </c>
      <c r="C3440" s="9" t="str">
        <f>HYPERLINK("http://www.ncbi.nlm.nih.gov/protein/112807184","Hoxd8")</f>
        <v>Hoxd8</v>
      </c>
      <c r="D3440" s="10">
        <f t="shared" si="53"/>
        <v>3.7392354225522242</v>
      </c>
      <c r="F3440" s="8" t="str">
        <f>HYPERLINK("https://esbl.nhlbi.nih.gov/Databases/mpkFractions/proteomic_fractions_log_files/Yang_log_img/112807184.jpg","show blot")</f>
        <v>show blot</v>
      </c>
      <c r="H3440" s="8" t="str">
        <f>HYPERLINK("https://esbl.nhlbi.nih.gov/Databases/mpkFractions/proteomic_fractions_linear_files/Yang_linear_img/112807184.jpg","show blot")</f>
        <v>show blot</v>
      </c>
      <c r="J3440" s="5" t="s">
        <v>6748</v>
      </c>
      <c r="L3440" s="11">
        <v>3.7392354225522242</v>
      </c>
      <c r="N3440" s="12"/>
    </row>
    <row r="3441" spans="1:14" s="5" customFormat="1" ht="15" customHeight="1" x14ac:dyDescent="0.25">
      <c r="A3441" s="9" t="s">
        <v>6749</v>
      </c>
      <c r="C3441" s="9" t="str">
        <f>HYPERLINK("http://www.ncbi.nlm.nih.gov/protein/550821966","Hp1bp3")</f>
        <v>Hp1bp3</v>
      </c>
      <c r="D3441" s="10">
        <f t="shared" si="53"/>
        <v>4.9380376642162496</v>
      </c>
      <c r="F3441" s="8" t="str">
        <f>HYPERLINK("https://esbl.nhlbi.nih.gov/Databases/mpkFractions/proteomic_fractions_log_files/Yang_log_img/550821966.jpg","show blot")</f>
        <v>show blot</v>
      </c>
      <c r="H3441" s="8" t="str">
        <f>HYPERLINK("https://esbl.nhlbi.nih.gov/Databases/mpkFractions/proteomic_fractions_linear_files/Yang_linear_img/550821966.jpg","show blot")</f>
        <v>show blot</v>
      </c>
      <c r="J3441" s="5" t="s">
        <v>6750</v>
      </c>
      <c r="L3441" s="11">
        <v>4.9380376642162496</v>
      </c>
      <c r="N3441" s="12"/>
    </row>
    <row r="3442" spans="1:14" s="5" customFormat="1" ht="15" customHeight="1" x14ac:dyDescent="0.25">
      <c r="A3442" s="9" t="s">
        <v>6751</v>
      </c>
      <c r="C3442" s="9" t="str">
        <f>HYPERLINK("http://www.ncbi.nlm.nih.gov/protein/550821975","Hp1bp3")</f>
        <v>Hp1bp3</v>
      </c>
      <c r="D3442" s="10">
        <f t="shared" si="53"/>
        <v>4.9380376642162496</v>
      </c>
      <c r="F3442" s="8" t="str">
        <f>HYPERLINK("https://esbl.nhlbi.nih.gov/Databases/mpkFractions/proteomic_fractions_log_files/Yang_log_img/550821975.jpg","show blot")</f>
        <v>show blot</v>
      </c>
      <c r="H3442" s="8" t="str">
        <f>HYPERLINK("https://esbl.nhlbi.nih.gov/Databases/mpkFractions/proteomic_fractions_linear_files/Yang_linear_img/550821975.jpg","show blot")</f>
        <v>show blot</v>
      </c>
      <c r="J3442" s="5" t="s">
        <v>6752</v>
      </c>
      <c r="L3442" s="11">
        <v>4.9380376642162496</v>
      </c>
      <c r="N3442" s="12"/>
    </row>
    <row r="3443" spans="1:14" s="5" customFormat="1" ht="15" customHeight="1" x14ac:dyDescent="0.25">
      <c r="A3443" s="9" t="s">
        <v>6753</v>
      </c>
      <c r="C3443" s="9" t="str">
        <f>HYPERLINK("http://www.ncbi.nlm.nih.gov/protein/550822234","Hp1bp3")</f>
        <v>Hp1bp3</v>
      </c>
      <c r="D3443" s="10">
        <f t="shared" si="53"/>
        <v>4.9380376642162496</v>
      </c>
      <c r="F3443" s="8" t="str">
        <f>HYPERLINK("https://esbl.nhlbi.nih.gov/Databases/mpkFractions/proteomic_fractions_log_files/Yang_log_img/550822234.jpg","show blot")</f>
        <v>show blot</v>
      </c>
      <c r="H3443" s="8" t="str">
        <f>HYPERLINK("https://esbl.nhlbi.nih.gov/Databases/mpkFractions/proteomic_fractions_linear_files/Yang_linear_img/550822234.jpg","show blot")</f>
        <v>show blot</v>
      </c>
      <c r="J3443" s="5" t="s">
        <v>6754</v>
      </c>
      <c r="L3443" s="11">
        <v>4.9380376642162496</v>
      </c>
      <c r="N3443" s="12"/>
    </row>
    <row r="3444" spans="1:14" s="5" customFormat="1" ht="15" customHeight="1" x14ac:dyDescent="0.25">
      <c r="A3444" s="9" t="s">
        <v>6755</v>
      </c>
      <c r="C3444" s="9" t="str">
        <f>HYPERLINK("http://www.ncbi.nlm.nih.gov/protein/171543869","Hp1bp3")</f>
        <v>Hp1bp3</v>
      </c>
      <c r="D3444" s="10">
        <f t="shared" si="53"/>
        <v>4.9380376642162496</v>
      </c>
      <c r="F3444" s="8" t="str">
        <f>HYPERLINK("https://esbl.nhlbi.nih.gov/Databases/mpkFractions/proteomic_fractions_log_files/Yang_log_img/171543869.jpg","show blot")</f>
        <v>show blot</v>
      </c>
      <c r="H3444" s="8" t="str">
        <f>HYPERLINK("https://esbl.nhlbi.nih.gov/Databases/mpkFractions/proteomic_fractions_linear_files/Yang_linear_img/171543869.jpg","show blot")</f>
        <v>show blot</v>
      </c>
      <c r="J3444" s="5" t="s">
        <v>6756</v>
      </c>
      <c r="L3444" s="11">
        <v>4.9380376642162496</v>
      </c>
      <c r="N3444" s="12"/>
    </row>
    <row r="3445" spans="1:14" s="5" customFormat="1" ht="15" customHeight="1" x14ac:dyDescent="0.25">
      <c r="A3445" s="9" t="s">
        <v>6757</v>
      </c>
      <c r="C3445" s="9" t="str">
        <f>HYPERLINK("http://www.ncbi.nlm.nih.gov/protein/171543871","Hp1bp3")</f>
        <v>Hp1bp3</v>
      </c>
      <c r="D3445" s="10">
        <f t="shared" si="53"/>
        <v>4.9380376642162496</v>
      </c>
      <c r="F3445" s="8" t="str">
        <f>HYPERLINK("https://esbl.nhlbi.nih.gov/Databases/mpkFractions/proteomic_fractions_log_files/Yang_log_img/171543871.jpg","show blot")</f>
        <v>show blot</v>
      </c>
      <c r="H3445" s="8" t="str">
        <f>HYPERLINK("https://esbl.nhlbi.nih.gov/Databases/mpkFractions/proteomic_fractions_linear_files/Yang_linear_img/171543871.jpg","show blot")</f>
        <v>show blot</v>
      </c>
      <c r="J3445" s="5" t="s">
        <v>6758</v>
      </c>
      <c r="L3445" s="11">
        <v>4.9380376642162496</v>
      </c>
      <c r="N3445" s="12"/>
    </row>
    <row r="3446" spans="1:14" s="5" customFormat="1" ht="15" customHeight="1" x14ac:dyDescent="0.25">
      <c r="A3446" s="9" t="s">
        <v>6759</v>
      </c>
      <c r="C3446" s="9" t="str">
        <f>HYPERLINK("http://www.ncbi.nlm.nih.gov/protein/6754240","Hpca")</f>
        <v>Hpca</v>
      </c>
      <c r="D3446" s="10">
        <f t="shared" si="53"/>
        <v>5.5324701919162118</v>
      </c>
      <c r="F3446" s="8" t="str">
        <f>HYPERLINK("https://esbl.nhlbi.nih.gov/Databases/mpkFractions/proteomic_fractions_log_files/Yang_log_img/6754240.jpg","show blot")</f>
        <v>show blot</v>
      </c>
      <c r="H3446" s="8" t="str">
        <f>HYPERLINK("https://esbl.nhlbi.nih.gov/Databases/mpkFractions/proteomic_fractions_linear_files/Yang_linear_img/6754240.jpg","show blot")</f>
        <v>show blot</v>
      </c>
      <c r="J3446" s="5" t="s">
        <v>6760</v>
      </c>
      <c r="L3446" s="11">
        <v>5.5324701919162118</v>
      </c>
      <c r="N3446" s="12"/>
    </row>
    <row r="3447" spans="1:14" s="5" customFormat="1" ht="15" customHeight="1" x14ac:dyDescent="0.25">
      <c r="A3447" s="9" t="s">
        <v>6761</v>
      </c>
      <c r="C3447" s="9" t="str">
        <f>HYPERLINK("http://www.ncbi.nlm.nih.gov/protein/7949055","Hpcal1")</f>
        <v>Hpcal1</v>
      </c>
      <c r="D3447" s="10">
        <f t="shared" si="53"/>
        <v>5.772696291566521</v>
      </c>
      <c r="F3447" s="8" t="str">
        <f>HYPERLINK("https://esbl.nhlbi.nih.gov/Databases/mpkFractions/proteomic_fractions_log_files/Yang_log_img/7949055.jpg","show blot")</f>
        <v>show blot</v>
      </c>
      <c r="H3447" s="8" t="str">
        <f>HYPERLINK("https://esbl.nhlbi.nih.gov/Databases/mpkFractions/proteomic_fractions_linear_files/Yang_linear_img/7949055.jpg","show blot")</f>
        <v>show blot</v>
      </c>
      <c r="J3447" s="5" t="s">
        <v>6762</v>
      </c>
      <c r="L3447" s="11">
        <v>5.772696291566521</v>
      </c>
      <c r="N3447" s="12"/>
    </row>
    <row r="3448" spans="1:14" s="5" customFormat="1" ht="15" customHeight="1" x14ac:dyDescent="0.25">
      <c r="A3448" s="9" t="s">
        <v>6763</v>
      </c>
      <c r="C3448" s="9" t="str">
        <f>HYPERLINK("http://www.ncbi.nlm.nih.gov/protein/96975138","Hprt")</f>
        <v>Hprt</v>
      </c>
      <c r="D3448" s="10">
        <f t="shared" si="53"/>
        <v>5.7971263177301422</v>
      </c>
      <c r="F3448" s="8" t="str">
        <f>HYPERLINK("https://esbl.nhlbi.nih.gov/Databases/mpkFractions/proteomic_fractions_log_files/Yang_log_img/96975138.jpg","show blot")</f>
        <v>show blot</v>
      </c>
      <c r="H3448" s="8" t="str">
        <f>HYPERLINK("https://esbl.nhlbi.nih.gov/Databases/mpkFractions/proteomic_fractions_linear_files/Yang_linear_img/96975138.jpg","show blot")</f>
        <v>show blot</v>
      </c>
      <c r="J3448" s="5" t="s">
        <v>6764</v>
      </c>
      <c r="L3448" s="11">
        <v>5.7971263177301422</v>
      </c>
      <c r="N3448" s="12"/>
    </row>
    <row r="3449" spans="1:14" s="5" customFormat="1" ht="15" customHeight="1" x14ac:dyDescent="0.25">
      <c r="A3449" s="9" t="s">
        <v>6765</v>
      </c>
      <c r="C3449" s="9" t="str">
        <f>HYPERLINK("http://www.ncbi.nlm.nih.gov/protein/268607540","Hps5")</f>
        <v>Hps5</v>
      </c>
      <c r="D3449" s="10">
        <f t="shared" si="53"/>
        <v>2.1606245772567712</v>
      </c>
      <c r="F3449" s="8" t="str">
        <f>HYPERLINK("https://esbl.nhlbi.nih.gov/Databases/mpkFractions/proteomic_fractions_log_files/Yang_log_img/268607540.jpg","show blot")</f>
        <v>show blot</v>
      </c>
      <c r="H3449" s="8" t="str">
        <f>HYPERLINK("https://esbl.nhlbi.nih.gov/Databases/mpkFractions/proteomic_fractions_linear_files/Yang_linear_img/268607540.jpg","show blot")</f>
        <v>show blot</v>
      </c>
      <c r="J3449" s="5" t="s">
        <v>6766</v>
      </c>
      <c r="L3449" s="11">
        <v>2.1606245772567712</v>
      </c>
      <c r="N3449" s="12"/>
    </row>
    <row r="3450" spans="1:14" s="5" customFormat="1" ht="15" customHeight="1" x14ac:dyDescent="0.25">
      <c r="A3450" s="9" t="s">
        <v>6767</v>
      </c>
      <c r="C3450" s="9" t="str">
        <f>HYPERLINK("http://www.ncbi.nlm.nih.gov/protein/268607542","Hps5")</f>
        <v>Hps5</v>
      </c>
      <c r="D3450" s="10">
        <f t="shared" si="53"/>
        <v>2.1606245772567712</v>
      </c>
      <c r="F3450" s="8" t="str">
        <f>HYPERLINK("https://esbl.nhlbi.nih.gov/Databases/mpkFractions/proteomic_fractions_log_files/Yang_log_img/268607542.jpg","show blot")</f>
        <v>show blot</v>
      </c>
      <c r="H3450" s="8" t="str">
        <f>HYPERLINK("https://esbl.nhlbi.nih.gov/Databases/mpkFractions/proteomic_fractions_linear_files/Yang_linear_img/268607542.jpg","show blot")</f>
        <v>show blot</v>
      </c>
      <c r="J3450" s="5" t="s">
        <v>6768</v>
      </c>
      <c r="L3450" s="11">
        <v>2.1606245772567712</v>
      </c>
      <c r="N3450" s="12"/>
    </row>
    <row r="3451" spans="1:14" s="5" customFormat="1" ht="15" customHeight="1" x14ac:dyDescent="0.25">
      <c r="A3451" s="9" t="s">
        <v>6769</v>
      </c>
      <c r="C3451" s="9" t="str">
        <f>HYPERLINK("http://www.ncbi.nlm.nih.gov/protein/194363764;194440734","Hras1")</f>
        <v>Hras1</v>
      </c>
      <c r="D3451" s="10">
        <f t="shared" si="53"/>
        <v>5.6717816027983714</v>
      </c>
      <c r="F3451" s="8" t="str">
        <f>HYPERLINK("https://esbl.nhlbi.nih.gov/Databases/mpkFractions/proteomic_fractions_log_files/Yang_log_img/194363764;194440734.jpg","show blot")</f>
        <v>show blot</v>
      </c>
      <c r="H3451" s="8" t="str">
        <f>HYPERLINK("https://esbl.nhlbi.nih.gov/Databases/mpkFractions/proteomic_fractions_linear_files/Yang_linear_img/194363764;194440734.jpg","show blot")</f>
        <v>show blot</v>
      </c>
      <c r="J3451" s="5" t="s">
        <v>6770</v>
      </c>
      <c r="L3451" s="11">
        <v>5.6717816027983714</v>
      </c>
      <c r="N3451" s="12"/>
    </row>
    <row r="3452" spans="1:14" s="5" customFormat="1" ht="15" customHeight="1" x14ac:dyDescent="0.25">
      <c r="A3452" s="9" t="s">
        <v>6771</v>
      </c>
      <c r="C3452" s="9" t="str">
        <f>HYPERLINK("http://www.ncbi.nlm.nih.gov/protein/194440734;4885425","Hras1")</f>
        <v>Hras1</v>
      </c>
      <c r="D3452" s="10">
        <f t="shared" si="53"/>
        <v>5.6717816027983714</v>
      </c>
      <c r="F3452" s="8" t="str">
        <f>HYPERLINK("https://esbl.nhlbi.nih.gov/Databases/mpkFractions/proteomic_fractions_log_files/Yang_log_img/194440734;4885425.jpg","show blot")</f>
        <v>show blot</v>
      </c>
      <c r="H3452" s="8" t="str">
        <f>HYPERLINK("https://esbl.nhlbi.nih.gov/Databases/mpkFractions/proteomic_fractions_linear_files/Yang_linear_img/194440734;4885425.jpg","show blot")</f>
        <v>show blot</v>
      </c>
      <c r="J3452" s="5" t="s">
        <v>6770</v>
      </c>
      <c r="L3452" s="11">
        <v>5.6717816027983714</v>
      </c>
      <c r="N3452" s="12"/>
    </row>
    <row r="3453" spans="1:14" s="5" customFormat="1" ht="15" customHeight="1" x14ac:dyDescent="0.25">
      <c r="A3453" s="9" t="s">
        <v>6772</v>
      </c>
      <c r="C3453" s="9" t="str">
        <f>HYPERLINK("http://www.ncbi.nlm.nih.gov/protein/194363766","Hras1")</f>
        <v>Hras1</v>
      </c>
      <c r="D3453" s="10">
        <f t="shared" si="53"/>
        <v>5.6717816027983714</v>
      </c>
      <c r="F3453" s="8" t="str">
        <f>HYPERLINK("https://esbl.nhlbi.nih.gov/Databases/mpkFractions/proteomic_fractions_log_files/Yang_log_img/194363766.jpg","show blot")</f>
        <v>show blot</v>
      </c>
      <c r="H3453" s="8" t="str">
        <f>HYPERLINK("https://esbl.nhlbi.nih.gov/Databases/mpkFractions/proteomic_fractions_linear_files/Yang_linear_img/194363766.jpg","show blot")</f>
        <v>show blot</v>
      </c>
      <c r="J3453" s="5" t="s">
        <v>6773</v>
      </c>
      <c r="L3453" s="11">
        <v>5.6717816027983714</v>
      </c>
      <c r="N3453" s="12"/>
    </row>
    <row r="3454" spans="1:14" s="5" customFormat="1" ht="15" customHeight="1" x14ac:dyDescent="0.25">
      <c r="A3454" s="9" t="s">
        <v>6774</v>
      </c>
      <c r="C3454" s="9" t="str">
        <f>HYPERLINK("http://www.ncbi.nlm.nih.gov/protein/40807498","Hrsp12")</f>
        <v>Hrsp12</v>
      </c>
      <c r="D3454" s="10">
        <f t="shared" si="53"/>
        <v>6.0269044995077961</v>
      </c>
      <c r="F3454" s="8" t="str">
        <f>HYPERLINK("https://esbl.nhlbi.nih.gov/Databases/mpkFractions/proteomic_fractions_log_files/Yang_log_img/40807498.jpg","show blot")</f>
        <v>show blot</v>
      </c>
      <c r="H3454" s="8" t="str">
        <f>HYPERLINK("https://esbl.nhlbi.nih.gov/Databases/mpkFractions/proteomic_fractions_linear_files/Yang_linear_img/40807498.jpg","show blot")</f>
        <v>show blot</v>
      </c>
      <c r="J3454" s="5" t="s">
        <v>6775</v>
      </c>
      <c r="L3454" s="11">
        <v>6.0269044995077961</v>
      </c>
      <c r="N3454" s="12"/>
    </row>
    <row r="3455" spans="1:14" s="5" customFormat="1" ht="15" customHeight="1" x14ac:dyDescent="0.25">
      <c r="A3455" s="9" t="s">
        <v>6776</v>
      </c>
      <c r="C3455" s="9" t="str">
        <f>HYPERLINK("http://www.ncbi.nlm.nih.gov/protein/160948577","Hs1bp3")</f>
        <v>Hs1bp3</v>
      </c>
      <c r="D3455" s="10">
        <f t="shared" si="53"/>
        <v>4.9920463135368607</v>
      </c>
      <c r="F3455" s="8" t="str">
        <f>HYPERLINK("https://esbl.nhlbi.nih.gov/Databases/mpkFractions/proteomic_fractions_log_files/Yang_log_img/160948577.jpg","show blot")</f>
        <v>show blot</v>
      </c>
      <c r="H3455" s="8" t="str">
        <f>HYPERLINK("https://esbl.nhlbi.nih.gov/Databases/mpkFractions/proteomic_fractions_linear_files/Yang_linear_img/160948577.jpg","show blot")</f>
        <v>show blot</v>
      </c>
      <c r="J3455" s="5" t="s">
        <v>6777</v>
      </c>
      <c r="L3455" s="11">
        <v>4.9920463135368607</v>
      </c>
      <c r="N3455" s="12"/>
    </row>
    <row r="3456" spans="1:14" s="5" customFormat="1" ht="15" customHeight="1" x14ac:dyDescent="0.25">
      <c r="A3456" s="9" t="s">
        <v>6778</v>
      </c>
      <c r="C3456" s="9" t="str">
        <f>HYPERLINK("http://www.ncbi.nlm.nih.gov/protein/170172560","Hs2st1")</f>
        <v>Hs2st1</v>
      </c>
      <c r="D3456" s="10">
        <f t="shared" si="53"/>
        <v>4.2280090754537314</v>
      </c>
      <c r="F3456" s="8" t="str">
        <f>HYPERLINK("https://esbl.nhlbi.nih.gov/Databases/mpkFractions/proteomic_fractions_log_files/Yang_log_img/170172560.jpg","show blot")</f>
        <v>show blot</v>
      </c>
      <c r="H3456" s="8" t="str">
        <f>HYPERLINK("https://esbl.nhlbi.nih.gov/Databases/mpkFractions/proteomic_fractions_linear_files/Yang_linear_img/170172560.jpg","show blot")</f>
        <v>show blot</v>
      </c>
      <c r="J3456" s="5" t="s">
        <v>6779</v>
      </c>
      <c r="L3456" s="11">
        <v>4.2280090754537314</v>
      </c>
      <c r="N3456" s="12"/>
    </row>
    <row r="3457" spans="1:14" s="5" customFormat="1" ht="15" customHeight="1" x14ac:dyDescent="0.25">
      <c r="A3457" s="9" t="s">
        <v>6780</v>
      </c>
      <c r="C3457" s="9" t="str">
        <f>HYPERLINK("http://www.ncbi.nlm.nih.gov/protein/6754246","Hs3st1")</f>
        <v>Hs3st1</v>
      </c>
      <c r="D3457" s="10">
        <f t="shared" si="53"/>
        <v>4.5387994655320316</v>
      </c>
      <c r="F3457" s="8" t="str">
        <f>HYPERLINK("https://esbl.nhlbi.nih.gov/Databases/mpkFractions/proteomic_fractions_log_files/Yang_log_img/6754246.jpg","show blot")</f>
        <v>show blot</v>
      </c>
      <c r="H3457" s="8" t="str">
        <f>HYPERLINK("https://esbl.nhlbi.nih.gov/Databases/mpkFractions/proteomic_fractions_linear_files/Yang_linear_img/6754246.jpg","show blot")</f>
        <v>show blot</v>
      </c>
      <c r="J3457" s="5" t="s">
        <v>6781</v>
      </c>
      <c r="L3457" s="11">
        <v>4.5387994655320316</v>
      </c>
      <c r="N3457" s="12"/>
    </row>
    <row r="3458" spans="1:14" s="5" customFormat="1" ht="15" customHeight="1" x14ac:dyDescent="0.25">
      <c r="A3458" s="9" t="s">
        <v>6782</v>
      </c>
      <c r="C3458" s="9" t="str">
        <f>HYPERLINK("http://www.ncbi.nlm.nih.gov/protein/358356422","Hs3st5")</f>
        <v>Hs3st5</v>
      </c>
      <c r="D3458" s="10">
        <f t="shared" si="53"/>
        <v>4.3815926047623774</v>
      </c>
      <c r="F3458" s="8" t="str">
        <f>HYPERLINK("https://esbl.nhlbi.nih.gov/Databases/mpkFractions/proteomic_fractions_log_files/Yang_log_img/358356422.jpg","show blot")</f>
        <v>show blot</v>
      </c>
      <c r="H3458" s="8" t="str">
        <f>HYPERLINK("https://esbl.nhlbi.nih.gov/Databases/mpkFractions/proteomic_fractions_linear_files/Yang_linear_img/358356422.jpg","show blot")</f>
        <v>show blot</v>
      </c>
      <c r="J3458" s="5" t="s">
        <v>6783</v>
      </c>
      <c r="L3458" s="11">
        <v>4.3815926047623774</v>
      </c>
      <c r="N3458" s="12"/>
    </row>
    <row r="3459" spans="1:14" s="5" customFormat="1" ht="15" customHeight="1" x14ac:dyDescent="0.25">
      <c r="A3459" s="9" t="s">
        <v>6784</v>
      </c>
      <c r="C3459" s="9" t="str">
        <f>HYPERLINK("http://www.ncbi.nlm.nih.gov/protein/21311873","Hsbp1")</f>
        <v>Hsbp1</v>
      </c>
      <c r="D3459" s="10">
        <f t="shared" si="53"/>
        <v>3.6304439926975078</v>
      </c>
      <c r="F3459" s="8" t="str">
        <f>HYPERLINK("https://esbl.nhlbi.nih.gov/Databases/mpkFractions/proteomic_fractions_log_files/Yang_log_img/21311873.jpg","show blot")</f>
        <v>show blot</v>
      </c>
      <c r="H3459" s="8" t="str">
        <f>HYPERLINK("https://esbl.nhlbi.nih.gov/Databases/mpkFractions/proteomic_fractions_linear_files/Yang_linear_img/21311873.jpg","show blot")</f>
        <v>show blot</v>
      </c>
      <c r="J3459" s="5" t="s">
        <v>6785</v>
      </c>
      <c r="L3459" s="11">
        <v>3.6304439926975078</v>
      </c>
      <c r="N3459" s="12"/>
    </row>
    <row r="3460" spans="1:14" s="5" customFormat="1" ht="15" customHeight="1" x14ac:dyDescent="0.25">
      <c r="A3460" s="9" t="s">
        <v>6786</v>
      </c>
      <c r="C3460" s="9" t="str">
        <f>HYPERLINK("http://www.ncbi.nlm.nih.gov/protein/225703114","Hscb")</f>
        <v>Hscb</v>
      </c>
      <c r="D3460" s="10">
        <f t="shared" si="53"/>
        <v>3.7874427092489671</v>
      </c>
      <c r="F3460" s="8" t="str">
        <f>HYPERLINK("https://esbl.nhlbi.nih.gov/Databases/mpkFractions/proteomic_fractions_log_files/Yang_log_img/225703114.jpg","show blot")</f>
        <v>show blot</v>
      </c>
      <c r="H3460" s="8" t="str">
        <f>HYPERLINK("https://esbl.nhlbi.nih.gov/Databases/mpkFractions/proteomic_fractions_linear_files/Yang_linear_img/225703114.jpg","show blot")</f>
        <v>show blot</v>
      </c>
      <c r="J3460" s="5" t="s">
        <v>6787</v>
      </c>
      <c r="L3460" s="11">
        <v>3.7874427092489671</v>
      </c>
      <c r="N3460" s="12"/>
    </row>
    <row r="3461" spans="1:14" s="5" customFormat="1" ht="15" customHeight="1" x14ac:dyDescent="0.25">
      <c r="A3461" s="9" t="s">
        <v>6788</v>
      </c>
      <c r="C3461" s="9" t="str">
        <f>HYPERLINK("http://www.ncbi.nlm.nih.gov/protein/133778913","Hsd11b2")</f>
        <v>Hsd11b2</v>
      </c>
      <c r="D3461" s="10">
        <f t="shared" ref="D3461:D3524" si="54">L3461</f>
        <v>5.4448849491446936</v>
      </c>
      <c r="F3461" s="8" t="str">
        <f>HYPERLINK("https://esbl.nhlbi.nih.gov/Databases/mpkFractions/proteomic_fractions_log_files/Yang_log_img/133778913.jpg","show blot")</f>
        <v>show blot</v>
      </c>
      <c r="H3461" s="8" t="str">
        <f>HYPERLINK("https://esbl.nhlbi.nih.gov/Databases/mpkFractions/proteomic_fractions_linear_files/Yang_linear_img/133778913.jpg","show blot")</f>
        <v>show blot</v>
      </c>
      <c r="J3461" s="5" t="s">
        <v>6789</v>
      </c>
      <c r="L3461" s="11">
        <v>5.4448849491446936</v>
      </c>
      <c r="N3461" s="12"/>
    </row>
    <row r="3462" spans="1:14" s="5" customFormat="1" ht="15" customHeight="1" x14ac:dyDescent="0.25">
      <c r="A3462" s="9" t="s">
        <v>6790</v>
      </c>
      <c r="C3462" s="9" t="str">
        <f>HYPERLINK("http://www.ncbi.nlm.nih.gov/protein/61888838","Hsd17b10")</f>
        <v>Hsd17b10</v>
      </c>
      <c r="D3462" s="10">
        <f t="shared" si="54"/>
        <v>5.8769972930303007</v>
      </c>
      <c r="F3462" s="8" t="str">
        <f>HYPERLINK("https://esbl.nhlbi.nih.gov/Databases/mpkFractions/proteomic_fractions_log_files/Yang_log_img/61888838.jpg","show blot")</f>
        <v>show blot</v>
      </c>
      <c r="H3462" s="8" t="str">
        <f>HYPERLINK("https://esbl.nhlbi.nih.gov/Databases/mpkFractions/proteomic_fractions_linear_files/Yang_linear_img/61888838.jpg","show blot")</f>
        <v>show blot</v>
      </c>
      <c r="J3462" s="5" t="s">
        <v>6791</v>
      </c>
      <c r="L3462" s="11">
        <v>5.8769972930303007</v>
      </c>
      <c r="N3462" s="12"/>
    </row>
    <row r="3463" spans="1:14" s="5" customFormat="1" ht="15" customHeight="1" x14ac:dyDescent="0.25">
      <c r="A3463" s="9" t="s">
        <v>6792</v>
      </c>
      <c r="C3463" s="9" t="str">
        <f>HYPERLINK("http://www.ncbi.nlm.nih.gov/protein/16716597","Hsd17b11")</f>
        <v>Hsd17b11</v>
      </c>
      <c r="D3463" s="10">
        <f t="shared" si="54"/>
        <v>6.124844373778207</v>
      </c>
      <c r="F3463" s="8" t="str">
        <f>HYPERLINK("https://esbl.nhlbi.nih.gov/Databases/mpkFractions/proteomic_fractions_log_files/Yang_log_img/16716597.jpg","show blot")</f>
        <v>show blot</v>
      </c>
      <c r="H3463" s="8" t="str">
        <f>HYPERLINK("https://esbl.nhlbi.nih.gov/Databases/mpkFractions/proteomic_fractions_linear_files/Yang_linear_img/16716597.jpg","show blot")</f>
        <v>show blot</v>
      </c>
      <c r="J3463" s="5" t="s">
        <v>6793</v>
      </c>
      <c r="L3463" s="11">
        <v>6.124844373778207</v>
      </c>
      <c r="N3463" s="12"/>
    </row>
    <row r="3464" spans="1:14" s="5" customFormat="1" ht="15" customHeight="1" x14ac:dyDescent="0.25">
      <c r="A3464" s="9" t="s">
        <v>6794</v>
      </c>
      <c r="C3464" s="9" t="str">
        <f>HYPERLINK("http://www.ncbi.nlm.nih.gov/protein/9789991","Hsd17b12")</f>
        <v>Hsd17b12</v>
      </c>
      <c r="D3464" s="10">
        <f t="shared" si="54"/>
        <v>5.3264402473175627</v>
      </c>
      <c r="F3464" s="8" t="str">
        <f>HYPERLINK("https://esbl.nhlbi.nih.gov/Databases/mpkFractions/proteomic_fractions_log_files/Yang_log_img/9789991.jpg","show blot")</f>
        <v>show blot</v>
      </c>
      <c r="H3464" s="8" t="str">
        <f>HYPERLINK("https://esbl.nhlbi.nih.gov/Databases/mpkFractions/proteomic_fractions_linear_files/Yang_linear_img/9789991.jpg","show blot")</f>
        <v>show blot</v>
      </c>
      <c r="J3464" s="5" t="s">
        <v>6795</v>
      </c>
      <c r="L3464" s="11">
        <v>5.3264402473175627</v>
      </c>
      <c r="N3464" s="12"/>
    </row>
    <row r="3465" spans="1:14" s="5" customFormat="1" ht="15" customHeight="1" x14ac:dyDescent="0.25">
      <c r="A3465" s="9" t="s">
        <v>6796</v>
      </c>
      <c r="C3465" s="9" t="str">
        <f>HYPERLINK("http://www.ncbi.nlm.nih.gov/protein/254553340","Hsd17b13")</f>
        <v>Hsd17b13</v>
      </c>
      <c r="D3465" s="10">
        <f t="shared" si="54"/>
        <v>5.1640606490880279</v>
      </c>
      <c r="F3465" s="8" t="str">
        <f>HYPERLINK("https://esbl.nhlbi.nih.gov/Databases/mpkFractions/proteomic_fractions_log_files/Yang_log_img/254553340.jpg","show blot")</f>
        <v>show blot</v>
      </c>
      <c r="H3465" s="8" t="str">
        <f>HYPERLINK("https://esbl.nhlbi.nih.gov/Databases/mpkFractions/proteomic_fractions_linear_files/Yang_linear_img/254553340.jpg","show blot")</f>
        <v>show blot</v>
      </c>
      <c r="J3465" s="5" t="s">
        <v>6797</v>
      </c>
      <c r="L3465" s="11">
        <v>5.1640606490880279</v>
      </c>
      <c r="N3465" s="12"/>
    </row>
    <row r="3466" spans="1:14" s="5" customFormat="1" ht="15" customHeight="1" x14ac:dyDescent="0.25">
      <c r="A3466" s="9" t="s">
        <v>6798</v>
      </c>
      <c r="C3466" s="9" t="str">
        <f>HYPERLINK("http://www.ncbi.nlm.nih.gov/protein/254553342","Hsd17b13")</f>
        <v>Hsd17b13</v>
      </c>
      <c r="D3466" s="10">
        <f t="shared" si="54"/>
        <v>5.1640606490880279</v>
      </c>
      <c r="F3466" s="8" t="str">
        <f>HYPERLINK("https://esbl.nhlbi.nih.gov/Databases/mpkFractions/proteomic_fractions_log_files/Yang_log_img/254553342.jpg","show blot")</f>
        <v>show blot</v>
      </c>
      <c r="H3466" s="8" t="str">
        <f>HYPERLINK("https://esbl.nhlbi.nih.gov/Databases/mpkFractions/proteomic_fractions_linear_files/Yang_linear_img/254553342.jpg","show blot")</f>
        <v>show blot</v>
      </c>
      <c r="J3466" s="5" t="s">
        <v>6799</v>
      </c>
      <c r="L3466" s="11">
        <v>5.1640606490880279</v>
      </c>
      <c r="N3466" s="12"/>
    </row>
    <row r="3467" spans="1:14" s="5" customFormat="1" ht="15" customHeight="1" x14ac:dyDescent="0.25">
      <c r="A3467" s="9" t="s">
        <v>6800</v>
      </c>
      <c r="C3467" s="9" t="str">
        <f>HYPERLINK("http://www.ncbi.nlm.nih.gov/protein/295054257","Hsd17b14")</f>
        <v>Hsd17b14</v>
      </c>
      <c r="D3467" s="10">
        <f t="shared" si="54"/>
        <v>4.9464350460098103</v>
      </c>
      <c r="F3467" s="8" t="str">
        <f>HYPERLINK("https://esbl.nhlbi.nih.gov/Databases/mpkFractions/proteomic_fractions_log_files/Yang_log_img/295054257.jpg","show blot")</f>
        <v>show blot</v>
      </c>
      <c r="H3467" s="8" t="str">
        <f>HYPERLINK("https://esbl.nhlbi.nih.gov/Databases/mpkFractions/proteomic_fractions_linear_files/Yang_linear_img/295054257.jpg","show blot")</f>
        <v>show blot</v>
      </c>
      <c r="J3467" s="5" t="s">
        <v>6801</v>
      </c>
      <c r="L3467" s="11">
        <v>4.9464350460098103</v>
      </c>
      <c r="N3467" s="12"/>
    </row>
    <row r="3468" spans="1:14" s="5" customFormat="1" ht="15" customHeight="1" x14ac:dyDescent="0.25">
      <c r="A3468" s="9" t="s">
        <v>6802</v>
      </c>
      <c r="C3468" s="9" t="str">
        <f>HYPERLINK("http://www.ncbi.nlm.nih.gov/protein/31982273","Hsd17b4")</f>
        <v>Hsd17b4</v>
      </c>
      <c r="D3468" s="10">
        <f t="shared" si="54"/>
        <v>6.0826553481316816</v>
      </c>
      <c r="F3468" s="8" t="str">
        <f>HYPERLINK("https://esbl.nhlbi.nih.gov/Databases/mpkFractions/proteomic_fractions_log_files/Yang_log_img/31982273.jpg","show blot")</f>
        <v>show blot</v>
      </c>
      <c r="H3468" s="8" t="str">
        <f>HYPERLINK("https://esbl.nhlbi.nih.gov/Databases/mpkFractions/proteomic_fractions_linear_files/Yang_linear_img/31982273.jpg","show blot")</f>
        <v>show blot</v>
      </c>
      <c r="J3468" s="5" t="s">
        <v>6803</v>
      </c>
      <c r="L3468" s="11">
        <v>6.0826553481316816</v>
      </c>
      <c r="N3468" s="12"/>
    </row>
    <row r="3469" spans="1:14" s="5" customFormat="1" ht="15" customHeight="1" x14ac:dyDescent="0.25">
      <c r="A3469" s="9" t="s">
        <v>6804</v>
      </c>
      <c r="C3469" s="9" t="str">
        <f>HYPERLINK("http://www.ncbi.nlm.nih.gov/protein/87162470","Hsd17b7")</f>
        <v>Hsd17b7</v>
      </c>
      <c r="D3469" s="10">
        <f t="shared" si="54"/>
        <v>4.0226354415342298</v>
      </c>
      <c r="F3469" s="8" t="str">
        <f>HYPERLINK("https://esbl.nhlbi.nih.gov/Databases/mpkFractions/proteomic_fractions_log_files/Yang_log_img/87162470.jpg","show blot")</f>
        <v>show blot</v>
      </c>
      <c r="H3469" s="8" t="str">
        <f>HYPERLINK("https://esbl.nhlbi.nih.gov/Databases/mpkFractions/proteomic_fractions_linear_files/Yang_linear_img/87162470.jpg","show blot")</f>
        <v>show blot</v>
      </c>
      <c r="J3469" s="5" t="s">
        <v>6805</v>
      </c>
      <c r="L3469" s="11">
        <v>4.0226354415342298</v>
      </c>
      <c r="N3469" s="12"/>
    </row>
    <row r="3470" spans="1:14" s="5" customFormat="1" ht="15" customHeight="1" x14ac:dyDescent="0.25">
      <c r="A3470" s="9" t="s">
        <v>6806</v>
      </c>
      <c r="C3470" s="9" t="str">
        <f>HYPERLINK("http://www.ncbi.nlm.nih.gov/protein/30424792","Hsdl1")</f>
        <v>Hsdl1</v>
      </c>
      <c r="D3470" s="10">
        <f t="shared" si="54"/>
        <v>4.240166673290509</v>
      </c>
      <c r="F3470" s="8" t="str">
        <f>HYPERLINK("https://esbl.nhlbi.nih.gov/Databases/mpkFractions/proteomic_fractions_log_files/Yang_log_img/30424792.jpg","show blot")</f>
        <v>show blot</v>
      </c>
      <c r="H3470" s="8" t="str">
        <f>HYPERLINK("https://esbl.nhlbi.nih.gov/Databases/mpkFractions/proteomic_fractions_linear_files/Yang_linear_img/30424792.jpg","show blot")</f>
        <v>show blot</v>
      </c>
      <c r="J3470" s="5" t="s">
        <v>6807</v>
      </c>
      <c r="L3470" s="11">
        <v>4.240166673290509</v>
      </c>
      <c r="N3470" s="12"/>
    </row>
    <row r="3471" spans="1:14" s="5" customFormat="1" ht="15" customHeight="1" x14ac:dyDescent="0.25">
      <c r="A3471" s="9" t="s">
        <v>6808</v>
      </c>
      <c r="C3471" s="9" t="str">
        <f>HYPERLINK("http://www.ncbi.nlm.nih.gov/protein/125656150","Hsdl2")</f>
        <v>Hsdl2</v>
      </c>
      <c r="D3471" s="10">
        <f t="shared" si="54"/>
        <v>3.9182345851793339</v>
      </c>
      <c r="F3471" s="8" t="str">
        <f>HYPERLINK("https://esbl.nhlbi.nih.gov/Databases/mpkFractions/proteomic_fractions_log_files/Yang_log_img/125656150.jpg","show blot")</f>
        <v>show blot</v>
      </c>
      <c r="H3471" s="8" t="str">
        <f>HYPERLINK("https://esbl.nhlbi.nih.gov/Databases/mpkFractions/proteomic_fractions_linear_files/Yang_linear_img/125656150.jpg","show blot")</f>
        <v>show blot</v>
      </c>
      <c r="J3471" s="5" t="s">
        <v>6809</v>
      </c>
      <c r="L3471" s="11">
        <v>3.9182345851793339</v>
      </c>
      <c r="N3471" s="12"/>
    </row>
    <row r="3472" spans="1:14" s="5" customFormat="1" ht="15" customHeight="1" x14ac:dyDescent="0.25">
      <c r="A3472" s="9" t="s">
        <v>6810</v>
      </c>
      <c r="C3472" s="9" t="str">
        <f>HYPERLINK("http://www.ncbi.nlm.nih.gov/protein/6754254","Hsp90aa1")</f>
        <v>Hsp90aa1</v>
      </c>
      <c r="D3472" s="10">
        <f t="shared" si="54"/>
        <v>7.1689881653607141</v>
      </c>
      <c r="F3472" s="8" t="str">
        <f>HYPERLINK("https://esbl.nhlbi.nih.gov/Databases/mpkFractions/proteomic_fractions_log_files/Yang_log_img/6754254.jpg","show blot")</f>
        <v>show blot</v>
      </c>
      <c r="H3472" s="8" t="str">
        <f>HYPERLINK("https://esbl.nhlbi.nih.gov/Databases/mpkFractions/proteomic_fractions_linear_files/Yang_linear_img/6754254.jpg","show blot")</f>
        <v>show blot</v>
      </c>
      <c r="J3472" s="5" t="s">
        <v>6811</v>
      </c>
      <c r="L3472" s="11">
        <v>7.1689881653607141</v>
      </c>
      <c r="N3472" s="12"/>
    </row>
    <row r="3473" spans="1:14" s="5" customFormat="1" ht="15" customHeight="1" x14ac:dyDescent="0.25">
      <c r="A3473" s="9" t="s">
        <v>6812</v>
      </c>
      <c r="C3473" s="9" t="str">
        <f>HYPERLINK("http://www.ncbi.nlm.nih.gov/protein/40556608","Hsp90ab1")</f>
        <v>Hsp90ab1</v>
      </c>
      <c r="D3473" s="10">
        <f t="shared" si="54"/>
        <v>7.2096194209326363</v>
      </c>
      <c r="F3473" s="8" t="str">
        <f>HYPERLINK("https://esbl.nhlbi.nih.gov/Databases/mpkFractions/proteomic_fractions_log_files/Yang_log_img/40556608.jpg","show blot")</f>
        <v>show blot</v>
      </c>
      <c r="H3473" s="8" t="str">
        <f>HYPERLINK("https://esbl.nhlbi.nih.gov/Databases/mpkFractions/proteomic_fractions_linear_files/Yang_linear_img/40556608.jpg","show blot")</f>
        <v>show blot</v>
      </c>
      <c r="J3473" s="5" t="s">
        <v>6813</v>
      </c>
      <c r="L3473" s="11">
        <v>7.2096194209326363</v>
      </c>
      <c r="N3473" s="12"/>
    </row>
    <row r="3474" spans="1:14" s="5" customFormat="1" ht="15" customHeight="1" x14ac:dyDescent="0.25">
      <c r="A3474" s="9" t="s">
        <v>6814</v>
      </c>
      <c r="C3474" s="9" t="str">
        <f>HYPERLINK("http://www.ncbi.nlm.nih.gov/protein/6755863","Hsp90b1")</f>
        <v>Hsp90b1</v>
      </c>
      <c r="D3474" s="10">
        <f t="shared" si="54"/>
        <v>6.7387048174239554</v>
      </c>
      <c r="F3474" s="8" t="str">
        <f>HYPERLINK("https://esbl.nhlbi.nih.gov/Databases/mpkFractions/proteomic_fractions_log_files/Yang_log_img/6755863.jpg","show blot")</f>
        <v>show blot</v>
      </c>
      <c r="H3474" s="8" t="str">
        <f>HYPERLINK("https://esbl.nhlbi.nih.gov/Databases/mpkFractions/proteomic_fractions_linear_files/Yang_linear_img/6755863.jpg","show blot")</f>
        <v>show blot</v>
      </c>
      <c r="J3474" s="5" t="s">
        <v>6815</v>
      </c>
      <c r="L3474" s="11">
        <v>6.7387048174239554</v>
      </c>
      <c r="N3474" s="12"/>
    </row>
    <row r="3475" spans="1:14" s="5" customFormat="1" ht="15" customHeight="1" x14ac:dyDescent="0.25">
      <c r="A3475" s="9" t="s">
        <v>6816</v>
      </c>
      <c r="C3475" s="9" t="str">
        <f>HYPERLINK("http://www.ncbi.nlm.nih.gov/protein/30089677","Hspa13")</f>
        <v>Hspa13</v>
      </c>
      <c r="D3475" s="10">
        <f t="shared" si="54"/>
        <v>3.667083844764607</v>
      </c>
      <c r="F3475" s="8" t="str">
        <f>HYPERLINK("https://esbl.nhlbi.nih.gov/Databases/mpkFractions/proteomic_fractions_log_files/Yang_log_img/30089677.jpg","show blot")</f>
        <v>show blot</v>
      </c>
      <c r="H3475" s="8" t="str">
        <f>HYPERLINK("https://esbl.nhlbi.nih.gov/Databases/mpkFractions/proteomic_fractions_linear_files/Yang_linear_img/30089677.jpg","show blot")</f>
        <v>show blot</v>
      </c>
      <c r="J3475" s="5" t="s">
        <v>6817</v>
      </c>
      <c r="L3475" s="11">
        <v>3.667083844764607</v>
      </c>
      <c r="N3475" s="12"/>
    </row>
    <row r="3476" spans="1:14" s="5" customFormat="1" ht="15" customHeight="1" x14ac:dyDescent="0.25">
      <c r="A3476" s="9" t="s">
        <v>6818</v>
      </c>
      <c r="C3476" s="9" t="str">
        <f>HYPERLINK("http://www.ncbi.nlm.nih.gov/protein/82880662","Hspa14")</f>
        <v>Hspa14</v>
      </c>
      <c r="D3476" s="10">
        <f t="shared" si="54"/>
        <v>5.1771090336929113</v>
      </c>
      <c r="F3476" s="8" t="str">
        <f>HYPERLINK("https://esbl.nhlbi.nih.gov/Databases/mpkFractions/proteomic_fractions_log_files/Yang_log_img/82880662.jpg","show blot")</f>
        <v>show blot</v>
      </c>
      <c r="H3476" s="8" t="str">
        <f>HYPERLINK("https://esbl.nhlbi.nih.gov/Databases/mpkFractions/proteomic_fractions_linear_files/Yang_linear_img/82880662.jpg","show blot")</f>
        <v>show blot</v>
      </c>
      <c r="J3476" s="5" t="s">
        <v>6819</v>
      </c>
      <c r="L3476" s="11">
        <v>5.1771090336929113</v>
      </c>
      <c r="N3476" s="12"/>
    </row>
    <row r="3477" spans="1:14" s="5" customFormat="1" ht="15" customHeight="1" x14ac:dyDescent="0.25">
      <c r="A3477" s="9" t="s">
        <v>6820</v>
      </c>
      <c r="C3477" s="9" t="str">
        <f>HYPERLINK("http://www.ncbi.nlm.nih.gov/protein/124339829","Hspa1a")</f>
        <v>Hspa1a</v>
      </c>
      <c r="D3477" s="10">
        <f t="shared" si="54"/>
        <v>6.9306640579265277</v>
      </c>
      <c r="F3477" s="8" t="str">
        <f>HYPERLINK("https://esbl.nhlbi.nih.gov/Databases/mpkFractions/proteomic_fractions_log_files/Yang_log_img/124339829.jpg","show blot")</f>
        <v>show blot</v>
      </c>
      <c r="H3477" s="8" t="str">
        <f>HYPERLINK("https://esbl.nhlbi.nih.gov/Databases/mpkFractions/proteomic_fractions_linear_files/Yang_linear_img/124339829.jpg","show blot")</f>
        <v>show blot</v>
      </c>
      <c r="J3477" s="5" t="s">
        <v>6821</v>
      </c>
      <c r="L3477" s="11">
        <v>6.9306640579265277</v>
      </c>
      <c r="N3477" s="12"/>
    </row>
    <row r="3478" spans="1:14" s="5" customFormat="1" ht="15" customHeight="1" x14ac:dyDescent="0.25">
      <c r="A3478" s="9" t="s">
        <v>6822</v>
      </c>
      <c r="C3478" s="9" t="str">
        <f>HYPERLINK("http://www.ncbi.nlm.nih.gov/protein/124339826","Hspa1b")</f>
        <v>Hspa1b</v>
      </c>
      <c r="D3478" s="10">
        <f t="shared" si="54"/>
        <v>6.9375888289966294</v>
      </c>
      <c r="F3478" s="8" t="str">
        <f>HYPERLINK("https://esbl.nhlbi.nih.gov/Databases/mpkFractions/proteomic_fractions_log_files/Yang_log_img/124339826.jpg","show blot")</f>
        <v>show blot</v>
      </c>
      <c r="H3478" s="8" t="str">
        <f>HYPERLINK("https://esbl.nhlbi.nih.gov/Databases/mpkFractions/proteomic_fractions_linear_files/Yang_linear_img/124339826.jpg","show blot")</f>
        <v>show blot</v>
      </c>
      <c r="J3478" s="5" t="s">
        <v>6823</v>
      </c>
      <c r="L3478" s="11">
        <v>6.9375888289966294</v>
      </c>
      <c r="N3478" s="12"/>
    </row>
    <row r="3479" spans="1:14" s="5" customFormat="1" ht="15" customHeight="1" x14ac:dyDescent="0.25">
      <c r="A3479" s="9" t="s">
        <v>6824</v>
      </c>
      <c r="C3479" s="9" t="str">
        <f>HYPERLINK("http://www.ncbi.nlm.nih.gov/protein/124339838","Hspa1l")</f>
        <v>Hspa1l</v>
      </c>
      <c r="D3479" s="10">
        <f t="shared" si="54"/>
        <v>6.7903528897772976</v>
      </c>
      <c r="F3479" s="8" t="str">
        <f>HYPERLINK("https://esbl.nhlbi.nih.gov/Databases/mpkFractions/proteomic_fractions_log_files/Yang_log_img/124339838.jpg","show blot")</f>
        <v>show blot</v>
      </c>
      <c r="H3479" s="8" t="str">
        <f>HYPERLINK("https://esbl.nhlbi.nih.gov/Databases/mpkFractions/proteomic_fractions_linear_files/Yang_linear_img/124339838.jpg","show blot")</f>
        <v>show blot</v>
      </c>
      <c r="J3479" s="5" t="s">
        <v>6825</v>
      </c>
      <c r="L3479" s="11">
        <v>6.7903528897772976</v>
      </c>
      <c r="N3479" s="12"/>
    </row>
    <row r="3480" spans="1:14" s="5" customFormat="1" ht="15" customHeight="1" x14ac:dyDescent="0.25">
      <c r="A3480" s="9" t="s">
        <v>6826</v>
      </c>
      <c r="C3480" s="9" t="str">
        <f>HYPERLINK("http://www.ncbi.nlm.nih.gov/protein/31560686","Hspa2")</f>
        <v>Hspa2</v>
      </c>
      <c r="D3480" s="10">
        <f t="shared" si="54"/>
        <v>6.9268503738613019</v>
      </c>
      <c r="F3480" s="8" t="str">
        <f>HYPERLINK("https://esbl.nhlbi.nih.gov/Databases/mpkFractions/proteomic_fractions_log_files/Yang_log_img/31560686.jpg","show blot")</f>
        <v>show blot</v>
      </c>
      <c r="H3480" s="8" t="str">
        <f>HYPERLINK("https://esbl.nhlbi.nih.gov/Databases/mpkFractions/proteomic_fractions_linear_files/Yang_linear_img/31560686.jpg","show blot")</f>
        <v>show blot</v>
      </c>
      <c r="J3480" s="5" t="s">
        <v>6827</v>
      </c>
      <c r="L3480" s="11">
        <v>6.9268503738613019</v>
      </c>
      <c r="N3480" s="12"/>
    </row>
    <row r="3481" spans="1:14" s="5" customFormat="1" ht="15" customHeight="1" x14ac:dyDescent="0.25">
      <c r="A3481" s="9" t="s">
        <v>6828</v>
      </c>
      <c r="C3481" s="9" t="str">
        <f>HYPERLINK("http://www.ncbi.nlm.nih.gov/protein/112293266","Hspa4")</f>
        <v>Hspa4</v>
      </c>
      <c r="D3481" s="10">
        <f t="shared" si="54"/>
        <v>6.3059128117320844</v>
      </c>
      <c r="F3481" s="8" t="str">
        <f>HYPERLINK("https://esbl.nhlbi.nih.gov/Databases/mpkFractions/proteomic_fractions_log_files/Yang_log_img/112293266.jpg","show blot")</f>
        <v>show blot</v>
      </c>
      <c r="H3481" s="8" t="str">
        <f>HYPERLINK("https://esbl.nhlbi.nih.gov/Databases/mpkFractions/proteomic_fractions_linear_files/Yang_linear_img/112293266.jpg","show blot")</f>
        <v>show blot</v>
      </c>
      <c r="J3481" s="5" t="s">
        <v>6829</v>
      </c>
      <c r="L3481" s="11">
        <v>6.3059128117320844</v>
      </c>
      <c r="N3481" s="12"/>
    </row>
    <row r="3482" spans="1:14" s="5" customFormat="1" ht="15" customHeight="1" x14ac:dyDescent="0.25">
      <c r="A3482" s="9" t="s">
        <v>6830</v>
      </c>
      <c r="C3482" s="9" t="str">
        <f>HYPERLINK("http://www.ncbi.nlm.nih.gov/protein/40254361","Hspa4l")</f>
        <v>Hspa4l</v>
      </c>
      <c r="D3482" s="10">
        <f t="shared" si="54"/>
        <v>5.3427986696750764</v>
      </c>
      <c r="F3482" s="8" t="str">
        <f>HYPERLINK("https://esbl.nhlbi.nih.gov/Databases/mpkFractions/proteomic_fractions_log_files/Yang_log_img/40254361.jpg","show blot")</f>
        <v>show blot</v>
      </c>
      <c r="H3482" s="8" t="str">
        <f>HYPERLINK("https://esbl.nhlbi.nih.gov/Databases/mpkFractions/proteomic_fractions_linear_files/Yang_linear_img/40254361.jpg","show blot")</f>
        <v>show blot</v>
      </c>
      <c r="J3482" s="5" t="s">
        <v>6831</v>
      </c>
      <c r="L3482" s="11">
        <v>5.3427986696750764</v>
      </c>
      <c r="N3482" s="12"/>
    </row>
    <row r="3483" spans="1:14" s="5" customFormat="1" ht="15" customHeight="1" x14ac:dyDescent="0.25">
      <c r="A3483" s="9" t="s">
        <v>6832</v>
      </c>
      <c r="C3483" s="9" t="str">
        <f>HYPERLINK("http://www.ncbi.nlm.nih.gov/protein/254540166","Hspa5")</f>
        <v>Hspa5</v>
      </c>
      <c r="D3483" s="10">
        <f t="shared" si="54"/>
        <v>6.8610556527020234</v>
      </c>
      <c r="F3483" s="8" t="str">
        <f>HYPERLINK("https://esbl.nhlbi.nih.gov/Databases/mpkFractions/proteomic_fractions_log_files/Yang_log_img/254540166.jpg","show blot")</f>
        <v>show blot</v>
      </c>
      <c r="H3483" s="8" t="str">
        <f>HYPERLINK("https://esbl.nhlbi.nih.gov/Databases/mpkFractions/proteomic_fractions_linear_files/Yang_linear_img/254540166.jpg","show blot")</f>
        <v>show blot</v>
      </c>
      <c r="J3483" s="5" t="s">
        <v>6833</v>
      </c>
      <c r="L3483" s="11">
        <v>6.8610556527020234</v>
      </c>
      <c r="N3483" s="12"/>
    </row>
    <row r="3484" spans="1:14" s="5" customFormat="1" ht="15" customHeight="1" x14ac:dyDescent="0.25">
      <c r="A3484" s="9" t="s">
        <v>6834</v>
      </c>
      <c r="C3484" s="9" t="str">
        <f>HYPERLINK("http://www.ncbi.nlm.nih.gov/protein/31981690","Hspa8")</f>
        <v>Hspa8</v>
      </c>
      <c r="D3484" s="10">
        <f t="shared" si="54"/>
        <v>7.2513165494244261</v>
      </c>
      <c r="F3484" s="8" t="str">
        <f>HYPERLINK("https://esbl.nhlbi.nih.gov/Databases/mpkFractions/proteomic_fractions_log_files/Yang_log_img/31981690.jpg","show blot")</f>
        <v>show blot</v>
      </c>
      <c r="H3484" s="8" t="str">
        <f>HYPERLINK("https://esbl.nhlbi.nih.gov/Databases/mpkFractions/proteomic_fractions_linear_files/Yang_linear_img/31981690.jpg","show blot")</f>
        <v>show blot</v>
      </c>
      <c r="J3484" s="5" t="s">
        <v>6835</v>
      </c>
      <c r="L3484" s="11">
        <v>7.2513165494244261</v>
      </c>
      <c r="N3484" s="12"/>
    </row>
    <row r="3485" spans="1:14" s="5" customFormat="1" ht="15" customHeight="1" x14ac:dyDescent="0.25">
      <c r="A3485" s="9" t="s">
        <v>6836</v>
      </c>
      <c r="C3485" s="9" t="str">
        <f>HYPERLINK("http://www.ncbi.nlm.nih.gov/protein/162461907","Hspa9")</f>
        <v>Hspa9</v>
      </c>
      <c r="D3485" s="10">
        <f t="shared" si="54"/>
        <v>6.5610095573919791</v>
      </c>
      <c r="F3485" s="8" t="str">
        <f>HYPERLINK("https://esbl.nhlbi.nih.gov/Databases/mpkFractions/proteomic_fractions_log_files/Yang_log_img/162461907.jpg","show blot")</f>
        <v>show blot</v>
      </c>
      <c r="H3485" s="8" t="str">
        <f>HYPERLINK("https://esbl.nhlbi.nih.gov/Databases/mpkFractions/proteomic_fractions_linear_files/Yang_linear_img/162461907.jpg","show blot")</f>
        <v>show blot</v>
      </c>
      <c r="J3485" s="5" t="s">
        <v>6837</v>
      </c>
      <c r="L3485" s="11">
        <v>6.5610095573919791</v>
      </c>
      <c r="N3485" s="12"/>
    </row>
    <row r="3486" spans="1:14" s="5" customFormat="1" ht="15" customHeight="1" x14ac:dyDescent="0.25">
      <c r="A3486" s="9" t="s">
        <v>6838</v>
      </c>
      <c r="C3486" s="9" t="str">
        <f>HYPERLINK("http://www.ncbi.nlm.nih.gov/protein/158937312","Hspb1")</f>
        <v>Hspb1</v>
      </c>
      <c r="D3486" s="10">
        <f t="shared" si="54"/>
        <v>3.7216313980728799</v>
      </c>
      <c r="F3486" s="8" t="str">
        <f>HYPERLINK("https://esbl.nhlbi.nih.gov/Databases/mpkFractions/proteomic_fractions_log_files/Yang_log_img/158937312.jpg","show blot")</f>
        <v>show blot</v>
      </c>
      <c r="H3486" s="8" t="str">
        <f>HYPERLINK("https://esbl.nhlbi.nih.gov/Databases/mpkFractions/proteomic_fractions_linear_files/Yang_linear_img/158937312.jpg","show blot")</f>
        <v>show blot</v>
      </c>
      <c r="J3486" s="5" t="s">
        <v>6839</v>
      </c>
      <c r="L3486" s="11">
        <v>3.7216313980728799</v>
      </c>
      <c r="N3486" s="12"/>
    </row>
    <row r="3487" spans="1:14" s="5" customFormat="1" ht="15" customHeight="1" x14ac:dyDescent="0.25">
      <c r="A3487" s="9" t="s">
        <v>6840</v>
      </c>
      <c r="C3487" s="9" t="str">
        <f>HYPERLINK("http://www.ncbi.nlm.nih.gov/protein/110625938","Hspb11")</f>
        <v>Hspb11</v>
      </c>
      <c r="D3487" s="10">
        <f t="shared" si="54"/>
        <v>4.681358165663057</v>
      </c>
      <c r="F3487" s="8" t="str">
        <f>HYPERLINK("https://esbl.nhlbi.nih.gov/Databases/mpkFractions/proteomic_fractions_log_files/Yang_log_img/110625938.jpg","show blot")</f>
        <v>show blot</v>
      </c>
      <c r="H3487" s="8" t="str">
        <f>HYPERLINK("https://esbl.nhlbi.nih.gov/Databases/mpkFractions/proteomic_fractions_linear_files/Yang_linear_img/110625938.jpg","show blot")</f>
        <v>show blot</v>
      </c>
      <c r="J3487" s="5" t="s">
        <v>6841</v>
      </c>
      <c r="L3487" s="11">
        <v>4.681358165663057</v>
      </c>
      <c r="N3487" s="12"/>
    </row>
    <row r="3488" spans="1:14" s="5" customFormat="1" ht="15" customHeight="1" x14ac:dyDescent="0.25">
      <c r="A3488" s="9" t="s">
        <v>6842</v>
      </c>
      <c r="C3488" s="9" t="str">
        <f>HYPERLINK("http://www.ncbi.nlm.nih.gov/protein/120587017","Hspbap1")</f>
        <v>Hspbap1</v>
      </c>
      <c r="D3488" s="10">
        <f t="shared" si="54"/>
        <v>3.9116327804372419</v>
      </c>
      <c r="F3488" s="8" t="str">
        <f>HYPERLINK("https://esbl.nhlbi.nih.gov/Databases/mpkFractions/proteomic_fractions_log_files/Yang_log_img/120587017.jpg","show blot")</f>
        <v>show blot</v>
      </c>
      <c r="H3488" s="8" t="str">
        <f>HYPERLINK("https://esbl.nhlbi.nih.gov/Databases/mpkFractions/proteomic_fractions_linear_files/Yang_linear_img/120587017.jpg","show blot")</f>
        <v>show blot</v>
      </c>
      <c r="J3488" s="5" t="s">
        <v>6843</v>
      </c>
      <c r="L3488" s="11">
        <v>3.9116327804372419</v>
      </c>
      <c r="N3488" s="12"/>
    </row>
    <row r="3489" spans="1:14" s="5" customFormat="1" ht="15" customHeight="1" x14ac:dyDescent="0.25">
      <c r="A3489" s="9" t="s">
        <v>6844</v>
      </c>
      <c r="C3489" s="9" t="str">
        <f>HYPERLINK("http://www.ncbi.nlm.nih.gov/protein/13195602","Hspbp1")</f>
        <v>Hspbp1</v>
      </c>
      <c r="D3489" s="10">
        <f t="shared" si="54"/>
        <v>4.9874119444711988</v>
      </c>
      <c r="F3489" s="8" t="str">
        <f>HYPERLINK("https://esbl.nhlbi.nih.gov/Databases/mpkFractions/proteomic_fractions_log_files/Yang_log_img/13195602.jpg","show blot")</f>
        <v>show blot</v>
      </c>
      <c r="H3489" s="8" t="str">
        <f>HYPERLINK("https://esbl.nhlbi.nih.gov/Databases/mpkFractions/proteomic_fractions_linear_files/Yang_linear_img/13195602.jpg","show blot")</f>
        <v>show blot</v>
      </c>
      <c r="J3489" s="5" t="s">
        <v>6845</v>
      </c>
      <c r="L3489" s="11">
        <v>4.9874119444711988</v>
      </c>
      <c r="N3489" s="12"/>
    </row>
    <row r="3490" spans="1:14" s="5" customFormat="1" ht="15" customHeight="1" x14ac:dyDescent="0.25">
      <c r="A3490" s="9" t="s">
        <v>6846</v>
      </c>
      <c r="C3490" s="9" t="str">
        <f>HYPERLINK("http://www.ncbi.nlm.nih.gov/protein/183396771","Hspd1")</f>
        <v>Hspd1</v>
      </c>
      <c r="D3490" s="10">
        <f t="shared" si="54"/>
        <v>6.8839866084928261</v>
      </c>
      <c r="F3490" s="8" t="str">
        <f>HYPERLINK("https://esbl.nhlbi.nih.gov/Databases/mpkFractions/proteomic_fractions_log_files/Yang_log_img/183396771.jpg","show blot")</f>
        <v>show blot</v>
      </c>
      <c r="H3490" s="8" t="str">
        <f>HYPERLINK("https://esbl.nhlbi.nih.gov/Databases/mpkFractions/proteomic_fractions_linear_files/Yang_linear_img/183396771.jpg","show blot")</f>
        <v>show blot</v>
      </c>
      <c r="J3490" s="5" t="s">
        <v>6847</v>
      </c>
      <c r="L3490" s="11">
        <v>6.8839866084928261</v>
      </c>
      <c r="N3490" s="12"/>
    </row>
    <row r="3491" spans="1:14" s="5" customFormat="1" ht="15" customHeight="1" x14ac:dyDescent="0.25">
      <c r="A3491" s="9" t="s">
        <v>6848</v>
      </c>
      <c r="C3491" s="9" t="str">
        <f>HYPERLINK("http://www.ncbi.nlm.nih.gov/protein/6680309","Hspe1")</f>
        <v>Hspe1</v>
      </c>
      <c r="D3491" s="10">
        <f t="shared" si="54"/>
        <v>6.1597136594526773</v>
      </c>
      <c r="F3491" s="8" t="str">
        <f>HYPERLINK("https://esbl.nhlbi.nih.gov/Databases/mpkFractions/proteomic_fractions_log_files/Yang_log_img/6680309.jpg","show blot")</f>
        <v>show blot</v>
      </c>
      <c r="H3491" s="8" t="str">
        <f>HYPERLINK("https://esbl.nhlbi.nih.gov/Databases/mpkFractions/proteomic_fractions_linear_files/Yang_linear_img/6680309.jpg","show blot")</f>
        <v>show blot</v>
      </c>
      <c r="J3491" s="5" t="s">
        <v>6849</v>
      </c>
      <c r="L3491" s="11">
        <v>6.1597136594526773</v>
      </c>
      <c r="N3491" s="12"/>
    </row>
    <row r="3492" spans="1:14" s="5" customFormat="1" ht="15" customHeight="1" x14ac:dyDescent="0.25">
      <c r="A3492" s="9" t="s">
        <v>6850</v>
      </c>
      <c r="C3492" s="9" t="str">
        <f>HYPERLINK("http://www.ncbi.nlm.nih.gov/protein/183979966","Hspg2")</f>
        <v>Hspg2</v>
      </c>
      <c r="D3492" s="10">
        <f t="shared" si="54"/>
        <v>3.113166538455757</v>
      </c>
      <c r="F3492" s="8" t="str">
        <f>HYPERLINK("https://esbl.nhlbi.nih.gov/Databases/mpkFractions/proteomic_fractions_log_files/Yang_log_img/183979966.jpg","show blot")</f>
        <v>show blot</v>
      </c>
      <c r="H3492" s="8" t="str">
        <f>HYPERLINK("https://esbl.nhlbi.nih.gov/Databases/mpkFractions/proteomic_fractions_linear_files/Yang_linear_img/183979966.jpg","show blot")</f>
        <v>show blot</v>
      </c>
      <c r="J3492" s="5" t="s">
        <v>6851</v>
      </c>
      <c r="L3492" s="11">
        <v>3.113166538455757</v>
      </c>
      <c r="N3492" s="12"/>
    </row>
    <row r="3493" spans="1:14" s="5" customFormat="1" ht="15" customHeight="1" x14ac:dyDescent="0.25">
      <c r="A3493" s="9" t="s">
        <v>6852</v>
      </c>
      <c r="C3493" s="9" t="str">
        <f>HYPERLINK("http://www.ncbi.nlm.nih.gov/protein/114145505","Hsph1")</f>
        <v>Hsph1</v>
      </c>
      <c r="D3493" s="10">
        <f t="shared" si="54"/>
        <v>5.6625709780444078</v>
      </c>
      <c r="F3493" s="8" t="str">
        <f>HYPERLINK("https://esbl.nhlbi.nih.gov/Databases/mpkFractions/proteomic_fractions_log_files/Yang_log_img/114145505.jpg","show blot")</f>
        <v>show blot</v>
      </c>
      <c r="H3493" s="8" t="str">
        <f>HYPERLINK("https://esbl.nhlbi.nih.gov/Databases/mpkFractions/proteomic_fractions_linear_files/Yang_linear_img/114145505.jpg","show blot")</f>
        <v>show blot</v>
      </c>
      <c r="J3493" s="5" t="s">
        <v>6853</v>
      </c>
      <c r="L3493" s="11">
        <v>5.6625709780444078</v>
      </c>
      <c r="N3493" s="12"/>
    </row>
    <row r="3494" spans="1:14" s="5" customFormat="1" ht="15" customHeight="1" x14ac:dyDescent="0.25">
      <c r="A3494" s="9" t="s">
        <v>6854</v>
      </c>
      <c r="C3494" s="9" t="str">
        <f>HYPERLINK("http://www.ncbi.nlm.nih.gov/protein/225690589","Htatip2")</f>
        <v>Htatip2</v>
      </c>
      <c r="D3494" s="10">
        <f t="shared" si="54"/>
        <v>3.184828257593725</v>
      </c>
      <c r="F3494" s="8" t="str">
        <f>HYPERLINK("https://esbl.nhlbi.nih.gov/Databases/mpkFractions/proteomic_fractions_log_files/Yang_log_img/225690589.jpg","show blot")</f>
        <v>show blot</v>
      </c>
      <c r="H3494" s="8" t="str">
        <f>HYPERLINK("https://esbl.nhlbi.nih.gov/Databases/mpkFractions/proteomic_fractions_linear_files/Yang_linear_img/225690589.jpg","show blot")</f>
        <v>show blot</v>
      </c>
      <c r="J3494" s="5" t="s">
        <v>6855</v>
      </c>
      <c r="L3494" s="11">
        <v>3.184828257593725</v>
      </c>
      <c r="N3494" s="12"/>
    </row>
    <row r="3495" spans="1:14" s="5" customFormat="1" ht="15" customHeight="1" x14ac:dyDescent="0.25">
      <c r="A3495" s="9" t="s">
        <v>6856</v>
      </c>
      <c r="C3495" s="9" t="str">
        <f>HYPERLINK("http://www.ncbi.nlm.nih.gov/protein/225690591","Htatip2")</f>
        <v>Htatip2</v>
      </c>
      <c r="D3495" s="10">
        <f t="shared" si="54"/>
        <v>3.184828257593725</v>
      </c>
      <c r="F3495" s="8" t="str">
        <f>HYPERLINK("https://esbl.nhlbi.nih.gov/Databases/mpkFractions/proteomic_fractions_log_files/Yang_log_img/225690591.jpg","show blot")</f>
        <v>show blot</v>
      </c>
      <c r="H3495" s="8" t="str">
        <f>HYPERLINK("https://esbl.nhlbi.nih.gov/Databases/mpkFractions/proteomic_fractions_linear_files/Yang_linear_img/225690591.jpg","show blot")</f>
        <v>show blot</v>
      </c>
      <c r="J3495" s="5" t="s">
        <v>6857</v>
      </c>
      <c r="L3495" s="11">
        <v>3.184828257593725</v>
      </c>
      <c r="N3495" s="12"/>
    </row>
    <row r="3496" spans="1:14" s="5" customFormat="1" ht="15" customHeight="1" x14ac:dyDescent="0.25">
      <c r="A3496" s="9" t="s">
        <v>6858</v>
      </c>
      <c r="C3496" s="9" t="str">
        <f>HYPERLINK("http://www.ncbi.nlm.nih.gov/protein/23956212;321267528","Htatsf1")</f>
        <v>Htatsf1</v>
      </c>
      <c r="D3496" s="10">
        <f t="shared" si="54"/>
        <v>4.4831853922027127</v>
      </c>
      <c r="F3496" s="8" t="str">
        <f>HYPERLINK("https://esbl.nhlbi.nih.gov/Databases/mpkFractions/proteomic_fractions_log_files/Yang_log_img/23956212;321267528.jpg","show blot")</f>
        <v>show blot</v>
      </c>
      <c r="H3496" s="8" t="str">
        <f>HYPERLINK("https://esbl.nhlbi.nih.gov/Databases/mpkFractions/proteomic_fractions_linear_files/Yang_linear_img/23956212;321267528.jpg","show blot")</f>
        <v>show blot</v>
      </c>
      <c r="J3496" s="5" t="s">
        <v>6859</v>
      </c>
      <c r="L3496" s="11">
        <v>4.4831853922027127</v>
      </c>
      <c r="N3496" s="12"/>
    </row>
    <row r="3497" spans="1:14" s="5" customFormat="1" ht="15" customHeight="1" x14ac:dyDescent="0.25">
      <c r="A3497" s="9" t="s">
        <v>6860</v>
      </c>
      <c r="C3497" s="9" t="str">
        <f>HYPERLINK("http://www.ncbi.nlm.nih.gov/protein/10946684","Htr6")</f>
        <v>Htr6</v>
      </c>
      <c r="D3497" s="10">
        <f t="shared" si="54"/>
        <v>4.7891548413158009</v>
      </c>
      <c r="F3497" s="8" t="str">
        <f>HYPERLINK("https://esbl.nhlbi.nih.gov/Databases/mpkFractions/proteomic_fractions_log_files/Yang_log_img/10946684.jpg","show blot")</f>
        <v>show blot</v>
      </c>
      <c r="H3497" s="8" t="str">
        <f>HYPERLINK("https://esbl.nhlbi.nih.gov/Databases/mpkFractions/proteomic_fractions_linear_files/Yang_linear_img/10946684.jpg","show blot")</f>
        <v>show blot</v>
      </c>
      <c r="J3497" s="5" t="s">
        <v>6861</v>
      </c>
      <c r="L3497" s="11">
        <v>4.7891548413158009</v>
      </c>
      <c r="N3497" s="12"/>
    </row>
    <row r="3498" spans="1:14" s="5" customFormat="1" ht="15" customHeight="1" x14ac:dyDescent="0.25">
      <c r="A3498" s="9" t="s">
        <v>6862</v>
      </c>
      <c r="C3498" s="9" t="str">
        <f>HYPERLINK("http://www.ncbi.nlm.nih.gov/protein/229093139","Htra1")</f>
        <v>Htra1</v>
      </c>
      <c r="D3498" s="10">
        <f t="shared" si="54"/>
        <v>3.4615641582703351</v>
      </c>
      <c r="F3498" s="8" t="str">
        <f>HYPERLINK("https://esbl.nhlbi.nih.gov/Databases/mpkFractions/proteomic_fractions_log_files/Yang_log_img/229093139.jpg","show blot")</f>
        <v>show blot</v>
      </c>
      <c r="H3498" s="8" t="str">
        <f>HYPERLINK("https://esbl.nhlbi.nih.gov/Databases/mpkFractions/proteomic_fractions_linear_files/Yang_linear_img/229093139.jpg","show blot")</f>
        <v>show blot</v>
      </c>
      <c r="J3498" s="5" t="s">
        <v>6863</v>
      </c>
      <c r="L3498" s="11">
        <v>3.4615641582703351</v>
      </c>
      <c r="N3498" s="12"/>
    </row>
    <row r="3499" spans="1:14" s="5" customFormat="1" ht="15" customHeight="1" x14ac:dyDescent="0.25">
      <c r="A3499" s="9" t="s">
        <v>6864</v>
      </c>
      <c r="C3499" s="9" t="str">
        <f>HYPERLINK("http://www.ncbi.nlm.nih.gov/protein/254281222","Htra2")</f>
        <v>Htra2</v>
      </c>
      <c r="D3499" s="10">
        <f t="shared" si="54"/>
        <v>3.4617005426138872</v>
      </c>
      <c r="F3499" s="8" t="str">
        <f>HYPERLINK("https://esbl.nhlbi.nih.gov/Databases/mpkFractions/proteomic_fractions_log_files/Yang_log_img/254281222.jpg","show blot")</f>
        <v>show blot</v>
      </c>
      <c r="H3499" s="8" t="str">
        <f>HYPERLINK("https://esbl.nhlbi.nih.gov/Databases/mpkFractions/proteomic_fractions_linear_files/Yang_linear_img/254281222.jpg","show blot")</f>
        <v>show blot</v>
      </c>
      <c r="J3499" s="5" t="s">
        <v>6865</v>
      </c>
      <c r="L3499" s="11">
        <v>3.4617005426138872</v>
      </c>
      <c r="N3499" s="12"/>
    </row>
    <row r="3500" spans="1:14" s="5" customFormat="1" ht="15" customHeight="1" x14ac:dyDescent="0.25">
      <c r="A3500" s="9" t="s">
        <v>6866</v>
      </c>
      <c r="C3500" s="9" t="str">
        <f>HYPERLINK("http://www.ncbi.nlm.nih.gov/protein/45439304","Htt")</f>
        <v>Htt</v>
      </c>
      <c r="D3500" s="10">
        <f t="shared" si="54"/>
        <v>3.108789819500223</v>
      </c>
      <c r="F3500" s="8" t="str">
        <f>HYPERLINK("https://esbl.nhlbi.nih.gov/Databases/mpkFractions/proteomic_fractions_log_files/Yang_log_img/45439304.jpg","show blot")</f>
        <v>show blot</v>
      </c>
      <c r="H3500" s="8" t="str">
        <f>HYPERLINK("https://esbl.nhlbi.nih.gov/Databases/mpkFractions/proteomic_fractions_linear_files/Yang_linear_img/45439304.jpg","show blot")</f>
        <v>show blot</v>
      </c>
      <c r="J3500" s="5" t="s">
        <v>6867</v>
      </c>
      <c r="L3500" s="11">
        <v>3.108789819500223</v>
      </c>
      <c r="N3500" s="12"/>
    </row>
    <row r="3501" spans="1:14" s="5" customFormat="1" ht="15" customHeight="1" x14ac:dyDescent="0.25">
      <c r="A3501" s="9" t="s">
        <v>6868</v>
      </c>
      <c r="C3501" s="9" t="str">
        <f>HYPERLINK("http://www.ncbi.nlm.nih.gov/protein/6680331","Hus1")</f>
        <v>Hus1</v>
      </c>
      <c r="D3501" s="10">
        <f t="shared" si="54"/>
        <v>3.8947514176127962</v>
      </c>
      <c r="F3501" s="8" t="str">
        <f>HYPERLINK("https://esbl.nhlbi.nih.gov/Databases/mpkFractions/proteomic_fractions_log_files/Yang_log_img/6680331.jpg","show blot")</f>
        <v>show blot</v>
      </c>
      <c r="H3501" s="8" t="str">
        <f>HYPERLINK("https://esbl.nhlbi.nih.gov/Databases/mpkFractions/proteomic_fractions_linear_files/Yang_linear_img/6680331.jpg","show blot")</f>
        <v>show blot</v>
      </c>
      <c r="J3501" s="5" t="s">
        <v>6869</v>
      </c>
      <c r="L3501" s="11">
        <v>3.8947514176127962</v>
      </c>
      <c r="N3501" s="12"/>
    </row>
    <row r="3502" spans="1:14" s="5" customFormat="1" ht="15" customHeight="1" x14ac:dyDescent="0.25">
      <c r="A3502" s="9" t="s">
        <v>6870</v>
      </c>
      <c r="C3502" s="9" t="str">
        <f>HYPERLINK("http://www.ncbi.nlm.nih.gov/protein/146231996","Huwe1")</f>
        <v>Huwe1</v>
      </c>
      <c r="D3502" s="10">
        <f t="shared" si="54"/>
        <v>4.5150725157308704</v>
      </c>
      <c r="F3502" s="8" t="str">
        <f>HYPERLINK("https://esbl.nhlbi.nih.gov/Databases/mpkFractions/proteomic_fractions_log_files/Yang_log_img/146231996.jpg","show blot")</f>
        <v>show blot</v>
      </c>
      <c r="H3502" s="8" t="str">
        <f>HYPERLINK("https://esbl.nhlbi.nih.gov/Databases/mpkFractions/proteomic_fractions_linear_files/Yang_linear_img/146231996.jpg","show blot")</f>
        <v>show blot</v>
      </c>
      <c r="J3502" s="5" t="s">
        <v>6871</v>
      </c>
      <c r="L3502" s="11">
        <v>4.5150725157308704</v>
      </c>
      <c r="N3502" s="12"/>
    </row>
    <row r="3503" spans="1:14" s="5" customFormat="1" ht="15" customHeight="1" x14ac:dyDescent="0.25">
      <c r="A3503" s="9" t="s">
        <v>6872</v>
      </c>
      <c r="C3503" s="9" t="str">
        <f>HYPERLINK("http://www.ncbi.nlm.nih.gov/protein/116812879","Hyal4")</f>
        <v>Hyal4</v>
      </c>
      <c r="D3503" s="10">
        <f t="shared" si="54"/>
        <v>3.1927188955275638</v>
      </c>
      <c r="F3503" s="8" t="str">
        <f>HYPERLINK("https://esbl.nhlbi.nih.gov/Databases/mpkFractions/proteomic_fractions_log_files/Yang_log_img/116812879.jpg","show blot")</f>
        <v>show blot</v>
      </c>
      <c r="H3503" s="8" t="str">
        <f>HYPERLINK("https://esbl.nhlbi.nih.gov/Databases/mpkFractions/proteomic_fractions_linear_files/Yang_linear_img/116812879.jpg","show blot")</f>
        <v>show blot</v>
      </c>
      <c r="J3503" s="5" t="s">
        <v>6873</v>
      </c>
      <c r="L3503" s="11">
        <v>3.1927188955275638</v>
      </c>
      <c r="N3503" s="12"/>
    </row>
    <row r="3504" spans="1:14" s="5" customFormat="1" ht="15" customHeight="1" x14ac:dyDescent="0.25">
      <c r="A3504" s="9" t="s">
        <v>6874</v>
      </c>
      <c r="C3504" s="9" t="str">
        <f>HYPERLINK("http://www.ncbi.nlm.nih.gov/protein/46361984","Hydin")</f>
        <v>Hydin</v>
      </c>
      <c r="D3504" s="10">
        <f t="shared" si="54"/>
        <v>4.6915674834780807</v>
      </c>
      <c r="F3504" s="8" t="str">
        <f>HYPERLINK("https://esbl.nhlbi.nih.gov/Databases/mpkFractions/proteomic_fractions_log_files/Yang_log_img/46361984.jpg","show blot")</f>
        <v>show blot</v>
      </c>
      <c r="H3504" s="8" t="str">
        <f>HYPERLINK("https://esbl.nhlbi.nih.gov/Databases/mpkFractions/proteomic_fractions_linear_files/Yang_linear_img/46361984.jpg","show blot")</f>
        <v>show blot</v>
      </c>
      <c r="J3504" s="5" t="s">
        <v>6875</v>
      </c>
      <c r="L3504" s="11">
        <v>4.6915674834780807</v>
      </c>
      <c r="N3504" s="12"/>
    </row>
    <row r="3505" spans="1:14" s="5" customFormat="1" ht="15" customHeight="1" x14ac:dyDescent="0.25">
      <c r="A3505" s="9" t="s">
        <v>6876</v>
      </c>
      <c r="C3505" s="9" t="str">
        <f>HYPERLINK("http://www.ncbi.nlm.nih.gov/protein/157951706","Hyou1")</f>
        <v>Hyou1</v>
      </c>
      <c r="D3505" s="10">
        <f t="shared" si="54"/>
        <v>5.1728124842572809</v>
      </c>
      <c r="F3505" s="8" t="str">
        <f>HYPERLINK("https://esbl.nhlbi.nih.gov/Databases/mpkFractions/proteomic_fractions_log_files/Yang_log_img/157951706.jpg","show blot")</f>
        <v>show blot</v>
      </c>
      <c r="H3505" s="8" t="str">
        <f>HYPERLINK("https://esbl.nhlbi.nih.gov/Databases/mpkFractions/proteomic_fractions_linear_files/Yang_linear_img/157951706.jpg","show blot")</f>
        <v>show blot</v>
      </c>
      <c r="J3505" s="5" t="s">
        <v>6877</v>
      </c>
      <c r="L3505" s="11">
        <v>5.1728124842572809</v>
      </c>
      <c r="N3505" s="12"/>
    </row>
    <row r="3506" spans="1:14" s="5" customFormat="1" ht="15" customHeight="1" x14ac:dyDescent="0.25">
      <c r="A3506" s="9" t="s">
        <v>6878</v>
      </c>
      <c r="C3506" s="9" t="str">
        <f>HYPERLINK("http://www.ncbi.nlm.nih.gov/protein/27229055","Hypk")</f>
        <v>Hypk</v>
      </c>
      <c r="D3506" s="10">
        <f t="shared" si="54"/>
        <v>5.1072957746343226</v>
      </c>
      <c r="F3506" s="8" t="str">
        <f>HYPERLINK("https://esbl.nhlbi.nih.gov/Databases/mpkFractions/proteomic_fractions_log_files/Yang_log_img/27229055.jpg","show blot")</f>
        <v>show blot</v>
      </c>
      <c r="H3506" s="8" t="str">
        <f>HYPERLINK("https://esbl.nhlbi.nih.gov/Databases/mpkFractions/proteomic_fractions_linear_files/Yang_linear_img/27229055.jpg","show blot")</f>
        <v>show blot</v>
      </c>
      <c r="J3506" s="5" t="s">
        <v>6879</v>
      </c>
      <c r="L3506" s="11">
        <v>5.1072957746343226</v>
      </c>
      <c r="N3506" s="12"/>
    </row>
    <row r="3507" spans="1:14" s="5" customFormat="1" ht="15" customHeight="1" x14ac:dyDescent="0.25">
      <c r="A3507" s="9" t="s">
        <v>6880</v>
      </c>
      <c r="C3507" s="9" t="str">
        <f>HYPERLINK("http://www.ncbi.nlm.nih.gov/protein/146260276","I830012O16Rik")</f>
        <v>I830012O16Rik</v>
      </c>
      <c r="D3507" s="10">
        <f t="shared" si="54"/>
        <v>4.1981667473495667</v>
      </c>
      <c r="F3507" s="8" t="str">
        <f>HYPERLINK("https://esbl.nhlbi.nih.gov/Databases/mpkFractions/proteomic_fractions_log_files/Yang_log_img/146260276.jpg","show blot")</f>
        <v>show blot</v>
      </c>
      <c r="H3507" s="8" t="str">
        <f>HYPERLINK("https://esbl.nhlbi.nih.gov/Databases/mpkFractions/proteomic_fractions_linear_files/Yang_linear_img/146260276.jpg","show blot")</f>
        <v>show blot</v>
      </c>
      <c r="J3507" s="5" t="s">
        <v>6881</v>
      </c>
      <c r="L3507" s="11">
        <v>4.1981667473495667</v>
      </c>
      <c r="N3507" s="12"/>
    </row>
    <row r="3508" spans="1:14" s="5" customFormat="1" ht="15" customHeight="1" x14ac:dyDescent="0.25">
      <c r="A3508" s="9" t="s">
        <v>6882</v>
      </c>
      <c r="C3508" s="9" t="str">
        <f>HYPERLINK("http://www.ncbi.nlm.nih.gov/protein/27754071","Iah1")</f>
        <v>Iah1</v>
      </c>
      <c r="D3508" s="10">
        <f t="shared" si="54"/>
        <v>4.9280280606551603</v>
      </c>
      <c r="F3508" s="8" t="str">
        <f>HYPERLINK("https://esbl.nhlbi.nih.gov/Databases/mpkFractions/proteomic_fractions_log_files/Yang_log_img/27754071.jpg","show blot")</f>
        <v>show blot</v>
      </c>
      <c r="H3508" s="8" t="str">
        <f>HYPERLINK("https://esbl.nhlbi.nih.gov/Databases/mpkFractions/proteomic_fractions_linear_files/Yang_linear_img/27754071.jpg","show blot")</f>
        <v>show blot</v>
      </c>
      <c r="J3508" s="5" t="s">
        <v>6883</v>
      </c>
      <c r="L3508" s="11">
        <v>4.9280280606551603</v>
      </c>
      <c r="N3508" s="12"/>
    </row>
    <row r="3509" spans="1:14" s="5" customFormat="1" ht="15" customHeight="1" x14ac:dyDescent="0.25">
      <c r="A3509" s="9" t="s">
        <v>6884</v>
      </c>
      <c r="C3509" s="9" t="str">
        <f>HYPERLINK("http://www.ncbi.nlm.nih.gov/protein/254553372","Iars")</f>
        <v>Iars</v>
      </c>
      <c r="D3509" s="10">
        <f t="shared" si="54"/>
        <v>5.698360914493505</v>
      </c>
      <c r="F3509" s="8" t="str">
        <f>HYPERLINK("https://esbl.nhlbi.nih.gov/Databases/mpkFractions/proteomic_fractions_log_files/Yang_log_img/254553372.jpg","show blot")</f>
        <v>show blot</v>
      </c>
      <c r="H3509" s="8" t="str">
        <f>HYPERLINK("https://esbl.nhlbi.nih.gov/Databases/mpkFractions/proteomic_fractions_linear_files/Yang_linear_img/254553372.jpg","show blot")</f>
        <v>show blot</v>
      </c>
      <c r="J3509" s="5" t="s">
        <v>6885</v>
      </c>
      <c r="L3509" s="11">
        <v>5.698360914493505</v>
      </c>
      <c r="N3509" s="12"/>
    </row>
    <row r="3510" spans="1:14" s="5" customFormat="1" ht="15" customHeight="1" x14ac:dyDescent="0.25">
      <c r="A3510" s="9" t="s">
        <v>6886</v>
      </c>
      <c r="C3510" s="9" t="str">
        <f>HYPERLINK("http://www.ncbi.nlm.nih.gov/protein/38490690","Iars2")</f>
        <v>Iars2</v>
      </c>
      <c r="D3510" s="10">
        <f t="shared" si="54"/>
        <v>4.7012722809254592</v>
      </c>
      <c r="F3510" s="8" t="str">
        <f>HYPERLINK("https://esbl.nhlbi.nih.gov/Databases/mpkFractions/proteomic_fractions_log_files/Yang_log_img/38490690.jpg","show blot")</f>
        <v>show blot</v>
      </c>
      <c r="H3510" s="8" t="str">
        <f>HYPERLINK("https://esbl.nhlbi.nih.gov/Databases/mpkFractions/proteomic_fractions_linear_files/Yang_linear_img/38490690.jpg","show blot")</f>
        <v>show blot</v>
      </c>
      <c r="J3510" s="5" t="s">
        <v>6887</v>
      </c>
      <c r="L3510" s="11">
        <v>4.7012722809254592</v>
      </c>
      <c r="N3510" s="12"/>
    </row>
    <row r="3511" spans="1:14" s="5" customFormat="1" ht="15" customHeight="1" x14ac:dyDescent="0.25">
      <c r="A3511" s="9" t="s">
        <v>6888</v>
      </c>
      <c r="C3511" s="9" t="str">
        <f>HYPERLINK("http://www.ncbi.nlm.nih.gov/protein/124486857","Ibtk")</f>
        <v>Ibtk</v>
      </c>
      <c r="D3511" s="10">
        <f t="shared" si="54"/>
        <v>1.7825014819012319</v>
      </c>
      <c r="F3511" s="8" t="str">
        <f>HYPERLINK("https://esbl.nhlbi.nih.gov/Databases/mpkFractions/proteomic_fractions_log_files/Yang_log_img/124486857.jpg","show blot")</f>
        <v>show blot</v>
      </c>
      <c r="H3511" s="8" t="str">
        <f>HYPERLINK("https://esbl.nhlbi.nih.gov/Databases/mpkFractions/proteomic_fractions_linear_files/Yang_linear_img/124486857.jpg","show blot")</f>
        <v>show blot</v>
      </c>
      <c r="J3511" s="5" t="s">
        <v>6889</v>
      </c>
      <c r="L3511" s="11">
        <v>1.7825014819012319</v>
      </c>
      <c r="N3511" s="12"/>
    </row>
    <row r="3512" spans="1:14" s="5" customFormat="1" ht="15" customHeight="1" x14ac:dyDescent="0.25">
      <c r="A3512" s="9" t="s">
        <v>6890</v>
      </c>
      <c r="C3512" s="9" t="str">
        <f>HYPERLINK("http://www.ncbi.nlm.nih.gov/protein/255522770","Ick")</f>
        <v>Ick</v>
      </c>
      <c r="D3512" s="10">
        <f t="shared" si="54"/>
        <v>5.1160160726366666</v>
      </c>
      <c r="F3512" s="8" t="str">
        <f>HYPERLINK("https://esbl.nhlbi.nih.gov/Databases/mpkFractions/proteomic_fractions_log_files/Yang_log_img/255522770.jpg","show blot")</f>
        <v>show blot</v>
      </c>
      <c r="H3512" s="8" t="str">
        <f>HYPERLINK("https://esbl.nhlbi.nih.gov/Databases/mpkFractions/proteomic_fractions_linear_files/Yang_linear_img/255522770.jpg","show blot")</f>
        <v>show blot</v>
      </c>
      <c r="J3512" s="5" t="s">
        <v>6891</v>
      </c>
      <c r="L3512" s="11">
        <v>5.1160160726366666</v>
      </c>
      <c r="N3512" s="12"/>
    </row>
    <row r="3513" spans="1:14" s="5" customFormat="1" ht="15" customHeight="1" x14ac:dyDescent="0.25">
      <c r="A3513" s="9" t="s">
        <v>6892</v>
      </c>
      <c r="C3513" s="9" t="str">
        <f>HYPERLINK("http://www.ncbi.nlm.nih.gov/protein/7657220","Icosl")</f>
        <v>Icosl</v>
      </c>
      <c r="D3513" s="10">
        <f t="shared" si="54"/>
        <v>2.4425248858237651</v>
      </c>
      <c r="F3513" s="8" t="str">
        <f>HYPERLINK("https://esbl.nhlbi.nih.gov/Databases/mpkFractions/proteomic_fractions_log_files/Yang_log_img/7657220.jpg","show blot")</f>
        <v>show blot</v>
      </c>
      <c r="H3513" s="8" t="str">
        <f>HYPERLINK("https://esbl.nhlbi.nih.gov/Databases/mpkFractions/proteomic_fractions_linear_files/Yang_linear_img/7657220.jpg","show blot")</f>
        <v>show blot</v>
      </c>
      <c r="J3513" s="5" t="s">
        <v>6893</v>
      </c>
      <c r="L3513" s="11">
        <v>2.4425248858237651</v>
      </c>
      <c r="N3513" s="12"/>
    </row>
    <row r="3514" spans="1:14" s="5" customFormat="1" ht="15" customHeight="1" x14ac:dyDescent="0.25">
      <c r="A3514" s="9" t="s">
        <v>6894</v>
      </c>
      <c r="C3514" s="9" t="str">
        <f>HYPERLINK("http://www.ncbi.nlm.nih.gov/protein/19387848","Ict1")</f>
        <v>Ict1</v>
      </c>
      <c r="D3514" s="10">
        <f t="shared" si="54"/>
        <v>3.1380065623139619</v>
      </c>
      <c r="F3514" s="8" t="str">
        <f>HYPERLINK("https://esbl.nhlbi.nih.gov/Databases/mpkFractions/proteomic_fractions_log_files/Yang_log_img/19387848.jpg","show blot")</f>
        <v>show blot</v>
      </c>
      <c r="H3514" s="8" t="str">
        <f>HYPERLINK("https://esbl.nhlbi.nih.gov/Databases/mpkFractions/proteomic_fractions_linear_files/Yang_linear_img/19387848.jpg","show blot")</f>
        <v>show blot</v>
      </c>
      <c r="J3514" s="5" t="s">
        <v>6895</v>
      </c>
      <c r="L3514" s="11">
        <v>3.1380065623139619</v>
      </c>
      <c r="N3514" s="12"/>
    </row>
    <row r="3515" spans="1:14" s="5" customFormat="1" ht="15" customHeight="1" x14ac:dyDescent="0.25">
      <c r="A3515" s="9" t="s">
        <v>6896</v>
      </c>
      <c r="C3515" s="9" t="str">
        <f>HYPERLINK("http://www.ncbi.nlm.nih.gov/protein/459352741","Ide")</f>
        <v>Ide</v>
      </c>
      <c r="D3515" s="10">
        <f t="shared" si="54"/>
        <v>5.3435485391304001</v>
      </c>
      <c r="F3515" s="8" t="str">
        <f>HYPERLINK("https://esbl.nhlbi.nih.gov/Databases/mpkFractions/proteomic_fractions_log_files/Yang_log_img/459352741.jpg","show blot")</f>
        <v>show blot</v>
      </c>
      <c r="H3515" s="8" t="str">
        <f>HYPERLINK("https://esbl.nhlbi.nih.gov/Databases/mpkFractions/proteomic_fractions_linear_files/Yang_linear_img/459352741.jpg","show blot")</f>
        <v>show blot</v>
      </c>
      <c r="J3515" s="5" t="s">
        <v>6897</v>
      </c>
      <c r="L3515" s="11">
        <v>5.3435485391304001</v>
      </c>
      <c r="N3515" s="12"/>
    </row>
    <row r="3516" spans="1:14" s="5" customFormat="1" ht="15" customHeight="1" x14ac:dyDescent="0.25">
      <c r="A3516" s="9" t="s">
        <v>6898</v>
      </c>
      <c r="C3516" s="9" t="str">
        <f>HYPERLINK("http://www.ncbi.nlm.nih.gov/protein/121583922","Ide")</f>
        <v>Ide</v>
      </c>
      <c r="D3516" s="10">
        <f t="shared" si="54"/>
        <v>5.3435485391304001</v>
      </c>
      <c r="F3516" s="8" t="str">
        <f>HYPERLINK("https://esbl.nhlbi.nih.gov/Databases/mpkFractions/proteomic_fractions_log_files/Yang_log_img/121583922.jpg","show blot")</f>
        <v>show blot</v>
      </c>
      <c r="H3516" s="8" t="str">
        <f>HYPERLINK("https://esbl.nhlbi.nih.gov/Databases/mpkFractions/proteomic_fractions_linear_files/Yang_linear_img/121583922.jpg","show blot")</f>
        <v>show blot</v>
      </c>
      <c r="J3516" s="5" t="s">
        <v>6897</v>
      </c>
      <c r="L3516" s="11">
        <v>5.3435485391304001</v>
      </c>
      <c r="N3516" s="12"/>
    </row>
    <row r="3517" spans="1:14" s="5" customFormat="1" ht="15" customHeight="1" x14ac:dyDescent="0.25">
      <c r="A3517" s="9" t="s">
        <v>6899</v>
      </c>
      <c r="C3517" s="9" t="str">
        <f>HYPERLINK("http://www.ncbi.nlm.nih.gov/protein/162417975","Idh1")</f>
        <v>Idh1</v>
      </c>
      <c r="D3517" s="10">
        <f t="shared" si="54"/>
        <v>6.5063170923935898</v>
      </c>
      <c r="F3517" s="8" t="str">
        <f>HYPERLINK("https://esbl.nhlbi.nih.gov/Databases/mpkFractions/proteomic_fractions_log_files/Yang_log_img/162417975.jpg","show blot")</f>
        <v>show blot</v>
      </c>
      <c r="H3517" s="8" t="str">
        <f>HYPERLINK("https://esbl.nhlbi.nih.gov/Databases/mpkFractions/proteomic_fractions_linear_files/Yang_linear_img/162417975.jpg","show blot")</f>
        <v>show blot</v>
      </c>
      <c r="J3517" s="5" t="s">
        <v>6900</v>
      </c>
      <c r="L3517" s="11">
        <v>6.5063170923935898</v>
      </c>
      <c r="N3517" s="12"/>
    </row>
    <row r="3518" spans="1:14" s="5" customFormat="1" ht="15" customHeight="1" x14ac:dyDescent="0.25">
      <c r="A3518" s="9" t="s">
        <v>6901</v>
      </c>
      <c r="C3518" s="9" t="str">
        <f>HYPERLINK("http://www.ncbi.nlm.nih.gov/protein/225579033","Idh2")</f>
        <v>Idh2</v>
      </c>
      <c r="D3518" s="10">
        <f t="shared" si="54"/>
        <v>6.6399171904222083</v>
      </c>
      <c r="F3518" s="8" t="str">
        <f>HYPERLINK("https://esbl.nhlbi.nih.gov/Databases/mpkFractions/proteomic_fractions_log_files/Yang_log_img/225579033.jpg","show blot")</f>
        <v>show blot</v>
      </c>
      <c r="H3518" s="8" t="str">
        <f>HYPERLINK("https://esbl.nhlbi.nih.gov/Databases/mpkFractions/proteomic_fractions_linear_files/Yang_linear_img/225579033.jpg","show blot")</f>
        <v>show blot</v>
      </c>
      <c r="J3518" s="5" t="s">
        <v>6902</v>
      </c>
      <c r="L3518" s="11">
        <v>6.6399171904222083</v>
      </c>
      <c r="N3518" s="12"/>
    </row>
    <row r="3519" spans="1:14" s="5" customFormat="1" ht="15" customHeight="1" x14ac:dyDescent="0.25">
      <c r="A3519" s="9" t="s">
        <v>6903</v>
      </c>
      <c r="C3519" s="9" t="str">
        <f>HYPERLINK("http://www.ncbi.nlm.nih.gov/protein/18250284","Idh3a")</f>
        <v>Idh3a</v>
      </c>
      <c r="D3519" s="10">
        <f t="shared" si="54"/>
        <v>6.0460909130702571</v>
      </c>
      <c r="F3519" s="8" t="str">
        <f>HYPERLINK("https://esbl.nhlbi.nih.gov/Databases/mpkFractions/proteomic_fractions_log_files/Yang_log_img/18250284.jpg","show blot")</f>
        <v>show blot</v>
      </c>
      <c r="H3519" s="8" t="str">
        <f>HYPERLINK("https://esbl.nhlbi.nih.gov/Databases/mpkFractions/proteomic_fractions_linear_files/Yang_linear_img/18250284.jpg","show blot")</f>
        <v>show blot</v>
      </c>
      <c r="J3519" s="5" t="s">
        <v>6904</v>
      </c>
      <c r="L3519" s="11">
        <v>6.0460909130702571</v>
      </c>
      <c r="N3519" s="12"/>
    </row>
    <row r="3520" spans="1:14" s="5" customFormat="1" ht="15" customHeight="1" x14ac:dyDescent="0.25">
      <c r="A3520" s="9" t="s">
        <v>6905</v>
      </c>
      <c r="C3520" s="9" t="str">
        <f>HYPERLINK("http://www.ncbi.nlm.nih.gov/protein/18700024","Idh3b")</f>
        <v>Idh3b</v>
      </c>
      <c r="D3520" s="10">
        <f t="shared" si="54"/>
        <v>5.1102625081947144</v>
      </c>
      <c r="F3520" s="8" t="str">
        <f>HYPERLINK("https://esbl.nhlbi.nih.gov/Databases/mpkFractions/proteomic_fractions_log_files/Yang_log_img/18700024.jpg","show blot")</f>
        <v>show blot</v>
      </c>
      <c r="H3520" s="8" t="str">
        <f>HYPERLINK("https://esbl.nhlbi.nih.gov/Databases/mpkFractions/proteomic_fractions_linear_files/Yang_linear_img/18700024.jpg","show blot")</f>
        <v>show blot</v>
      </c>
      <c r="J3520" s="5" t="s">
        <v>6906</v>
      </c>
      <c r="L3520" s="11">
        <v>5.1102625081947144</v>
      </c>
      <c r="N3520" s="12"/>
    </row>
    <row r="3521" spans="1:14" s="5" customFormat="1" ht="15" customHeight="1" x14ac:dyDescent="0.25">
      <c r="A3521" s="9" t="s">
        <v>6907</v>
      </c>
      <c r="C3521" s="9" t="str">
        <f>HYPERLINK("http://www.ncbi.nlm.nih.gov/protein/6680345","Idh3g")</f>
        <v>Idh3g</v>
      </c>
      <c r="D3521" s="10">
        <f t="shared" si="54"/>
        <v>3.964400095046845</v>
      </c>
      <c r="F3521" s="8" t="str">
        <f>HYPERLINK("https://esbl.nhlbi.nih.gov/Databases/mpkFractions/proteomic_fractions_log_files/Yang_log_img/6680345.jpg","show blot")</f>
        <v>show blot</v>
      </c>
      <c r="H3521" s="8" t="str">
        <f>HYPERLINK("https://esbl.nhlbi.nih.gov/Databases/mpkFractions/proteomic_fractions_linear_files/Yang_linear_img/6680345.jpg","show blot")</f>
        <v>show blot</v>
      </c>
      <c r="J3521" s="5" t="s">
        <v>6908</v>
      </c>
      <c r="L3521" s="11">
        <v>3.964400095046845</v>
      </c>
      <c r="N3521" s="12"/>
    </row>
    <row r="3522" spans="1:14" s="5" customFormat="1" ht="15" customHeight="1" x14ac:dyDescent="0.25">
      <c r="A3522" s="9" t="s">
        <v>6909</v>
      </c>
      <c r="C3522" s="9" t="str">
        <f>HYPERLINK("http://www.ncbi.nlm.nih.gov/protein/281604088","Idi1")</f>
        <v>Idi1</v>
      </c>
      <c r="D3522" s="10">
        <f t="shared" si="54"/>
        <v>5.6876639355137613</v>
      </c>
      <c r="F3522" s="8" t="str">
        <f>HYPERLINK("https://esbl.nhlbi.nih.gov/Databases/mpkFractions/proteomic_fractions_log_files/Yang_log_img/281604088.jpg","show blot")</f>
        <v>show blot</v>
      </c>
      <c r="H3522" s="8" t="str">
        <f>HYPERLINK("https://esbl.nhlbi.nih.gov/Databases/mpkFractions/proteomic_fractions_linear_files/Yang_linear_img/281604088.jpg","show blot")</f>
        <v>show blot</v>
      </c>
      <c r="J3522" s="5" t="s">
        <v>6910</v>
      </c>
      <c r="L3522" s="11">
        <v>5.6876639355137613</v>
      </c>
      <c r="N3522" s="12"/>
    </row>
    <row r="3523" spans="1:14" s="5" customFormat="1" ht="15" customHeight="1" x14ac:dyDescent="0.25">
      <c r="A3523" s="9" t="s">
        <v>6911</v>
      </c>
      <c r="C3523" s="9" t="str">
        <f>HYPERLINK("http://www.ncbi.nlm.nih.gov/protein/347582671","Ido2")</f>
        <v>Ido2</v>
      </c>
      <c r="D3523" s="10">
        <f t="shared" si="54"/>
        <v>4.0915771687063973</v>
      </c>
      <c r="F3523" s="8" t="str">
        <f>HYPERLINK("https://esbl.nhlbi.nih.gov/Databases/mpkFractions/proteomic_fractions_log_files/Yang_log_img/347582671.jpg","show blot")</f>
        <v>show blot</v>
      </c>
      <c r="H3523" s="8" t="str">
        <f>HYPERLINK("https://esbl.nhlbi.nih.gov/Databases/mpkFractions/proteomic_fractions_linear_files/Yang_linear_img/347582671.jpg","show blot")</f>
        <v>show blot</v>
      </c>
      <c r="J3523" s="5" t="s">
        <v>6912</v>
      </c>
      <c r="L3523" s="11">
        <v>4.0915771687063973</v>
      </c>
      <c r="N3523" s="12"/>
    </row>
    <row r="3524" spans="1:14" s="5" customFormat="1" ht="15" customHeight="1" x14ac:dyDescent="0.25">
      <c r="A3524" s="9" t="s">
        <v>6913</v>
      </c>
      <c r="C3524" s="9" t="str">
        <f>HYPERLINK("http://www.ncbi.nlm.nih.gov/protein/13384796","Ier3ip1")</f>
        <v>Ier3ip1</v>
      </c>
      <c r="D3524" s="10">
        <f t="shared" si="54"/>
        <v>4.4945478572691213</v>
      </c>
      <c r="F3524" s="8" t="str">
        <f>HYPERLINK("https://esbl.nhlbi.nih.gov/Databases/mpkFractions/proteomic_fractions_log_files/Yang_log_img/13384796.jpg","show blot")</f>
        <v>show blot</v>
      </c>
      <c r="H3524" s="8" t="str">
        <f>HYPERLINK("https://esbl.nhlbi.nih.gov/Databases/mpkFractions/proteomic_fractions_linear_files/Yang_linear_img/13384796.jpg","show blot")</f>
        <v>show blot</v>
      </c>
      <c r="J3524" s="5" t="s">
        <v>6914</v>
      </c>
      <c r="L3524" s="11">
        <v>4.4945478572691213</v>
      </c>
      <c r="N3524" s="12"/>
    </row>
    <row r="3525" spans="1:14" s="5" customFormat="1" ht="15" customHeight="1" x14ac:dyDescent="0.25">
      <c r="A3525" s="9" t="s">
        <v>6915</v>
      </c>
      <c r="C3525" s="9" t="str">
        <f>HYPERLINK("http://www.ncbi.nlm.nih.gov/protein/118130979","Ifi204")</f>
        <v>Ifi204</v>
      </c>
      <c r="D3525" s="10">
        <f t="shared" ref="D3525:D3588" si="55">L3525</f>
        <v>5.6171289577604586</v>
      </c>
      <c r="F3525" s="8" t="str">
        <f>HYPERLINK("https://esbl.nhlbi.nih.gov/Databases/mpkFractions/proteomic_fractions_log_files/Yang_log_img/118130979.jpg","show blot")</f>
        <v>show blot</v>
      </c>
      <c r="H3525" s="8" t="str">
        <f>HYPERLINK("https://esbl.nhlbi.nih.gov/Databases/mpkFractions/proteomic_fractions_linear_files/Yang_linear_img/118130979.jpg","show blot")</f>
        <v>show blot</v>
      </c>
      <c r="J3525" s="5" t="s">
        <v>6916</v>
      </c>
      <c r="L3525" s="11">
        <v>5.6171289577604586</v>
      </c>
      <c r="N3525" s="12"/>
    </row>
    <row r="3526" spans="1:14" s="5" customFormat="1" ht="15" customHeight="1" x14ac:dyDescent="0.25">
      <c r="A3526" s="9" t="s">
        <v>6917</v>
      </c>
      <c r="C3526" s="9" t="str">
        <f>HYPERLINK("http://www.ncbi.nlm.nih.gov/protein/125628657","Ifi30")</f>
        <v>Ifi30</v>
      </c>
      <c r="D3526" s="10">
        <f t="shared" si="55"/>
        <v>6.1683135643890168</v>
      </c>
      <c r="F3526" s="8" t="str">
        <f>HYPERLINK("https://esbl.nhlbi.nih.gov/Databases/mpkFractions/proteomic_fractions_log_files/Yang_log_img/125628657.jpg","show blot")</f>
        <v>show blot</v>
      </c>
      <c r="H3526" s="8" t="str">
        <f>HYPERLINK("https://esbl.nhlbi.nih.gov/Databases/mpkFractions/proteomic_fractions_linear_files/Yang_linear_img/125628657.jpg","show blot")</f>
        <v>show blot</v>
      </c>
      <c r="J3526" s="5" t="s">
        <v>6918</v>
      </c>
      <c r="L3526" s="11">
        <v>6.1683135643890168</v>
      </c>
      <c r="N3526" s="12"/>
    </row>
    <row r="3527" spans="1:14" s="5" customFormat="1" ht="15" customHeight="1" x14ac:dyDescent="0.25">
      <c r="A3527" s="9" t="s">
        <v>6919</v>
      </c>
      <c r="C3527" s="9" t="str">
        <f>HYPERLINK("http://www.ncbi.nlm.nih.gov/protein/21312544","Ifi35")</f>
        <v>Ifi35</v>
      </c>
      <c r="D3527" s="10">
        <f t="shared" si="55"/>
        <v>4.5090639458748996</v>
      </c>
      <c r="F3527" s="8" t="str">
        <f>HYPERLINK("https://esbl.nhlbi.nih.gov/Databases/mpkFractions/proteomic_fractions_log_files/Yang_log_img/21312544.jpg","show blot")</f>
        <v>show blot</v>
      </c>
      <c r="H3527" s="8" t="str">
        <f>HYPERLINK("https://esbl.nhlbi.nih.gov/Databases/mpkFractions/proteomic_fractions_linear_files/Yang_linear_img/21312544.jpg","show blot")</f>
        <v>show blot</v>
      </c>
      <c r="J3527" s="5" t="s">
        <v>6920</v>
      </c>
      <c r="L3527" s="11">
        <v>4.5090639458748996</v>
      </c>
      <c r="N3527" s="12"/>
    </row>
    <row r="3528" spans="1:14" s="5" customFormat="1" ht="15" customHeight="1" x14ac:dyDescent="0.25">
      <c r="A3528" s="9" t="s">
        <v>6921</v>
      </c>
      <c r="C3528" s="9" t="str">
        <f>HYPERLINK("http://www.ncbi.nlm.nih.gov/protein/410991922","Ifi47")</f>
        <v>Ifi47</v>
      </c>
      <c r="D3528" s="10">
        <f t="shared" si="55"/>
        <v>4.0488326094341733</v>
      </c>
      <c r="F3528" s="8" t="str">
        <f>HYPERLINK("https://esbl.nhlbi.nih.gov/Databases/mpkFractions/proteomic_fractions_log_files/Yang_log_img/410991922.jpg","show blot")</f>
        <v>show blot</v>
      </c>
      <c r="H3528" s="8" t="str">
        <f>HYPERLINK("https://esbl.nhlbi.nih.gov/Databases/mpkFractions/proteomic_fractions_linear_files/Yang_linear_img/410991922.jpg","show blot")</f>
        <v>show blot</v>
      </c>
      <c r="J3528" s="5" t="s">
        <v>6922</v>
      </c>
      <c r="L3528" s="11">
        <v>4.0488326094341733</v>
      </c>
      <c r="N3528" s="12"/>
    </row>
    <row r="3529" spans="1:14" s="5" customFormat="1" ht="15" customHeight="1" x14ac:dyDescent="0.25">
      <c r="A3529" s="9" t="s">
        <v>6923</v>
      </c>
      <c r="C3529" s="9" t="str">
        <f>HYPERLINK("http://www.ncbi.nlm.nih.gov/protein/257096036","Ifih1")</f>
        <v>Ifih1</v>
      </c>
      <c r="D3529" s="10">
        <f t="shared" si="55"/>
        <v>3.6019551094281801</v>
      </c>
      <c r="F3529" s="8" t="str">
        <f>HYPERLINK("https://esbl.nhlbi.nih.gov/Databases/mpkFractions/proteomic_fractions_log_files/Yang_log_img/257096036.jpg","show blot")</f>
        <v>show blot</v>
      </c>
      <c r="H3529" s="8" t="str">
        <f>HYPERLINK("https://esbl.nhlbi.nih.gov/Databases/mpkFractions/proteomic_fractions_linear_files/Yang_linear_img/257096036.jpg","show blot")</f>
        <v>show blot</v>
      </c>
      <c r="J3529" s="5" t="s">
        <v>6924</v>
      </c>
      <c r="L3529" s="11">
        <v>3.6019551094281801</v>
      </c>
      <c r="N3529" s="12"/>
    </row>
    <row r="3530" spans="1:14" s="5" customFormat="1" ht="15" customHeight="1" x14ac:dyDescent="0.25">
      <c r="A3530" s="9" t="s">
        <v>6925</v>
      </c>
      <c r="C3530" s="9" t="str">
        <f>HYPERLINK("http://www.ncbi.nlm.nih.gov/protein/257096038","Ifih1")</f>
        <v>Ifih1</v>
      </c>
      <c r="D3530" s="10">
        <f t="shared" si="55"/>
        <v>3.6019551094281801</v>
      </c>
      <c r="F3530" s="8" t="str">
        <f>HYPERLINK("https://esbl.nhlbi.nih.gov/Databases/mpkFractions/proteomic_fractions_log_files/Yang_log_img/257096038.jpg","show blot")</f>
        <v>show blot</v>
      </c>
      <c r="H3530" s="8" t="str">
        <f>HYPERLINK("https://esbl.nhlbi.nih.gov/Databases/mpkFractions/proteomic_fractions_linear_files/Yang_linear_img/257096038.jpg","show blot")</f>
        <v>show blot</v>
      </c>
      <c r="J3530" s="5" t="s">
        <v>6926</v>
      </c>
      <c r="L3530" s="11">
        <v>3.6019551094281801</v>
      </c>
      <c r="N3530" s="12"/>
    </row>
    <row r="3531" spans="1:14" s="5" customFormat="1" ht="15" customHeight="1" x14ac:dyDescent="0.25">
      <c r="A3531" s="9" t="s">
        <v>6927</v>
      </c>
      <c r="C3531" s="9" t="str">
        <f>HYPERLINK("http://www.ncbi.nlm.nih.gov/protein/110626104","Ifit1")</f>
        <v>Ifit1</v>
      </c>
      <c r="D3531" s="10">
        <f t="shared" si="55"/>
        <v>4.8919746969680942</v>
      </c>
      <c r="F3531" s="8" t="str">
        <f>HYPERLINK("https://esbl.nhlbi.nih.gov/Databases/mpkFractions/proteomic_fractions_log_files/Yang_log_img/110626104.jpg","show blot")</f>
        <v>show blot</v>
      </c>
      <c r="H3531" s="8" t="str">
        <f>HYPERLINK("https://esbl.nhlbi.nih.gov/Databases/mpkFractions/proteomic_fractions_linear_files/Yang_linear_img/110626104.jpg","show blot")</f>
        <v>show blot</v>
      </c>
      <c r="J3531" s="5" t="s">
        <v>6928</v>
      </c>
      <c r="L3531" s="11">
        <v>4.8919746969680942</v>
      </c>
      <c r="N3531" s="12"/>
    </row>
    <row r="3532" spans="1:14" s="5" customFormat="1" ht="15" customHeight="1" x14ac:dyDescent="0.25">
      <c r="A3532" s="9" t="s">
        <v>6929</v>
      </c>
      <c r="C3532" s="9" t="str">
        <f>HYPERLINK("http://www.ncbi.nlm.nih.gov/protein/6680363","Ifit2")</f>
        <v>Ifit2</v>
      </c>
      <c r="D3532" s="10">
        <f t="shared" si="55"/>
        <v>3.4880994787127562</v>
      </c>
      <c r="F3532" s="8" t="str">
        <f>HYPERLINK("https://esbl.nhlbi.nih.gov/Databases/mpkFractions/proteomic_fractions_log_files/Yang_log_img/6680363.jpg","show blot")</f>
        <v>show blot</v>
      </c>
      <c r="H3532" s="8" t="str">
        <f>HYPERLINK("https://esbl.nhlbi.nih.gov/Databases/mpkFractions/proteomic_fractions_linear_files/Yang_linear_img/6680363.jpg","show blot")</f>
        <v>show blot</v>
      </c>
      <c r="J3532" s="5" t="s">
        <v>6930</v>
      </c>
      <c r="L3532" s="11">
        <v>3.4880994787127562</v>
      </c>
      <c r="N3532" s="12"/>
    </row>
    <row r="3533" spans="1:14" s="5" customFormat="1" ht="15" customHeight="1" x14ac:dyDescent="0.25">
      <c r="A3533" s="9" t="s">
        <v>6931</v>
      </c>
      <c r="C3533" s="9" t="str">
        <f>HYPERLINK("http://www.ncbi.nlm.nih.gov/protein/6754288","Ifit3")</f>
        <v>Ifit3</v>
      </c>
      <c r="D3533" s="10">
        <f t="shared" si="55"/>
        <v>4.1981667473495667</v>
      </c>
      <c r="F3533" s="8" t="str">
        <f>HYPERLINK("https://esbl.nhlbi.nih.gov/Databases/mpkFractions/proteomic_fractions_log_files/Yang_log_img/6754288.jpg","show blot")</f>
        <v>show blot</v>
      </c>
      <c r="H3533" s="8" t="str">
        <f>HYPERLINK("https://esbl.nhlbi.nih.gov/Databases/mpkFractions/proteomic_fractions_linear_files/Yang_linear_img/6754288.jpg","show blot")</f>
        <v>show blot</v>
      </c>
      <c r="J3533" s="5" t="s">
        <v>6932</v>
      </c>
      <c r="L3533" s="11">
        <v>4.1981667473495667</v>
      </c>
      <c r="N3533" s="12"/>
    </row>
    <row r="3534" spans="1:14" s="5" customFormat="1" ht="15" customHeight="1" x14ac:dyDescent="0.25">
      <c r="A3534" s="9" t="s">
        <v>6933</v>
      </c>
      <c r="C3534" s="9" t="str">
        <f>HYPERLINK("http://www.ncbi.nlm.nih.gov/protein/13507626","Ifitm2")</f>
        <v>Ifitm2</v>
      </c>
      <c r="D3534" s="10">
        <f t="shared" si="55"/>
        <v>4.7880961391291894</v>
      </c>
      <c r="F3534" s="8" t="str">
        <f>HYPERLINK("https://esbl.nhlbi.nih.gov/Databases/mpkFractions/proteomic_fractions_log_files/Yang_log_img/13507626.jpg","show blot")</f>
        <v>show blot</v>
      </c>
      <c r="H3534" s="8" t="str">
        <f>HYPERLINK("https://esbl.nhlbi.nih.gov/Databases/mpkFractions/proteomic_fractions_linear_files/Yang_linear_img/13507626.jpg","show blot")</f>
        <v>show blot</v>
      </c>
      <c r="J3534" s="5" t="s">
        <v>6934</v>
      </c>
      <c r="L3534" s="11">
        <v>4.7880961391291894</v>
      </c>
      <c r="N3534" s="12"/>
    </row>
    <row r="3535" spans="1:14" s="5" customFormat="1" ht="15" customHeight="1" x14ac:dyDescent="0.25">
      <c r="A3535" s="9" t="s">
        <v>6935</v>
      </c>
      <c r="C3535" s="9" t="str">
        <f>HYPERLINK("http://www.ncbi.nlm.nih.gov/protein/21539593","Ifitm3")</f>
        <v>Ifitm3</v>
      </c>
      <c r="D3535" s="10">
        <f t="shared" si="55"/>
        <v>4.8725032802378827</v>
      </c>
      <c r="F3535" s="8" t="str">
        <f>HYPERLINK("https://esbl.nhlbi.nih.gov/Databases/mpkFractions/proteomic_fractions_log_files/Yang_log_img/21539593.jpg","show blot")</f>
        <v>show blot</v>
      </c>
      <c r="H3535" s="8" t="str">
        <f>HYPERLINK("https://esbl.nhlbi.nih.gov/Databases/mpkFractions/proteomic_fractions_linear_files/Yang_linear_img/21539593.jpg","show blot")</f>
        <v>show blot</v>
      </c>
      <c r="J3535" s="5" t="s">
        <v>6936</v>
      </c>
      <c r="L3535" s="11">
        <v>4.8725032802378827</v>
      </c>
      <c r="N3535" s="12"/>
    </row>
    <row r="3536" spans="1:14" s="5" customFormat="1" ht="15" customHeight="1" x14ac:dyDescent="0.25">
      <c r="A3536" s="9" t="s">
        <v>6937</v>
      </c>
      <c r="C3536" s="9" t="str">
        <f>HYPERLINK("http://www.ncbi.nlm.nih.gov/protein/226062273","Ifrd1")</f>
        <v>Ifrd1</v>
      </c>
      <c r="D3536" s="10">
        <f t="shared" si="55"/>
        <v>4.4178110009074194</v>
      </c>
      <c r="F3536" s="8" t="str">
        <f>HYPERLINK("https://esbl.nhlbi.nih.gov/Databases/mpkFractions/proteomic_fractions_log_files/Yang_log_img/226062273.jpg","show blot")</f>
        <v>show blot</v>
      </c>
      <c r="H3536" s="8" t="str">
        <f>HYPERLINK("https://esbl.nhlbi.nih.gov/Databases/mpkFractions/proteomic_fractions_linear_files/Yang_linear_img/226062273.jpg","show blot")</f>
        <v>show blot</v>
      </c>
      <c r="J3536" s="5" t="s">
        <v>6938</v>
      </c>
      <c r="L3536" s="11">
        <v>4.4178110009074194</v>
      </c>
      <c r="N3536" s="12"/>
    </row>
    <row r="3537" spans="1:14" s="5" customFormat="1" ht="15" customHeight="1" x14ac:dyDescent="0.25">
      <c r="A3537" s="9" t="s">
        <v>6939</v>
      </c>
      <c r="C3537" s="9" t="str">
        <f>HYPERLINK("http://www.ncbi.nlm.nih.gov/protein/268370099","Ift122")</f>
        <v>Ift122</v>
      </c>
      <c r="D3537" s="10">
        <f t="shared" si="55"/>
        <v>1.746172735770875</v>
      </c>
      <c r="F3537" s="8" t="str">
        <f>HYPERLINK("https://esbl.nhlbi.nih.gov/Databases/mpkFractions/proteomic_fractions_log_files/Yang_log_img/268370099.jpg","show blot")</f>
        <v>show blot</v>
      </c>
      <c r="H3537" s="8" t="str">
        <f>HYPERLINK("https://esbl.nhlbi.nih.gov/Databases/mpkFractions/proteomic_fractions_linear_files/Yang_linear_img/268370099.jpg","show blot")</f>
        <v>show blot</v>
      </c>
      <c r="J3537" s="5" t="s">
        <v>6940</v>
      </c>
      <c r="L3537" s="11">
        <v>1.746172735770875</v>
      </c>
      <c r="N3537" s="12"/>
    </row>
    <row r="3538" spans="1:14" s="5" customFormat="1" ht="15" customHeight="1" x14ac:dyDescent="0.25">
      <c r="A3538" s="9" t="s">
        <v>6941</v>
      </c>
      <c r="C3538" s="9" t="str">
        <f>HYPERLINK("http://www.ncbi.nlm.nih.gov/protein/268370101","Ift122")</f>
        <v>Ift122</v>
      </c>
      <c r="D3538" s="10">
        <f t="shared" si="55"/>
        <v>1.746172735770875</v>
      </c>
      <c r="F3538" s="8" t="str">
        <f>HYPERLINK("https://esbl.nhlbi.nih.gov/Databases/mpkFractions/proteomic_fractions_log_files/Yang_log_img/268370101.jpg","show blot")</f>
        <v>show blot</v>
      </c>
      <c r="H3538" s="8" t="str">
        <f>HYPERLINK("https://esbl.nhlbi.nih.gov/Databases/mpkFractions/proteomic_fractions_linear_files/Yang_linear_img/268370101.jpg","show blot")</f>
        <v>show blot</v>
      </c>
      <c r="J3538" s="5" t="s">
        <v>6942</v>
      </c>
      <c r="L3538" s="11">
        <v>1.746172735770875</v>
      </c>
      <c r="N3538" s="12"/>
    </row>
    <row r="3539" spans="1:14" s="5" customFormat="1" ht="15" customHeight="1" x14ac:dyDescent="0.25">
      <c r="A3539" s="9" t="s">
        <v>6943</v>
      </c>
      <c r="C3539" s="9" t="str">
        <f>HYPERLINK("http://www.ncbi.nlm.nih.gov/protein/184186088","Ift140")</f>
        <v>Ift140</v>
      </c>
      <c r="D3539" s="10">
        <f t="shared" si="55"/>
        <v>1.2584584075537879</v>
      </c>
      <c r="F3539" s="8" t="str">
        <f>HYPERLINK("https://esbl.nhlbi.nih.gov/Databases/mpkFractions/proteomic_fractions_log_files/Yang_log_img/184186088.jpg","show blot")</f>
        <v>show blot</v>
      </c>
      <c r="H3539" s="8" t="str">
        <f>HYPERLINK("https://esbl.nhlbi.nih.gov/Databases/mpkFractions/proteomic_fractions_linear_files/Yang_linear_img/184186088.jpg","show blot")</f>
        <v>show blot</v>
      </c>
      <c r="J3539" s="5" t="s">
        <v>6944</v>
      </c>
      <c r="L3539" s="11">
        <v>1.2584584075537879</v>
      </c>
      <c r="N3539" s="12"/>
    </row>
    <row r="3540" spans="1:14" s="5" customFormat="1" ht="15" customHeight="1" x14ac:dyDescent="0.25">
      <c r="A3540" s="9" t="s">
        <v>6945</v>
      </c>
      <c r="C3540" s="9" t="str">
        <f>HYPERLINK("http://www.ncbi.nlm.nih.gov/protein/281182704","Ift172")</f>
        <v>Ift172</v>
      </c>
      <c r="D3540" s="10">
        <f t="shared" si="55"/>
        <v>1.138342778871575</v>
      </c>
      <c r="F3540" s="8" t="str">
        <f>HYPERLINK("https://esbl.nhlbi.nih.gov/Databases/mpkFractions/proteomic_fractions_log_files/Yang_log_img/281182704.jpg","show blot")</f>
        <v>show blot</v>
      </c>
      <c r="H3540" s="8" t="str">
        <f>HYPERLINK("https://esbl.nhlbi.nih.gov/Databases/mpkFractions/proteomic_fractions_linear_files/Yang_linear_img/281182704.jpg","show blot")</f>
        <v>show blot</v>
      </c>
      <c r="J3540" s="5" t="s">
        <v>6946</v>
      </c>
      <c r="L3540" s="11">
        <v>1.138342778871575</v>
      </c>
      <c r="N3540" s="12"/>
    </row>
    <row r="3541" spans="1:14" s="5" customFormat="1" ht="15" customHeight="1" x14ac:dyDescent="0.25">
      <c r="A3541" s="9" t="s">
        <v>6947</v>
      </c>
      <c r="C3541" s="9" t="str">
        <f>HYPERLINK("http://www.ncbi.nlm.nih.gov/protein/9506865","Ift20")</f>
        <v>Ift20</v>
      </c>
      <c r="D3541" s="10">
        <f t="shared" si="55"/>
        <v>3.4495709826443131</v>
      </c>
      <c r="F3541" s="8" t="str">
        <f>HYPERLINK("https://esbl.nhlbi.nih.gov/Databases/mpkFractions/proteomic_fractions_log_files/Yang_log_img/9506865.jpg","show blot")</f>
        <v>show blot</v>
      </c>
      <c r="H3541" s="8" t="str">
        <f>HYPERLINK("https://esbl.nhlbi.nih.gov/Databases/mpkFractions/proteomic_fractions_linear_files/Yang_linear_img/9506865.jpg","show blot")</f>
        <v>show blot</v>
      </c>
      <c r="J3541" s="5" t="s">
        <v>6948</v>
      </c>
      <c r="L3541" s="11">
        <v>3.4495709826443131</v>
      </c>
      <c r="N3541" s="12"/>
    </row>
    <row r="3542" spans="1:14" s="5" customFormat="1" ht="15" customHeight="1" x14ac:dyDescent="0.25">
      <c r="A3542" s="9" t="s">
        <v>6949</v>
      </c>
      <c r="C3542" s="9" t="str">
        <f>HYPERLINK("http://www.ncbi.nlm.nih.gov/protein/21313158","Ift27")</f>
        <v>Ift27</v>
      </c>
      <c r="D3542" s="10">
        <f t="shared" si="55"/>
        <v>4.4192271689868141</v>
      </c>
      <c r="F3542" s="8" t="str">
        <f>HYPERLINK("https://esbl.nhlbi.nih.gov/Databases/mpkFractions/proteomic_fractions_log_files/Yang_log_img/21313158.jpg","show blot")</f>
        <v>show blot</v>
      </c>
      <c r="H3542" s="8" t="str">
        <f>HYPERLINK("https://esbl.nhlbi.nih.gov/Databases/mpkFractions/proteomic_fractions_linear_files/Yang_linear_img/21313158.jpg","show blot")</f>
        <v>show blot</v>
      </c>
      <c r="J3542" s="5" t="s">
        <v>6950</v>
      </c>
      <c r="L3542" s="11">
        <v>4.4192271689868141</v>
      </c>
      <c r="N3542" s="12"/>
    </row>
    <row r="3543" spans="1:14" s="5" customFormat="1" ht="15" customHeight="1" x14ac:dyDescent="0.25">
      <c r="A3543" s="9" t="s">
        <v>6951</v>
      </c>
      <c r="C3543" s="9" t="str">
        <f>HYPERLINK("http://www.ncbi.nlm.nih.gov/protein/31981999","Ift52")</f>
        <v>Ift52</v>
      </c>
      <c r="D3543" s="10">
        <f t="shared" si="55"/>
        <v>3.4326073188627859</v>
      </c>
      <c r="F3543" s="8" t="str">
        <f>HYPERLINK("https://esbl.nhlbi.nih.gov/Databases/mpkFractions/proteomic_fractions_log_files/Yang_log_img/31981999.jpg","show blot")</f>
        <v>show blot</v>
      </c>
      <c r="H3543" s="8" t="str">
        <f>HYPERLINK("https://esbl.nhlbi.nih.gov/Databases/mpkFractions/proteomic_fractions_linear_files/Yang_linear_img/31981999.jpg","show blot")</f>
        <v>show blot</v>
      </c>
      <c r="J3543" s="5" t="s">
        <v>6952</v>
      </c>
      <c r="L3543" s="11">
        <v>3.4326073188627859</v>
      </c>
      <c r="N3543" s="12"/>
    </row>
    <row r="3544" spans="1:14" s="5" customFormat="1" ht="15" customHeight="1" x14ac:dyDescent="0.25">
      <c r="A3544" s="9" t="s">
        <v>6953</v>
      </c>
      <c r="C3544" s="9" t="str">
        <f>HYPERLINK("http://www.ncbi.nlm.nih.gov/protein/28076907","Ift80")</f>
        <v>Ift80</v>
      </c>
      <c r="D3544" s="10">
        <f t="shared" si="55"/>
        <v>5.1484825934828073</v>
      </c>
      <c r="F3544" s="8" t="str">
        <f>HYPERLINK("https://esbl.nhlbi.nih.gov/Databases/mpkFractions/proteomic_fractions_log_files/Yang_log_img/28076907.jpg","show blot")</f>
        <v>show blot</v>
      </c>
      <c r="H3544" s="8" t="str">
        <f>HYPERLINK("https://esbl.nhlbi.nih.gov/Databases/mpkFractions/proteomic_fractions_linear_files/Yang_linear_img/28076907.jpg","show blot")</f>
        <v>show blot</v>
      </c>
      <c r="J3544" s="5" t="s">
        <v>6954</v>
      </c>
      <c r="L3544" s="11">
        <v>5.1484825934828073</v>
      </c>
      <c r="N3544" s="12"/>
    </row>
    <row r="3545" spans="1:14" s="5" customFormat="1" ht="15" customHeight="1" x14ac:dyDescent="0.25">
      <c r="A3545" s="9" t="s">
        <v>6955</v>
      </c>
      <c r="C3545" s="9" t="str">
        <f>HYPERLINK("http://www.ncbi.nlm.nih.gov/protein/15638942","Ift81")</f>
        <v>Ift81</v>
      </c>
      <c r="D3545" s="10">
        <f t="shared" si="55"/>
        <v>3.4346525807079571</v>
      </c>
      <c r="F3545" s="8" t="str">
        <f>HYPERLINK("https://esbl.nhlbi.nih.gov/Databases/mpkFractions/proteomic_fractions_log_files/Yang_log_img/15638942.jpg","show blot")</f>
        <v>show blot</v>
      </c>
      <c r="H3545" s="8" t="str">
        <f>HYPERLINK("https://esbl.nhlbi.nih.gov/Databases/mpkFractions/proteomic_fractions_linear_files/Yang_linear_img/15638942.jpg","show blot")</f>
        <v>show blot</v>
      </c>
      <c r="J3545" s="5" t="s">
        <v>6956</v>
      </c>
      <c r="L3545" s="11">
        <v>3.4346525807079571</v>
      </c>
      <c r="N3545" s="12"/>
    </row>
    <row r="3546" spans="1:14" s="5" customFormat="1" ht="15" customHeight="1" x14ac:dyDescent="0.25">
      <c r="A3546" s="9" t="s">
        <v>6957</v>
      </c>
      <c r="C3546" s="9" t="str">
        <f>HYPERLINK("http://www.ncbi.nlm.nih.gov/protein/304555605","Igbp1")</f>
        <v>Igbp1</v>
      </c>
      <c r="D3546" s="10">
        <f t="shared" si="55"/>
        <v>4.377697223146348</v>
      </c>
      <c r="F3546" s="8" t="str">
        <f>HYPERLINK("https://esbl.nhlbi.nih.gov/Databases/mpkFractions/proteomic_fractions_log_files/Yang_log_img/304555605.jpg","show blot")</f>
        <v>show blot</v>
      </c>
      <c r="H3546" s="8" t="str">
        <f>HYPERLINK("https://esbl.nhlbi.nih.gov/Databases/mpkFractions/proteomic_fractions_linear_files/Yang_linear_img/304555605.jpg","show blot")</f>
        <v>show blot</v>
      </c>
      <c r="J3546" s="5" t="s">
        <v>6958</v>
      </c>
      <c r="L3546" s="11">
        <v>4.377697223146348</v>
      </c>
      <c r="N3546" s="12"/>
    </row>
    <row r="3547" spans="1:14" s="5" customFormat="1" ht="15" customHeight="1" x14ac:dyDescent="0.25">
      <c r="A3547" s="9" t="s">
        <v>6959</v>
      </c>
      <c r="C3547" s="9" t="str">
        <f>HYPERLINK("http://www.ncbi.nlm.nih.gov/protein/113866007","Igbp1b")</f>
        <v>Igbp1b</v>
      </c>
      <c r="D3547" s="10">
        <f t="shared" si="55"/>
        <v>2.14277439367065</v>
      </c>
      <c r="F3547" s="8" t="str">
        <f>HYPERLINK("https://esbl.nhlbi.nih.gov/Databases/mpkFractions/proteomic_fractions_log_files/Yang_log_img/113866007.jpg","show blot")</f>
        <v>show blot</v>
      </c>
      <c r="H3547" s="8" t="str">
        <f>HYPERLINK("https://esbl.nhlbi.nih.gov/Databases/mpkFractions/proteomic_fractions_linear_files/Yang_linear_img/113866007.jpg","show blot")</f>
        <v>show blot</v>
      </c>
      <c r="J3547" s="5" t="s">
        <v>6960</v>
      </c>
      <c r="L3547" s="11">
        <v>2.14277439367065</v>
      </c>
      <c r="N3547" s="12"/>
    </row>
    <row r="3548" spans="1:14" s="5" customFormat="1" ht="15" customHeight="1" x14ac:dyDescent="0.25">
      <c r="A3548" s="9" t="s">
        <v>6961</v>
      </c>
      <c r="C3548" s="9" t="str">
        <f>HYPERLINK("http://www.ncbi.nlm.nih.gov/protein/112983656","Igf1r")</f>
        <v>Igf1r</v>
      </c>
      <c r="D3548" s="10">
        <f t="shared" si="55"/>
        <v>3.757491042679943</v>
      </c>
      <c r="F3548" s="8" t="str">
        <f>HYPERLINK("https://esbl.nhlbi.nih.gov/Databases/mpkFractions/proteomic_fractions_log_files/Yang_log_img/112983656.jpg","show blot")</f>
        <v>show blot</v>
      </c>
      <c r="H3548" s="8" t="str">
        <f>HYPERLINK("https://esbl.nhlbi.nih.gov/Databases/mpkFractions/proteomic_fractions_linear_files/Yang_linear_img/112983656.jpg","show blot")</f>
        <v>show blot</v>
      </c>
      <c r="J3548" s="5" t="s">
        <v>6962</v>
      </c>
      <c r="L3548" s="11">
        <v>3.757491042679943</v>
      </c>
      <c r="N3548" s="12"/>
    </row>
    <row r="3549" spans="1:14" s="5" customFormat="1" ht="15" customHeight="1" x14ac:dyDescent="0.25">
      <c r="A3549" s="9" t="s">
        <v>6963</v>
      </c>
      <c r="C3549" s="9" t="str">
        <f>HYPERLINK("http://www.ncbi.nlm.nih.gov/protein/6753518","Igf2bp1")</f>
        <v>Igf2bp1</v>
      </c>
      <c r="D3549" s="10">
        <f t="shared" si="55"/>
        <v>4.4000101416327562</v>
      </c>
      <c r="F3549" s="8" t="str">
        <f>HYPERLINK("https://esbl.nhlbi.nih.gov/Databases/mpkFractions/proteomic_fractions_log_files/Yang_log_img/6753518.jpg","show blot")</f>
        <v>show blot</v>
      </c>
      <c r="H3549" s="8" t="str">
        <f>HYPERLINK("https://esbl.nhlbi.nih.gov/Databases/mpkFractions/proteomic_fractions_linear_files/Yang_linear_img/6753518.jpg","show blot")</f>
        <v>show blot</v>
      </c>
      <c r="J3549" s="5" t="s">
        <v>6964</v>
      </c>
      <c r="L3549" s="11">
        <v>4.4000101416327562</v>
      </c>
      <c r="N3549" s="12"/>
    </row>
    <row r="3550" spans="1:14" s="5" customFormat="1" ht="15" customHeight="1" x14ac:dyDescent="0.25">
      <c r="A3550" s="9" t="s">
        <v>6965</v>
      </c>
      <c r="C3550" s="9" t="str">
        <f>HYPERLINK("http://www.ncbi.nlm.nih.gov/protein/145207996","Igf2bp2")</f>
        <v>Igf2bp2</v>
      </c>
      <c r="D3550" s="10">
        <f t="shared" si="55"/>
        <v>6.0362287960233454</v>
      </c>
      <c r="F3550" s="8" t="str">
        <f>HYPERLINK("https://esbl.nhlbi.nih.gov/Databases/mpkFractions/proteomic_fractions_log_files/Yang_log_img/145207996.jpg","show blot")</f>
        <v>show blot</v>
      </c>
      <c r="H3550" s="8" t="str">
        <f>HYPERLINK("https://esbl.nhlbi.nih.gov/Databases/mpkFractions/proteomic_fractions_linear_files/Yang_linear_img/145207996.jpg","show blot")</f>
        <v>show blot</v>
      </c>
      <c r="J3550" s="5" t="s">
        <v>6966</v>
      </c>
      <c r="L3550" s="11">
        <v>6.0362287960233454</v>
      </c>
      <c r="N3550" s="12"/>
    </row>
    <row r="3551" spans="1:14" s="5" customFormat="1" ht="15" customHeight="1" x14ac:dyDescent="0.25">
      <c r="A3551" s="9" t="s">
        <v>6967</v>
      </c>
      <c r="C3551" s="9" t="str">
        <f>HYPERLINK("http://www.ncbi.nlm.nih.gov/protein/225543383","Igf2bp3")</f>
        <v>Igf2bp3</v>
      </c>
      <c r="D3551" s="10">
        <f t="shared" si="55"/>
        <v>5.3923027128025662</v>
      </c>
      <c r="F3551" s="8" t="str">
        <f>HYPERLINK("https://esbl.nhlbi.nih.gov/Databases/mpkFractions/proteomic_fractions_log_files/Yang_log_img/225543383.jpg","show blot")</f>
        <v>show blot</v>
      </c>
      <c r="H3551" s="8" t="str">
        <f>HYPERLINK("https://esbl.nhlbi.nih.gov/Databases/mpkFractions/proteomic_fractions_linear_files/Yang_linear_img/225543383.jpg","show blot")</f>
        <v>show blot</v>
      </c>
      <c r="J3551" s="5" t="s">
        <v>6968</v>
      </c>
      <c r="L3551" s="11">
        <v>5.3923027128025662</v>
      </c>
      <c r="N3551" s="12"/>
    </row>
    <row r="3552" spans="1:14" s="5" customFormat="1" ht="15" customHeight="1" x14ac:dyDescent="0.25">
      <c r="A3552" s="9" t="s">
        <v>6969</v>
      </c>
      <c r="C3552" s="9" t="str">
        <f>HYPERLINK("http://www.ncbi.nlm.nih.gov/protein/133778978","Igf2r")</f>
        <v>Igf2r</v>
      </c>
      <c r="D3552" s="10">
        <f t="shared" si="55"/>
        <v>3.8000990591143951</v>
      </c>
      <c r="F3552" s="8" t="str">
        <f>HYPERLINK("https://esbl.nhlbi.nih.gov/Databases/mpkFractions/proteomic_fractions_log_files/Yang_log_img/133778978.jpg","show blot")</f>
        <v>show blot</v>
      </c>
      <c r="H3552" s="8" t="str">
        <f>HYPERLINK("https://esbl.nhlbi.nih.gov/Databases/mpkFractions/proteomic_fractions_linear_files/Yang_linear_img/133778978.jpg","show blot")</f>
        <v>show blot</v>
      </c>
      <c r="J3552" s="5" t="s">
        <v>6970</v>
      </c>
      <c r="L3552" s="11">
        <v>3.8000990591143951</v>
      </c>
      <c r="N3552" s="12"/>
    </row>
    <row r="3553" spans="1:14" s="5" customFormat="1" ht="15" customHeight="1" x14ac:dyDescent="0.25">
      <c r="A3553" s="9" t="s">
        <v>6971</v>
      </c>
      <c r="C3553" s="9" t="str">
        <f>HYPERLINK("http://www.ncbi.nlm.nih.gov/protein/226958445","Igfbp7")</f>
        <v>Igfbp7</v>
      </c>
      <c r="D3553" s="10">
        <f t="shared" si="55"/>
        <v>4.3953560402772061</v>
      </c>
      <c r="F3553" s="8" t="str">
        <f>HYPERLINK("https://esbl.nhlbi.nih.gov/Databases/mpkFractions/proteomic_fractions_log_files/Yang_log_img/226958445.jpg","show blot")</f>
        <v>show blot</v>
      </c>
      <c r="H3553" s="8" t="str">
        <f>HYPERLINK("https://esbl.nhlbi.nih.gov/Databases/mpkFractions/proteomic_fractions_linear_files/Yang_linear_img/226958445.jpg","show blot")</f>
        <v>show blot</v>
      </c>
      <c r="J3553" s="5" t="s">
        <v>6972</v>
      </c>
      <c r="L3553" s="11">
        <v>4.3953560402772061</v>
      </c>
      <c r="N3553" s="12"/>
    </row>
    <row r="3554" spans="1:14" s="5" customFormat="1" ht="15" customHeight="1" x14ac:dyDescent="0.25">
      <c r="A3554" s="9" t="s">
        <v>6973</v>
      </c>
      <c r="C3554" s="9" t="str">
        <f>HYPERLINK("http://www.ncbi.nlm.nih.gov/protein/226958453","Igfbp7")</f>
        <v>Igfbp7</v>
      </c>
      <c r="D3554" s="10">
        <f t="shared" si="55"/>
        <v>4.3953560402772061</v>
      </c>
      <c r="F3554" s="8" t="str">
        <f>HYPERLINK("https://esbl.nhlbi.nih.gov/Databases/mpkFractions/proteomic_fractions_log_files/Yang_log_img/226958453.jpg","show blot")</f>
        <v>show blot</v>
      </c>
      <c r="H3554" s="8" t="str">
        <f>HYPERLINK("https://esbl.nhlbi.nih.gov/Databases/mpkFractions/proteomic_fractions_linear_files/Yang_linear_img/226958453.jpg","show blot")</f>
        <v>show blot</v>
      </c>
      <c r="J3554" s="5" t="s">
        <v>6974</v>
      </c>
      <c r="L3554" s="11">
        <v>4.3953560402772061</v>
      </c>
      <c r="N3554" s="12"/>
    </row>
    <row r="3555" spans="1:14" s="5" customFormat="1" ht="15" customHeight="1" x14ac:dyDescent="0.25">
      <c r="A3555" s="9" t="s">
        <v>6975</v>
      </c>
      <c r="C3555" s="9" t="str">
        <f>HYPERLINK("http://www.ncbi.nlm.nih.gov/protein/153945808","Ighmbp2")</f>
        <v>Ighmbp2</v>
      </c>
      <c r="D3555" s="10">
        <f t="shared" si="55"/>
        <v>1.665970499382893</v>
      </c>
      <c r="F3555" s="8" t="str">
        <f>HYPERLINK("https://esbl.nhlbi.nih.gov/Databases/mpkFractions/proteomic_fractions_log_files/Yang_log_img/153945808.jpg","show blot")</f>
        <v>show blot</v>
      </c>
      <c r="H3555" s="8" t="str">
        <f>HYPERLINK("https://esbl.nhlbi.nih.gov/Databases/mpkFractions/proteomic_fractions_linear_files/Yang_linear_img/153945808.jpg","show blot")</f>
        <v>show blot</v>
      </c>
      <c r="J3555" s="5" t="s">
        <v>6976</v>
      </c>
      <c r="L3555" s="11">
        <v>1.665970499382893</v>
      </c>
      <c r="N3555" s="12"/>
    </row>
    <row r="3556" spans="1:14" s="5" customFormat="1" ht="15" customHeight="1" x14ac:dyDescent="0.25">
      <c r="A3556" s="9" t="s">
        <v>6977</v>
      </c>
      <c r="C3556" s="9" t="str">
        <f>HYPERLINK("http://www.ncbi.nlm.nih.gov/protein/262050642","Igsf1")</f>
        <v>Igsf1</v>
      </c>
      <c r="D3556" s="10">
        <f t="shared" si="55"/>
        <v>2.8307490137052058</v>
      </c>
      <c r="F3556" s="8" t="str">
        <f>HYPERLINK("https://esbl.nhlbi.nih.gov/Databases/mpkFractions/proteomic_fractions_log_files/Yang_log_img/262050642.jpg","show blot")</f>
        <v>show blot</v>
      </c>
      <c r="H3556" s="8" t="str">
        <f>HYPERLINK("https://esbl.nhlbi.nih.gov/Databases/mpkFractions/proteomic_fractions_linear_files/Yang_linear_img/262050642.jpg","show blot")</f>
        <v>show blot</v>
      </c>
      <c r="J3556" s="5" t="s">
        <v>6978</v>
      </c>
      <c r="L3556" s="11">
        <v>2.8307490137052058</v>
      </c>
      <c r="N3556" s="12"/>
    </row>
    <row r="3557" spans="1:14" s="5" customFormat="1" ht="15" customHeight="1" x14ac:dyDescent="0.25">
      <c r="A3557" s="9" t="s">
        <v>6979</v>
      </c>
      <c r="C3557" s="9" t="str">
        <f>HYPERLINK("http://www.ncbi.nlm.nih.gov/protein/29244558","Igsf1")</f>
        <v>Igsf1</v>
      </c>
      <c r="D3557" s="10">
        <f t="shared" si="55"/>
        <v>2.8307490137052058</v>
      </c>
      <c r="F3557" s="8" t="str">
        <f>HYPERLINK("https://esbl.nhlbi.nih.gov/Databases/mpkFractions/proteomic_fractions_log_files/Yang_log_img/29244558.jpg","show blot")</f>
        <v>show blot</v>
      </c>
      <c r="H3557" s="8" t="str">
        <f>HYPERLINK("https://esbl.nhlbi.nih.gov/Databases/mpkFractions/proteomic_fractions_linear_files/Yang_linear_img/29244558.jpg","show blot")</f>
        <v>show blot</v>
      </c>
      <c r="J3557" s="5" t="s">
        <v>6980</v>
      </c>
      <c r="L3557" s="11">
        <v>2.8307490137052058</v>
      </c>
      <c r="N3557" s="12"/>
    </row>
    <row r="3558" spans="1:14" s="5" customFormat="1" ht="15" customHeight="1" x14ac:dyDescent="0.25">
      <c r="A3558" s="9" t="s">
        <v>6981</v>
      </c>
      <c r="C3558" s="9" t="str">
        <f>HYPERLINK("http://www.ncbi.nlm.nih.gov/protein/34330164","Igsf1")</f>
        <v>Igsf1</v>
      </c>
      <c r="D3558" s="10">
        <f t="shared" si="55"/>
        <v>2.8307490137052058</v>
      </c>
      <c r="F3558" s="8" t="str">
        <f>HYPERLINK("https://esbl.nhlbi.nih.gov/Databases/mpkFractions/proteomic_fractions_log_files/Yang_log_img/34330164.jpg","show blot")</f>
        <v>show blot</v>
      </c>
      <c r="H3558" s="8" t="str">
        <f>HYPERLINK("https://esbl.nhlbi.nih.gov/Databases/mpkFractions/proteomic_fractions_linear_files/Yang_linear_img/34330164.jpg","show blot")</f>
        <v>show blot</v>
      </c>
      <c r="J3558" s="5" t="s">
        <v>6982</v>
      </c>
      <c r="L3558" s="11">
        <v>2.8307490137052058</v>
      </c>
      <c r="N3558" s="12"/>
    </row>
    <row r="3559" spans="1:14" s="5" customFormat="1" ht="15" customHeight="1" x14ac:dyDescent="0.25">
      <c r="A3559" s="9" t="s">
        <v>6983</v>
      </c>
      <c r="C3559" s="9" t="str">
        <f>HYPERLINK("http://www.ncbi.nlm.nih.gov/protein/205360918","Igtp")</f>
        <v>Igtp</v>
      </c>
      <c r="D3559" s="10">
        <f t="shared" si="55"/>
        <v>3.4714433403941878</v>
      </c>
      <c r="F3559" s="8" t="str">
        <f>HYPERLINK("https://esbl.nhlbi.nih.gov/Databases/mpkFractions/proteomic_fractions_log_files/Yang_log_img/205360918.jpg","show blot")</f>
        <v>show blot</v>
      </c>
      <c r="H3559" s="8" t="str">
        <f>HYPERLINK("https://esbl.nhlbi.nih.gov/Databases/mpkFractions/proteomic_fractions_linear_files/Yang_linear_img/205360918.jpg","show blot")</f>
        <v>show blot</v>
      </c>
      <c r="J3559" s="5" t="s">
        <v>6984</v>
      </c>
      <c r="L3559" s="11">
        <v>3.4714433403941878</v>
      </c>
      <c r="N3559" s="12"/>
    </row>
    <row r="3560" spans="1:14" s="5" customFormat="1" ht="15" customHeight="1" x14ac:dyDescent="0.25">
      <c r="A3560" s="9" t="s">
        <v>6985</v>
      </c>
      <c r="C3560" s="9" t="str">
        <f>HYPERLINK("http://www.ncbi.nlm.nih.gov/protein/158937298","Ikbkap")</f>
        <v>Ikbkap</v>
      </c>
      <c r="D3560" s="10">
        <f t="shared" si="55"/>
        <v>4.7506158267442231</v>
      </c>
      <c r="F3560" s="8" t="str">
        <f>HYPERLINK("https://esbl.nhlbi.nih.gov/Databases/mpkFractions/proteomic_fractions_log_files/Yang_log_img/158937298.jpg","show blot")</f>
        <v>show blot</v>
      </c>
      <c r="H3560" s="8" t="str">
        <f>HYPERLINK("https://esbl.nhlbi.nih.gov/Databases/mpkFractions/proteomic_fractions_linear_files/Yang_linear_img/158937298.jpg","show blot")</f>
        <v>show blot</v>
      </c>
      <c r="J3560" s="5" t="s">
        <v>6986</v>
      </c>
      <c r="L3560" s="11">
        <v>4.7506158267442231</v>
      </c>
      <c r="N3560" s="12"/>
    </row>
    <row r="3561" spans="1:14" s="5" customFormat="1" ht="15" customHeight="1" x14ac:dyDescent="0.25">
      <c r="A3561" s="9" t="s">
        <v>6987</v>
      </c>
      <c r="C3561" s="9" t="str">
        <f>HYPERLINK("http://www.ncbi.nlm.nih.gov/protein/229576825","Ikbkb")</f>
        <v>Ikbkb</v>
      </c>
      <c r="D3561" s="10">
        <f t="shared" si="55"/>
        <v>4.2713463343551288</v>
      </c>
      <c r="F3561" s="8" t="str">
        <f>HYPERLINK("https://esbl.nhlbi.nih.gov/Databases/mpkFractions/proteomic_fractions_log_files/Yang_log_img/229576825.jpg","show blot")</f>
        <v>show blot</v>
      </c>
      <c r="H3561" s="8" t="str">
        <f>HYPERLINK("https://esbl.nhlbi.nih.gov/Databases/mpkFractions/proteomic_fractions_linear_files/Yang_linear_img/229576825.jpg","show blot")</f>
        <v>show blot</v>
      </c>
      <c r="J3561" s="5" t="s">
        <v>6988</v>
      </c>
      <c r="L3561" s="11">
        <v>4.2713463343551288</v>
      </c>
      <c r="N3561" s="12"/>
    </row>
    <row r="3562" spans="1:14" s="5" customFormat="1" ht="15" customHeight="1" x14ac:dyDescent="0.25">
      <c r="A3562" s="9" t="s">
        <v>6989</v>
      </c>
      <c r="C3562" s="9" t="str">
        <f>HYPERLINK("http://www.ncbi.nlm.nih.gov/protein/33469101","Ikbkb")</f>
        <v>Ikbkb</v>
      </c>
      <c r="D3562" s="10">
        <f t="shared" si="55"/>
        <v>4.2713463343551288</v>
      </c>
      <c r="F3562" s="8" t="str">
        <f>HYPERLINK("https://esbl.nhlbi.nih.gov/Databases/mpkFractions/proteomic_fractions_log_files/Yang_log_img/33469101.jpg","show blot")</f>
        <v>show blot</v>
      </c>
      <c r="H3562" s="8" t="str">
        <f>HYPERLINK("https://esbl.nhlbi.nih.gov/Databases/mpkFractions/proteomic_fractions_linear_files/Yang_linear_img/33469101.jpg","show blot")</f>
        <v>show blot</v>
      </c>
      <c r="J3562" s="5" t="s">
        <v>6990</v>
      </c>
      <c r="L3562" s="11">
        <v>4.2713463343551288</v>
      </c>
      <c r="N3562" s="12"/>
    </row>
    <row r="3563" spans="1:14" s="5" customFormat="1" ht="15" customHeight="1" x14ac:dyDescent="0.25">
      <c r="A3563" s="9" t="s">
        <v>6991</v>
      </c>
      <c r="C3563" s="9" t="str">
        <f>HYPERLINK("http://www.ncbi.nlm.nih.gov/protein/209862941","Ikbkg")</f>
        <v>Ikbkg</v>
      </c>
      <c r="D3563" s="10">
        <f t="shared" si="55"/>
        <v>4.4307779624057719</v>
      </c>
      <c r="F3563" s="8" t="str">
        <f>HYPERLINK("https://esbl.nhlbi.nih.gov/Databases/mpkFractions/proteomic_fractions_log_files/Yang_log_img/209862941.jpg","show blot")</f>
        <v>show blot</v>
      </c>
      <c r="H3563" s="8" t="str">
        <f>HYPERLINK("https://esbl.nhlbi.nih.gov/Databases/mpkFractions/proteomic_fractions_linear_files/Yang_linear_img/209862941.jpg","show blot")</f>
        <v>show blot</v>
      </c>
      <c r="J3563" s="5" t="s">
        <v>6992</v>
      </c>
      <c r="L3563" s="11">
        <v>4.4307779624057719</v>
      </c>
      <c r="N3563" s="12"/>
    </row>
    <row r="3564" spans="1:14" s="5" customFormat="1" ht="15" customHeight="1" x14ac:dyDescent="0.25">
      <c r="A3564" s="9" t="s">
        <v>6993</v>
      </c>
      <c r="C3564" s="9" t="str">
        <f>HYPERLINK("http://www.ncbi.nlm.nih.gov/protein/238637310","Ikbkg")</f>
        <v>Ikbkg</v>
      </c>
      <c r="D3564" s="10">
        <f t="shared" si="55"/>
        <v>4.4307779624057719</v>
      </c>
      <c r="F3564" s="8" t="str">
        <f>HYPERLINK("https://esbl.nhlbi.nih.gov/Databases/mpkFractions/proteomic_fractions_log_files/Yang_log_img/238637310.jpg","show blot")</f>
        <v>show blot</v>
      </c>
      <c r="H3564" s="8" t="str">
        <f>HYPERLINK("https://esbl.nhlbi.nih.gov/Databases/mpkFractions/proteomic_fractions_linear_files/Yang_linear_img/238637310.jpg","show blot")</f>
        <v>show blot</v>
      </c>
      <c r="J3564" s="5" t="s">
        <v>6994</v>
      </c>
      <c r="L3564" s="11">
        <v>4.4307779624057719</v>
      </c>
      <c r="N3564" s="12"/>
    </row>
    <row r="3565" spans="1:14" s="5" customFormat="1" ht="15" customHeight="1" x14ac:dyDescent="0.25">
      <c r="A3565" s="9" t="s">
        <v>6995</v>
      </c>
      <c r="C3565" s="9" t="str">
        <f>HYPERLINK("http://www.ncbi.nlm.nih.gov/protein/238637312","Ikbkg")</f>
        <v>Ikbkg</v>
      </c>
      <c r="D3565" s="10">
        <f t="shared" si="55"/>
        <v>4.4307779624057719</v>
      </c>
      <c r="F3565" s="8" t="str">
        <f>HYPERLINK("https://esbl.nhlbi.nih.gov/Databases/mpkFractions/proteomic_fractions_log_files/Yang_log_img/238637312.jpg","show blot")</f>
        <v>show blot</v>
      </c>
      <c r="H3565" s="8" t="str">
        <f>HYPERLINK("https://esbl.nhlbi.nih.gov/Databases/mpkFractions/proteomic_fractions_linear_files/Yang_linear_img/238637312.jpg","show blot")</f>
        <v>show blot</v>
      </c>
      <c r="J3565" s="5" t="s">
        <v>6996</v>
      </c>
      <c r="L3565" s="11">
        <v>4.4307779624057719</v>
      </c>
      <c r="N3565" s="12"/>
    </row>
    <row r="3566" spans="1:14" s="5" customFormat="1" ht="15" customHeight="1" x14ac:dyDescent="0.25">
      <c r="A3566" s="9" t="s">
        <v>6997</v>
      </c>
      <c r="C3566" s="9" t="str">
        <f>HYPERLINK("http://www.ncbi.nlm.nih.gov/protein/238637314","Ikbkg")</f>
        <v>Ikbkg</v>
      </c>
      <c r="D3566" s="10">
        <f t="shared" si="55"/>
        <v>4.4307779624057719</v>
      </c>
      <c r="F3566" s="8" t="str">
        <f>HYPERLINK("https://esbl.nhlbi.nih.gov/Databases/mpkFractions/proteomic_fractions_log_files/Yang_log_img/238637314.jpg","show blot")</f>
        <v>show blot</v>
      </c>
      <c r="H3566" s="8" t="str">
        <f>HYPERLINK("https://esbl.nhlbi.nih.gov/Databases/mpkFractions/proteomic_fractions_linear_files/Yang_linear_img/238637314.jpg","show blot")</f>
        <v>show blot</v>
      </c>
      <c r="J3566" s="5" t="s">
        <v>6998</v>
      </c>
      <c r="L3566" s="11">
        <v>4.4307779624057719</v>
      </c>
      <c r="N3566" s="12"/>
    </row>
    <row r="3567" spans="1:14" s="5" customFormat="1" ht="15" customHeight="1" x14ac:dyDescent="0.25">
      <c r="A3567" s="9" t="s">
        <v>6999</v>
      </c>
      <c r="C3567" s="9" t="str">
        <f>HYPERLINK("http://www.ncbi.nlm.nih.gov/protein/238637316","Ikbkg")</f>
        <v>Ikbkg</v>
      </c>
      <c r="D3567" s="10">
        <f t="shared" si="55"/>
        <v>4.4307779624057719</v>
      </c>
      <c r="F3567" s="8" t="str">
        <f>HYPERLINK("https://esbl.nhlbi.nih.gov/Databases/mpkFractions/proteomic_fractions_log_files/Yang_log_img/238637316.jpg","show blot")</f>
        <v>show blot</v>
      </c>
      <c r="H3567" s="8" t="str">
        <f>HYPERLINK("https://esbl.nhlbi.nih.gov/Databases/mpkFractions/proteomic_fractions_linear_files/Yang_linear_img/238637316.jpg","show blot")</f>
        <v>show blot</v>
      </c>
      <c r="J3567" s="5" t="s">
        <v>7000</v>
      </c>
      <c r="L3567" s="11">
        <v>4.4307779624057719</v>
      </c>
      <c r="N3567" s="12"/>
    </row>
    <row r="3568" spans="1:14" s="5" customFormat="1" ht="15" customHeight="1" x14ac:dyDescent="0.25">
      <c r="A3568" s="9" t="s">
        <v>7001</v>
      </c>
      <c r="C3568" s="9" t="str">
        <f>HYPERLINK("http://www.ncbi.nlm.nih.gov/protein/111607428","Il10rb")</f>
        <v>Il10rb</v>
      </c>
      <c r="D3568" s="10">
        <f t="shared" si="55"/>
        <v>3.3575408687378578</v>
      </c>
      <c r="F3568" s="8" t="str">
        <f>HYPERLINK("https://esbl.nhlbi.nih.gov/Databases/mpkFractions/proteomic_fractions_log_files/Yang_log_img/111607428.jpg","show blot")</f>
        <v>show blot</v>
      </c>
      <c r="H3568" s="8" t="str">
        <f>HYPERLINK("https://esbl.nhlbi.nih.gov/Databases/mpkFractions/proteomic_fractions_linear_files/Yang_linear_img/111607428.jpg","show blot")</f>
        <v>show blot</v>
      </c>
      <c r="J3568" s="5" t="s">
        <v>7002</v>
      </c>
      <c r="L3568" s="11">
        <v>3.3575408687378578</v>
      </c>
      <c r="N3568" s="12"/>
    </row>
    <row r="3569" spans="1:14" s="5" customFormat="1" ht="15" customHeight="1" x14ac:dyDescent="0.25">
      <c r="A3569" s="9" t="s">
        <v>7003</v>
      </c>
      <c r="C3569" s="9" t="str">
        <f>HYPERLINK("http://www.ncbi.nlm.nih.gov/protein/6754326","Il18rap")</f>
        <v>Il18rap</v>
      </c>
      <c r="D3569" s="10">
        <f t="shared" si="55"/>
        <v>1.968276877621526</v>
      </c>
      <c r="F3569" s="8" t="str">
        <f>HYPERLINK("https://esbl.nhlbi.nih.gov/Databases/mpkFractions/proteomic_fractions_log_files/Yang_log_img/6754326.jpg","show blot")</f>
        <v>show blot</v>
      </c>
      <c r="H3569" s="8" t="str">
        <f>HYPERLINK("https://esbl.nhlbi.nih.gov/Databases/mpkFractions/proteomic_fractions_linear_files/Yang_linear_img/6754326.jpg","show blot")</f>
        <v>show blot</v>
      </c>
      <c r="J3569" s="5" t="s">
        <v>7004</v>
      </c>
      <c r="L3569" s="11">
        <v>1.968276877621526</v>
      </c>
      <c r="N3569" s="12"/>
    </row>
    <row r="3570" spans="1:14" s="5" customFormat="1" ht="15" customHeight="1" x14ac:dyDescent="0.25">
      <c r="A3570" s="9" t="s">
        <v>7005</v>
      </c>
      <c r="C3570" s="9" t="str">
        <f>HYPERLINK("http://www.ncbi.nlm.nih.gov/protein/13624317","Il1rn")</f>
        <v>Il1rn</v>
      </c>
      <c r="D3570" s="10">
        <f t="shared" si="55"/>
        <v>4.181145724655158</v>
      </c>
      <c r="F3570" s="8" t="str">
        <f>HYPERLINK("https://esbl.nhlbi.nih.gov/Databases/mpkFractions/proteomic_fractions_log_files/Yang_log_img/13624317.jpg","show blot")</f>
        <v>show blot</v>
      </c>
      <c r="H3570" s="8" t="str">
        <f>HYPERLINK("https://esbl.nhlbi.nih.gov/Databases/mpkFractions/proteomic_fractions_linear_files/Yang_linear_img/13624317.jpg","show blot")</f>
        <v>show blot</v>
      </c>
      <c r="J3570" s="5" t="s">
        <v>7006</v>
      </c>
      <c r="L3570" s="11">
        <v>4.181145724655158</v>
      </c>
      <c r="N3570" s="12"/>
    </row>
    <row r="3571" spans="1:14" s="5" customFormat="1" ht="15" customHeight="1" x14ac:dyDescent="0.25">
      <c r="A3571" s="9" t="s">
        <v>7007</v>
      </c>
      <c r="C3571" s="9" t="str">
        <f>HYPERLINK("http://www.ncbi.nlm.nih.gov/protein/227116259","Il1rn")</f>
        <v>Il1rn</v>
      </c>
      <c r="D3571" s="10">
        <f t="shared" si="55"/>
        <v>4.181145724655158</v>
      </c>
      <c r="F3571" s="8" t="str">
        <f>HYPERLINK("https://esbl.nhlbi.nih.gov/Databases/mpkFractions/proteomic_fractions_log_files/Yang_log_img/227116259.jpg","show blot")</f>
        <v>show blot</v>
      </c>
      <c r="H3571" s="8" t="str">
        <f>HYPERLINK("https://esbl.nhlbi.nih.gov/Databases/mpkFractions/proteomic_fractions_linear_files/Yang_linear_img/227116259.jpg","show blot")</f>
        <v>show blot</v>
      </c>
      <c r="J3571" s="5" t="s">
        <v>7008</v>
      </c>
      <c r="L3571" s="11">
        <v>4.181145724655158</v>
      </c>
      <c r="N3571" s="12"/>
    </row>
    <row r="3572" spans="1:14" s="5" customFormat="1" ht="15" customHeight="1" x14ac:dyDescent="0.25">
      <c r="A3572" s="9" t="s">
        <v>7009</v>
      </c>
      <c r="C3572" s="9" t="str">
        <f>HYPERLINK("http://www.ncbi.nlm.nih.gov/protein/89257344","Il1rn")</f>
        <v>Il1rn</v>
      </c>
      <c r="D3572" s="10">
        <f t="shared" si="55"/>
        <v>4.181145724655158</v>
      </c>
      <c r="F3572" s="8" t="str">
        <f>HYPERLINK("https://esbl.nhlbi.nih.gov/Databases/mpkFractions/proteomic_fractions_log_files/Yang_log_img/89257344.jpg","show blot")</f>
        <v>show blot</v>
      </c>
      <c r="H3572" s="8" t="str">
        <f>HYPERLINK("https://esbl.nhlbi.nih.gov/Databases/mpkFractions/proteomic_fractions_linear_files/Yang_linear_img/89257344.jpg","show blot")</f>
        <v>show blot</v>
      </c>
      <c r="J3572" s="5" t="s">
        <v>7010</v>
      </c>
      <c r="L3572" s="11">
        <v>4.181145724655158</v>
      </c>
      <c r="N3572" s="12"/>
    </row>
    <row r="3573" spans="1:14" s="5" customFormat="1" ht="15" customHeight="1" x14ac:dyDescent="0.25">
      <c r="A3573" s="9" t="s">
        <v>7011</v>
      </c>
      <c r="C3573" s="9" t="str">
        <f>HYPERLINK("http://www.ncbi.nlm.nih.gov/protein/13385872","Ilf2")</f>
        <v>Ilf2</v>
      </c>
      <c r="D3573" s="10">
        <f t="shared" si="55"/>
        <v>6.0262455196669373</v>
      </c>
      <c r="F3573" s="8" t="str">
        <f>HYPERLINK("https://esbl.nhlbi.nih.gov/Databases/mpkFractions/proteomic_fractions_log_files/Yang_log_img/13385872.jpg","show blot")</f>
        <v>show blot</v>
      </c>
      <c r="H3573" s="8" t="str">
        <f>HYPERLINK("https://esbl.nhlbi.nih.gov/Databases/mpkFractions/proteomic_fractions_linear_files/Yang_linear_img/13385872.jpg","show blot")</f>
        <v>show blot</v>
      </c>
      <c r="J3573" s="5" t="s">
        <v>7012</v>
      </c>
      <c r="L3573" s="11">
        <v>6.0262455196669373</v>
      </c>
      <c r="N3573" s="12"/>
    </row>
    <row r="3574" spans="1:14" s="5" customFormat="1" ht="15" customHeight="1" x14ac:dyDescent="0.25">
      <c r="A3574" s="9" t="s">
        <v>7013</v>
      </c>
      <c r="C3574" s="9" t="str">
        <f>HYPERLINK("http://www.ncbi.nlm.nih.gov/protein/472339066;111607430","Ilf3")</f>
        <v>Ilf3</v>
      </c>
      <c r="D3574" s="10">
        <f t="shared" si="55"/>
        <v>5.4402868154272763</v>
      </c>
      <c r="F3574" s="8" t="str">
        <f>HYPERLINK("https://esbl.nhlbi.nih.gov/Databases/mpkFractions/proteomic_fractions_log_files/Yang_log_img/472339066;111607430.jpg","show blot")</f>
        <v>show blot</v>
      </c>
      <c r="H3574" s="8" t="str">
        <f>HYPERLINK("https://esbl.nhlbi.nih.gov/Databases/mpkFractions/proteomic_fractions_linear_files/Yang_linear_img/472339066;111607430.jpg","show blot")</f>
        <v>show blot</v>
      </c>
      <c r="J3574" s="5" t="s">
        <v>7014</v>
      </c>
      <c r="L3574" s="11">
        <v>5.4402868154272763</v>
      </c>
      <c r="N3574" s="12"/>
    </row>
    <row r="3575" spans="1:14" s="5" customFormat="1" ht="15" customHeight="1" x14ac:dyDescent="0.25">
      <c r="A3575" s="9" t="s">
        <v>7015</v>
      </c>
      <c r="C3575" s="9" t="str">
        <f>HYPERLINK("http://www.ncbi.nlm.nih.gov/protein/472339106","Ilf3")</f>
        <v>Ilf3</v>
      </c>
      <c r="D3575" s="10">
        <f t="shared" si="55"/>
        <v>5.4402868154272763</v>
      </c>
      <c r="F3575" s="8" t="str">
        <f>HYPERLINK("https://esbl.nhlbi.nih.gov/Databases/mpkFractions/proteomic_fractions_log_files/Yang_log_img/472339106.jpg","show blot")</f>
        <v>show blot</v>
      </c>
      <c r="H3575" s="8" t="str">
        <f>HYPERLINK("https://esbl.nhlbi.nih.gov/Databases/mpkFractions/proteomic_fractions_linear_files/Yang_linear_img/472339106.jpg","show blot")</f>
        <v>show blot</v>
      </c>
      <c r="J3575" s="5" t="s">
        <v>7016</v>
      </c>
      <c r="L3575" s="11">
        <v>5.4402868154272763</v>
      </c>
      <c r="N3575" s="12"/>
    </row>
    <row r="3576" spans="1:14" s="5" customFormat="1" ht="15" customHeight="1" x14ac:dyDescent="0.25">
      <c r="A3576" s="9" t="s">
        <v>7017</v>
      </c>
      <c r="C3576" s="9" t="str">
        <f>HYPERLINK("http://www.ncbi.nlm.nih.gov/protein/111607430","Ilf3")</f>
        <v>Ilf3</v>
      </c>
      <c r="D3576" s="10">
        <f t="shared" si="55"/>
        <v>5.4402868154272763</v>
      </c>
      <c r="F3576" s="8" t="str">
        <f>HYPERLINK("https://esbl.nhlbi.nih.gov/Databases/mpkFractions/proteomic_fractions_log_files/Yang_log_img/111607430.jpg","show blot")</f>
        <v>show blot</v>
      </c>
      <c r="H3576" s="8" t="str">
        <f>HYPERLINK("https://esbl.nhlbi.nih.gov/Databases/mpkFractions/proteomic_fractions_linear_files/Yang_linear_img/111607430.jpg","show blot")</f>
        <v>show blot</v>
      </c>
      <c r="J3576" s="5" t="s">
        <v>7014</v>
      </c>
      <c r="L3576" s="11">
        <v>5.4402868154272763</v>
      </c>
      <c r="N3576" s="12"/>
    </row>
    <row r="3577" spans="1:14" s="5" customFormat="1" ht="15" customHeight="1" x14ac:dyDescent="0.25">
      <c r="A3577" s="9" t="s">
        <v>7018</v>
      </c>
      <c r="C3577" s="9" t="str">
        <f>HYPERLINK("http://www.ncbi.nlm.nih.gov/protein/111607432","Ilf3")</f>
        <v>Ilf3</v>
      </c>
      <c r="D3577" s="10">
        <f t="shared" si="55"/>
        <v>5.4402868154272763</v>
      </c>
      <c r="F3577" s="8" t="str">
        <f>HYPERLINK("https://esbl.nhlbi.nih.gov/Databases/mpkFractions/proteomic_fractions_log_files/Yang_log_img/111607432.jpg","show blot")</f>
        <v>show blot</v>
      </c>
      <c r="H3577" s="8" t="str">
        <f>HYPERLINK("https://esbl.nhlbi.nih.gov/Databases/mpkFractions/proteomic_fractions_linear_files/Yang_linear_img/111607432.jpg","show blot")</f>
        <v>show blot</v>
      </c>
      <c r="J3577" s="5" t="s">
        <v>7019</v>
      </c>
      <c r="L3577" s="11">
        <v>5.4402868154272763</v>
      </c>
      <c r="N3577" s="12"/>
    </row>
    <row r="3578" spans="1:14" s="5" customFormat="1" ht="15" customHeight="1" x14ac:dyDescent="0.25">
      <c r="A3578" s="9" t="s">
        <v>7020</v>
      </c>
      <c r="C3578" s="9" t="str">
        <f>HYPERLINK("http://www.ncbi.nlm.nih.gov/protein/111607434","Ilf3")</f>
        <v>Ilf3</v>
      </c>
      <c r="D3578" s="10">
        <f t="shared" si="55"/>
        <v>5.4402868154272763</v>
      </c>
      <c r="F3578" s="8" t="str">
        <f>HYPERLINK("https://esbl.nhlbi.nih.gov/Databases/mpkFractions/proteomic_fractions_log_files/Yang_log_img/111607434.jpg","show blot")</f>
        <v>show blot</v>
      </c>
      <c r="H3578" s="8" t="str">
        <f>HYPERLINK("https://esbl.nhlbi.nih.gov/Databases/mpkFractions/proteomic_fractions_linear_files/Yang_linear_img/111607434.jpg","show blot")</f>
        <v>show blot</v>
      </c>
      <c r="J3578" s="5" t="s">
        <v>7021</v>
      </c>
      <c r="L3578" s="11">
        <v>5.4402868154272763</v>
      </c>
      <c r="N3578" s="12"/>
    </row>
    <row r="3579" spans="1:14" s="5" customFormat="1" ht="15" customHeight="1" x14ac:dyDescent="0.25">
      <c r="A3579" s="9" t="s">
        <v>7022</v>
      </c>
      <c r="C3579" s="9" t="str">
        <f>HYPERLINK("http://www.ncbi.nlm.nih.gov/protein/111607436","Ilf3")</f>
        <v>Ilf3</v>
      </c>
      <c r="D3579" s="10">
        <f t="shared" si="55"/>
        <v>5.4402868154272763</v>
      </c>
      <c r="F3579" s="8" t="str">
        <f>HYPERLINK("https://esbl.nhlbi.nih.gov/Databases/mpkFractions/proteomic_fractions_log_files/Yang_log_img/111607436.jpg","show blot")</f>
        <v>show blot</v>
      </c>
      <c r="H3579" s="8" t="str">
        <f>HYPERLINK("https://esbl.nhlbi.nih.gov/Databases/mpkFractions/proteomic_fractions_linear_files/Yang_linear_img/111607436.jpg","show blot")</f>
        <v>show blot</v>
      </c>
      <c r="J3579" s="5" t="s">
        <v>7023</v>
      </c>
      <c r="L3579" s="11">
        <v>5.4402868154272763</v>
      </c>
      <c r="N3579" s="12"/>
    </row>
    <row r="3580" spans="1:14" s="5" customFormat="1" ht="15" customHeight="1" x14ac:dyDescent="0.25">
      <c r="A3580" s="9" t="s">
        <v>7024</v>
      </c>
      <c r="C3580" s="9" t="str">
        <f>HYPERLINK("http://www.ncbi.nlm.nih.gov/protein/240255651;240255653","Ilk")</f>
        <v>Ilk</v>
      </c>
      <c r="D3580" s="10">
        <f t="shared" si="55"/>
        <v>4.9407913782628814</v>
      </c>
      <c r="F3580" s="8" t="str">
        <f>HYPERLINK("https://esbl.nhlbi.nih.gov/Databases/mpkFractions/proteomic_fractions_log_files/Yang_log_img/240255651;240255653.jpg","show blot")</f>
        <v>show blot</v>
      </c>
      <c r="H3580" s="8" t="str">
        <f>HYPERLINK("https://esbl.nhlbi.nih.gov/Databases/mpkFractions/proteomic_fractions_linear_files/Yang_linear_img/240255651;240255653.jpg","show blot")</f>
        <v>show blot</v>
      </c>
      <c r="J3580" s="5" t="s">
        <v>7025</v>
      </c>
      <c r="L3580" s="11">
        <v>4.9407913782628814</v>
      </c>
      <c r="N3580" s="12"/>
    </row>
    <row r="3581" spans="1:14" s="5" customFormat="1" ht="15" customHeight="1" x14ac:dyDescent="0.25">
      <c r="A3581" s="9" t="s">
        <v>7026</v>
      </c>
      <c r="C3581" s="9" t="str">
        <f>HYPERLINK("http://www.ncbi.nlm.nih.gov/protein/240255653;240255651","Ilk")</f>
        <v>Ilk</v>
      </c>
      <c r="D3581" s="10">
        <f t="shared" si="55"/>
        <v>4.9407913782628814</v>
      </c>
      <c r="F3581" s="8" t="str">
        <f>HYPERLINK("https://esbl.nhlbi.nih.gov/Databases/mpkFractions/proteomic_fractions_log_files/Yang_log_img/240255653;240255651.jpg","show blot")</f>
        <v>show blot</v>
      </c>
      <c r="H3581" s="8" t="str">
        <f>HYPERLINK("https://esbl.nhlbi.nih.gov/Databases/mpkFractions/proteomic_fractions_linear_files/Yang_linear_img/240255653;240255651.jpg","show blot")</f>
        <v>show blot</v>
      </c>
      <c r="J3581" s="5" t="s">
        <v>7025</v>
      </c>
      <c r="L3581" s="11">
        <v>4.9407913782628814</v>
      </c>
      <c r="N3581" s="12"/>
    </row>
    <row r="3582" spans="1:14" s="5" customFormat="1" ht="15" customHeight="1" x14ac:dyDescent="0.25">
      <c r="A3582" s="9" t="s">
        <v>7027</v>
      </c>
      <c r="C3582" s="9" t="str">
        <f>HYPERLINK("http://www.ncbi.nlm.nih.gov/protein/39930415","Ilkap")</f>
        <v>Ilkap</v>
      </c>
      <c r="D3582" s="10">
        <f t="shared" si="55"/>
        <v>4.2254256744325662</v>
      </c>
      <c r="F3582" s="8" t="str">
        <f>HYPERLINK("https://esbl.nhlbi.nih.gov/Databases/mpkFractions/proteomic_fractions_log_files/Yang_log_img/39930415.jpg","show blot")</f>
        <v>show blot</v>
      </c>
      <c r="H3582" s="8" t="str">
        <f>HYPERLINK("https://esbl.nhlbi.nih.gov/Databases/mpkFractions/proteomic_fractions_linear_files/Yang_linear_img/39930415.jpg","show blot")</f>
        <v>show blot</v>
      </c>
      <c r="J3582" s="5" t="s">
        <v>7028</v>
      </c>
      <c r="L3582" s="11">
        <v>4.2254256744325662</v>
      </c>
      <c r="N3582" s="12"/>
    </row>
    <row r="3583" spans="1:14" s="5" customFormat="1" ht="15" customHeight="1" x14ac:dyDescent="0.25">
      <c r="A3583" s="9" t="s">
        <v>7029</v>
      </c>
      <c r="C3583" s="9" t="str">
        <f>HYPERLINK("http://www.ncbi.nlm.nih.gov/protein/30424591","Ilvbl")</f>
        <v>Ilvbl</v>
      </c>
      <c r="D3583" s="10">
        <f t="shared" si="55"/>
        <v>4.1099362579329286</v>
      </c>
      <c r="F3583" s="8" t="str">
        <f>HYPERLINK("https://esbl.nhlbi.nih.gov/Databases/mpkFractions/proteomic_fractions_log_files/Yang_log_img/30424591.jpg","show blot")</f>
        <v>show blot</v>
      </c>
      <c r="H3583" s="8" t="str">
        <f>HYPERLINK("https://esbl.nhlbi.nih.gov/Databases/mpkFractions/proteomic_fractions_linear_files/Yang_linear_img/30424591.jpg","show blot")</f>
        <v>show blot</v>
      </c>
      <c r="J3583" s="5" t="s">
        <v>7030</v>
      </c>
      <c r="L3583" s="11">
        <v>4.1099362579329286</v>
      </c>
      <c r="N3583" s="12"/>
    </row>
    <row r="3584" spans="1:14" s="5" customFormat="1" ht="15" customHeight="1" x14ac:dyDescent="0.25">
      <c r="A3584" s="9" t="s">
        <v>7031</v>
      </c>
      <c r="C3584" s="9" t="str">
        <f>HYPERLINK("http://www.ncbi.nlm.nih.gov/protein/358439483","Immt")</f>
        <v>Immt</v>
      </c>
      <c r="D3584" s="10">
        <f t="shared" si="55"/>
        <v>5.9147028021343626</v>
      </c>
      <c r="F3584" s="8" t="str">
        <f>HYPERLINK("https://esbl.nhlbi.nih.gov/Databases/mpkFractions/proteomic_fractions_log_files/Yang_log_img/358439483.jpg","show blot")</f>
        <v>show blot</v>
      </c>
      <c r="H3584" s="8" t="str">
        <f>HYPERLINK("https://esbl.nhlbi.nih.gov/Databases/mpkFractions/proteomic_fractions_linear_files/Yang_linear_img/358439483.jpg","show blot")</f>
        <v>show blot</v>
      </c>
      <c r="J3584" s="5" t="s">
        <v>7032</v>
      </c>
      <c r="L3584" s="11">
        <v>5.9147028021343626</v>
      </c>
      <c r="N3584" s="12"/>
    </row>
    <row r="3585" spans="1:14" s="5" customFormat="1" ht="15" customHeight="1" x14ac:dyDescent="0.25">
      <c r="A3585" s="9" t="s">
        <v>7033</v>
      </c>
      <c r="C3585" s="9" t="str">
        <f>HYPERLINK("http://www.ncbi.nlm.nih.gov/protein/358439528","Immt")</f>
        <v>Immt</v>
      </c>
      <c r="D3585" s="10">
        <f t="shared" si="55"/>
        <v>5.9147028021343626</v>
      </c>
      <c r="F3585" s="8" t="str">
        <f>HYPERLINK("https://esbl.nhlbi.nih.gov/Databases/mpkFractions/proteomic_fractions_log_files/Yang_log_img/358439528.jpg","show blot")</f>
        <v>show blot</v>
      </c>
      <c r="H3585" s="8" t="str">
        <f>HYPERLINK("https://esbl.nhlbi.nih.gov/Databases/mpkFractions/proteomic_fractions_linear_files/Yang_linear_img/358439528.jpg","show blot")</f>
        <v>show blot</v>
      </c>
      <c r="J3585" s="5" t="s">
        <v>7034</v>
      </c>
      <c r="L3585" s="11">
        <v>5.9147028021343626</v>
      </c>
      <c r="N3585" s="12"/>
    </row>
    <row r="3586" spans="1:14" s="5" customFormat="1" ht="15" customHeight="1" x14ac:dyDescent="0.25">
      <c r="A3586" s="9" t="s">
        <v>7035</v>
      </c>
      <c r="C3586" s="9" t="str">
        <f>HYPERLINK("http://www.ncbi.nlm.nih.gov/protein/358439536","Immt")</f>
        <v>Immt</v>
      </c>
      <c r="D3586" s="10">
        <f t="shared" si="55"/>
        <v>5.9147028021343626</v>
      </c>
      <c r="F3586" s="8" t="str">
        <f>HYPERLINK("https://esbl.nhlbi.nih.gov/Databases/mpkFractions/proteomic_fractions_log_files/Yang_log_img/358439536.jpg","show blot")</f>
        <v>show blot</v>
      </c>
      <c r="H3586" s="8" t="str">
        <f>HYPERLINK("https://esbl.nhlbi.nih.gov/Databases/mpkFractions/proteomic_fractions_linear_files/Yang_linear_img/358439536.jpg","show blot")</f>
        <v>show blot</v>
      </c>
      <c r="J3586" s="5" t="s">
        <v>7036</v>
      </c>
      <c r="L3586" s="11">
        <v>5.9147028021343626</v>
      </c>
      <c r="N3586" s="12"/>
    </row>
    <row r="3587" spans="1:14" s="5" customFormat="1" ht="15" customHeight="1" x14ac:dyDescent="0.25">
      <c r="A3587" s="9" t="s">
        <v>7037</v>
      </c>
      <c r="C3587" s="9" t="str">
        <f>HYPERLINK("http://www.ncbi.nlm.nih.gov/protein/358439544","Immt")</f>
        <v>Immt</v>
      </c>
      <c r="D3587" s="10">
        <f t="shared" si="55"/>
        <v>5.9147028021343626</v>
      </c>
      <c r="F3587" s="8" t="str">
        <f>HYPERLINK("https://esbl.nhlbi.nih.gov/Databases/mpkFractions/proteomic_fractions_log_files/Yang_log_img/358439544.jpg","show blot")</f>
        <v>show blot</v>
      </c>
      <c r="H3587" s="8" t="str">
        <f>HYPERLINK("https://esbl.nhlbi.nih.gov/Databases/mpkFractions/proteomic_fractions_linear_files/Yang_linear_img/358439544.jpg","show blot")</f>
        <v>show blot</v>
      </c>
      <c r="J3587" s="5" t="s">
        <v>7038</v>
      </c>
      <c r="L3587" s="11">
        <v>5.9147028021343626</v>
      </c>
      <c r="N3587" s="12"/>
    </row>
    <row r="3588" spans="1:14" s="5" customFormat="1" ht="15" customHeight="1" x14ac:dyDescent="0.25">
      <c r="A3588" s="9" t="s">
        <v>7039</v>
      </c>
      <c r="C3588" s="9" t="str">
        <f>HYPERLINK("http://www.ncbi.nlm.nih.gov/protein/358439552","Immt")</f>
        <v>Immt</v>
      </c>
      <c r="D3588" s="10">
        <f t="shared" si="55"/>
        <v>5.9147028021343626</v>
      </c>
      <c r="F3588" s="8" t="str">
        <f>HYPERLINK("https://esbl.nhlbi.nih.gov/Databases/mpkFractions/proteomic_fractions_log_files/Yang_log_img/358439552.jpg","show blot")</f>
        <v>show blot</v>
      </c>
      <c r="H3588" s="8" t="str">
        <f>HYPERLINK("https://esbl.nhlbi.nih.gov/Databases/mpkFractions/proteomic_fractions_linear_files/Yang_linear_img/358439552.jpg","show blot")</f>
        <v>show blot</v>
      </c>
      <c r="J3588" s="5" t="s">
        <v>7040</v>
      </c>
      <c r="L3588" s="11">
        <v>5.9147028021343626</v>
      </c>
      <c r="N3588" s="12"/>
    </row>
    <row r="3589" spans="1:14" s="5" customFormat="1" ht="15" customHeight="1" x14ac:dyDescent="0.25">
      <c r="A3589" s="9" t="s">
        <v>7041</v>
      </c>
      <c r="C3589" s="9" t="str">
        <f>HYPERLINK("http://www.ncbi.nlm.nih.gov/protein/70608131","Immt")</f>
        <v>Immt</v>
      </c>
      <c r="D3589" s="10">
        <f t="shared" ref="D3589:D3652" si="56">L3589</f>
        <v>5.9147028021343626</v>
      </c>
      <c r="F3589" s="8" t="str">
        <f>HYPERLINK("https://esbl.nhlbi.nih.gov/Databases/mpkFractions/proteomic_fractions_log_files/Yang_log_img/70608131.jpg","show blot")</f>
        <v>show blot</v>
      </c>
      <c r="H3589" s="8" t="str">
        <f>HYPERLINK("https://esbl.nhlbi.nih.gov/Databases/mpkFractions/proteomic_fractions_linear_files/Yang_linear_img/70608131.jpg","show blot")</f>
        <v>show blot</v>
      </c>
      <c r="J3589" s="5" t="s">
        <v>7042</v>
      </c>
      <c r="L3589" s="11">
        <v>5.9147028021343626</v>
      </c>
      <c r="N3589" s="12"/>
    </row>
    <row r="3590" spans="1:14" s="5" customFormat="1" ht="15" customHeight="1" x14ac:dyDescent="0.25">
      <c r="A3590" s="9" t="s">
        <v>7043</v>
      </c>
      <c r="C3590" s="9" t="str">
        <f>HYPERLINK("http://www.ncbi.nlm.nih.gov/protein/19527196","Imp3")</f>
        <v>Imp3</v>
      </c>
      <c r="D3590" s="10">
        <f t="shared" si="56"/>
        <v>4.6781620317068224</v>
      </c>
      <c r="F3590" s="8" t="str">
        <f>HYPERLINK("https://esbl.nhlbi.nih.gov/Databases/mpkFractions/proteomic_fractions_log_files/Yang_log_img/19527196.jpg","show blot")</f>
        <v>show blot</v>
      </c>
      <c r="H3590" s="8" t="str">
        <f>HYPERLINK("https://esbl.nhlbi.nih.gov/Databases/mpkFractions/proteomic_fractions_linear_files/Yang_linear_img/19527196.jpg","show blot")</f>
        <v>show blot</v>
      </c>
      <c r="J3590" s="5" t="s">
        <v>7044</v>
      </c>
      <c r="L3590" s="11">
        <v>4.6781620317068224</v>
      </c>
      <c r="N3590" s="12"/>
    </row>
    <row r="3591" spans="1:14" s="5" customFormat="1" ht="15" customHeight="1" x14ac:dyDescent="0.25">
      <c r="A3591" s="9" t="s">
        <v>7045</v>
      </c>
      <c r="C3591" s="9" t="str">
        <f>HYPERLINK("http://www.ncbi.nlm.nih.gov/protein/31980942","Impa1")</f>
        <v>Impa1</v>
      </c>
      <c r="D3591" s="10">
        <f t="shared" si="56"/>
        <v>6.2870048199512514</v>
      </c>
      <c r="F3591" s="8" t="str">
        <f>HYPERLINK("https://esbl.nhlbi.nih.gov/Databases/mpkFractions/proteomic_fractions_log_files/Yang_log_img/31980942.jpg","show blot")</f>
        <v>show blot</v>
      </c>
      <c r="H3591" s="8" t="str">
        <f>HYPERLINK("https://esbl.nhlbi.nih.gov/Databases/mpkFractions/proteomic_fractions_linear_files/Yang_linear_img/31980942.jpg","show blot")</f>
        <v>show blot</v>
      </c>
      <c r="J3591" s="5" t="s">
        <v>7046</v>
      </c>
      <c r="L3591" s="11">
        <v>6.2870048199512514</v>
      </c>
      <c r="N3591" s="12"/>
    </row>
    <row r="3592" spans="1:14" s="5" customFormat="1" ht="15" customHeight="1" x14ac:dyDescent="0.25">
      <c r="A3592" s="9" t="s">
        <v>7047</v>
      </c>
      <c r="C3592" s="9" t="str">
        <f>HYPERLINK("http://www.ncbi.nlm.nih.gov/protein/16716595","Impa2")</f>
        <v>Impa2</v>
      </c>
      <c r="D3592" s="10">
        <f t="shared" si="56"/>
        <v>4.8982705446568193</v>
      </c>
      <c r="F3592" s="8" t="str">
        <f>HYPERLINK("https://esbl.nhlbi.nih.gov/Databases/mpkFractions/proteomic_fractions_log_files/Yang_log_img/16716595.jpg","show blot")</f>
        <v>show blot</v>
      </c>
      <c r="H3592" s="8" t="str">
        <f>HYPERLINK("https://esbl.nhlbi.nih.gov/Databases/mpkFractions/proteomic_fractions_linear_files/Yang_linear_img/16716595.jpg","show blot")</f>
        <v>show blot</v>
      </c>
      <c r="J3592" s="5" t="s">
        <v>7048</v>
      </c>
      <c r="L3592" s="11">
        <v>4.8982705446568193</v>
      </c>
      <c r="N3592" s="12"/>
    </row>
    <row r="3593" spans="1:14" s="5" customFormat="1" ht="15" customHeight="1" x14ac:dyDescent="0.25">
      <c r="A3593" s="9" t="s">
        <v>7049</v>
      </c>
      <c r="C3593" s="9" t="str">
        <f>HYPERLINK("http://www.ncbi.nlm.nih.gov/protein/29244210","Impad1")</f>
        <v>Impad1</v>
      </c>
      <c r="D3593" s="10">
        <f t="shared" si="56"/>
        <v>4.1313369472829704</v>
      </c>
      <c r="F3593" s="8" t="str">
        <f>HYPERLINK("https://esbl.nhlbi.nih.gov/Databases/mpkFractions/proteomic_fractions_log_files/Yang_log_img/29244210.jpg","show blot")</f>
        <v>show blot</v>
      </c>
      <c r="H3593" s="8" t="str">
        <f>HYPERLINK("https://esbl.nhlbi.nih.gov/Databases/mpkFractions/proteomic_fractions_linear_files/Yang_linear_img/29244210.jpg","show blot")</f>
        <v>show blot</v>
      </c>
      <c r="J3593" s="5" t="s">
        <v>7050</v>
      </c>
      <c r="L3593" s="11">
        <v>4.1313369472829704</v>
      </c>
      <c r="N3593" s="12"/>
    </row>
    <row r="3594" spans="1:14" s="5" customFormat="1" ht="15" customHeight="1" x14ac:dyDescent="0.25">
      <c r="A3594" s="9" t="s">
        <v>7051</v>
      </c>
      <c r="C3594" s="9" t="str">
        <f>HYPERLINK("http://www.ncbi.nlm.nih.gov/protein/34328209","Impdh1")</f>
        <v>Impdh1</v>
      </c>
      <c r="D3594" s="10">
        <f t="shared" si="56"/>
        <v>4.5454764710108773</v>
      </c>
      <c r="F3594" s="8" t="str">
        <f>HYPERLINK("https://esbl.nhlbi.nih.gov/Databases/mpkFractions/proteomic_fractions_log_files/Yang_log_img/34328209.jpg","show blot")</f>
        <v>show blot</v>
      </c>
      <c r="H3594" s="8" t="str">
        <f>HYPERLINK("https://esbl.nhlbi.nih.gov/Databases/mpkFractions/proteomic_fractions_linear_files/Yang_linear_img/34328209.jpg","show blot")</f>
        <v>show blot</v>
      </c>
      <c r="J3594" s="5" t="s">
        <v>7052</v>
      </c>
      <c r="L3594" s="11">
        <v>4.5454764710108773</v>
      </c>
      <c r="N3594" s="12"/>
    </row>
    <row r="3595" spans="1:14" s="5" customFormat="1" ht="15" customHeight="1" x14ac:dyDescent="0.25">
      <c r="A3595" s="9" t="s">
        <v>7053</v>
      </c>
      <c r="C3595" s="9" t="str">
        <f>HYPERLINK("http://www.ncbi.nlm.nih.gov/protein/31981382","Impdh2")</f>
        <v>Impdh2</v>
      </c>
      <c r="D3595" s="10">
        <f t="shared" si="56"/>
        <v>5.873332467740175</v>
      </c>
      <c r="F3595" s="8" t="str">
        <f>HYPERLINK("https://esbl.nhlbi.nih.gov/Databases/mpkFractions/proteomic_fractions_log_files/Yang_log_img/31981382.jpg","show blot")</f>
        <v>show blot</v>
      </c>
      <c r="H3595" s="8" t="str">
        <f>HYPERLINK("https://esbl.nhlbi.nih.gov/Databases/mpkFractions/proteomic_fractions_linear_files/Yang_linear_img/31981382.jpg","show blot")</f>
        <v>show blot</v>
      </c>
      <c r="J3595" s="5" t="s">
        <v>7054</v>
      </c>
      <c r="L3595" s="11">
        <v>5.873332467740175</v>
      </c>
      <c r="N3595" s="12"/>
    </row>
    <row r="3596" spans="1:14" s="5" customFormat="1" ht="15" customHeight="1" x14ac:dyDescent="0.25">
      <c r="A3596" s="9" t="s">
        <v>7055</v>
      </c>
      <c r="C3596" s="9" t="str">
        <f>HYPERLINK("http://www.ncbi.nlm.nih.gov/protein/55769576","Inadl")</f>
        <v>Inadl</v>
      </c>
      <c r="D3596" s="10">
        <f t="shared" si="56"/>
        <v>3.695375009409962</v>
      </c>
      <c r="F3596" s="8" t="str">
        <f>HYPERLINK("https://esbl.nhlbi.nih.gov/Databases/mpkFractions/proteomic_fractions_log_files/Yang_log_img/55769576.jpg","show blot")</f>
        <v>show blot</v>
      </c>
      <c r="H3596" s="8" t="str">
        <f>HYPERLINK("https://esbl.nhlbi.nih.gov/Databases/mpkFractions/proteomic_fractions_linear_files/Yang_linear_img/55769576.jpg","show blot")</f>
        <v>show blot</v>
      </c>
      <c r="J3596" s="5" t="s">
        <v>7056</v>
      </c>
      <c r="L3596" s="11">
        <v>3.695375009409962</v>
      </c>
      <c r="N3596" s="12"/>
    </row>
    <row r="3597" spans="1:14" s="5" customFormat="1" ht="15" customHeight="1" x14ac:dyDescent="0.25">
      <c r="A3597" s="9" t="s">
        <v>7057</v>
      </c>
      <c r="C3597" s="9" t="str">
        <f>HYPERLINK("http://www.ncbi.nlm.nih.gov/protein/55769581","Inadl")</f>
        <v>Inadl</v>
      </c>
      <c r="D3597" s="10">
        <f t="shared" si="56"/>
        <v>3.695375009409962</v>
      </c>
      <c r="F3597" s="8" t="str">
        <f>HYPERLINK("https://esbl.nhlbi.nih.gov/Databases/mpkFractions/proteomic_fractions_log_files/Yang_log_img/55769581.jpg","show blot")</f>
        <v>show blot</v>
      </c>
      <c r="H3597" s="8" t="str">
        <f>HYPERLINK("https://esbl.nhlbi.nih.gov/Databases/mpkFractions/proteomic_fractions_linear_files/Yang_linear_img/55769581.jpg","show blot")</f>
        <v>show blot</v>
      </c>
      <c r="J3597" s="5" t="s">
        <v>7058</v>
      </c>
      <c r="L3597" s="11">
        <v>3.695375009409962</v>
      </c>
      <c r="N3597" s="12"/>
    </row>
    <row r="3598" spans="1:14" s="5" customFormat="1" ht="15" customHeight="1" x14ac:dyDescent="0.25">
      <c r="A3598" s="9" t="s">
        <v>7059</v>
      </c>
      <c r="C3598" s="9" t="str">
        <f>HYPERLINK("http://www.ncbi.nlm.nih.gov/protein/6671754","Inadl")</f>
        <v>Inadl</v>
      </c>
      <c r="D3598" s="10">
        <f t="shared" si="56"/>
        <v>3.695375009409962</v>
      </c>
      <c r="F3598" s="8" t="str">
        <f>HYPERLINK("https://esbl.nhlbi.nih.gov/Databases/mpkFractions/proteomic_fractions_log_files/Yang_log_img/6671754.jpg","show blot")</f>
        <v>show blot</v>
      </c>
      <c r="H3598" s="8" t="str">
        <f>HYPERLINK("https://esbl.nhlbi.nih.gov/Databases/mpkFractions/proteomic_fractions_linear_files/Yang_linear_img/6671754.jpg","show blot")</f>
        <v>show blot</v>
      </c>
      <c r="J3598" s="5" t="s">
        <v>7060</v>
      </c>
      <c r="L3598" s="11">
        <v>3.695375009409962</v>
      </c>
      <c r="N3598" s="12"/>
    </row>
    <row r="3599" spans="1:14" s="5" customFormat="1" ht="15" customHeight="1" x14ac:dyDescent="0.25">
      <c r="A3599" s="9" t="s">
        <v>7061</v>
      </c>
      <c r="C3599" s="9" t="str">
        <f>HYPERLINK("http://www.ncbi.nlm.nih.gov/protein/55769578","Inadl")</f>
        <v>Inadl</v>
      </c>
      <c r="D3599" s="10">
        <f t="shared" si="56"/>
        <v>3.695375009409962</v>
      </c>
      <c r="F3599" s="8" t="str">
        <f>HYPERLINK("https://esbl.nhlbi.nih.gov/Databases/mpkFractions/proteomic_fractions_log_files/Yang_log_img/55769578.jpg","show blot")</f>
        <v>show blot</v>
      </c>
      <c r="H3599" s="8" t="str">
        <f>HYPERLINK("https://esbl.nhlbi.nih.gov/Databases/mpkFractions/proteomic_fractions_linear_files/Yang_linear_img/55769578.jpg","show blot")</f>
        <v>show blot</v>
      </c>
      <c r="J3599" s="5" t="s">
        <v>7062</v>
      </c>
      <c r="L3599" s="11">
        <v>3.695375009409962</v>
      </c>
      <c r="N3599" s="12"/>
    </row>
    <row r="3600" spans="1:14" s="5" customFormat="1" ht="15" customHeight="1" x14ac:dyDescent="0.25">
      <c r="A3600" s="9" t="s">
        <v>7063</v>
      </c>
      <c r="C3600" s="9" t="str">
        <f>HYPERLINK("http://www.ncbi.nlm.nih.gov/protein/114052809","Inf2")</f>
        <v>Inf2</v>
      </c>
      <c r="D3600" s="10">
        <f t="shared" si="56"/>
        <v>3.4581831007197281</v>
      </c>
      <c r="F3600" s="8" t="str">
        <f>HYPERLINK("https://esbl.nhlbi.nih.gov/Databases/mpkFractions/proteomic_fractions_log_files/Yang_log_img/114052809.jpg","show blot")</f>
        <v>show blot</v>
      </c>
      <c r="H3600" s="8" t="str">
        <f>HYPERLINK("https://esbl.nhlbi.nih.gov/Databases/mpkFractions/proteomic_fractions_linear_files/Yang_linear_img/114052809.jpg","show blot")</f>
        <v>show blot</v>
      </c>
      <c r="J3600" s="5" t="s">
        <v>7064</v>
      </c>
      <c r="L3600" s="11">
        <v>3.4581831007197281</v>
      </c>
      <c r="N3600" s="12"/>
    </row>
    <row r="3601" spans="1:14" s="5" customFormat="1" ht="15" customHeight="1" x14ac:dyDescent="0.25">
      <c r="A3601" s="9" t="s">
        <v>7065</v>
      </c>
      <c r="C3601" s="9" t="str">
        <f>HYPERLINK("http://www.ncbi.nlm.nih.gov/protein/6678281","Inmt")</f>
        <v>Inmt</v>
      </c>
      <c r="D3601" s="10">
        <f t="shared" si="56"/>
        <v>6.4608880046945849</v>
      </c>
      <c r="F3601" s="8" t="str">
        <f>HYPERLINK("https://esbl.nhlbi.nih.gov/Databases/mpkFractions/proteomic_fractions_log_files/Yang_log_img/6678281.jpg","show blot")</f>
        <v>show blot</v>
      </c>
      <c r="H3601" s="8" t="str">
        <f>HYPERLINK("https://esbl.nhlbi.nih.gov/Databases/mpkFractions/proteomic_fractions_linear_files/Yang_linear_img/6678281.jpg","show blot")</f>
        <v>show blot</v>
      </c>
      <c r="J3601" s="5" t="s">
        <v>7066</v>
      </c>
      <c r="L3601" s="11">
        <v>6.4608880046945849</v>
      </c>
      <c r="N3601" s="12"/>
    </row>
    <row r="3602" spans="1:14" s="5" customFormat="1" ht="15" customHeight="1" x14ac:dyDescent="0.25">
      <c r="A3602" s="9" t="s">
        <v>7067</v>
      </c>
      <c r="C3602" s="9" t="str">
        <f>HYPERLINK("http://www.ncbi.nlm.nih.gov/protein/170650609","Inpp1")</f>
        <v>Inpp1</v>
      </c>
      <c r="D3602" s="10">
        <f t="shared" si="56"/>
        <v>5.2048197397317324</v>
      </c>
      <c r="F3602" s="8" t="str">
        <f>HYPERLINK("https://esbl.nhlbi.nih.gov/Databases/mpkFractions/proteomic_fractions_log_files/Yang_log_img/170650609.jpg","show blot")</f>
        <v>show blot</v>
      </c>
      <c r="H3602" s="8" t="str">
        <f>HYPERLINK("https://esbl.nhlbi.nih.gov/Databases/mpkFractions/proteomic_fractions_linear_files/Yang_linear_img/170650609.jpg","show blot")</f>
        <v>show blot</v>
      </c>
      <c r="J3602" s="5" t="s">
        <v>7068</v>
      </c>
      <c r="L3602" s="11">
        <v>5.2048197397317324</v>
      </c>
      <c r="N3602" s="12"/>
    </row>
    <row r="3603" spans="1:14" s="5" customFormat="1" ht="15" customHeight="1" x14ac:dyDescent="0.25">
      <c r="A3603" s="9" t="s">
        <v>7069</v>
      </c>
      <c r="C3603" s="9" t="str">
        <f>HYPERLINK("http://www.ncbi.nlm.nih.gov/protein/158853999","Inpp5d")</f>
        <v>Inpp5d</v>
      </c>
      <c r="D3603" s="10">
        <f t="shared" si="56"/>
        <v>4.0060408339774023</v>
      </c>
      <c r="F3603" s="8" t="str">
        <f>HYPERLINK("https://esbl.nhlbi.nih.gov/Databases/mpkFractions/proteomic_fractions_log_files/Yang_log_img/158853999.jpg","show blot")</f>
        <v>show blot</v>
      </c>
      <c r="H3603" s="8" t="str">
        <f>HYPERLINK("https://esbl.nhlbi.nih.gov/Databases/mpkFractions/proteomic_fractions_linear_files/Yang_linear_img/158853999.jpg","show blot")</f>
        <v>show blot</v>
      </c>
      <c r="J3603" s="5" t="s">
        <v>7070</v>
      </c>
      <c r="L3603" s="11">
        <v>4.0060408339774023</v>
      </c>
      <c r="N3603" s="12"/>
    </row>
    <row r="3604" spans="1:14" s="5" customFormat="1" ht="15" customHeight="1" x14ac:dyDescent="0.25">
      <c r="A3604" s="9" t="s">
        <v>7071</v>
      </c>
      <c r="C3604" s="9" t="str">
        <f>HYPERLINK("http://www.ncbi.nlm.nih.gov/protein/158854001","Inpp5d")</f>
        <v>Inpp5d</v>
      </c>
      <c r="D3604" s="10">
        <f t="shared" si="56"/>
        <v>4.0060408339774023</v>
      </c>
      <c r="F3604" s="8" t="str">
        <f>HYPERLINK("https://esbl.nhlbi.nih.gov/Databases/mpkFractions/proteomic_fractions_log_files/Yang_log_img/158854001.jpg","show blot")</f>
        <v>show blot</v>
      </c>
      <c r="H3604" s="8" t="str">
        <f>HYPERLINK("https://esbl.nhlbi.nih.gov/Databases/mpkFractions/proteomic_fractions_linear_files/Yang_linear_img/158854001.jpg","show blot")</f>
        <v>show blot</v>
      </c>
      <c r="J3604" s="5" t="s">
        <v>7072</v>
      </c>
      <c r="L3604" s="11">
        <v>4.0060408339774023</v>
      </c>
      <c r="N3604" s="12"/>
    </row>
    <row r="3605" spans="1:14" s="5" customFormat="1" ht="15" customHeight="1" x14ac:dyDescent="0.25">
      <c r="A3605" s="9" t="s">
        <v>7073</v>
      </c>
      <c r="C3605" s="9" t="str">
        <f>HYPERLINK("http://www.ncbi.nlm.nih.gov/protein/158854003","Inpp5d")</f>
        <v>Inpp5d</v>
      </c>
      <c r="D3605" s="10">
        <f t="shared" si="56"/>
        <v>4.0060408339774023</v>
      </c>
      <c r="F3605" s="8" t="str">
        <f>HYPERLINK("https://esbl.nhlbi.nih.gov/Databases/mpkFractions/proteomic_fractions_log_files/Yang_log_img/158854003.jpg","show blot")</f>
        <v>show blot</v>
      </c>
      <c r="H3605" s="8" t="str">
        <f>HYPERLINK("https://esbl.nhlbi.nih.gov/Databases/mpkFractions/proteomic_fractions_linear_files/Yang_linear_img/158854003.jpg","show blot")</f>
        <v>show blot</v>
      </c>
      <c r="J3605" s="5" t="s">
        <v>7074</v>
      </c>
      <c r="L3605" s="11">
        <v>4.0060408339774023</v>
      </c>
      <c r="N3605" s="12"/>
    </row>
    <row r="3606" spans="1:14" s="5" customFormat="1" ht="15" customHeight="1" x14ac:dyDescent="0.25">
      <c r="A3606" s="9" t="s">
        <v>7075</v>
      </c>
      <c r="C3606" s="9" t="str">
        <f>HYPERLINK("http://www.ncbi.nlm.nih.gov/protein/170172575","Inppl1")</f>
        <v>Inppl1</v>
      </c>
      <c r="D3606" s="10">
        <f t="shared" si="56"/>
        <v>5.1137553573715264</v>
      </c>
      <c r="F3606" s="8" t="str">
        <f>HYPERLINK("https://esbl.nhlbi.nih.gov/Databases/mpkFractions/proteomic_fractions_log_files/Yang_log_img/170172575.jpg","show blot")</f>
        <v>show blot</v>
      </c>
      <c r="H3606" s="8" t="str">
        <f>HYPERLINK("https://esbl.nhlbi.nih.gov/Databases/mpkFractions/proteomic_fractions_linear_files/Yang_linear_img/170172575.jpg","show blot")</f>
        <v>show blot</v>
      </c>
      <c r="J3606" s="5" t="s">
        <v>7076</v>
      </c>
      <c r="L3606" s="11">
        <v>5.1137553573715264</v>
      </c>
      <c r="N3606" s="12"/>
    </row>
    <row r="3607" spans="1:14" s="5" customFormat="1" ht="15" customHeight="1" x14ac:dyDescent="0.25">
      <c r="A3607" s="9" t="s">
        <v>7077</v>
      </c>
      <c r="C3607" s="9" t="str">
        <f>HYPERLINK("http://www.ncbi.nlm.nih.gov/protein/157057178","Insr")</f>
        <v>Insr</v>
      </c>
      <c r="D3607" s="10">
        <f t="shared" si="56"/>
        <v>3.0425777388256692</v>
      </c>
      <c r="F3607" s="8" t="str">
        <f>HYPERLINK("https://esbl.nhlbi.nih.gov/Databases/mpkFractions/proteomic_fractions_log_files/Yang_log_img/157057178.jpg","show blot")</f>
        <v>show blot</v>
      </c>
      <c r="H3607" s="8" t="str">
        <f>HYPERLINK("https://esbl.nhlbi.nih.gov/Databases/mpkFractions/proteomic_fractions_linear_files/Yang_linear_img/157057178.jpg","show blot")</f>
        <v>show blot</v>
      </c>
      <c r="J3607" s="5" t="s">
        <v>7078</v>
      </c>
      <c r="L3607" s="11">
        <v>3.0425777388256692</v>
      </c>
      <c r="N3607" s="12"/>
    </row>
    <row r="3608" spans="1:14" s="5" customFormat="1" ht="15" customHeight="1" x14ac:dyDescent="0.25">
      <c r="A3608" s="9" t="s">
        <v>7079</v>
      </c>
      <c r="C3608" s="9" t="str">
        <f>HYPERLINK("http://www.ncbi.nlm.nih.gov/protein/160333073","Insrr")</f>
        <v>Insrr</v>
      </c>
      <c r="D3608" s="10">
        <f t="shared" si="56"/>
        <v>2.2329579257016081</v>
      </c>
      <c r="F3608" s="8" t="str">
        <f>HYPERLINK("https://esbl.nhlbi.nih.gov/Databases/mpkFractions/proteomic_fractions_log_files/Yang_log_img/160333073.jpg","show blot")</f>
        <v>show blot</v>
      </c>
      <c r="H3608" s="8" t="str">
        <f>HYPERLINK("https://esbl.nhlbi.nih.gov/Databases/mpkFractions/proteomic_fractions_linear_files/Yang_linear_img/160333073.jpg","show blot")</f>
        <v>show blot</v>
      </c>
      <c r="J3608" s="5" t="s">
        <v>7080</v>
      </c>
      <c r="L3608" s="11">
        <v>2.2329579257016081</v>
      </c>
      <c r="N3608" s="12"/>
    </row>
    <row r="3609" spans="1:14" s="5" customFormat="1" ht="15" customHeight="1" x14ac:dyDescent="0.25">
      <c r="A3609" s="9" t="s">
        <v>7081</v>
      </c>
      <c r="C3609" s="9" t="str">
        <f>HYPERLINK("http://www.ncbi.nlm.nih.gov/protein/294832004","Ints1")</f>
        <v>Ints1</v>
      </c>
      <c r="D3609" s="10">
        <f t="shared" si="56"/>
        <v>1.385144810431608</v>
      </c>
      <c r="F3609" s="8" t="str">
        <f>HYPERLINK("https://esbl.nhlbi.nih.gov/Databases/mpkFractions/proteomic_fractions_log_files/Yang_log_img/294832004.jpg","show blot")</f>
        <v>show blot</v>
      </c>
      <c r="H3609" s="8" t="str">
        <f>HYPERLINK("https://esbl.nhlbi.nih.gov/Databases/mpkFractions/proteomic_fractions_linear_files/Yang_linear_img/294832004.jpg","show blot")</f>
        <v>show blot</v>
      </c>
      <c r="J3609" s="5" t="s">
        <v>7082</v>
      </c>
      <c r="L3609" s="11">
        <v>1.385144810431608</v>
      </c>
      <c r="N3609" s="12"/>
    </row>
    <row r="3610" spans="1:14" s="5" customFormat="1" ht="15" customHeight="1" x14ac:dyDescent="0.25">
      <c r="A3610" s="9" t="s">
        <v>7083</v>
      </c>
      <c r="C3610" s="9" t="str">
        <f>HYPERLINK("http://www.ncbi.nlm.nih.gov/protein/21313674","Ints12")</f>
        <v>Ints12</v>
      </c>
      <c r="D3610" s="10">
        <f t="shared" si="56"/>
        <v>2.4268002779225939</v>
      </c>
      <c r="F3610" s="8" t="str">
        <f>HYPERLINK("https://esbl.nhlbi.nih.gov/Databases/mpkFractions/proteomic_fractions_log_files/Yang_log_img/21313674.jpg","show blot")</f>
        <v>show blot</v>
      </c>
      <c r="H3610" s="8" t="str">
        <f>HYPERLINK("https://esbl.nhlbi.nih.gov/Databases/mpkFractions/proteomic_fractions_linear_files/Yang_linear_img/21313674.jpg","show blot")</f>
        <v>show blot</v>
      </c>
      <c r="J3610" s="5" t="s">
        <v>7084</v>
      </c>
      <c r="L3610" s="11">
        <v>2.4268002779225939</v>
      </c>
      <c r="N3610" s="12"/>
    </row>
    <row r="3611" spans="1:14" s="5" customFormat="1" ht="15" customHeight="1" x14ac:dyDescent="0.25">
      <c r="A3611" s="9" t="s">
        <v>7085</v>
      </c>
      <c r="C3611" s="9" t="str">
        <f>HYPERLINK("http://www.ncbi.nlm.nih.gov/protein/31652266","Ints3")</f>
        <v>Ints3</v>
      </c>
      <c r="D3611" s="10">
        <f t="shared" si="56"/>
        <v>3.9409104862463331</v>
      </c>
      <c r="F3611" s="8" t="str">
        <f>HYPERLINK("https://esbl.nhlbi.nih.gov/Databases/mpkFractions/proteomic_fractions_log_files/Yang_log_img/31652266.jpg","show blot")</f>
        <v>show blot</v>
      </c>
      <c r="H3611" s="8" t="str">
        <f>HYPERLINK("https://esbl.nhlbi.nih.gov/Databases/mpkFractions/proteomic_fractions_linear_files/Yang_linear_img/31652266.jpg","show blot")</f>
        <v>show blot</v>
      </c>
      <c r="J3611" s="5" t="s">
        <v>7086</v>
      </c>
      <c r="L3611" s="11">
        <v>3.9409104862463331</v>
      </c>
      <c r="N3611" s="12"/>
    </row>
    <row r="3612" spans="1:14" s="5" customFormat="1" ht="15" customHeight="1" x14ac:dyDescent="0.25">
      <c r="A3612" s="9" t="s">
        <v>7087</v>
      </c>
      <c r="C3612" s="9" t="str">
        <f>HYPERLINK("http://www.ncbi.nlm.nih.gov/protein/30794414","Ints4")</f>
        <v>Ints4</v>
      </c>
      <c r="D3612" s="10">
        <f t="shared" si="56"/>
        <v>3.3806929466967959</v>
      </c>
      <c r="F3612" s="8" t="str">
        <f>HYPERLINK("https://esbl.nhlbi.nih.gov/Databases/mpkFractions/proteomic_fractions_log_files/Yang_log_img/30794414.jpg","show blot")</f>
        <v>show blot</v>
      </c>
      <c r="H3612" s="8" t="str">
        <f>HYPERLINK("https://esbl.nhlbi.nih.gov/Databases/mpkFractions/proteomic_fractions_linear_files/Yang_linear_img/30794414.jpg","show blot")</f>
        <v>show blot</v>
      </c>
      <c r="J3612" s="5" t="s">
        <v>7088</v>
      </c>
      <c r="L3612" s="11">
        <v>3.3806929466967959</v>
      </c>
      <c r="N3612" s="12"/>
    </row>
    <row r="3613" spans="1:14" s="5" customFormat="1" ht="15" customHeight="1" x14ac:dyDescent="0.25">
      <c r="A3613" s="9" t="s">
        <v>7089</v>
      </c>
      <c r="C3613" s="9" t="str">
        <f>HYPERLINK("http://www.ncbi.nlm.nih.gov/protein/28849895","Ints5")</f>
        <v>Ints5</v>
      </c>
      <c r="D3613" s="10">
        <f t="shared" si="56"/>
        <v>1.843082748778931</v>
      </c>
      <c r="F3613" s="8" t="str">
        <f>HYPERLINK("https://esbl.nhlbi.nih.gov/Databases/mpkFractions/proteomic_fractions_log_files/Yang_log_img/28849895.jpg","show blot")</f>
        <v>show blot</v>
      </c>
      <c r="H3613" s="8" t="str">
        <f>HYPERLINK("https://esbl.nhlbi.nih.gov/Databases/mpkFractions/proteomic_fractions_linear_files/Yang_linear_img/28849895.jpg","show blot")</f>
        <v>show blot</v>
      </c>
      <c r="J3613" s="5" t="s">
        <v>7090</v>
      </c>
      <c r="L3613" s="11">
        <v>1.843082748778931</v>
      </c>
      <c r="N3613" s="12"/>
    </row>
    <row r="3614" spans="1:14" s="5" customFormat="1" ht="15" customHeight="1" x14ac:dyDescent="0.25">
      <c r="A3614" s="9" t="s">
        <v>7091</v>
      </c>
      <c r="C3614" s="9" t="str">
        <f>HYPERLINK("http://www.ncbi.nlm.nih.gov/protein/153791768","Ints7")</f>
        <v>Ints7</v>
      </c>
      <c r="D3614" s="10">
        <f t="shared" si="56"/>
        <v>3.2599196366725272</v>
      </c>
      <c r="F3614" s="8" t="str">
        <f>HYPERLINK("https://esbl.nhlbi.nih.gov/Databases/mpkFractions/proteomic_fractions_log_files/Yang_log_img/153791768.jpg","show blot")</f>
        <v>show blot</v>
      </c>
      <c r="H3614" s="8" t="str">
        <f>HYPERLINK("https://esbl.nhlbi.nih.gov/Databases/mpkFractions/proteomic_fractions_linear_files/Yang_linear_img/153791768.jpg","show blot")</f>
        <v>show blot</v>
      </c>
      <c r="J3614" s="5" t="s">
        <v>7092</v>
      </c>
      <c r="L3614" s="11">
        <v>3.2599196366725272</v>
      </c>
      <c r="N3614" s="12"/>
    </row>
    <row r="3615" spans="1:14" s="5" customFormat="1" ht="15" customHeight="1" x14ac:dyDescent="0.25">
      <c r="A3615" s="9" t="s">
        <v>7093</v>
      </c>
      <c r="C3615" s="9" t="str">
        <f>HYPERLINK("http://www.ncbi.nlm.nih.gov/protein/31981980","Ints9")</f>
        <v>Ints9</v>
      </c>
      <c r="D3615" s="10">
        <f t="shared" si="56"/>
        <v>3.5602059581397132</v>
      </c>
      <c r="F3615" s="8" t="str">
        <f>HYPERLINK("https://esbl.nhlbi.nih.gov/Databases/mpkFractions/proteomic_fractions_log_files/Yang_log_img/31981980.jpg","show blot")</f>
        <v>show blot</v>
      </c>
      <c r="H3615" s="8" t="str">
        <f>HYPERLINK("https://esbl.nhlbi.nih.gov/Databases/mpkFractions/proteomic_fractions_linear_files/Yang_linear_img/31981980.jpg","show blot")</f>
        <v>show blot</v>
      </c>
      <c r="J3615" s="5" t="s">
        <v>7094</v>
      </c>
      <c r="L3615" s="11">
        <v>3.5602059581397132</v>
      </c>
      <c r="N3615" s="12"/>
    </row>
    <row r="3616" spans="1:14" s="5" customFormat="1" ht="15" customHeight="1" x14ac:dyDescent="0.25">
      <c r="A3616" s="9" t="s">
        <v>7095</v>
      </c>
      <c r="C3616" s="9" t="str">
        <f>HYPERLINK("http://www.ncbi.nlm.nih.gov/protein/359279877","Ints9")</f>
        <v>Ints9</v>
      </c>
      <c r="D3616" s="10">
        <f t="shared" si="56"/>
        <v>3.5602059581397132</v>
      </c>
      <c r="F3616" s="8" t="str">
        <f>HYPERLINK("https://esbl.nhlbi.nih.gov/Databases/mpkFractions/proteomic_fractions_log_files/Yang_log_img/359279877.jpg","show blot")</f>
        <v>show blot</v>
      </c>
      <c r="H3616" s="8" t="str">
        <f>HYPERLINK("https://esbl.nhlbi.nih.gov/Databases/mpkFractions/proteomic_fractions_linear_files/Yang_linear_img/359279877.jpg","show blot")</f>
        <v>show blot</v>
      </c>
      <c r="J3616" s="5" t="s">
        <v>7096</v>
      </c>
      <c r="L3616" s="11">
        <v>3.5602059581397132</v>
      </c>
      <c r="N3616" s="12"/>
    </row>
    <row r="3617" spans="1:14" s="5" customFormat="1" ht="15" customHeight="1" x14ac:dyDescent="0.25">
      <c r="A3617" s="9" t="s">
        <v>7097</v>
      </c>
      <c r="C3617" s="9" t="str">
        <f>HYPERLINK("http://www.ncbi.nlm.nih.gov/protein/111120342","Invs")</f>
        <v>Invs</v>
      </c>
      <c r="D3617" s="10">
        <f t="shared" si="56"/>
        <v>3.672750691522106</v>
      </c>
      <c r="F3617" s="8" t="str">
        <f>HYPERLINK("https://esbl.nhlbi.nih.gov/Databases/mpkFractions/proteomic_fractions_log_files/Yang_log_img/111120342.jpg","show blot")</f>
        <v>show blot</v>
      </c>
      <c r="H3617" s="8" t="str">
        <f>HYPERLINK("https://esbl.nhlbi.nih.gov/Databases/mpkFractions/proteomic_fractions_linear_files/Yang_linear_img/111120342.jpg","show blot")</f>
        <v>show blot</v>
      </c>
      <c r="J3617" s="5" t="s">
        <v>7098</v>
      </c>
      <c r="L3617" s="11">
        <v>3.672750691522106</v>
      </c>
      <c r="N3617" s="12"/>
    </row>
    <row r="3618" spans="1:14" s="5" customFormat="1" ht="15" customHeight="1" x14ac:dyDescent="0.25">
      <c r="A3618" s="9" t="s">
        <v>7099</v>
      </c>
      <c r="C3618" s="9" t="str">
        <f>HYPERLINK("http://www.ncbi.nlm.nih.gov/protein/31541898","Ipo11")</f>
        <v>Ipo11</v>
      </c>
      <c r="D3618" s="10">
        <f t="shared" si="56"/>
        <v>4.0883002667181714</v>
      </c>
      <c r="F3618" s="8" t="str">
        <f>HYPERLINK("https://esbl.nhlbi.nih.gov/Databases/mpkFractions/proteomic_fractions_log_files/Yang_log_img/31541898.jpg","show blot")</f>
        <v>show blot</v>
      </c>
      <c r="H3618" s="8" t="str">
        <f>HYPERLINK("https://esbl.nhlbi.nih.gov/Databases/mpkFractions/proteomic_fractions_linear_files/Yang_linear_img/31541898.jpg","show blot")</f>
        <v>show blot</v>
      </c>
      <c r="J3618" s="5" t="s">
        <v>7100</v>
      </c>
      <c r="L3618" s="11">
        <v>4.0883002667181714</v>
      </c>
      <c r="N3618" s="12"/>
    </row>
    <row r="3619" spans="1:14" s="5" customFormat="1" ht="15" customHeight="1" x14ac:dyDescent="0.25">
      <c r="A3619" s="9" t="s">
        <v>7101</v>
      </c>
      <c r="C3619" s="9" t="str">
        <f>HYPERLINK("http://www.ncbi.nlm.nih.gov/protein/19745156","Ipo4")</f>
        <v>Ipo4</v>
      </c>
      <c r="D3619" s="10">
        <f t="shared" si="56"/>
        <v>5.0503942043851682</v>
      </c>
      <c r="F3619" s="8" t="str">
        <f>HYPERLINK("https://esbl.nhlbi.nih.gov/Databases/mpkFractions/proteomic_fractions_log_files/Yang_log_img/19745156.jpg","show blot")</f>
        <v>show blot</v>
      </c>
      <c r="H3619" s="8" t="str">
        <f>HYPERLINK("https://esbl.nhlbi.nih.gov/Databases/mpkFractions/proteomic_fractions_linear_files/Yang_linear_img/19745156.jpg","show blot")</f>
        <v>show blot</v>
      </c>
      <c r="J3619" s="5" t="s">
        <v>7102</v>
      </c>
      <c r="L3619" s="11">
        <v>5.0503942043851682</v>
      </c>
      <c r="N3619" s="12"/>
    </row>
    <row r="3620" spans="1:14" s="5" customFormat="1" ht="15" customHeight="1" x14ac:dyDescent="0.25">
      <c r="A3620" s="9" t="s">
        <v>7103</v>
      </c>
      <c r="C3620" s="9" t="str">
        <f>HYPERLINK("http://www.ncbi.nlm.nih.gov/protein/29789199","Ipo5")</f>
        <v>Ipo5</v>
      </c>
      <c r="D3620" s="10">
        <f t="shared" si="56"/>
        <v>5.6914039316373977</v>
      </c>
      <c r="F3620" s="8" t="str">
        <f>HYPERLINK("https://esbl.nhlbi.nih.gov/Databases/mpkFractions/proteomic_fractions_log_files/Yang_log_img/29789199.jpg","show blot")</f>
        <v>show blot</v>
      </c>
      <c r="H3620" s="8" t="str">
        <f>HYPERLINK("https://esbl.nhlbi.nih.gov/Databases/mpkFractions/proteomic_fractions_linear_files/Yang_linear_img/29789199.jpg","show blot")</f>
        <v>show blot</v>
      </c>
      <c r="J3620" s="5" t="s">
        <v>7104</v>
      </c>
      <c r="L3620" s="11">
        <v>5.6914039316373977</v>
      </c>
      <c r="N3620" s="12"/>
    </row>
    <row r="3621" spans="1:14" s="5" customFormat="1" ht="15" customHeight="1" x14ac:dyDescent="0.25">
      <c r="A3621" s="9" t="s">
        <v>7105</v>
      </c>
      <c r="C3621" s="9" t="str">
        <f>HYPERLINK("http://www.ncbi.nlm.nih.gov/protein/74229034","Ipo7")</f>
        <v>Ipo7</v>
      </c>
      <c r="D3621" s="10">
        <f t="shared" si="56"/>
        <v>5.1665999434932584</v>
      </c>
      <c r="F3621" s="8" t="str">
        <f>HYPERLINK("https://esbl.nhlbi.nih.gov/Databases/mpkFractions/proteomic_fractions_log_files/Yang_log_img/74229034.jpg","show blot")</f>
        <v>show blot</v>
      </c>
      <c r="H3621" s="8" t="str">
        <f>HYPERLINK("https://esbl.nhlbi.nih.gov/Databases/mpkFractions/proteomic_fractions_linear_files/Yang_linear_img/74229034.jpg","show blot")</f>
        <v>show blot</v>
      </c>
      <c r="J3621" s="5" t="s">
        <v>7106</v>
      </c>
      <c r="L3621" s="11">
        <v>5.1665999434932584</v>
      </c>
      <c r="N3621" s="12"/>
    </row>
    <row r="3622" spans="1:14" s="5" customFormat="1" ht="15" customHeight="1" x14ac:dyDescent="0.25">
      <c r="A3622" s="9" t="s">
        <v>7107</v>
      </c>
      <c r="C3622" s="9" t="str">
        <f>HYPERLINK("http://www.ncbi.nlm.nih.gov/protein/124487445","Ipo8")</f>
        <v>Ipo8</v>
      </c>
      <c r="D3622" s="10">
        <f t="shared" si="56"/>
        <v>3.9406651624118401</v>
      </c>
      <c r="F3622" s="8" t="str">
        <f>HYPERLINK("https://esbl.nhlbi.nih.gov/Databases/mpkFractions/proteomic_fractions_log_files/Yang_log_img/124487445.jpg","show blot")</f>
        <v>show blot</v>
      </c>
      <c r="H3622" s="8" t="str">
        <f>HYPERLINK("https://esbl.nhlbi.nih.gov/Databases/mpkFractions/proteomic_fractions_linear_files/Yang_linear_img/124487445.jpg","show blot")</f>
        <v>show blot</v>
      </c>
      <c r="J3622" s="5" t="s">
        <v>7108</v>
      </c>
      <c r="L3622" s="11">
        <v>3.9406651624118401</v>
      </c>
      <c r="N3622" s="12"/>
    </row>
    <row r="3623" spans="1:14" s="5" customFormat="1" ht="15" customHeight="1" x14ac:dyDescent="0.25">
      <c r="A3623" s="9" t="s">
        <v>7109</v>
      </c>
      <c r="C3623" s="9" t="str">
        <f>HYPERLINK("http://www.ncbi.nlm.nih.gov/protein/112734861","Ipo9")</f>
        <v>Ipo9</v>
      </c>
      <c r="D3623" s="10">
        <f t="shared" si="56"/>
        <v>5.1846018471051778</v>
      </c>
      <c r="F3623" s="8" t="str">
        <f>HYPERLINK("https://esbl.nhlbi.nih.gov/Databases/mpkFractions/proteomic_fractions_log_files/Yang_log_img/112734861.jpg","show blot")</f>
        <v>show blot</v>
      </c>
      <c r="H3623" s="8" t="str">
        <f>HYPERLINK("https://esbl.nhlbi.nih.gov/Databases/mpkFractions/proteomic_fractions_linear_files/Yang_linear_img/112734861.jpg","show blot")</f>
        <v>show blot</v>
      </c>
      <c r="J3623" s="5" t="s">
        <v>7110</v>
      </c>
      <c r="L3623" s="11">
        <v>5.1846018471051778</v>
      </c>
      <c r="N3623" s="12"/>
    </row>
    <row r="3624" spans="1:14" s="5" customFormat="1" ht="15" customHeight="1" x14ac:dyDescent="0.25">
      <c r="A3624" s="9" t="s">
        <v>7111</v>
      </c>
      <c r="C3624" s="9" t="str">
        <f>HYPERLINK("http://www.ncbi.nlm.nih.gov/protein/242332572","Iqgap1")</f>
        <v>Iqgap1</v>
      </c>
      <c r="D3624" s="10">
        <f t="shared" si="56"/>
        <v>6.3742277716796414</v>
      </c>
      <c r="F3624" s="8" t="str">
        <f>HYPERLINK("https://esbl.nhlbi.nih.gov/Databases/mpkFractions/proteomic_fractions_log_files/Yang_log_img/242332572.jpg","show blot")</f>
        <v>show blot</v>
      </c>
      <c r="H3624" s="8" t="str">
        <f>HYPERLINK("https://esbl.nhlbi.nih.gov/Databases/mpkFractions/proteomic_fractions_linear_files/Yang_linear_img/242332572.jpg","show blot")</f>
        <v>show blot</v>
      </c>
      <c r="J3624" s="5" t="s">
        <v>7112</v>
      </c>
      <c r="L3624" s="11">
        <v>6.3742277716796414</v>
      </c>
      <c r="N3624" s="12"/>
    </row>
    <row r="3625" spans="1:14" s="5" customFormat="1" ht="15" customHeight="1" x14ac:dyDescent="0.25">
      <c r="A3625" s="9" t="s">
        <v>7113</v>
      </c>
      <c r="C3625" s="9" t="str">
        <f>HYPERLINK("http://www.ncbi.nlm.nih.gov/protein/118344444","Iqgap2")</f>
        <v>Iqgap2</v>
      </c>
      <c r="D3625" s="10">
        <f t="shared" si="56"/>
        <v>5.1339932354588846</v>
      </c>
      <c r="F3625" s="8" t="str">
        <f>HYPERLINK("https://esbl.nhlbi.nih.gov/Databases/mpkFractions/proteomic_fractions_log_files/Yang_log_img/118344444.jpg","show blot")</f>
        <v>show blot</v>
      </c>
      <c r="H3625" s="8" t="str">
        <f>HYPERLINK("https://esbl.nhlbi.nih.gov/Databases/mpkFractions/proteomic_fractions_linear_files/Yang_linear_img/118344444.jpg","show blot")</f>
        <v>show blot</v>
      </c>
      <c r="J3625" s="5" t="s">
        <v>7114</v>
      </c>
      <c r="L3625" s="11">
        <v>5.1339932354588846</v>
      </c>
      <c r="N3625" s="12"/>
    </row>
    <row r="3626" spans="1:14" s="5" customFormat="1" ht="15" customHeight="1" x14ac:dyDescent="0.25">
      <c r="A3626" s="9" t="s">
        <v>7115</v>
      </c>
      <c r="C3626" s="9" t="str">
        <f>HYPERLINK("http://www.ncbi.nlm.nih.gov/protein/118344446","Iqgap3")</f>
        <v>Iqgap3</v>
      </c>
      <c r="D3626" s="10">
        <f t="shared" si="56"/>
        <v>4.7700214490700974</v>
      </c>
      <c r="F3626" s="8" t="str">
        <f>HYPERLINK("https://esbl.nhlbi.nih.gov/Databases/mpkFractions/proteomic_fractions_log_files/Yang_log_img/118344446.jpg","show blot")</f>
        <v>show blot</v>
      </c>
      <c r="H3626" s="8" t="str">
        <f>HYPERLINK("https://esbl.nhlbi.nih.gov/Databases/mpkFractions/proteomic_fractions_linear_files/Yang_linear_img/118344446.jpg","show blot")</f>
        <v>show blot</v>
      </c>
      <c r="J3626" s="5" t="s">
        <v>7116</v>
      </c>
      <c r="L3626" s="11">
        <v>4.7700214490700974</v>
      </c>
      <c r="N3626" s="12"/>
    </row>
    <row r="3627" spans="1:14" s="5" customFormat="1" ht="15" customHeight="1" x14ac:dyDescent="0.25">
      <c r="A3627" s="9" t="s">
        <v>7117</v>
      </c>
      <c r="C3627" s="9" t="str">
        <f>HYPERLINK("http://www.ncbi.nlm.nih.gov/protein/23943898","Irak4")</f>
        <v>Irak4</v>
      </c>
      <c r="D3627" s="10">
        <f t="shared" si="56"/>
        <v>4.1555428960025917</v>
      </c>
      <c r="F3627" s="8" t="str">
        <f>HYPERLINK("https://esbl.nhlbi.nih.gov/Databases/mpkFractions/proteomic_fractions_log_files/Yang_log_img/23943898.jpg","show blot")</f>
        <v>show blot</v>
      </c>
      <c r="H3627" s="8" t="str">
        <f>HYPERLINK("https://esbl.nhlbi.nih.gov/Databases/mpkFractions/proteomic_fractions_linear_files/Yang_linear_img/23943898.jpg","show blot")</f>
        <v>show blot</v>
      </c>
      <c r="J3627" s="5" t="s">
        <v>7118</v>
      </c>
      <c r="L3627" s="11">
        <v>4.1555428960025917</v>
      </c>
      <c r="N3627" s="12"/>
    </row>
    <row r="3628" spans="1:14" s="5" customFormat="1" ht="15" customHeight="1" x14ac:dyDescent="0.25">
      <c r="A3628" s="9" t="s">
        <v>7119</v>
      </c>
      <c r="C3628" s="9" t="str">
        <f>HYPERLINK("http://www.ncbi.nlm.nih.gov/protein/254281215","Ireb2")</f>
        <v>Ireb2</v>
      </c>
      <c r="D3628" s="10">
        <f t="shared" si="56"/>
        <v>4.3697484105752658</v>
      </c>
      <c r="F3628" s="8" t="str">
        <f>HYPERLINK("https://esbl.nhlbi.nih.gov/Databases/mpkFractions/proteomic_fractions_log_files/Yang_log_img/254281215.jpg","show blot")</f>
        <v>show blot</v>
      </c>
      <c r="H3628" s="8" t="str">
        <f>HYPERLINK("https://esbl.nhlbi.nih.gov/Databases/mpkFractions/proteomic_fractions_linear_files/Yang_linear_img/254281215.jpg","show blot")</f>
        <v>show blot</v>
      </c>
      <c r="J3628" s="5" t="s">
        <v>7120</v>
      </c>
      <c r="L3628" s="11">
        <v>4.3697484105752658</v>
      </c>
      <c r="N3628" s="12"/>
    </row>
    <row r="3629" spans="1:14" s="5" customFormat="1" ht="15" customHeight="1" x14ac:dyDescent="0.25">
      <c r="A3629" s="9" t="s">
        <v>7121</v>
      </c>
      <c r="C3629" s="9" t="str">
        <f>HYPERLINK("http://www.ncbi.nlm.nih.gov/protein/31982348","Irf2bp1")</f>
        <v>Irf2bp1</v>
      </c>
      <c r="D3629" s="10">
        <f t="shared" si="56"/>
        <v>4.239912506111172</v>
      </c>
      <c r="F3629" s="8" t="str">
        <f>HYPERLINK("https://esbl.nhlbi.nih.gov/Databases/mpkFractions/proteomic_fractions_log_files/Yang_log_img/31982348.jpg","show blot")</f>
        <v>show blot</v>
      </c>
      <c r="H3629" s="8" t="str">
        <f>HYPERLINK("https://esbl.nhlbi.nih.gov/Databases/mpkFractions/proteomic_fractions_linear_files/Yang_linear_img/31982348.jpg","show blot")</f>
        <v>show blot</v>
      </c>
      <c r="J3629" s="5" t="s">
        <v>7122</v>
      </c>
      <c r="L3629" s="11">
        <v>4.239912506111172</v>
      </c>
      <c r="N3629" s="12"/>
    </row>
    <row r="3630" spans="1:14" s="5" customFormat="1" ht="15" customHeight="1" x14ac:dyDescent="0.25">
      <c r="A3630" s="9" t="s">
        <v>7123</v>
      </c>
      <c r="C3630" s="9" t="str">
        <f>HYPERLINK("http://www.ncbi.nlm.nih.gov/protein/257196179","Irf2bp2")</f>
        <v>Irf2bp2</v>
      </c>
      <c r="D3630" s="10">
        <f t="shared" si="56"/>
        <v>4.3618234609091164</v>
      </c>
      <c r="F3630" s="8" t="str">
        <f>HYPERLINK("https://esbl.nhlbi.nih.gov/Databases/mpkFractions/proteomic_fractions_log_files/Yang_log_img/257196179.jpg","show blot")</f>
        <v>show blot</v>
      </c>
      <c r="H3630" s="8" t="str">
        <f>HYPERLINK("https://esbl.nhlbi.nih.gov/Databases/mpkFractions/proteomic_fractions_linear_files/Yang_linear_img/257196179.jpg","show blot")</f>
        <v>show blot</v>
      </c>
      <c r="J3630" s="5" t="s">
        <v>7124</v>
      </c>
      <c r="L3630" s="11">
        <v>4.3618234609091164</v>
      </c>
      <c r="N3630" s="12"/>
    </row>
    <row r="3631" spans="1:14" s="5" customFormat="1" ht="15" customHeight="1" x14ac:dyDescent="0.25">
      <c r="A3631" s="9" t="s">
        <v>7125</v>
      </c>
      <c r="C3631" s="9" t="str">
        <f>HYPERLINK("http://www.ncbi.nlm.nih.gov/protein/22003884","Irf2bpl")</f>
        <v>Irf2bpl</v>
      </c>
      <c r="D3631" s="10">
        <f t="shared" si="56"/>
        <v>5.2226796179935828</v>
      </c>
      <c r="F3631" s="8" t="str">
        <f>HYPERLINK("https://esbl.nhlbi.nih.gov/Databases/mpkFractions/proteomic_fractions_log_files/Yang_log_img/22003884.jpg","show blot")</f>
        <v>show blot</v>
      </c>
      <c r="H3631" s="8" t="str">
        <f>HYPERLINK("https://esbl.nhlbi.nih.gov/Databases/mpkFractions/proteomic_fractions_linear_files/Yang_linear_img/22003884.jpg","show blot")</f>
        <v>show blot</v>
      </c>
      <c r="J3631" s="5" t="s">
        <v>7126</v>
      </c>
      <c r="L3631" s="11">
        <v>5.2226796179935828</v>
      </c>
      <c r="N3631" s="12"/>
    </row>
    <row r="3632" spans="1:14" s="5" customFormat="1" ht="15" customHeight="1" x14ac:dyDescent="0.25">
      <c r="A3632" s="9" t="s">
        <v>7127</v>
      </c>
      <c r="C3632" s="9" t="str">
        <f>HYPERLINK("http://www.ncbi.nlm.nih.gov/protein/8393627","Irf3")</f>
        <v>Irf3</v>
      </c>
      <c r="D3632" s="10">
        <f t="shared" si="56"/>
        <v>4.2131744900520358</v>
      </c>
      <c r="F3632" s="8" t="str">
        <f>HYPERLINK("https://esbl.nhlbi.nih.gov/Databases/mpkFractions/proteomic_fractions_log_files/Yang_log_img/8393627.jpg","show blot")</f>
        <v>show blot</v>
      </c>
      <c r="H3632" s="8" t="str">
        <f>HYPERLINK("https://esbl.nhlbi.nih.gov/Databases/mpkFractions/proteomic_fractions_linear_files/Yang_linear_img/8393627.jpg","show blot")</f>
        <v>show blot</v>
      </c>
      <c r="J3632" s="5" t="s">
        <v>7128</v>
      </c>
      <c r="L3632" s="11">
        <v>4.2131744900520358</v>
      </c>
      <c r="N3632" s="12"/>
    </row>
    <row r="3633" spans="1:14" s="5" customFormat="1" ht="15" customHeight="1" x14ac:dyDescent="0.25">
      <c r="A3633" s="9" t="s">
        <v>7129</v>
      </c>
      <c r="C3633" s="9" t="str">
        <f>HYPERLINK("http://www.ncbi.nlm.nih.gov/protein/114145467","Irf6")</f>
        <v>Irf6</v>
      </c>
      <c r="D3633" s="10">
        <f t="shared" si="56"/>
        <v>4.7416592921354317</v>
      </c>
      <c r="F3633" s="8" t="str">
        <f>HYPERLINK("https://esbl.nhlbi.nih.gov/Databases/mpkFractions/proteomic_fractions_log_files/Yang_log_img/114145467.jpg","show blot")</f>
        <v>show blot</v>
      </c>
      <c r="H3633" s="8" t="str">
        <f>HYPERLINK("https://esbl.nhlbi.nih.gov/Databases/mpkFractions/proteomic_fractions_linear_files/Yang_linear_img/114145467.jpg","show blot")</f>
        <v>show blot</v>
      </c>
      <c r="J3633" s="5" t="s">
        <v>7130</v>
      </c>
      <c r="L3633" s="11">
        <v>4.7416592921354317</v>
      </c>
      <c r="N3633" s="12"/>
    </row>
    <row r="3634" spans="1:14" s="5" customFormat="1" ht="15" customHeight="1" x14ac:dyDescent="0.25">
      <c r="A3634" s="9" t="s">
        <v>7131</v>
      </c>
      <c r="C3634" s="9" t="str">
        <f>HYPERLINK("http://www.ncbi.nlm.nih.gov/protein/134031980","Irgc1")</f>
        <v>Irgc1</v>
      </c>
      <c r="D3634" s="10">
        <f t="shared" si="56"/>
        <v>3.234441351266335</v>
      </c>
      <c r="F3634" s="8" t="str">
        <f>HYPERLINK("https://esbl.nhlbi.nih.gov/Databases/mpkFractions/proteomic_fractions_log_files/Yang_log_img/134031980.jpg","show blot")</f>
        <v>show blot</v>
      </c>
      <c r="H3634" s="8" t="str">
        <f>HYPERLINK("https://esbl.nhlbi.nih.gov/Databases/mpkFractions/proteomic_fractions_linear_files/Yang_linear_img/134031980.jpg","show blot")</f>
        <v>show blot</v>
      </c>
      <c r="J3634" s="5" t="s">
        <v>7132</v>
      </c>
      <c r="L3634" s="11">
        <v>3.234441351266335</v>
      </c>
      <c r="N3634" s="12"/>
    </row>
    <row r="3635" spans="1:14" s="5" customFormat="1" ht="15" customHeight="1" x14ac:dyDescent="0.25">
      <c r="A3635" s="9" t="s">
        <v>7133</v>
      </c>
      <c r="C3635" s="9" t="str">
        <f>HYPERLINK("http://www.ncbi.nlm.nih.gov/protein/6680351","Irgm1")</f>
        <v>Irgm1</v>
      </c>
      <c r="D3635" s="10">
        <f t="shared" si="56"/>
        <v>4.6432504186903936</v>
      </c>
      <c r="F3635" s="8" t="str">
        <f>HYPERLINK("https://esbl.nhlbi.nih.gov/Databases/mpkFractions/proteomic_fractions_log_files/Yang_log_img/6680351.jpg","show blot")</f>
        <v>show blot</v>
      </c>
      <c r="H3635" s="8" t="str">
        <f>HYPERLINK("https://esbl.nhlbi.nih.gov/Databases/mpkFractions/proteomic_fractions_linear_files/Yang_linear_img/6680351.jpg","show blot")</f>
        <v>show blot</v>
      </c>
      <c r="J3635" s="5" t="s">
        <v>7134</v>
      </c>
      <c r="L3635" s="11">
        <v>4.6432504186903936</v>
      </c>
      <c r="N3635" s="12"/>
    </row>
    <row r="3636" spans="1:14" s="5" customFormat="1" ht="15" customHeight="1" x14ac:dyDescent="0.25">
      <c r="A3636" s="9" t="s">
        <v>7135</v>
      </c>
      <c r="C3636" s="9" t="str">
        <f>HYPERLINK("http://www.ncbi.nlm.nih.gov/protein/208431800","Irgq")</f>
        <v>Irgq</v>
      </c>
      <c r="D3636" s="10">
        <f t="shared" si="56"/>
        <v>4.2745750693996101</v>
      </c>
      <c r="F3636" s="8" t="str">
        <f>HYPERLINK("https://esbl.nhlbi.nih.gov/Databases/mpkFractions/proteomic_fractions_log_files/Yang_log_img/208431800.jpg","show blot")</f>
        <v>show blot</v>
      </c>
      <c r="H3636" s="8" t="str">
        <f>HYPERLINK("https://esbl.nhlbi.nih.gov/Databases/mpkFractions/proteomic_fractions_linear_files/Yang_linear_img/208431800.jpg","show blot")</f>
        <v>show blot</v>
      </c>
      <c r="J3636" s="5" t="s">
        <v>7136</v>
      </c>
      <c r="L3636" s="11">
        <v>4.2745750693996101</v>
      </c>
      <c r="N3636" s="12"/>
    </row>
    <row r="3637" spans="1:14" s="5" customFormat="1" ht="15" customHeight="1" x14ac:dyDescent="0.25">
      <c r="A3637" s="9" t="s">
        <v>7137</v>
      </c>
      <c r="C3637" s="9" t="str">
        <f>HYPERLINK("http://www.ncbi.nlm.nih.gov/protein/21312189","Isca1")</f>
        <v>Isca1</v>
      </c>
      <c r="D3637" s="10">
        <f t="shared" si="56"/>
        <v>4.036109129637194</v>
      </c>
      <c r="F3637" s="8" t="str">
        <f>HYPERLINK("https://esbl.nhlbi.nih.gov/Databases/mpkFractions/proteomic_fractions_log_files/Yang_log_img/21312189.jpg","show blot")</f>
        <v>show blot</v>
      </c>
      <c r="H3637" s="8" t="str">
        <f>HYPERLINK("https://esbl.nhlbi.nih.gov/Databases/mpkFractions/proteomic_fractions_linear_files/Yang_linear_img/21312189.jpg","show blot")</f>
        <v>show blot</v>
      </c>
      <c r="J3637" s="5" t="s">
        <v>7138</v>
      </c>
      <c r="L3637" s="11">
        <v>4.036109129637194</v>
      </c>
      <c r="N3637" s="12"/>
    </row>
    <row r="3638" spans="1:14" s="5" customFormat="1" ht="15" customHeight="1" x14ac:dyDescent="0.25">
      <c r="A3638" s="9" t="s">
        <v>7139</v>
      </c>
      <c r="C3638" s="9" t="str">
        <f>HYPERLINK("http://www.ncbi.nlm.nih.gov/protein/254039596","Isca2")</f>
        <v>Isca2</v>
      </c>
      <c r="D3638" s="10">
        <f t="shared" si="56"/>
        <v>5.1355327437864604</v>
      </c>
      <c r="F3638" s="8" t="str">
        <f>HYPERLINK("https://esbl.nhlbi.nih.gov/Databases/mpkFractions/proteomic_fractions_log_files/Yang_log_img/254039596.jpg","show blot")</f>
        <v>show blot</v>
      </c>
      <c r="H3638" s="8" t="str">
        <f>HYPERLINK("https://esbl.nhlbi.nih.gov/Databases/mpkFractions/proteomic_fractions_linear_files/Yang_linear_img/254039596.jpg","show blot")</f>
        <v>show blot</v>
      </c>
      <c r="J3638" s="5" t="s">
        <v>7140</v>
      </c>
      <c r="L3638" s="11">
        <v>5.1355327437864604</v>
      </c>
      <c r="N3638" s="12"/>
    </row>
    <row r="3639" spans="1:14" s="5" customFormat="1" ht="15" customHeight="1" x14ac:dyDescent="0.25">
      <c r="A3639" s="9" t="s">
        <v>7141</v>
      </c>
      <c r="C3639" s="9" t="str">
        <f>HYPERLINK("http://www.ncbi.nlm.nih.gov/protein/21313484","Iscu")</f>
        <v>Iscu</v>
      </c>
      <c r="D3639" s="10">
        <f t="shared" si="56"/>
        <v>4.7694695260960662</v>
      </c>
      <c r="F3639" s="8" t="str">
        <f>HYPERLINK("https://esbl.nhlbi.nih.gov/Databases/mpkFractions/proteomic_fractions_log_files/Yang_log_img/21313484.jpg","show blot")</f>
        <v>show blot</v>
      </c>
      <c r="H3639" s="8" t="str">
        <f>HYPERLINK("https://esbl.nhlbi.nih.gov/Databases/mpkFractions/proteomic_fractions_linear_files/Yang_linear_img/21313484.jpg","show blot")</f>
        <v>show blot</v>
      </c>
      <c r="J3639" s="5" t="s">
        <v>7142</v>
      </c>
      <c r="L3639" s="11">
        <v>4.7694695260960662</v>
      </c>
      <c r="N3639" s="12"/>
    </row>
    <row r="3640" spans="1:14" s="5" customFormat="1" ht="15" customHeight="1" x14ac:dyDescent="0.25">
      <c r="A3640" s="9" t="s">
        <v>7143</v>
      </c>
      <c r="C3640" s="9" t="str">
        <f>HYPERLINK("http://www.ncbi.nlm.nih.gov/protein/226874851","Isg15")</f>
        <v>Isg15</v>
      </c>
      <c r="D3640" s="10">
        <f t="shared" si="56"/>
        <v>4.7450875873163723</v>
      </c>
      <c r="F3640" s="8" t="str">
        <f>HYPERLINK("https://esbl.nhlbi.nih.gov/Databases/mpkFractions/proteomic_fractions_log_files/Yang_log_img/226874851.jpg","show blot")</f>
        <v>show blot</v>
      </c>
      <c r="H3640" s="8" t="str">
        <f>HYPERLINK("https://esbl.nhlbi.nih.gov/Databases/mpkFractions/proteomic_fractions_linear_files/Yang_linear_img/226874851.jpg","show blot")</f>
        <v>show blot</v>
      </c>
      <c r="J3640" s="5" t="s">
        <v>7144</v>
      </c>
      <c r="L3640" s="11">
        <v>4.7450875873163723</v>
      </c>
      <c r="N3640" s="12"/>
    </row>
    <row r="3641" spans="1:14" s="5" customFormat="1" ht="15" customHeight="1" x14ac:dyDescent="0.25">
      <c r="A3641" s="9" t="s">
        <v>7145</v>
      </c>
      <c r="C3641" s="9" t="str">
        <f>HYPERLINK("http://www.ncbi.nlm.nih.gov/protein/15805028","Isg20")</f>
        <v>Isg20</v>
      </c>
      <c r="D3641" s="10">
        <f t="shared" si="56"/>
        <v>4.4234778045530936</v>
      </c>
      <c r="F3641" s="8" t="str">
        <f>HYPERLINK("https://esbl.nhlbi.nih.gov/Databases/mpkFractions/proteomic_fractions_log_files/Yang_log_img/15805028.jpg","show blot")</f>
        <v>show blot</v>
      </c>
      <c r="H3641" s="8" t="str">
        <f>HYPERLINK("https://esbl.nhlbi.nih.gov/Databases/mpkFractions/proteomic_fractions_linear_files/Yang_linear_img/15805028.jpg","show blot")</f>
        <v>show blot</v>
      </c>
      <c r="J3641" s="5" t="s">
        <v>7146</v>
      </c>
      <c r="L3641" s="11">
        <v>4.4234778045530936</v>
      </c>
      <c r="N3641" s="12"/>
    </row>
    <row r="3642" spans="1:14" s="5" customFormat="1" ht="15" customHeight="1" x14ac:dyDescent="0.25">
      <c r="A3642" s="9" t="s">
        <v>7147</v>
      </c>
      <c r="C3642" s="9" t="str">
        <f>HYPERLINK("http://www.ncbi.nlm.nih.gov/protein/29244084","Isg20l2")</f>
        <v>Isg20l2</v>
      </c>
      <c r="D3642" s="10">
        <f t="shared" si="56"/>
        <v>3.491095089835782</v>
      </c>
      <c r="F3642" s="8" t="str">
        <f>HYPERLINK("https://esbl.nhlbi.nih.gov/Databases/mpkFractions/proteomic_fractions_log_files/Yang_log_img/29244084.jpg","show blot")</f>
        <v>show blot</v>
      </c>
      <c r="H3642" s="8" t="str">
        <f>HYPERLINK("https://esbl.nhlbi.nih.gov/Databases/mpkFractions/proteomic_fractions_linear_files/Yang_linear_img/29244084.jpg","show blot")</f>
        <v>show blot</v>
      </c>
      <c r="J3642" s="5" t="s">
        <v>7148</v>
      </c>
      <c r="L3642" s="11">
        <v>3.491095089835782</v>
      </c>
      <c r="N3642" s="12"/>
    </row>
    <row r="3643" spans="1:14" s="5" customFormat="1" ht="15" customHeight="1" x14ac:dyDescent="0.25">
      <c r="A3643" s="9" t="s">
        <v>7149</v>
      </c>
      <c r="C3643" s="9" t="str">
        <f>HYPERLINK("http://www.ncbi.nlm.nih.gov/protein/31541909","Isoc1")</f>
        <v>Isoc1</v>
      </c>
      <c r="D3643" s="10">
        <f t="shared" si="56"/>
        <v>5.0685998834810144</v>
      </c>
      <c r="F3643" s="8" t="str">
        <f>HYPERLINK("https://esbl.nhlbi.nih.gov/Databases/mpkFractions/proteomic_fractions_log_files/Yang_log_img/31541909.jpg","show blot")</f>
        <v>show blot</v>
      </c>
      <c r="H3643" s="8" t="str">
        <f>HYPERLINK("https://esbl.nhlbi.nih.gov/Databases/mpkFractions/proteomic_fractions_linear_files/Yang_linear_img/31541909.jpg","show blot")</f>
        <v>show blot</v>
      </c>
      <c r="J3643" s="5" t="s">
        <v>7150</v>
      </c>
      <c r="L3643" s="11">
        <v>5.0685998834810144</v>
      </c>
      <c r="N3643" s="12"/>
    </row>
    <row r="3644" spans="1:14" s="5" customFormat="1" ht="15" customHeight="1" x14ac:dyDescent="0.25">
      <c r="A3644" s="9" t="s">
        <v>7151</v>
      </c>
      <c r="C3644" s="9" t="str">
        <f>HYPERLINK("http://www.ncbi.nlm.nih.gov/protein/197333728","Isoc2a")</f>
        <v>Isoc2a</v>
      </c>
      <c r="D3644" s="10">
        <f t="shared" si="56"/>
        <v>4.4545470375497667</v>
      </c>
      <c r="F3644" s="8" t="str">
        <f>HYPERLINK("https://esbl.nhlbi.nih.gov/Databases/mpkFractions/proteomic_fractions_log_files/Yang_log_img/197333728.jpg","show blot")</f>
        <v>show blot</v>
      </c>
      <c r="H3644" s="8" t="str">
        <f>HYPERLINK("https://esbl.nhlbi.nih.gov/Databases/mpkFractions/proteomic_fractions_linear_files/Yang_linear_img/197333728.jpg","show blot")</f>
        <v>show blot</v>
      </c>
      <c r="J3644" s="5" t="s">
        <v>7152</v>
      </c>
      <c r="L3644" s="11">
        <v>4.4545470375497667</v>
      </c>
      <c r="N3644" s="12"/>
    </row>
    <row r="3645" spans="1:14" s="5" customFormat="1" ht="15" customHeight="1" x14ac:dyDescent="0.25">
      <c r="A3645" s="9" t="s">
        <v>7153</v>
      </c>
      <c r="C3645" s="9" t="str">
        <f>HYPERLINK("http://www.ncbi.nlm.nih.gov/protein/21312626","Ist1")</f>
        <v>Ist1</v>
      </c>
      <c r="D3645" s="10">
        <f t="shared" si="56"/>
        <v>5.4084884726122553</v>
      </c>
      <c r="F3645" s="8" t="str">
        <f>HYPERLINK("https://esbl.nhlbi.nih.gov/Databases/mpkFractions/proteomic_fractions_log_files/Yang_log_img/21312626.jpg","show blot")</f>
        <v>show blot</v>
      </c>
      <c r="H3645" s="8" t="str">
        <f>HYPERLINK("https://esbl.nhlbi.nih.gov/Databases/mpkFractions/proteomic_fractions_linear_files/Yang_linear_img/21312626.jpg","show blot")</f>
        <v>show blot</v>
      </c>
      <c r="J3645" s="5" t="s">
        <v>7154</v>
      </c>
      <c r="L3645" s="11">
        <v>5.4084884726122553</v>
      </c>
      <c r="N3645" s="12"/>
    </row>
    <row r="3646" spans="1:14" s="5" customFormat="1" ht="15" customHeight="1" x14ac:dyDescent="0.25">
      <c r="A3646" s="9" t="s">
        <v>7155</v>
      </c>
      <c r="C3646" s="9" t="str">
        <f>HYPERLINK("http://www.ncbi.nlm.nih.gov/protein/20149316","Isy1")</f>
        <v>Isy1</v>
      </c>
      <c r="D3646" s="10">
        <f t="shared" si="56"/>
        <v>4.2387627000226367</v>
      </c>
      <c r="F3646" s="8" t="str">
        <f>HYPERLINK("https://esbl.nhlbi.nih.gov/Databases/mpkFractions/proteomic_fractions_log_files/Yang_log_img/20149316.jpg","show blot")</f>
        <v>show blot</v>
      </c>
      <c r="H3646" s="8" t="str">
        <f>HYPERLINK("https://esbl.nhlbi.nih.gov/Databases/mpkFractions/proteomic_fractions_linear_files/Yang_linear_img/20149316.jpg","show blot")</f>
        <v>show blot</v>
      </c>
      <c r="J3646" s="5" t="s">
        <v>7156</v>
      </c>
      <c r="L3646" s="11">
        <v>4.2387627000226367</v>
      </c>
      <c r="N3646" s="12"/>
    </row>
    <row r="3647" spans="1:14" s="5" customFormat="1" ht="15" customHeight="1" x14ac:dyDescent="0.25">
      <c r="A3647" s="9" t="s">
        <v>7157</v>
      </c>
      <c r="C3647" s="9" t="str">
        <f>HYPERLINK("http://www.ncbi.nlm.nih.gov/protein/12963757","Isyna1")</f>
        <v>Isyna1</v>
      </c>
      <c r="D3647" s="10">
        <f t="shared" si="56"/>
        <v>5.6355076297680284</v>
      </c>
      <c r="F3647" s="8" t="str">
        <f>HYPERLINK("https://esbl.nhlbi.nih.gov/Databases/mpkFractions/proteomic_fractions_log_files/Yang_log_img/12963757.jpg","show blot")</f>
        <v>show blot</v>
      </c>
      <c r="H3647" s="8" t="str">
        <f>HYPERLINK("https://esbl.nhlbi.nih.gov/Databases/mpkFractions/proteomic_fractions_linear_files/Yang_linear_img/12963757.jpg","show blot")</f>
        <v>show blot</v>
      </c>
      <c r="J3647" s="5" t="s">
        <v>7158</v>
      </c>
      <c r="L3647" s="11">
        <v>5.6355076297680284</v>
      </c>
      <c r="N3647" s="12"/>
    </row>
    <row r="3648" spans="1:14" s="5" customFormat="1" ht="15" customHeight="1" x14ac:dyDescent="0.25">
      <c r="A3648" s="9" t="s">
        <v>7159</v>
      </c>
      <c r="C3648" s="9" t="str">
        <f>HYPERLINK("http://www.ncbi.nlm.nih.gov/protein/343962614;124487317","Itch")</f>
        <v>Itch</v>
      </c>
      <c r="D3648" s="10">
        <f t="shared" si="56"/>
        <v>3.812939001869053</v>
      </c>
      <c r="F3648" s="8" t="str">
        <f>HYPERLINK("https://esbl.nhlbi.nih.gov/Databases/mpkFractions/proteomic_fractions_log_files/Yang_log_img/343962614;124487317.jpg","show blot")</f>
        <v>show blot</v>
      </c>
      <c r="H3648" s="8" t="str">
        <f>HYPERLINK("https://esbl.nhlbi.nih.gov/Databases/mpkFractions/proteomic_fractions_linear_files/Yang_linear_img/343962614;124487317.jpg","show blot")</f>
        <v>show blot</v>
      </c>
      <c r="J3648" s="5" t="s">
        <v>7160</v>
      </c>
      <c r="L3648" s="11">
        <v>3.812939001869053</v>
      </c>
      <c r="N3648" s="12"/>
    </row>
    <row r="3649" spans="1:14" s="5" customFormat="1" ht="15" customHeight="1" x14ac:dyDescent="0.25">
      <c r="A3649" s="9" t="s">
        <v>7161</v>
      </c>
      <c r="C3649" s="9" t="str">
        <f>HYPERLINK("http://www.ncbi.nlm.nih.gov/protein/124487317","Itch")</f>
        <v>Itch</v>
      </c>
      <c r="D3649" s="10">
        <f t="shared" si="56"/>
        <v>3.812939001869053</v>
      </c>
      <c r="F3649" s="8" t="str">
        <f>HYPERLINK("https://esbl.nhlbi.nih.gov/Databases/mpkFractions/proteomic_fractions_log_files/Yang_log_img/124487317.jpg","show blot")</f>
        <v>show blot</v>
      </c>
      <c r="H3649" s="8" t="str">
        <f>HYPERLINK("https://esbl.nhlbi.nih.gov/Databases/mpkFractions/proteomic_fractions_linear_files/Yang_linear_img/124487317.jpg","show blot")</f>
        <v>show blot</v>
      </c>
      <c r="J3649" s="5" t="s">
        <v>7160</v>
      </c>
      <c r="L3649" s="11">
        <v>3.812939001869053</v>
      </c>
      <c r="N3649" s="12"/>
    </row>
    <row r="3650" spans="1:14" s="5" customFormat="1" ht="15" customHeight="1" x14ac:dyDescent="0.25">
      <c r="A3650" s="9" t="s">
        <v>7162</v>
      </c>
      <c r="C3650" s="9" t="str">
        <f>HYPERLINK("http://www.ncbi.nlm.nih.gov/protein/268839462","Itfg1")</f>
        <v>Itfg1</v>
      </c>
      <c r="D3650" s="10">
        <f t="shared" si="56"/>
        <v>3.9069299074198449</v>
      </c>
      <c r="F3650" s="8" t="str">
        <f>HYPERLINK("https://esbl.nhlbi.nih.gov/Databases/mpkFractions/proteomic_fractions_log_files/Yang_log_img/268839462.jpg","show blot")</f>
        <v>show blot</v>
      </c>
      <c r="H3650" s="8" t="str">
        <f>HYPERLINK("https://esbl.nhlbi.nih.gov/Databases/mpkFractions/proteomic_fractions_linear_files/Yang_linear_img/268839462.jpg","show blot")</f>
        <v>show blot</v>
      </c>
      <c r="J3650" s="5" t="s">
        <v>7163</v>
      </c>
      <c r="L3650" s="11">
        <v>3.9069299074198449</v>
      </c>
      <c r="N3650" s="12"/>
    </row>
    <row r="3651" spans="1:14" s="5" customFormat="1" ht="15" customHeight="1" x14ac:dyDescent="0.25">
      <c r="A3651" s="9" t="s">
        <v>7164</v>
      </c>
      <c r="C3651" s="9" t="str">
        <f>HYPERLINK("http://www.ncbi.nlm.nih.gov/protein/19527142","Itfg2")</f>
        <v>Itfg2</v>
      </c>
      <c r="D3651" s="10">
        <f t="shared" si="56"/>
        <v>2.4696116529409169</v>
      </c>
      <c r="F3651" s="8" t="str">
        <f>HYPERLINK("https://esbl.nhlbi.nih.gov/Databases/mpkFractions/proteomic_fractions_log_files/Yang_log_img/19527142.jpg","show blot")</f>
        <v>show blot</v>
      </c>
      <c r="H3651" s="8" t="str">
        <f>HYPERLINK("https://esbl.nhlbi.nih.gov/Databases/mpkFractions/proteomic_fractions_linear_files/Yang_linear_img/19527142.jpg","show blot")</f>
        <v>show blot</v>
      </c>
      <c r="J3651" s="5" t="s">
        <v>7165</v>
      </c>
      <c r="L3651" s="11">
        <v>2.4696116529409169</v>
      </c>
      <c r="N3651" s="12"/>
    </row>
    <row r="3652" spans="1:14" s="5" customFormat="1" ht="15" customHeight="1" x14ac:dyDescent="0.25">
      <c r="A3652" s="9" t="s">
        <v>7166</v>
      </c>
      <c r="C3652" s="9" t="str">
        <f>HYPERLINK("http://www.ncbi.nlm.nih.gov/protein/46402185","Itfg3")</f>
        <v>Itfg3</v>
      </c>
      <c r="D3652" s="10">
        <f t="shared" si="56"/>
        <v>4.4324836657817199</v>
      </c>
      <c r="F3652" s="8" t="str">
        <f>HYPERLINK("https://esbl.nhlbi.nih.gov/Databases/mpkFractions/proteomic_fractions_log_files/Yang_log_img/46402185.jpg","show blot")</f>
        <v>show blot</v>
      </c>
      <c r="H3652" s="8" t="str">
        <f>HYPERLINK("https://esbl.nhlbi.nih.gov/Databases/mpkFractions/proteomic_fractions_linear_files/Yang_linear_img/46402185.jpg","show blot")</f>
        <v>show blot</v>
      </c>
      <c r="J3652" s="5" t="s">
        <v>7167</v>
      </c>
      <c r="L3652" s="11">
        <v>4.4324836657817199</v>
      </c>
      <c r="N3652" s="12"/>
    </row>
    <row r="3653" spans="1:14" s="5" customFormat="1" ht="15" customHeight="1" x14ac:dyDescent="0.25">
      <c r="A3653" s="9" t="s">
        <v>7168</v>
      </c>
      <c r="C3653" s="9" t="str">
        <f>HYPERLINK("http://www.ncbi.nlm.nih.gov/protein/153791389","Itga1")</f>
        <v>Itga1</v>
      </c>
      <c r="D3653" s="10">
        <f t="shared" ref="D3653:D3716" si="57">L3653</f>
        <v>3.6869527700625699</v>
      </c>
      <c r="F3653" s="8" t="str">
        <f>HYPERLINK("https://esbl.nhlbi.nih.gov/Databases/mpkFractions/proteomic_fractions_log_files/Yang_log_img/153791389.jpg","show blot")</f>
        <v>show blot</v>
      </c>
      <c r="H3653" s="8" t="str">
        <f>HYPERLINK("https://esbl.nhlbi.nih.gov/Databases/mpkFractions/proteomic_fractions_linear_files/Yang_linear_img/153791389.jpg","show blot")</f>
        <v>show blot</v>
      </c>
      <c r="J3653" s="5" t="s">
        <v>7169</v>
      </c>
      <c r="L3653" s="11">
        <v>3.6869527700625699</v>
      </c>
      <c r="N3653" s="12"/>
    </row>
    <row r="3654" spans="1:14" s="5" customFormat="1" ht="15" customHeight="1" x14ac:dyDescent="0.25">
      <c r="A3654" s="9" t="s">
        <v>7170</v>
      </c>
      <c r="C3654" s="9" t="str">
        <f>HYPERLINK("http://www.ncbi.nlm.nih.gov/protein/41054731","Itga2")</f>
        <v>Itga2</v>
      </c>
      <c r="D3654" s="10">
        <f t="shared" si="57"/>
        <v>2.96423962398047</v>
      </c>
      <c r="F3654" s="8" t="str">
        <f>HYPERLINK("https://esbl.nhlbi.nih.gov/Databases/mpkFractions/proteomic_fractions_log_files/Yang_log_img/41054731.jpg","show blot")</f>
        <v>show blot</v>
      </c>
      <c r="H3654" s="8" t="str">
        <f>HYPERLINK("https://esbl.nhlbi.nih.gov/Databases/mpkFractions/proteomic_fractions_linear_files/Yang_linear_img/41054731.jpg","show blot")</f>
        <v>show blot</v>
      </c>
      <c r="J3654" s="5" t="s">
        <v>7171</v>
      </c>
      <c r="L3654" s="11">
        <v>2.96423962398047</v>
      </c>
      <c r="N3654" s="12"/>
    </row>
    <row r="3655" spans="1:14" s="5" customFormat="1" ht="15" customHeight="1" x14ac:dyDescent="0.25">
      <c r="A3655" s="9" t="s">
        <v>7172</v>
      </c>
      <c r="C3655" s="9" t="str">
        <f>HYPERLINK("http://www.ncbi.nlm.nih.gov/protein/7305189","Itga3")</f>
        <v>Itga3</v>
      </c>
      <c r="D3655" s="10">
        <f t="shared" si="57"/>
        <v>5.5933041497894003</v>
      </c>
      <c r="F3655" s="8" t="str">
        <f>HYPERLINK("https://esbl.nhlbi.nih.gov/Databases/mpkFractions/proteomic_fractions_log_files/Yang_log_img/7305189.jpg","show blot")</f>
        <v>show blot</v>
      </c>
      <c r="H3655" s="8" t="str">
        <f>HYPERLINK("https://esbl.nhlbi.nih.gov/Databases/mpkFractions/proteomic_fractions_linear_files/Yang_linear_img/7305189.jpg","show blot")</f>
        <v>show blot</v>
      </c>
      <c r="J3655" s="5" t="s">
        <v>7173</v>
      </c>
      <c r="L3655" s="11">
        <v>5.5933041497894003</v>
      </c>
      <c r="N3655" s="12"/>
    </row>
    <row r="3656" spans="1:14" s="5" customFormat="1" ht="15" customHeight="1" x14ac:dyDescent="0.25">
      <c r="A3656" s="9" t="s">
        <v>7174</v>
      </c>
      <c r="C3656" s="9" t="str">
        <f>HYPERLINK("http://www.ncbi.nlm.nih.gov/protein/225903442","Itga5")</f>
        <v>Itga5</v>
      </c>
      <c r="D3656" s="10">
        <f t="shared" si="57"/>
        <v>3.4610974579971852</v>
      </c>
      <c r="F3656" s="8" t="str">
        <f>HYPERLINK("https://esbl.nhlbi.nih.gov/Databases/mpkFractions/proteomic_fractions_log_files/Yang_log_img/225903442.jpg","show blot")</f>
        <v>show blot</v>
      </c>
      <c r="H3656" s="8" t="str">
        <f>HYPERLINK("https://esbl.nhlbi.nih.gov/Databases/mpkFractions/proteomic_fractions_linear_files/Yang_linear_img/225903442.jpg","show blot")</f>
        <v>show blot</v>
      </c>
      <c r="J3656" s="5" t="s">
        <v>7175</v>
      </c>
      <c r="L3656" s="11">
        <v>3.4610974579971852</v>
      </c>
      <c r="N3656" s="12"/>
    </row>
    <row r="3657" spans="1:14" s="5" customFormat="1" ht="15" customHeight="1" x14ac:dyDescent="0.25">
      <c r="A3657" s="9" t="s">
        <v>7176</v>
      </c>
      <c r="C3657" s="9" t="str">
        <f>HYPERLINK("http://www.ncbi.nlm.nih.gov/protein/485836844","Itga6")</f>
        <v>Itga6</v>
      </c>
      <c r="D3657" s="10">
        <f t="shared" si="57"/>
        <v>4.8890336169015738</v>
      </c>
      <c r="F3657" s="8" t="str">
        <f>HYPERLINK("https://esbl.nhlbi.nih.gov/Databases/mpkFractions/proteomic_fractions_log_files/Yang_log_img/485836844.jpg","show blot")</f>
        <v>show blot</v>
      </c>
      <c r="H3657" s="8" t="str">
        <f>HYPERLINK("https://esbl.nhlbi.nih.gov/Databases/mpkFractions/proteomic_fractions_linear_files/Yang_linear_img/485836844.jpg","show blot")</f>
        <v>show blot</v>
      </c>
      <c r="J3657" s="5" t="s">
        <v>7177</v>
      </c>
      <c r="L3657" s="11">
        <v>4.8890336169015738</v>
      </c>
      <c r="N3657" s="12"/>
    </row>
    <row r="3658" spans="1:14" s="5" customFormat="1" ht="15" customHeight="1" x14ac:dyDescent="0.25">
      <c r="A3658" s="9" t="s">
        <v>7178</v>
      </c>
      <c r="C3658" s="9" t="str">
        <f>HYPERLINK("http://www.ncbi.nlm.nih.gov/protein/31982236","Itga6")</f>
        <v>Itga6</v>
      </c>
      <c r="D3658" s="10">
        <f t="shared" si="57"/>
        <v>4.8890336169015738</v>
      </c>
      <c r="F3658" s="8" t="str">
        <f>HYPERLINK("https://esbl.nhlbi.nih.gov/Databases/mpkFractions/proteomic_fractions_log_files/Yang_log_img/31982236.jpg","show blot")</f>
        <v>show blot</v>
      </c>
      <c r="H3658" s="8" t="str">
        <f>HYPERLINK("https://esbl.nhlbi.nih.gov/Databases/mpkFractions/proteomic_fractions_linear_files/Yang_linear_img/31982236.jpg","show blot")</f>
        <v>show blot</v>
      </c>
      <c r="J3658" s="5" t="s">
        <v>7179</v>
      </c>
      <c r="L3658" s="11">
        <v>4.8890336169015738</v>
      </c>
      <c r="N3658" s="12"/>
    </row>
    <row r="3659" spans="1:14" s="5" customFormat="1" ht="15" customHeight="1" x14ac:dyDescent="0.25">
      <c r="A3659" s="9" t="s">
        <v>7180</v>
      </c>
      <c r="C3659" s="9" t="str">
        <f>HYPERLINK("http://www.ncbi.nlm.nih.gov/protein/294997269","Itgad")</f>
        <v>Itgad</v>
      </c>
      <c r="D3659" s="10">
        <f t="shared" si="57"/>
        <v>4.3017713829939108</v>
      </c>
      <c r="F3659" s="8" t="str">
        <f>HYPERLINK("https://esbl.nhlbi.nih.gov/Databases/mpkFractions/proteomic_fractions_log_files/Yang_log_img/294997269.jpg","show blot")</f>
        <v>show blot</v>
      </c>
      <c r="H3659" s="8" t="str">
        <f>HYPERLINK("https://esbl.nhlbi.nih.gov/Databases/mpkFractions/proteomic_fractions_linear_files/Yang_linear_img/294997269.jpg","show blot")</f>
        <v>show blot</v>
      </c>
      <c r="J3659" s="5" t="s">
        <v>7181</v>
      </c>
      <c r="L3659" s="11">
        <v>4.3017713829939108</v>
      </c>
      <c r="N3659" s="12"/>
    </row>
    <row r="3660" spans="1:14" s="5" customFormat="1" ht="15" customHeight="1" x14ac:dyDescent="0.25">
      <c r="A3660" s="9" t="s">
        <v>7182</v>
      </c>
      <c r="C3660" s="9" t="str">
        <f>HYPERLINK("http://www.ncbi.nlm.nih.gov/protein/154240716","Itgav")</f>
        <v>Itgav</v>
      </c>
      <c r="D3660" s="10">
        <f t="shared" si="57"/>
        <v>5.1449009990021164</v>
      </c>
      <c r="F3660" s="8" t="str">
        <f>HYPERLINK("https://esbl.nhlbi.nih.gov/Databases/mpkFractions/proteomic_fractions_log_files/Yang_log_img/154240716.jpg","show blot")</f>
        <v>show blot</v>
      </c>
      <c r="H3660" s="8" t="str">
        <f>HYPERLINK("https://esbl.nhlbi.nih.gov/Databases/mpkFractions/proteomic_fractions_linear_files/Yang_linear_img/154240716.jpg","show blot")</f>
        <v>show blot</v>
      </c>
      <c r="J3660" s="5" t="s">
        <v>7183</v>
      </c>
      <c r="L3660" s="11">
        <v>5.1449009990021164</v>
      </c>
      <c r="N3660" s="12"/>
    </row>
    <row r="3661" spans="1:14" s="5" customFormat="1" ht="15" customHeight="1" x14ac:dyDescent="0.25">
      <c r="A3661" s="9" t="s">
        <v>7184</v>
      </c>
      <c r="C3661" s="9" t="str">
        <f>HYPERLINK("http://www.ncbi.nlm.nih.gov/protein/45504394","Itgb1")</f>
        <v>Itgb1</v>
      </c>
      <c r="D3661" s="10">
        <f t="shared" si="57"/>
        <v>6.0869358314997717</v>
      </c>
      <c r="F3661" s="8" t="str">
        <f>HYPERLINK("https://esbl.nhlbi.nih.gov/Databases/mpkFractions/proteomic_fractions_log_files/Yang_log_img/45504394.jpg","show blot")</f>
        <v>show blot</v>
      </c>
      <c r="H3661" s="8" t="str">
        <f>HYPERLINK("https://esbl.nhlbi.nih.gov/Databases/mpkFractions/proteomic_fractions_linear_files/Yang_linear_img/45504394.jpg","show blot")</f>
        <v>show blot</v>
      </c>
      <c r="J3661" s="5" t="s">
        <v>7185</v>
      </c>
      <c r="L3661" s="11">
        <v>6.0869358314997717</v>
      </c>
      <c r="N3661" s="12"/>
    </row>
    <row r="3662" spans="1:14" s="5" customFormat="1" ht="15" customHeight="1" x14ac:dyDescent="0.25">
      <c r="A3662" s="9" t="s">
        <v>7186</v>
      </c>
      <c r="C3662" s="9" t="str">
        <f>HYPERLINK("http://www.ncbi.nlm.nih.gov/protein/6680488","Itgb1bp1")</f>
        <v>Itgb1bp1</v>
      </c>
      <c r="D3662" s="10">
        <f t="shared" si="57"/>
        <v>4.0669710689201493</v>
      </c>
      <c r="F3662" s="8" t="str">
        <f>HYPERLINK("https://esbl.nhlbi.nih.gov/Databases/mpkFractions/proteomic_fractions_log_files/Yang_log_img/6680488.jpg","show blot")</f>
        <v>show blot</v>
      </c>
      <c r="H3662" s="8" t="str">
        <f>HYPERLINK("https://esbl.nhlbi.nih.gov/Databases/mpkFractions/proteomic_fractions_linear_files/Yang_linear_img/6680488.jpg","show blot")</f>
        <v>show blot</v>
      </c>
      <c r="J3662" s="5" t="s">
        <v>7187</v>
      </c>
      <c r="L3662" s="11">
        <v>4.0669710689201493</v>
      </c>
      <c r="N3662" s="12"/>
    </row>
    <row r="3663" spans="1:14" s="5" customFormat="1" ht="15" customHeight="1" x14ac:dyDescent="0.25">
      <c r="A3663" s="9" t="s">
        <v>7188</v>
      </c>
      <c r="C3663" s="9" t="str">
        <f>HYPERLINK("http://www.ncbi.nlm.nih.gov/protein/111607447","Itgb2")</f>
        <v>Itgb2</v>
      </c>
      <c r="D3663" s="10">
        <f t="shared" si="57"/>
        <v>3.293487689756156</v>
      </c>
      <c r="F3663" s="8" t="str">
        <f>HYPERLINK("https://esbl.nhlbi.nih.gov/Databases/mpkFractions/proteomic_fractions_log_files/Yang_log_img/111607447.jpg","show blot")</f>
        <v>show blot</v>
      </c>
      <c r="H3663" s="8" t="str">
        <f>HYPERLINK("https://esbl.nhlbi.nih.gov/Databases/mpkFractions/proteomic_fractions_linear_files/Yang_linear_img/111607447.jpg","show blot")</f>
        <v>show blot</v>
      </c>
      <c r="J3663" s="5" t="s">
        <v>7189</v>
      </c>
      <c r="L3663" s="11">
        <v>3.293487689756156</v>
      </c>
      <c r="N3663" s="12"/>
    </row>
    <row r="3664" spans="1:14" s="5" customFormat="1" ht="15" customHeight="1" x14ac:dyDescent="0.25">
      <c r="A3664" s="9" t="s">
        <v>7190</v>
      </c>
      <c r="C3664" s="9" t="str">
        <f>HYPERLINK("http://www.ncbi.nlm.nih.gov/protein/110735426","Itgb4")</f>
        <v>Itgb4</v>
      </c>
      <c r="D3664" s="10">
        <f t="shared" si="57"/>
        <v>4.3421982463008266</v>
      </c>
      <c r="F3664" s="8" t="str">
        <f>HYPERLINK("https://esbl.nhlbi.nih.gov/Databases/mpkFractions/proteomic_fractions_log_files/Yang_log_img/110735426.jpg","show blot")</f>
        <v>show blot</v>
      </c>
      <c r="H3664" s="8" t="str">
        <f>HYPERLINK("https://esbl.nhlbi.nih.gov/Databases/mpkFractions/proteomic_fractions_linear_files/Yang_linear_img/110735426.jpg","show blot")</f>
        <v>show blot</v>
      </c>
      <c r="J3664" s="5" t="s">
        <v>7191</v>
      </c>
      <c r="L3664" s="11">
        <v>4.3421982463008266</v>
      </c>
      <c r="N3664" s="12"/>
    </row>
    <row r="3665" spans="1:14" s="5" customFormat="1" ht="15" customHeight="1" x14ac:dyDescent="0.25">
      <c r="A3665" s="9" t="s">
        <v>7192</v>
      </c>
      <c r="C3665" s="9" t="str">
        <f>HYPERLINK("http://www.ncbi.nlm.nih.gov/protein/110735428","Itgb4")</f>
        <v>Itgb4</v>
      </c>
      <c r="D3665" s="10">
        <f t="shared" si="57"/>
        <v>4.3421982463008266</v>
      </c>
      <c r="F3665" s="8" t="str">
        <f>HYPERLINK("https://esbl.nhlbi.nih.gov/Databases/mpkFractions/proteomic_fractions_log_files/Yang_log_img/110735428.jpg","show blot")</f>
        <v>show blot</v>
      </c>
      <c r="H3665" s="8" t="str">
        <f>HYPERLINK("https://esbl.nhlbi.nih.gov/Databases/mpkFractions/proteomic_fractions_linear_files/Yang_linear_img/110735428.jpg","show blot")</f>
        <v>show blot</v>
      </c>
      <c r="J3665" s="5" t="s">
        <v>7193</v>
      </c>
      <c r="L3665" s="11">
        <v>4.3421982463008266</v>
      </c>
      <c r="N3665" s="12"/>
    </row>
    <row r="3666" spans="1:14" s="5" customFormat="1" ht="15" customHeight="1" x14ac:dyDescent="0.25">
      <c r="A3666" s="9" t="s">
        <v>7194</v>
      </c>
      <c r="C3666" s="9" t="str">
        <f>HYPERLINK("http://www.ncbi.nlm.nih.gov/protein/225007617","Itgb5")</f>
        <v>Itgb5</v>
      </c>
      <c r="D3666" s="10">
        <f t="shared" si="57"/>
        <v>4.3445680083444964</v>
      </c>
      <c r="F3666" s="8" t="str">
        <f>HYPERLINK("https://esbl.nhlbi.nih.gov/Databases/mpkFractions/proteomic_fractions_log_files/Yang_log_img/225007617.jpg","show blot")</f>
        <v>show blot</v>
      </c>
      <c r="H3666" s="8" t="str">
        <f>HYPERLINK("https://esbl.nhlbi.nih.gov/Databases/mpkFractions/proteomic_fractions_linear_files/Yang_linear_img/225007617.jpg","show blot")</f>
        <v>show blot</v>
      </c>
      <c r="J3666" s="5" t="s">
        <v>7195</v>
      </c>
      <c r="L3666" s="11">
        <v>4.3445680083444964</v>
      </c>
      <c r="N3666" s="12"/>
    </row>
    <row r="3667" spans="1:14" s="5" customFormat="1" ht="15" customHeight="1" x14ac:dyDescent="0.25">
      <c r="A3667" s="9" t="s">
        <v>7196</v>
      </c>
      <c r="C3667" s="9" t="str">
        <f>HYPERLINK("http://www.ncbi.nlm.nih.gov/protein/225007621","Itgb5")</f>
        <v>Itgb5</v>
      </c>
      <c r="D3667" s="10">
        <f t="shared" si="57"/>
        <v>4.3445680083444964</v>
      </c>
      <c r="F3667" s="8" t="str">
        <f>HYPERLINK("https://esbl.nhlbi.nih.gov/Databases/mpkFractions/proteomic_fractions_log_files/Yang_log_img/225007621.jpg","show blot")</f>
        <v>show blot</v>
      </c>
      <c r="H3667" s="8" t="str">
        <f>HYPERLINK("https://esbl.nhlbi.nih.gov/Databases/mpkFractions/proteomic_fractions_linear_files/Yang_linear_img/225007621.jpg","show blot")</f>
        <v>show blot</v>
      </c>
      <c r="J3667" s="5" t="s">
        <v>7197</v>
      </c>
      <c r="L3667" s="11">
        <v>4.3445680083444964</v>
      </c>
      <c r="N3667" s="12"/>
    </row>
    <row r="3668" spans="1:14" s="5" customFormat="1" ht="15" customHeight="1" x14ac:dyDescent="0.25">
      <c r="A3668" s="9" t="s">
        <v>7198</v>
      </c>
      <c r="C3668" s="9" t="str">
        <f>HYPERLINK("http://www.ncbi.nlm.nih.gov/protein/10946686","Itgb6")</f>
        <v>Itgb6</v>
      </c>
      <c r="D3668" s="10">
        <f t="shared" si="57"/>
        <v>4.3112754820206867</v>
      </c>
      <c r="F3668" s="8" t="str">
        <f>HYPERLINK("https://esbl.nhlbi.nih.gov/Databases/mpkFractions/proteomic_fractions_log_files/Yang_log_img/10946686.jpg","show blot")</f>
        <v>show blot</v>
      </c>
      <c r="H3668" s="8" t="str">
        <f>HYPERLINK("https://esbl.nhlbi.nih.gov/Databases/mpkFractions/proteomic_fractions_linear_files/Yang_linear_img/10946686.jpg","show blot")</f>
        <v>show blot</v>
      </c>
      <c r="J3668" s="5" t="s">
        <v>7199</v>
      </c>
      <c r="L3668" s="11">
        <v>4.3112754820206867</v>
      </c>
      <c r="N3668" s="12"/>
    </row>
    <row r="3669" spans="1:14" s="5" customFormat="1" ht="15" customHeight="1" x14ac:dyDescent="0.25">
      <c r="A3669" s="9" t="s">
        <v>7200</v>
      </c>
      <c r="C3669" s="9" t="str">
        <f>HYPERLINK("http://www.ncbi.nlm.nih.gov/protein/160708008","Itgb7")</f>
        <v>Itgb7</v>
      </c>
      <c r="D3669" s="10">
        <f t="shared" si="57"/>
        <v>3.2831468564179378</v>
      </c>
      <c r="F3669" s="8" t="str">
        <f>HYPERLINK("https://esbl.nhlbi.nih.gov/Databases/mpkFractions/proteomic_fractions_log_files/Yang_log_img/160708008.jpg","show blot")</f>
        <v>show blot</v>
      </c>
      <c r="H3669" s="8" t="str">
        <f>HYPERLINK("https://esbl.nhlbi.nih.gov/Databases/mpkFractions/proteomic_fractions_linear_files/Yang_linear_img/160708008.jpg","show blot")</f>
        <v>show blot</v>
      </c>
      <c r="J3669" s="5" t="s">
        <v>7201</v>
      </c>
      <c r="L3669" s="11">
        <v>3.2831468564179378</v>
      </c>
      <c r="N3669" s="12"/>
    </row>
    <row r="3670" spans="1:14" s="5" customFormat="1" ht="15" customHeight="1" x14ac:dyDescent="0.25">
      <c r="A3670" s="9" t="s">
        <v>7202</v>
      </c>
      <c r="C3670" s="9" t="str">
        <f>HYPERLINK("http://www.ncbi.nlm.nih.gov/protein/6680502","Itm2b")</f>
        <v>Itm2b</v>
      </c>
      <c r="D3670" s="10">
        <f t="shared" si="57"/>
        <v>4.8438554789408457</v>
      </c>
      <c r="F3670" s="8" t="str">
        <f>HYPERLINK("https://esbl.nhlbi.nih.gov/Databases/mpkFractions/proteomic_fractions_log_files/Yang_log_img/6680502.jpg","show blot")</f>
        <v>show blot</v>
      </c>
      <c r="H3670" s="8" t="str">
        <f>HYPERLINK("https://esbl.nhlbi.nih.gov/Databases/mpkFractions/proteomic_fractions_linear_files/Yang_linear_img/6680502.jpg","show blot")</f>
        <v>show blot</v>
      </c>
      <c r="J3670" s="5" t="s">
        <v>7203</v>
      </c>
      <c r="L3670" s="11">
        <v>4.8438554789408457</v>
      </c>
      <c r="N3670" s="12"/>
    </row>
    <row r="3671" spans="1:14" s="5" customFormat="1" ht="15" customHeight="1" x14ac:dyDescent="0.25">
      <c r="A3671" s="9" t="s">
        <v>7204</v>
      </c>
      <c r="C3671" s="9" t="str">
        <f>HYPERLINK("http://www.ncbi.nlm.nih.gov/protein/160333680","Itm2c")</f>
        <v>Itm2c</v>
      </c>
      <c r="D3671" s="10">
        <f t="shared" si="57"/>
        <v>2.4567653249383752</v>
      </c>
      <c r="F3671" s="8" t="str">
        <f>HYPERLINK("https://esbl.nhlbi.nih.gov/Databases/mpkFractions/proteomic_fractions_log_files/Yang_log_img/160333680.jpg","show blot")</f>
        <v>show blot</v>
      </c>
      <c r="H3671" s="8" t="str">
        <f>HYPERLINK("https://esbl.nhlbi.nih.gov/Databases/mpkFractions/proteomic_fractions_linear_files/Yang_linear_img/160333680.jpg","show blot")</f>
        <v>show blot</v>
      </c>
      <c r="J3671" s="5" t="s">
        <v>7205</v>
      </c>
      <c r="L3671" s="11">
        <v>2.4567653249383752</v>
      </c>
      <c r="N3671" s="12"/>
    </row>
    <row r="3672" spans="1:14" s="5" customFormat="1" ht="15" customHeight="1" x14ac:dyDescent="0.25">
      <c r="A3672" s="9" t="s">
        <v>7206</v>
      </c>
      <c r="C3672" s="9" t="str">
        <f>HYPERLINK("http://www.ncbi.nlm.nih.gov/protein/31982664","Itpa")</f>
        <v>Itpa</v>
      </c>
      <c r="D3672" s="10">
        <f t="shared" si="57"/>
        <v>4.8672168618553364</v>
      </c>
      <c r="F3672" s="8" t="str">
        <f>HYPERLINK("https://esbl.nhlbi.nih.gov/Databases/mpkFractions/proteomic_fractions_log_files/Yang_log_img/31982664.jpg","show blot")</f>
        <v>show blot</v>
      </c>
      <c r="H3672" s="8" t="str">
        <f>HYPERLINK("https://esbl.nhlbi.nih.gov/Databases/mpkFractions/proteomic_fractions_linear_files/Yang_linear_img/31982664.jpg","show blot")</f>
        <v>show blot</v>
      </c>
      <c r="J3672" s="5" t="s">
        <v>7207</v>
      </c>
      <c r="L3672" s="11">
        <v>4.8672168618553364</v>
      </c>
      <c r="N3672" s="12"/>
    </row>
    <row r="3673" spans="1:14" s="5" customFormat="1" ht="15" customHeight="1" x14ac:dyDescent="0.25">
      <c r="A3673" s="9" t="s">
        <v>7208</v>
      </c>
      <c r="C3673" s="9" t="str">
        <f>HYPERLINK("http://www.ncbi.nlm.nih.gov/protein/29789389","Itpk1")</f>
        <v>Itpk1</v>
      </c>
      <c r="D3673" s="10">
        <f t="shared" si="57"/>
        <v>3.394384802436011</v>
      </c>
      <c r="F3673" s="8" t="str">
        <f>HYPERLINK("https://esbl.nhlbi.nih.gov/Databases/mpkFractions/proteomic_fractions_log_files/Yang_log_img/29789389.jpg","show blot")</f>
        <v>show blot</v>
      </c>
      <c r="H3673" s="8" t="str">
        <f>HYPERLINK("https://esbl.nhlbi.nih.gov/Databases/mpkFractions/proteomic_fractions_linear_files/Yang_linear_img/29789389.jpg","show blot")</f>
        <v>show blot</v>
      </c>
      <c r="J3673" s="5" t="s">
        <v>7209</v>
      </c>
      <c r="L3673" s="11">
        <v>3.394384802436011</v>
      </c>
      <c r="N3673" s="12"/>
    </row>
    <row r="3674" spans="1:14" s="5" customFormat="1" ht="15" customHeight="1" x14ac:dyDescent="0.25">
      <c r="A3674" s="9" t="s">
        <v>7210</v>
      </c>
      <c r="C3674" s="9" t="str">
        <f>HYPERLINK("http://www.ncbi.nlm.nih.gov/protein/291327470","Itpr1")</f>
        <v>Itpr1</v>
      </c>
      <c r="D3674" s="10">
        <f t="shared" si="57"/>
        <v>2.6642799261491832</v>
      </c>
      <c r="F3674" s="8" t="str">
        <f>HYPERLINK("https://esbl.nhlbi.nih.gov/Databases/mpkFractions/proteomic_fractions_log_files/Yang_log_img/291327470.jpg","show blot")</f>
        <v>show blot</v>
      </c>
      <c r="H3674" s="8" t="str">
        <f>HYPERLINK("https://esbl.nhlbi.nih.gov/Databases/mpkFractions/proteomic_fractions_linear_files/Yang_linear_img/291327470.jpg","show blot")</f>
        <v>show blot</v>
      </c>
      <c r="J3674" s="5" t="s">
        <v>7211</v>
      </c>
      <c r="L3674" s="11">
        <v>2.6642799261491832</v>
      </c>
      <c r="N3674" s="12"/>
    </row>
    <row r="3675" spans="1:14" s="5" customFormat="1" ht="15" customHeight="1" x14ac:dyDescent="0.25">
      <c r="A3675" s="9" t="s">
        <v>7212</v>
      </c>
      <c r="C3675" s="9" t="str">
        <f>HYPERLINK("http://www.ncbi.nlm.nih.gov/protein/60592758","Itpr2")</f>
        <v>Itpr2</v>
      </c>
      <c r="D3675" s="10">
        <f t="shared" si="57"/>
        <v>2.646459736753223</v>
      </c>
      <c r="F3675" s="8" t="str">
        <f>HYPERLINK("https://esbl.nhlbi.nih.gov/Databases/mpkFractions/proteomic_fractions_log_files/Yang_log_img/60592758.jpg","show blot")</f>
        <v>show blot</v>
      </c>
      <c r="H3675" s="8" t="str">
        <f>HYPERLINK("https://esbl.nhlbi.nih.gov/Databases/mpkFractions/proteomic_fractions_linear_files/Yang_linear_img/60592758.jpg","show blot")</f>
        <v>show blot</v>
      </c>
      <c r="J3675" s="5" t="s">
        <v>7213</v>
      </c>
      <c r="L3675" s="11">
        <v>2.646459736753223</v>
      </c>
      <c r="N3675" s="12"/>
    </row>
    <row r="3676" spans="1:14" s="5" customFormat="1" ht="15" customHeight="1" x14ac:dyDescent="0.25">
      <c r="A3676" s="9" t="s">
        <v>7214</v>
      </c>
      <c r="C3676" s="9" t="str">
        <f>HYPERLINK("http://www.ncbi.nlm.nih.gov/protein/60593032","Itpr2")</f>
        <v>Itpr2</v>
      </c>
      <c r="D3676" s="10">
        <f t="shared" si="57"/>
        <v>2.646459736753223</v>
      </c>
      <c r="F3676" s="8" t="str">
        <f>HYPERLINK("https://esbl.nhlbi.nih.gov/Databases/mpkFractions/proteomic_fractions_log_files/Yang_log_img/60593032.jpg","show blot")</f>
        <v>show blot</v>
      </c>
      <c r="H3676" s="8" t="str">
        <f>HYPERLINK("https://esbl.nhlbi.nih.gov/Databases/mpkFractions/proteomic_fractions_linear_files/Yang_linear_img/60593032.jpg","show blot")</f>
        <v>show blot</v>
      </c>
      <c r="J3676" s="5" t="s">
        <v>7215</v>
      </c>
      <c r="L3676" s="11">
        <v>2.646459736753223</v>
      </c>
      <c r="N3676" s="12"/>
    </row>
    <row r="3677" spans="1:14" s="5" customFormat="1" ht="15" customHeight="1" x14ac:dyDescent="0.25">
      <c r="A3677" s="9" t="s">
        <v>7216</v>
      </c>
      <c r="C3677" s="9" t="str">
        <f>HYPERLINK("http://www.ncbi.nlm.nih.gov/protein/61102728","Itpr3")</f>
        <v>Itpr3</v>
      </c>
      <c r="D3677" s="10">
        <f t="shared" si="57"/>
        <v>3.1610503175257798</v>
      </c>
      <c r="F3677" s="8" t="str">
        <f>HYPERLINK("https://esbl.nhlbi.nih.gov/Databases/mpkFractions/proteomic_fractions_log_files/Yang_log_img/61102728.jpg","show blot")</f>
        <v>show blot</v>
      </c>
      <c r="H3677" s="8" t="str">
        <f>HYPERLINK("https://esbl.nhlbi.nih.gov/Databases/mpkFractions/proteomic_fractions_linear_files/Yang_linear_img/61102728.jpg","show blot")</f>
        <v>show blot</v>
      </c>
      <c r="J3677" s="5" t="s">
        <v>7217</v>
      </c>
      <c r="L3677" s="11">
        <v>3.1610503175257798</v>
      </c>
      <c r="N3677" s="12"/>
    </row>
    <row r="3678" spans="1:14" s="5" customFormat="1" ht="15" customHeight="1" x14ac:dyDescent="0.25">
      <c r="A3678" s="9" t="s">
        <v>7218</v>
      </c>
      <c r="C3678" s="9" t="str">
        <f>HYPERLINK("http://www.ncbi.nlm.nih.gov/protein/160333276","Itsn1")</f>
        <v>Itsn1</v>
      </c>
      <c r="D3678" s="10">
        <f t="shared" si="57"/>
        <v>2.808600355176738</v>
      </c>
      <c r="F3678" s="8" t="str">
        <f>HYPERLINK("https://esbl.nhlbi.nih.gov/Databases/mpkFractions/proteomic_fractions_log_files/Yang_log_img/160333276.jpg","show blot")</f>
        <v>show blot</v>
      </c>
      <c r="H3678" s="8" t="str">
        <f>HYPERLINK("https://esbl.nhlbi.nih.gov/Databases/mpkFractions/proteomic_fractions_linear_files/Yang_linear_img/160333276.jpg","show blot")</f>
        <v>show blot</v>
      </c>
      <c r="J3678" s="5" t="s">
        <v>7219</v>
      </c>
      <c r="L3678" s="11">
        <v>2.808600355176738</v>
      </c>
      <c r="N3678" s="12"/>
    </row>
    <row r="3679" spans="1:14" s="5" customFormat="1" ht="15" customHeight="1" x14ac:dyDescent="0.25">
      <c r="A3679" s="9" t="s">
        <v>7220</v>
      </c>
      <c r="C3679" s="9" t="str">
        <f>HYPERLINK("http://www.ncbi.nlm.nih.gov/protein/160333280","Itsn1")</f>
        <v>Itsn1</v>
      </c>
      <c r="D3679" s="10">
        <f t="shared" si="57"/>
        <v>2.808600355176738</v>
      </c>
      <c r="F3679" s="8" t="str">
        <f>HYPERLINK("https://esbl.nhlbi.nih.gov/Databases/mpkFractions/proteomic_fractions_log_files/Yang_log_img/160333280.jpg","show blot")</f>
        <v>show blot</v>
      </c>
      <c r="H3679" s="8" t="str">
        <f>HYPERLINK("https://esbl.nhlbi.nih.gov/Databases/mpkFractions/proteomic_fractions_linear_files/Yang_linear_img/160333280.jpg","show blot")</f>
        <v>show blot</v>
      </c>
      <c r="J3679" s="5" t="s">
        <v>7221</v>
      </c>
      <c r="L3679" s="11">
        <v>2.808600355176738</v>
      </c>
      <c r="N3679" s="12"/>
    </row>
    <row r="3680" spans="1:14" s="5" customFormat="1" ht="15" customHeight="1" x14ac:dyDescent="0.25">
      <c r="A3680" s="9" t="s">
        <v>7222</v>
      </c>
      <c r="C3680" s="9" t="str">
        <f>HYPERLINK("http://www.ncbi.nlm.nih.gov/protein/134288904","Itsn1")</f>
        <v>Itsn1</v>
      </c>
      <c r="D3680" s="10">
        <f t="shared" si="57"/>
        <v>2.808600355176738</v>
      </c>
      <c r="F3680" s="8" t="str">
        <f>HYPERLINK("https://esbl.nhlbi.nih.gov/Databases/mpkFractions/proteomic_fractions_log_files/Yang_log_img/134288904.jpg","show blot")</f>
        <v>show blot</v>
      </c>
      <c r="H3680" s="8" t="str">
        <f>HYPERLINK("https://esbl.nhlbi.nih.gov/Databases/mpkFractions/proteomic_fractions_linear_files/Yang_linear_img/134288904.jpg","show blot")</f>
        <v>show blot</v>
      </c>
      <c r="J3680" s="5" t="s">
        <v>7223</v>
      </c>
      <c r="L3680" s="11">
        <v>2.808600355176738</v>
      </c>
      <c r="N3680" s="12"/>
    </row>
    <row r="3681" spans="1:14" s="5" customFormat="1" ht="15" customHeight="1" x14ac:dyDescent="0.25">
      <c r="A3681" s="9" t="s">
        <v>7224</v>
      </c>
      <c r="C3681" s="9" t="str">
        <f>HYPERLINK("http://www.ncbi.nlm.nih.gov/protein/312176405","Itsn2")</f>
        <v>Itsn2</v>
      </c>
      <c r="D3681" s="10">
        <f t="shared" si="57"/>
        <v>2.675881825295527</v>
      </c>
      <c r="F3681" s="8" t="str">
        <f>HYPERLINK("https://esbl.nhlbi.nih.gov/Databases/mpkFractions/proteomic_fractions_log_files/Yang_log_img/312176405.jpg","show blot")</f>
        <v>show blot</v>
      </c>
      <c r="H3681" s="8" t="str">
        <f>HYPERLINK("https://esbl.nhlbi.nih.gov/Databases/mpkFractions/proteomic_fractions_linear_files/Yang_linear_img/312176405.jpg","show blot")</f>
        <v>show blot</v>
      </c>
      <c r="J3681" s="5" t="s">
        <v>7225</v>
      </c>
      <c r="L3681" s="11">
        <v>2.675881825295527</v>
      </c>
      <c r="N3681" s="12"/>
    </row>
    <row r="3682" spans="1:14" s="5" customFormat="1" ht="15" customHeight="1" x14ac:dyDescent="0.25">
      <c r="A3682" s="9" t="s">
        <v>7226</v>
      </c>
      <c r="C3682" s="9" t="str">
        <f>HYPERLINK("http://www.ncbi.nlm.nih.gov/protein/312176401","Itsn2")</f>
        <v>Itsn2</v>
      </c>
      <c r="D3682" s="10">
        <f t="shared" si="57"/>
        <v>2.675881825295527</v>
      </c>
      <c r="F3682" s="8" t="str">
        <f>HYPERLINK("https://esbl.nhlbi.nih.gov/Databases/mpkFractions/proteomic_fractions_log_files/Yang_log_img/312176401.jpg","show blot")</f>
        <v>show blot</v>
      </c>
      <c r="H3682" s="8" t="str">
        <f>HYPERLINK("https://esbl.nhlbi.nih.gov/Databases/mpkFractions/proteomic_fractions_linear_files/Yang_linear_img/312176401.jpg","show blot")</f>
        <v>show blot</v>
      </c>
      <c r="J3682" s="5" t="s">
        <v>7227</v>
      </c>
      <c r="L3682" s="11">
        <v>2.675881825295527</v>
      </c>
      <c r="N3682" s="12"/>
    </row>
    <row r="3683" spans="1:14" s="5" customFormat="1" ht="15" customHeight="1" x14ac:dyDescent="0.25">
      <c r="A3683" s="9" t="s">
        <v>7228</v>
      </c>
      <c r="C3683" s="9" t="str">
        <f>HYPERLINK("http://www.ncbi.nlm.nih.gov/protein/46560563","Itsn2")</f>
        <v>Itsn2</v>
      </c>
      <c r="D3683" s="10">
        <f t="shared" si="57"/>
        <v>2.675881825295527</v>
      </c>
      <c r="F3683" s="8" t="str">
        <f>HYPERLINK("https://esbl.nhlbi.nih.gov/Databases/mpkFractions/proteomic_fractions_log_files/Yang_log_img/46560563.jpg","show blot")</f>
        <v>show blot</v>
      </c>
      <c r="H3683" s="8" t="str">
        <f>HYPERLINK("https://esbl.nhlbi.nih.gov/Databases/mpkFractions/proteomic_fractions_linear_files/Yang_linear_img/46560563.jpg","show blot")</f>
        <v>show blot</v>
      </c>
      <c r="J3683" s="5" t="s">
        <v>7229</v>
      </c>
      <c r="L3683" s="11">
        <v>2.675881825295527</v>
      </c>
      <c r="N3683" s="12"/>
    </row>
    <row r="3684" spans="1:14" s="5" customFormat="1" ht="15" customHeight="1" x14ac:dyDescent="0.25">
      <c r="A3684" s="9" t="s">
        <v>7230</v>
      </c>
      <c r="C3684" s="9" t="str">
        <f>HYPERLINK("http://www.ncbi.nlm.nih.gov/protein/9789985","Ivd")</f>
        <v>Ivd</v>
      </c>
      <c r="D3684" s="10">
        <f t="shared" si="57"/>
        <v>5.3764872416148712</v>
      </c>
      <c r="F3684" s="8" t="str">
        <f>HYPERLINK("https://esbl.nhlbi.nih.gov/Databases/mpkFractions/proteomic_fractions_log_files/Yang_log_img/9789985.jpg","show blot")</f>
        <v>show blot</v>
      </c>
      <c r="H3684" s="8" t="str">
        <f>HYPERLINK("https://esbl.nhlbi.nih.gov/Databases/mpkFractions/proteomic_fractions_linear_files/Yang_linear_img/9789985.jpg","show blot")</f>
        <v>show blot</v>
      </c>
      <c r="J3684" s="5" t="s">
        <v>7231</v>
      </c>
      <c r="L3684" s="11">
        <v>5.3764872416148712</v>
      </c>
      <c r="N3684" s="12"/>
    </row>
    <row r="3685" spans="1:14" s="5" customFormat="1" ht="15" customHeight="1" x14ac:dyDescent="0.25">
      <c r="A3685" s="9" t="s">
        <v>7232</v>
      </c>
      <c r="C3685" s="9" t="str">
        <f>HYPERLINK("http://www.ncbi.nlm.nih.gov/protein/83627715","Ivl")</f>
        <v>Ivl</v>
      </c>
      <c r="D3685" s="10">
        <f t="shared" si="57"/>
        <v>4.3858225461772431</v>
      </c>
      <c r="F3685" s="8" t="str">
        <f>HYPERLINK("https://esbl.nhlbi.nih.gov/Databases/mpkFractions/proteomic_fractions_log_files/Yang_log_img/83627715.jpg","show blot")</f>
        <v>show blot</v>
      </c>
      <c r="H3685" s="8" t="str">
        <f>HYPERLINK("https://esbl.nhlbi.nih.gov/Databases/mpkFractions/proteomic_fractions_linear_files/Yang_linear_img/83627715.jpg","show blot")</f>
        <v>show blot</v>
      </c>
      <c r="J3685" s="5" t="s">
        <v>7233</v>
      </c>
      <c r="L3685" s="11">
        <v>4.3858225461772431</v>
      </c>
      <c r="N3685" s="12"/>
    </row>
    <row r="3686" spans="1:14" s="5" customFormat="1" ht="15" customHeight="1" x14ac:dyDescent="0.25">
      <c r="A3686" s="9" t="s">
        <v>7234</v>
      </c>
      <c r="C3686" s="9" t="str">
        <f>HYPERLINK("http://www.ncbi.nlm.nih.gov/protein/87239990","Ivns1abp")</f>
        <v>Ivns1abp</v>
      </c>
      <c r="D3686" s="10">
        <f t="shared" si="57"/>
        <v>4.0034063239350903</v>
      </c>
      <c r="F3686" s="8" t="str">
        <f>HYPERLINK("https://esbl.nhlbi.nih.gov/Databases/mpkFractions/proteomic_fractions_log_files/Yang_log_img/87239990.jpg","show blot")</f>
        <v>show blot</v>
      </c>
      <c r="H3686" s="8" t="str">
        <f>HYPERLINK("https://esbl.nhlbi.nih.gov/Databases/mpkFractions/proteomic_fractions_linear_files/Yang_linear_img/87239990.jpg","show blot")</f>
        <v>show blot</v>
      </c>
      <c r="J3686" s="5" t="s">
        <v>7235</v>
      </c>
      <c r="L3686" s="11">
        <v>4.0034063239350903</v>
      </c>
      <c r="N3686" s="12"/>
    </row>
    <row r="3687" spans="1:14" s="5" customFormat="1" ht="15" customHeight="1" x14ac:dyDescent="0.25">
      <c r="A3687" s="9" t="s">
        <v>7236</v>
      </c>
      <c r="C3687" s="9" t="str">
        <f>HYPERLINK("http://www.ncbi.nlm.nih.gov/protein/87239992","Ivns1abp")</f>
        <v>Ivns1abp</v>
      </c>
      <c r="D3687" s="10">
        <f t="shared" si="57"/>
        <v>4.0034063239350903</v>
      </c>
      <c r="F3687" s="8" t="str">
        <f>HYPERLINK("https://esbl.nhlbi.nih.gov/Databases/mpkFractions/proteomic_fractions_log_files/Yang_log_img/87239992.jpg","show blot")</f>
        <v>show blot</v>
      </c>
      <c r="H3687" s="8" t="str">
        <f>HYPERLINK("https://esbl.nhlbi.nih.gov/Databases/mpkFractions/proteomic_fractions_linear_files/Yang_linear_img/87239992.jpg","show blot")</f>
        <v>show blot</v>
      </c>
      <c r="J3687" s="5" t="s">
        <v>7237</v>
      </c>
      <c r="L3687" s="11">
        <v>4.0034063239350903</v>
      </c>
      <c r="N3687" s="12"/>
    </row>
    <row r="3688" spans="1:14" s="5" customFormat="1" ht="15" customHeight="1" x14ac:dyDescent="0.25">
      <c r="A3688" s="9" t="s">
        <v>7238</v>
      </c>
      <c r="C3688" s="9" t="str">
        <f>HYPERLINK("http://www.ncbi.nlm.nih.gov/protein/87239996","Ivns1abp")</f>
        <v>Ivns1abp</v>
      </c>
      <c r="D3688" s="10">
        <f t="shared" si="57"/>
        <v>4.0034063239350903</v>
      </c>
      <c r="F3688" s="8" t="str">
        <f>HYPERLINK("https://esbl.nhlbi.nih.gov/Databases/mpkFractions/proteomic_fractions_log_files/Yang_log_img/87239996.jpg","show blot")</f>
        <v>show blot</v>
      </c>
      <c r="H3688" s="8" t="str">
        <f>HYPERLINK("https://esbl.nhlbi.nih.gov/Databases/mpkFractions/proteomic_fractions_linear_files/Yang_linear_img/87239996.jpg","show blot")</f>
        <v>show blot</v>
      </c>
      <c r="J3688" s="5" t="s">
        <v>7239</v>
      </c>
      <c r="L3688" s="11">
        <v>4.0034063239350903</v>
      </c>
      <c r="N3688" s="12"/>
    </row>
    <row r="3689" spans="1:14" s="5" customFormat="1" ht="15" customHeight="1" x14ac:dyDescent="0.25">
      <c r="A3689" s="9" t="s">
        <v>7240</v>
      </c>
      <c r="C3689" s="9" t="str">
        <f>HYPERLINK("http://www.ncbi.nlm.nih.gov/protein/30352010","Iws1")</f>
        <v>Iws1</v>
      </c>
      <c r="D3689" s="10">
        <f t="shared" si="57"/>
        <v>3.14506536215803</v>
      </c>
      <c r="F3689" s="8" t="str">
        <f>HYPERLINK("https://esbl.nhlbi.nih.gov/Databases/mpkFractions/proteomic_fractions_log_files/Yang_log_img/30352010.jpg","show blot")</f>
        <v>show blot</v>
      </c>
      <c r="H3689" s="8" t="str">
        <f>HYPERLINK("https://esbl.nhlbi.nih.gov/Databases/mpkFractions/proteomic_fractions_linear_files/Yang_linear_img/30352010.jpg","show blot")</f>
        <v>show blot</v>
      </c>
      <c r="J3689" s="5" t="s">
        <v>7241</v>
      </c>
      <c r="L3689" s="11">
        <v>3.14506536215803</v>
      </c>
      <c r="N3689" s="12"/>
    </row>
    <row r="3690" spans="1:14" s="5" customFormat="1" ht="15" customHeight="1" x14ac:dyDescent="0.25">
      <c r="A3690" s="9" t="s">
        <v>7242</v>
      </c>
      <c r="C3690" s="9" t="str">
        <f>HYPERLINK("http://www.ncbi.nlm.nih.gov/protein/344179114","Jagn1")</f>
        <v>Jagn1</v>
      </c>
      <c r="D3690" s="10">
        <f t="shared" si="57"/>
        <v>5.6611885741934529</v>
      </c>
      <c r="F3690" s="8" t="str">
        <f>HYPERLINK("https://esbl.nhlbi.nih.gov/Databases/mpkFractions/proteomic_fractions_log_files/Yang_log_img/344179114.jpg","show blot")</f>
        <v>show blot</v>
      </c>
      <c r="H3690" s="8" t="str">
        <f>HYPERLINK("https://esbl.nhlbi.nih.gov/Databases/mpkFractions/proteomic_fractions_linear_files/Yang_linear_img/344179114.jpg","show blot")</f>
        <v>show blot</v>
      </c>
      <c r="J3690" s="5" t="s">
        <v>7243</v>
      </c>
      <c r="L3690" s="11">
        <v>5.6611885741934529</v>
      </c>
      <c r="N3690" s="12"/>
    </row>
    <row r="3691" spans="1:14" s="5" customFormat="1" ht="15" customHeight="1" x14ac:dyDescent="0.25">
      <c r="A3691" s="9" t="s">
        <v>7244</v>
      </c>
      <c r="C3691" s="9" t="str">
        <f>HYPERLINK("http://www.ncbi.nlm.nih.gov/protein/13385862","Jagn1")</f>
        <v>Jagn1</v>
      </c>
      <c r="D3691" s="10">
        <f t="shared" si="57"/>
        <v>5.6611885741934529</v>
      </c>
      <c r="F3691" s="8" t="str">
        <f>HYPERLINK("https://esbl.nhlbi.nih.gov/Databases/mpkFractions/proteomic_fractions_log_files/Yang_log_img/13385862.jpg","show blot")</f>
        <v>show blot</v>
      </c>
      <c r="H3691" s="8" t="str">
        <f>HYPERLINK("https://esbl.nhlbi.nih.gov/Databases/mpkFractions/proteomic_fractions_linear_files/Yang_linear_img/13385862.jpg","show blot")</f>
        <v>show blot</v>
      </c>
      <c r="J3691" s="5" t="s">
        <v>7245</v>
      </c>
      <c r="L3691" s="11">
        <v>5.6611885741934529</v>
      </c>
      <c r="N3691" s="12"/>
    </row>
    <row r="3692" spans="1:14" s="5" customFormat="1" ht="15" customHeight="1" x14ac:dyDescent="0.25">
      <c r="A3692" s="9" t="s">
        <v>7246</v>
      </c>
      <c r="C3692" s="9" t="str">
        <f>HYPERLINK("http://www.ncbi.nlm.nih.gov/protein/326439090","Jagn1")</f>
        <v>Jagn1</v>
      </c>
      <c r="D3692" s="10">
        <f t="shared" si="57"/>
        <v>5.6611885741934529</v>
      </c>
      <c r="F3692" s="8" t="str">
        <f>HYPERLINK("https://esbl.nhlbi.nih.gov/Databases/mpkFractions/proteomic_fractions_log_files/Yang_log_img/326439090.jpg","show blot")</f>
        <v>show blot</v>
      </c>
      <c r="H3692" s="8" t="str">
        <f>HYPERLINK("https://esbl.nhlbi.nih.gov/Databases/mpkFractions/proteomic_fractions_linear_files/Yang_linear_img/326439090.jpg","show blot")</f>
        <v>show blot</v>
      </c>
      <c r="J3692" s="5" t="s">
        <v>7247</v>
      </c>
      <c r="L3692" s="11">
        <v>5.6611885741934529</v>
      </c>
      <c r="N3692" s="12"/>
    </row>
    <row r="3693" spans="1:14" s="5" customFormat="1" ht="15" customHeight="1" x14ac:dyDescent="0.25">
      <c r="A3693" s="9" t="s">
        <v>7248</v>
      </c>
      <c r="C3693" s="9" t="str">
        <f>HYPERLINK("http://www.ncbi.nlm.nih.gov/protein/111607496","Jak1")</f>
        <v>Jak1</v>
      </c>
      <c r="D3693" s="10">
        <f t="shared" si="57"/>
        <v>3.24007607465827</v>
      </c>
      <c r="F3693" s="8" t="str">
        <f>HYPERLINK("https://esbl.nhlbi.nih.gov/Databases/mpkFractions/proteomic_fractions_log_files/Yang_log_img/111607496.jpg","show blot")</f>
        <v>show blot</v>
      </c>
      <c r="H3693" s="8" t="str">
        <f>HYPERLINK("https://esbl.nhlbi.nih.gov/Databases/mpkFractions/proteomic_fractions_linear_files/Yang_linear_img/111607496.jpg","show blot")</f>
        <v>show blot</v>
      </c>
      <c r="J3693" s="5" t="s">
        <v>7249</v>
      </c>
      <c r="L3693" s="11">
        <v>3.24007607465827</v>
      </c>
      <c r="N3693" s="12"/>
    </row>
    <row r="3694" spans="1:14" s="5" customFormat="1" ht="15" customHeight="1" x14ac:dyDescent="0.25">
      <c r="A3694" s="9" t="s">
        <v>7250</v>
      </c>
      <c r="C3694" s="9" t="str">
        <f>HYPERLINK("http://www.ncbi.nlm.nih.gov/protein/114326480","Jak2")</f>
        <v>Jak2</v>
      </c>
      <c r="D3694" s="10">
        <f t="shared" si="57"/>
        <v>4.7192926775356803</v>
      </c>
      <c r="F3694" s="8" t="str">
        <f>HYPERLINK("https://esbl.nhlbi.nih.gov/Databases/mpkFractions/proteomic_fractions_log_files/Yang_log_img/114326480.jpg","show blot")</f>
        <v>show blot</v>
      </c>
      <c r="H3694" s="8" t="str">
        <f>HYPERLINK("https://esbl.nhlbi.nih.gov/Databases/mpkFractions/proteomic_fractions_linear_files/Yang_linear_img/114326480.jpg","show blot")</f>
        <v>show blot</v>
      </c>
      <c r="J3694" s="5" t="s">
        <v>7251</v>
      </c>
      <c r="L3694" s="11">
        <v>4.7192926775356803</v>
      </c>
      <c r="N3694" s="12"/>
    </row>
    <row r="3695" spans="1:14" s="5" customFormat="1" ht="15" customHeight="1" x14ac:dyDescent="0.25">
      <c r="A3695" s="9" t="s">
        <v>7252</v>
      </c>
      <c r="C3695" s="9" t="str">
        <f>HYPERLINK("http://www.ncbi.nlm.nih.gov/protein/253970431","Jakmip3")</f>
        <v>Jakmip3</v>
      </c>
      <c r="D3695" s="10">
        <f t="shared" si="57"/>
        <v>1.386021287988237</v>
      </c>
      <c r="F3695" s="8" t="str">
        <f>HYPERLINK("https://esbl.nhlbi.nih.gov/Databases/mpkFractions/proteomic_fractions_log_files/Yang_log_img/253970431.jpg","show blot")</f>
        <v>show blot</v>
      </c>
      <c r="H3695" s="8" t="str">
        <f>HYPERLINK("https://esbl.nhlbi.nih.gov/Databases/mpkFractions/proteomic_fractions_linear_files/Yang_linear_img/253970431.jpg","show blot")</f>
        <v>show blot</v>
      </c>
      <c r="J3695" s="5" t="s">
        <v>7253</v>
      </c>
      <c r="L3695" s="11">
        <v>1.386021287988237</v>
      </c>
      <c r="N3695" s="12"/>
    </row>
    <row r="3696" spans="1:14" s="5" customFormat="1" ht="15" customHeight="1" x14ac:dyDescent="0.25">
      <c r="A3696" s="9" t="s">
        <v>7254</v>
      </c>
      <c r="C3696" s="9" t="str">
        <f>HYPERLINK("http://www.ncbi.nlm.nih.gov/protein/11230774","Jarid2")</f>
        <v>Jarid2</v>
      </c>
      <c r="D3696" s="10">
        <f t="shared" si="57"/>
        <v>3.0286854968966459</v>
      </c>
      <c r="F3696" s="8" t="str">
        <f>HYPERLINK("https://esbl.nhlbi.nih.gov/Databases/mpkFractions/proteomic_fractions_log_files/Yang_log_img/11230774.jpg","show blot")</f>
        <v>show blot</v>
      </c>
      <c r="H3696" s="8" t="str">
        <f>HYPERLINK("https://esbl.nhlbi.nih.gov/Databases/mpkFractions/proteomic_fractions_linear_files/Yang_linear_img/11230774.jpg","show blot")</f>
        <v>show blot</v>
      </c>
      <c r="J3696" s="5" t="s">
        <v>7255</v>
      </c>
      <c r="L3696" s="11">
        <v>3.0286854968966459</v>
      </c>
      <c r="N3696" s="12"/>
    </row>
    <row r="3697" spans="1:14" s="5" customFormat="1" ht="15" customHeight="1" x14ac:dyDescent="0.25">
      <c r="A3697" s="9" t="s">
        <v>7256</v>
      </c>
      <c r="C3697" s="9" t="str">
        <f>HYPERLINK("http://www.ncbi.nlm.nih.gov/protein/226531205","Jmjd1c")</f>
        <v>Jmjd1c</v>
      </c>
      <c r="D3697" s="10">
        <f t="shared" si="57"/>
        <v>0.84007723863920603</v>
      </c>
      <c r="F3697" s="8" t="str">
        <f>HYPERLINK("https://esbl.nhlbi.nih.gov/Databases/mpkFractions/proteomic_fractions_log_files/Yang_log_img/226531205.jpg","show blot")</f>
        <v>show blot</v>
      </c>
      <c r="H3697" s="8" t="str">
        <f>HYPERLINK("https://esbl.nhlbi.nih.gov/Databases/mpkFractions/proteomic_fractions_linear_files/Yang_linear_img/226531205.jpg","show blot")</f>
        <v>show blot</v>
      </c>
      <c r="J3697" s="5" t="s">
        <v>7257</v>
      </c>
      <c r="L3697" s="11">
        <v>0.84007723863920603</v>
      </c>
      <c r="N3697" s="12"/>
    </row>
    <row r="3698" spans="1:14" s="5" customFormat="1" ht="15" customHeight="1" x14ac:dyDescent="0.25">
      <c r="A3698" s="9" t="s">
        <v>7258</v>
      </c>
      <c r="C3698" s="9" t="str">
        <f>HYPERLINK("http://www.ncbi.nlm.nih.gov/protein/334724461","Jmjd1c")</f>
        <v>Jmjd1c</v>
      </c>
      <c r="D3698" s="10">
        <f t="shared" si="57"/>
        <v>0.84007723863920603</v>
      </c>
      <c r="F3698" s="8" t="str">
        <f>HYPERLINK("https://esbl.nhlbi.nih.gov/Databases/mpkFractions/proteomic_fractions_log_files/Yang_log_img/334724461.jpg","show blot")</f>
        <v>show blot</v>
      </c>
      <c r="H3698" s="8" t="str">
        <f>HYPERLINK("https://esbl.nhlbi.nih.gov/Databases/mpkFractions/proteomic_fractions_linear_files/Yang_linear_img/334724461.jpg","show blot")</f>
        <v>show blot</v>
      </c>
      <c r="J3698" s="5" t="s">
        <v>7259</v>
      </c>
      <c r="L3698" s="11">
        <v>0.84007723863920603</v>
      </c>
      <c r="N3698" s="12"/>
    </row>
    <row r="3699" spans="1:14" s="5" customFormat="1" ht="15" customHeight="1" x14ac:dyDescent="0.25">
      <c r="A3699" s="9" t="s">
        <v>7260</v>
      </c>
      <c r="C3699" s="9" t="str">
        <f>HYPERLINK("http://www.ncbi.nlm.nih.gov/protein/167860141","Jmjd7")</f>
        <v>Jmjd7</v>
      </c>
      <c r="D3699" s="10">
        <f t="shared" si="57"/>
        <v>3.993519919860792</v>
      </c>
      <c r="F3699" s="8" t="str">
        <f>HYPERLINK("https://esbl.nhlbi.nih.gov/Databases/mpkFractions/proteomic_fractions_log_files/Yang_log_img/167860141.jpg","show blot")</f>
        <v>show blot</v>
      </c>
      <c r="H3699" s="8" t="str">
        <f>HYPERLINK("https://esbl.nhlbi.nih.gov/Databases/mpkFractions/proteomic_fractions_linear_files/Yang_linear_img/167860141.jpg","show blot")</f>
        <v>show blot</v>
      </c>
      <c r="J3699" s="5" t="s">
        <v>7261</v>
      </c>
      <c r="L3699" s="11">
        <v>3.993519919860792</v>
      </c>
      <c r="N3699" s="12"/>
    </row>
    <row r="3700" spans="1:14" s="5" customFormat="1" ht="15" customHeight="1" x14ac:dyDescent="0.25">
      <c r="A3700" s="9" t="s">
        <v>7262</v>
      </c>
      <c r="C3700" s="9" t="str">
        <f>HYPERLINK("http://www.ncbi.nlm.nih.gov/protein/326633188","Josd2")</f>
        <v>Josd2</v>
      </c>
      <c r="D3700" s="10">
        <f t="shared" si="57"/>
        <v>3.571277262559799</v>
      </c>
      <c r="F3700" s="8" t="str">
        <f>HYPERLINK("https://esbl.nhlbi.nih.gov/Databases/mpkFractions/proteomic_fractions_log_files/Yang_log_img/326633188.jpg","show blot")</f>
        <v>show blot</v>
      </c>
      <c r="H3700" s="8" t="str">
        <f>HYPERLINK("https://esbl.nhlbi.nih.gov/Databases/mpkFractions/proteomic_fractions_linear_files/Yang_linear_img/326633188.jpg","show blot")</f>
        <v>show blot</v>
      </c>
      <c r="J3700" s="5" t="s">
        <v>7263</v>
      </c>
      <c r="L3700" s="11">
        <v>3.571277262559799</v>
      </c>
      <c r="N3700" s="12"/>
    </row>
    <row r="3701" spans="1:14" s="5" customFormat="1" ht="15" customHeight="1" x14ac:dyDescent="0.25">
      <c r="A3701" s="9" t="s">
        <v>7264</v>
      </c>
      <c r="C3701" s="9" t="str">
        <f>HYPERLINK("http://www.ncbi.nlm.nih.gov/protein/46049047","Jtb")</f>
        <v>Jtb</v>
      </c>
      <c r="D3701" s="10">
        <f t="shared" si="57"/>
        <v>4.2446688546851883</v>
      </c>
      <c r="F3701" s="8" t="str">
        <f>HYPERLINK("https://esbl.nhlbi.nih.gov/Databases/mpkFractions/proteomic_fractions_log_files/Yang_log_img/46049047.jpg","show blot")</f>
        <v>show blot</v>
      </c>
      <c r="H3701" s="8" t="str">
        <f>HYPERLINK("https://esbl.nhlbi.nih.gov/Databases/mpkFractions/proteomic_fractions_linear_files/Yang_linear_img/46049047.jpg","show blot")</f>
        <v>show blot</v>
      </c>
      <c r="J3701" s="5" t="s">
        <v>7265</v>
      </c>
      <c r="L3701" s="11">
        <v>4.2446688546851883</v>
      </c>
      <c r="N3701" s="12"/>
    </row>
    <row r="3702" spans="1:14" s="5" customFormat="1" ht="15" customHeight="1" x14ac:dyDescent="0.25">
      <c r="A3702" s="9" t="s">
        <v>7266</v>
      </c>
      <c r="C3702" s="9" t="str">
        <f>HYPERLINK("http://www.ncbi.nlm.nih.gov/protein/6754404","Jund")</f>
        <v>Jund</v>
      </c>
      <c r="D3702" s="10">
        <f t="shared" si="57"/>
        <v>2.723600383411803</v>
      </c>
      <c r="F3702" s="8" t="str">
        <f>HYPERLINK("https://esbl.nhlbi.nih.gov/Databases/mpkFractions/proteomic_fractions_log_files/Yang_log_img/6754404.jpg","show blot")</f>
        <v>show blot</v>
      </c>
      <c r="H3702" s="8" t="str">
        <f>HYPERLINK("https://esbl.nhlbi.nih.gov/Databases/mpkFractions/proteomic_fractions_linear_files/Yang_linear_img/6754404.jpg","show blot")</f>
        <v>show blot</v>
      </c>
      <c r="J3702" s="5" t="s">
        <v>7267</v>
      </c>
      <c r="L3702" s="11">
        <v>2.723600383411803</v>
      </c>
      <c r="N3702" s="12"/>
    </row>
    <row r="3703" spans="1:14" s="5" customFormat="1" ht="15" customHeight="1" x14ac:dyDescent="0.25">
      <c r="A3703" s="9" t="s">
        <v>7268</v>
      </c>
      <c r="C3703" s="9" t="str">
        <f>HYPERLINK("http://www.ncbi.nlm.nih.gov/protein/28395018","Jup")</f>
        <v>Jup</v>
      </c>
      <c r="D3703" s="10">
        <f t="shared" si="57"/>
        <v>6.0705075722053818</v>
      </c>
      <c r="F3703" s="8" t="str">
        <f>HYPERLINK("https://esbl.nhlbi.nih.gov/Databases/mpkFractions/proteomic_fractions_log_files/Yang_log_img/28395018.jpg","show blot")</f>
        <v>show blot</v>
      </c>
      <c r="H3703" s="8" t="str">
        <f>HYPERLINK("https://esbl.nhlbi.nih.gov/Databases/mpkFractions/proteomic_fractions_linear_files/Yang_linear_img/28395018.jpg","show blot")</f>
        <v>show blot</v>
      </c>
      <c r="J3703" s="5" t="s">
        <v>7269</v>
      </c>
      <c r="L3703" s="11">
        <v>6.0705075722053818</v>
      </c>
      <c r="N3703" s="12"/>
    </row>
    <row r="3704" spans="1:14" s="5" customFormat="1" ht="15" customHeight="1" x14ac:dyDescent="0.25">
      <c r="A3704" s="9" t="s">
        <v>7270</v>
      </c>
      <c r="C3704" s="9" t="str">
        <f>HYPERLINK("http://www.ncbi.nlm.nih.gov/protein/256017137","Kalrn")</f>
        <v>Kalrn</v>
      </c>
      <c r="D3704" s="10">
        <f t="shared" si="57"/>
        <v>3.45990318602054</v>
      </c>
      <c r="F3704" s="8" t="str">
        <f>HYPERLINK("https://esbl.nhlbi.nih.gov/Databases/mpkFractions/proteomic_fractions_log_files/Yang_log_img/256017137.jpg","show blot")</f>
        <v>show blot</v>
      </c>
      <c r="H3704" s="8" t="str">
        <f>HYPERLINK("https://esbl.nhlbi.nih.gov/Databases/mpkFractions/proteomic_fractions_linear_files/Yang_linear_img/256017137.jpg","show blot")</f>
        <v>show blot</v>
      </c>
      <c r="J3704" s="5" t="s">
        <v>7271</v>
      </c>
      <c r="L3704" s="11">
        <v>3.45990318602054</v>
      </c>
      <c r="N3704" s="12"/>
    </row>
    <row r="3705" spans="1:14" s="5" customFormat="1" ht="15" customHeight="1" x14ac:dyDescent="0.25">
      <c r="A3705" s="9" t="s">
        <v>7272</v>
      </c>
      <c r="C3705" s="9" t="str">
        <f>HYPERLINK("http://www.ncbi.nlm.nih.gov/protein/295054244","Kalrn")</f>
        <v>Kalrn</v>
      </c>
      <c r="D3705" s="10">
        <f t="shared" si="57"/>
        <v>3.45990318602054</v>
      </c>
      <c r="F3705" s="8" t="str">
        <f>HYPERLINK("https://esbl.nhlbi.nih.gov/Databases/mpkFractions/proteomic_fractions_log_files/Yang_log_img/295054244.jpg","show blot")</f>
        <v>show blot</v>
      </c>
      <c r="H3705" s="8" t="str">
        <f>HYPERLINK("https://esbl.nhlbi.nih.gov/Databases/mpkFractions/proteomic_fractions_linear_files/Yang_linear_img/295054244.jpg","show blot")</f>
        <v>show blot</v>
      </c>
      <c r="J3705" s="5" t="s">
        <v>7273</v>
      </c>
      <c r="L3705" s="11">
        <v>3.45990318602054</v>
      </c>
      <c r="N3705" s="12"/>
    </row>
    <row r="3706" spans="1:14" s="5" customFormat="1" ht="15" customHeight="1" x14ac:dyDescent="0.25">
      <c r="A3706" s="9" t="s">
        <v>7274</v>
      </c>
      <c r="C3706" s="9" t="str">
        <f>HYPERLINK("http://www.ncbi.nlm.nih.gov/protein/75677563","Kank1")</f>
        <v>Kank1</v>
      </c>
      <c r="D3706" s="10">
        <f t="shared" si="57"/>
        <v>1.7178673737024051</v>
      </c>
      <c r="F3706" s="8" t="str">
        <f>HYPERLINK("https://esbl.nhlbi.nih.gov/Databases/mpkFractions/proteomic_fractions_log_files/Yang_log_img/75677563.jpg","show blot")</f>
        <v>show blot</v>
      </c>
      <c r="H3706" s="8" t="str">
        <f>HYPERLINK("https://esbl.nhlbi.nih.gov/Databases/mpkFractions/proteomic_fractions_linear_files/Yang_linear_img/75677563.jpg","show blot")</f>
        <v>show blot</v>
      </c>
      <c r="J3706" s="5" t="s">
        <v>7275</v>
      </c>
      <c r="L3706" s="11">
        <v>1.7178673737024051</v>
      </c>
      <c r="N3706" s="12"/>
    </row>
    <row r="3707" spans="1:14" s="5" customFormat="1" ht="15" customHeight="1" x14ac:dyDescent="0.25">
      <c r="A3707" s="9" t="s">
        <v>7276</v>
      </c>
      <c r="C3707" s="9" t="str">
        <f>HYPERLINK("http://www.ncbi.nlm.nih.gov/protein/16716381","Kars")</f>
        <v>Kars</v>
      </c>
      <c r="D3707" s="10">
        <f t="shared" si="57"/>
        <v>6.1965834073656021</v>
      </c>
      <c r="F3707" s="8" t="str">
        <f>HYPERLINK("https://esbl.nhlbi.nih.gov/Databases/mpkFractions/proteomic_fractions_log_files/Yang_log_img/16716381.jpg","show blot")</f>
        <v>show blot</v>
      </c>
      <c r="H3707" s="8" t="str">
        <f>HYPERLINK("https://esbl.nhlbi.nih.gov/Databases/mpkFractions/proteomic_fractions_linear_files/Yang_linear_img/16716381.jpg","show blot")</f>
        <v>show blot</v>
      </c>
      <c r="J3707" s="5" t="s">
        <v>7277</v>
      </c>
      <c r="L3707" s="11">
        <v>6.1965834073656021</v>
      </c>
      <c r="N3707" s="12"/>
    </row>
    <row r="3708" spans="1:14" s="5" customFormat="1" ht="15" customHeight="1" x14ac:dyDescent="0.25">
      <c r="A3708" s="9" t="s">
        <v>7278</v>
      </c>
      <c r="C3708" s="9" t="str">
        <f>HYPERLINK("http://www.ncbi.nlm.nih.gov/protein/195963321","Kars")</f>
        <v>Kars</v>
      </c>
      <c r="D3708" s="10">
        <f t="shared" si="57"/>
        <v>6.1965834073656021</v>
      </c>
      <c r="F3708" s="8" t="str">
        <f>HYPERLINK("https://esbl.nhlbi.nih.gov/Databases/mpkFractions/proteomic_fractions_log_files/Yang_log_img/195963321.jpg","show blot")</f>
        <v>show blot</v>
      </c>
      <c r="H3708" s="8" t="str">
        <f>HYPERLINK("https://esbl.nhlbi.nih.gov/Databases/mpkFractions/proteomic_fractions_linear_files/Yang_linear_img/195963321.jpg","show blot")</f>
        <v>show blot</v>
      </c>
      <c r="J3708" s="5" t="s">
        <v>7279</v>
      </c>
      <c r="L3708" s="11">
        <v>6.1965834073656021</v>
      </c>
      <c r="N3708" s="12"/>
    </row>
    <row r="3709" spans="1:14" s="5" customFormat="1" ht="15" customHeight="1" x14ac:dyDescent="0.25">
      <c r="A3709" s="9" t="s">
        <v>7280</v>
      </c>
      <c r="C3709" s="9" t="str">
        <f>HYPERLINK("http://www.ncbi.nlm.nih.gov/protein/124487239","Kat6a")</f>
        <v>Kat6a</v>
      </c>
      <c r="D3709" s="10">
        <f t="shared" si="57"/>
        <v>1.603505232202143</v>
      </c>
      <c r="F3709" s="8" t="str">
        <f>HYPERLINK("https://esbl.nhlbi.nih.gov/Databases/mpkFractions/proteomic_fractions_log_files/Yang_log_img/124487239.jpg","show blot")</f>
        <v>show blot</v>
      </c>
      <c r="H3709" s="8" t="str">
        <f>HYPERLINK("https://esbl.nhlbi.nih.gov/Databases/mpkFractions/proteomic_fractions_linear_files/Yang_linear_img/124487239.jpg","show blot")</f>
        <v>show blot</v>
      </c>
      <c r="J3709" s="5" t="s">
        <v>7281</v>
      </c>
      <c r="L3709" s="11">
        <v>1.603505232202143</v>
      </c>
      <c r="N3709" s="12"/>
    </row>
    <row r="3710" spans="1:14" s="5" customFormat="1" ht="15" customHeight="1" x14ac:dyDescent="0.25">
      <c r="A3710" s="9" t="s">
        <v>7282</v>
      </c>
      <c r="C3710" s="9" t="str">
        <f>HYPERLINK("http://www.ncbi.nlm.nih.gov/protein/21313044","Katnal2")</f>
        <v>Katnal2</v>
      </c>
      <c r="D3710" s="10">
        <f t="shared" si="57"/>
        <v>5.182285069918553</v>
      </c>
      <c r="F3710" s="8" t="str">
        <f>HYPERLINK("https://esbl.nhlbi.nih.gov/Databases/mpkFractions/proteomic_fractions_log_files/Yang_log_img/21313044.jpg","show blot")</f>
        <v>show blot</v>
      </c>
      <c r="H3710" s="8" t="str">
        <f>HYPERLINK("https://esbl.nhlbi.nih.gov/Databases/mpkFractions/proteomic_fractions_linear_files/Yang_linear_img/21313044.jpg","show blot")</f>
        <v>show blot</v>
      </c>
      <c r="J3710" s="5" t="s">
        <v>7283</v>
      </c>
      <c r="L3710" s="11">
        <v>5.182285069918553</v>
      </c>
      <c r="N3710" s="12"/>
    </row>
    <row r="3711" spans="1:14" s="5" customFormat="1" ht="15" customHeight="1" x14ac:dyDescent="0.25">
      <c r="A3711" s="9" t="s">
        <v>7284</v>
      </c>
      <c r="C3711" s="9" t="str">
        <f>HYPERLINK("http://www.ncbi.nlm.nih.gov/protein/84095201","Katnb1")</f>
        <v>Katnb1</v>
      </c>
      <c r="D3711" s="10">
        <f t="shared" si="57"/>
        <v>2.017531204925969</v>
      </c>
      <c r="F3711" s="8" t="str">
        <f>HYPERLINK("https://esbl.nhlbi.nih.gov/Databases/mpkFractions/proteomic_fractions_log_files/Yang_log_img/84095201.jpg","show blot")</f>
        <v>show blot</v>
      </c>
      <c r="H3711" s="8" t="str">
        <f>HYPERLINK("https://esbl.nhlbi.nih.gov/Databases/mpkFractions/proteomic_fractions_linear_files/Yang_linear_img/84095201.jpg","show blot")</f>
        <v>show blot</v>
      </c>
      <c r="J3711" s="5" t="s">
        <v>7285</v>
      </c>
      <c r="L3711" s="11">
        <v>2.017531204925969</v>
      </c>
      <c r="N3711" s="12"/>
    </row>
    <row r="3712" spans="1:14" s="5" customFormat="1" ht="15" customHeight="1" x14ac:dyDescent="0.25">
      <c r="A3712" s="9" t="s">
        <v>7286</v>
      </c>
      <c r="C3712" s="9" t="str">
        <f>HYPERLINK("http://www.ncbi.nlm.nih.gov/protein/172072622","Kbtbd2")</f>
        <v>Kbtbd2</v>
      </c>
      <c r="D3712" s="10">
        <f t="shared" si="57"/>
        <v>2.5791373765407029</v>
      </c>
      <c r="F3712" s="8" t="str">
        <f>HYPERLINK("https://esbl.nhlbi.nih.gov/Databases/mpkFractions/proteomic_fractions_log_files/Yang_log_img/172072622.jpg","show blot")</f>
        <v>show blot</v>
      </c>
      <c r="H3712" s="8" t="str">
        <f>HYPERLINK("https://esbl.nhlbi.nih.gov/Databases/mpkFractions/proteomic_fractions_linear_files/Yang_linear_img/172072622.jpg","show blot")</f>
        <v>show blot</v>
      </c>
      <c r="J3712" s="5" t="s">
        <v>7287</v>
      </c>
      <c r="L3712" s="11">
        <v>2.5791373765407029</v>
      </c>
      <c r="N3712" s="12"/>
    </row>
    <row r="3713" spans="1:14" s="5" customFormat="1" ht="15" customHeight="1" x14ac:dyDescent="0.25">
      <c r="A3713" s="9" t="s">
        <v>7288</v>
      </c>
      <c r="C3713" s="9" t="str">
        <f>HYPERLINK("http://www.ncbi.nlm.nih.gov/protein/257153339","Kbtbd3")</f>
        <v>Kbtbd3</v>
      </c>
      <c r="D3713" s="10">
        <f t="shared" si="57"/>
        <v>5.6525308229858968</v>
      </c>
      <c r="F3713" s="8" t="str">
        <f>HYPERLINK("https://esbl.nhlbi.nih.gov/Databases/mpkFractions/proteomic_fractions_log_files/Yang_log_img/257153339.jpg","show blot")</f>
        <v>show blot</v>
      </c>
      <c r="H3713" s="8" t="str">
        <f>HYPERLINK("https://esbl.nhlbi.nih.gov/Databases/mpkFractions/proteomic_fractions_linear_files/Yang_linear_img/257153339.jpg","show blot")</f>
        <v>show blot</v>
      </c>
      <c r="J3713" s="5" t="s">
        <v>7289</v>
      </c>
      <c r="L3713" s="11">
        <v>5.6525308229858968</v>
      </c>
      <c r="N3713" s="12"/>
    </row>
    <row r="3714" spans="1:14" s="5" customFormat="1" ht="15" customHeight="1" x14ac:dyDescent="0.25">
      <c r="A3714" s="9" t="s">
        <v>7290</v>
      </c>
      <c r="C3714" s="9" t="str">
        <f>HYPERLINK("http://www.ncbi.nlm.nih.gov/protein/126517505","Kcmf1")</f>
        <v>Kcmf1</v>
      </c>
      <c r="D3714" s="10">
        <f t="shared" si="57"/>
        <v>4.4530597098957223</v>
      </c>
      <c r="F3714" s="8" t="str">
        <f>HYPERLINK("https://esbl.nhlbi.nih.gov/Databases/mpkFractions/proteomic_fractions_log_files/Yang_log_img/126517505.jpg","show blot")</f>
        <v>show blot</v>
      </c>
      <c r="H3714" s="8" t="str">
        <f>HYPERLINK("https://esbl.nhlbi.nih.gov/Databases/mpkFractions/proteomic_fractions_linear_files/Yang_linear_img/126517505.jpg","show blot")</f>
        <v>show blot</v>
      </c>
      <c r="J3714" s="5" t="s">
        <v>7291</v>
      </c>
      <c r="L3714" s="11">
        <v>4.4530597098957223</v>
      </c>
      <c r="N3714" s="12"/>
    </row>
    <row r="3715" spans="1:14" s="5" customFormat="1" ht="15" customHeight="1" x14ac:dyDescent="0.25">
      <c r="A3715" s="9" t="s">
        <v>7292</v>
      </c>
      <c r="C3715" s="9" t="str">
        <f>HYPERLINK("http://www.ncbi.nlm.nih.gov/protein/358030294","Kcnab2")</f>
        <v>Kcnab2</v>
      </c>
      <c r="D3715" s="10">
        <f t="shared" si="57"/>
        <v>3.784997490036603</v>
      </c>
      <c r="F3715" s="8" t="str">
        <f>HYPERLINK("https://esbl.nhlbi.nih.gov/Databases/mpkFractions/proteomic_fractions_log_files/Yang_log_img/358030294.jpg","show blot")</f>
        <v>show blot</v>
      </c>
      <c r="H3715" s="8" t="str">
        <f>HYPERLINK("https://esbl.nhlbi.nih.gov/Databases/mpkFractions/proteomic_fractions_linear_files/Yang_linear_img/358030294.jpg","show blot")</f>
        <v>show blot</v>
      </c>
      <c r="J3715" s="5" t="s">
        <v>7293</v>
      </c>
      <c r="L3715" s="11">
        <v>3.784997490036603</v>
      </c>
      <c r="N3715" s="12"/>
    </row>
    <row r="3716" spans="1:14" s="5" customFormat="1" ht="15" customHeight="1" x14ac:dyDescent="0.25">
      <c r="A3716" s="9" t="s">
        <v>7294</v>
      </c>
      <c r="C3716" s="9" t="str">
        <f>HYPERLINK("http://www.ncbi.nlm.nih.gov/protein/358030297","Kcnab2")</f>
        <v>Kcnab2</v>
      </c>
      <c r="D3716" s="10">
        <f t="shared" si="57"/>
        <v>3.784997490036603</v>
      </c>
      <c r="F3716" s="8" t="str">
        <f>HYPERLINK("https://esbl.nhlbi.nih.gov/Databases/mpkFractions/proteomic_fractions_log_files/Yang_log_img/358030297.jpg","show blot")</f>
        <v>show blot</v>
      </c>
      <c r="H3716" s="8" t="str">
        <f>HYPERLINK("https://esbl.nhlbi.nih.gov/Databases/mpkFractions/proteomic_fractions_linear_files/Yang_linear_img/358030297.jpg","show blot")</f>
        <v>show blot</v>
      </c>
      <c r="J3716" s="5" t="s">
        <v>7295</v>
      </c>
      <c r="L3716" s="11">
        <v>3.784997490036603</v>
      </c>
      <c r="N3716" s="12"/>
    </row>
    <row r="3717" spans="1:14" s="5" customFormat="1" ht="15" customHeight="1" x14ac:dyDescent="0.25">
      <c r="A3717" s="9" t="s">
        <v>7296</v>
      </c>
      <c r="C3717" s="9" t="str">
        <f>HYPERLINK("http://www.ncbi.nlm.nih.gov/protein/28076887","Kcng4")</f>
        <v>Kcng4</v>
      </c>
      <c r="D3717" s="10">
        <f t="shared" ref="D3717:D3780" si="58">L3717</f>
        <v>5.6998687601959199</v>
      </c>
      <c r="F3717" s="8" t="str">
        <f>HYPERLINK("https://esbl.nhlbi.nih.gov/Databases/mpkFractions/proteomic_fractions_log_files/Yang_log_img/28076887.jpg","show blot")</f>
        <v>show blot</v>
      </c>
      <c r="H3717" s="8" t="str">
        <f>HYPERLINK("https://esbl.nhlbi.nih.gov/Databases/mpkFractions/proteomic_fractions_linear_files/Yang_linear_img/28076887.jpg","show blot")</f>
        <v>show blot</v>
      </c>
      <c r="J3717" s="5" t="s">
        <v>7297</v>
      </c>
      <c r="L3717" s="11">
        <v>5.6998687601959199</v>
      </c>
      <c r="N3717" s="12"/>
    </row>
    <row r="3718" spans="1:14" s="5" customFormat="1" ht="15" customHeight="1" x14ac:dyDescent="0.25">
      <c r="A3718" s="9" t="s">
        <v>7298</v>
      </c>
      <c r="C3718" s="9" t="str">
        <f>HYPERLINK("http://www.ncbi.nlm.nih.gov/protein/40445393","Kcnk12")</f>
        <v>Kcnk12</v>
      </c>
      <c r="D3718" s="10">
        <f t="shared" si="58"/>
        <v>3.1775364999298619</v>
      </c>
      <c r="F3718" s="8" t="str">
        <f>HYPERLINK("https://esbl.nhlbi.nih.gov/Databases/mpkFractions/proteomic_fractions_log_files/Yang_log_img/40445393.jpg","show blot")</f>
        <v>show blot</v>
      </c>
      <c r="H3718" s="8" t="str">
        <f>HYPERLINK("https://esbl.nhlbi.nih.gov/Databases/mpkFractions/proteomic_fractions_linear_files/Yang_linear_img/40445393.jpg","show blot")</f>
        <v>show blot</v>
      </c>
      <c r="J3718" s="5" t="s">
        <v>7299</v>
      </c>
      <c r="L3718" s="11">
        <v>3.1775364999298619</v>
      </c>
      <c r="N3718" s="12"/>
    </row>
    <row r="3719" spans="1:14" s="5" customFormat="1" ht="15" customHeight="1" x14ac:dyDescent="0.25">
      <c r="A3719" s="9" t="s">
        <v>7300</v>
      </c>
      <c r="C3719" s="9" t="str">
        <f>HYPERLINK("http://www.ncbi.nlm.nih.gov/protein/27370096","Kctd13")</f>
        <v>Kctd13</v>
      </c>
      <c r="D3719" s="10">
        <f t="shared" si="58"/>
        <v>4.2812571469606926</v>
      </c>
      <c r="F3719" s="8" t="str">
        <f>HYPERLINK("https://esbl.nhlbi.nih.gov/Databases/mpkFractions/proteomic_fractions_log_files/Yang_log_img/27370096.jpg","show blot")</f>
        <v>show blot</v>
      </c>
      <c r="H3719" s="8" t="str">
        <f>HYPERLINK("https://esbl.nhlbi.nih.gov/Databases/mpkFractions/proteomic_fractions_linear_files/Yang_linear_img/27370096.jpg","show blot")</f>
        <v>show blot</v>
      </c>
      <c r="J3719" s="5" t="s">
        <v>7301</v>
      </c>
      <c r="L3719" s="11">
        <v>4.2812571469606926</v>
      </c>
      <c r="N3719" s="12"/>
    </row>
    <row r="3720" spans="1:14" s="5" customFormat="1" ht="15" customHeight="1" x14ac:dyDescent="0.25">
      <c r="A3720" s="9" t="s">
        <v>7302</v>
      </c>
      <c r="C3720" s="9" t="str">
        <f>HYPERLINK("http://www.ncbi.nlm.nih.gov/protein/27369698","Kctd7")</f>
        <v>Kctd7</v>
      </c>
      <c r="D3720" s="10">
        <f t="shared" si="58"/>
        <v>3.2843350110136491</v>
      </c>
      <c r="F3720" s="8" t="str">
        <f>HYPERLINK("https://esbl.nhlbi.nih.gov/Databases/mpkFractions/proteomic_fractions_log_files/Yang_log_img/27369698.jpg","show blot")</f>
        <v>show blot</v>
      </c>
      <c r="H3720" s="8" t="str">
        <f>HYPERLINK("https://esbl.nhlbi.nih.gov/Databases/mpkFractions/proteomic_fractions_linear_files/Yang_linear_img/27369698.jpg","show blot")</f>
        <v>show blot</v>
      </c>
      <c r="J3720" s="5" t="s">
        <v>7303</v>
      </c>
      <c r="L3720" s="11">
        <v>3.2843350110136491</v>
      </c>
      <c r="N3720" s="12"/>
    </row>
    <row r="3721" spans="1:14" s="5" customFormat="1" ht="15" customHeight="1" x14ac:dyDescent="0.25">
      <c r="A3721" s="9" t="s">
        <v>7304</v>
      </c>
      <c r="C3721" s="9" t="str">
        <f>HYPERLINK("http://www.ncbi.nlm.nih.gov/protein/12963767","Kdelc1")</f>
        <v>Kdelc1</v>
      </c>
      <c r="D3721" s="10">
        <f t="shared" si="58"/>
        <v>3.3198354750481931</v>
      </c>
      <c r="F3721" s="8" t="str">
        <f>HYPERLINK("https://esbl.nhlbi.nih.gov/Databases/mpkFractions/proteomic_fractions_log_files/Yang_log_img/12963767.jpg","show blot")</f>
        <v>show blot</v>
      </c>
      <c r="H3721" s="8" t="str">
        <f>HYPERLINK("https://esbl.nhlbi.nih.gov/Databases/mpkFractions/proteomic_fractions_linear_files/Yang_linear_img/12963767.jpg","show blot")</f>
        <v>show blot</v>
      </c>
      <c r="J3721" s="5" t="s">
        <v>7305</v>
      </c>
      <c r="L3721" s="11">
        <v>3.3198354750481931</v>
      </c>
      <c r="N3721" s="12"/>
    </row>
    <row r="3722" spans="1:14" s="5" customFormat="1" ht="15" customHeight="1" x14ac:dyDescent="0.25">
      <c r="A3722" s="9" t="s">
        <v>7306</v>
      </c>
      <c r="C3722" s="9" t="str">
        <f>HYPERLINK("http://www.ncbi.nlm.nih.gov/protein/47078285","Kdelc2")</f>
        <v>Kdelc2</v>
      </c>
      <c r="D3722" s="10">
        <f t="shared" si="58"/>
        <v>4.0370293301980471</v>
      </c>
      <c r="F3722" s="8" t="str">
        <f>HYPERLINK("https://esbl.nhlbi.nih.gov/Databases/mpkFractions/proteomic_fractions_log_files/Yang_log_img/47078285.jpg","show blot")</f>
        <v>show blot</v>
      </c>
      <c r="H3722" s="8" t="str">
        <f>HYPERLINK("https://esbl.nhlbi.nih.gov/Databases/mpkFractions/proteomic_fractions_linear_files/Yang_linear_img/47078285.jpg","show blot")</f>
        <v>show blot</v>
      </c>
      <c r="J3722" s="5" t="s">
        <v>7307</v>
      </c>
      <c r="L3722" s="11">
        <v>4.0370293301980471</v>
      </c>
      <c r="N3722" s="12"/>
    </row>
    <row r="3723" spans="1:14" s="5" customFormat="1" ht="15" customHeight="1" x14ac:dyDescent="0.25">
      <c r="A3723" s="9" t="s">
        <v>7308</v>
      </c>
      <c r="C3723" s="9" t="str">
        <f>HYPERLINK("http://www.ncbi.nlm.nih.gov/protein/19527170","Kdelr1")</f>
        <v>Kdelr1</v>
      </c>
      <c r="D3723" s="10">
        <f t="shared" si="58"/>
        <v>5.375407333295569</v>
      </c>
      <c r="F3723" s="8" t="str">
        <f>HYPERLINK("https://esbl.nhlbi.nih.gov/Databases/mpkFractions/proteomic_fractions_log_files/Yang_log_img/19527170.jpg","show blot")</f>
        <v>show blot</v>
      </c>
      <c r="H3723" s="8" t="str">
        <f>HYPERLINK("https://esbl.nhlbi.nih.gov/Databases/mpkFractions/proteomic_fractions_linear_files/Yang_linear_img/19527170.jpg","show blot")</f>
        <v>show blot</v>
      </c>
      <c r="J3723" s="5" t="s">
        <v>7309</v>
      </c>
      <c r="L3723" s="11">
        <v>5.375407333295569</v>
      </c>
      <c r="N3723" s="12"/>
    </row>
    <row r="3724" spans="1:14" s="5" customFormat="1" ht="15" customHeight="1" x14ac:dyDescent="0.25">
      <c r="A3724" s="9" t="s">
        <v>7310</v>
      </c>
      <c r="C3724" s="9" t="str">
        <f>HYPERLINK("http://www.ncbi.nlm.nih.gov/protein/13385318","Kdelr2")</f>
        <v>Kdelr2</v>
      </c>
      <c r="D3724" s="10">
        <f t="shared" si="58"/>
        <v>5.375407333295569</v>
      </c>
      <c r="F3724" s="8" t="str">
        <f>HYPERLINK("https://esbl.nhlbi.nih.gov/Databases/mpkFractions/proteomic_fractions_log_files/Yang_log_img/13385318.jpg","show blot")</f>
        <v>show blot</v>
      </c>
      <c r="H3724" s="8" t="str">
        <f>HYPERLINK("https://esbl.nhlbi.nih.gov/Databases/mpkFractions/proteomic_fractions_linear_files/Yang_linear_img/13385318.jpg","show blot")</f>
        <v>show blot</v>
      </c>
      <c r="J3724" s="5" t="s">
        <v>7311</v>
      </c>
      <c r="L3724" s="11">
        <v>5.375407333295569</v>
      </c>
      <c r="N3724" s="12"/>
    </row>
    <row r="3725" spans="1:14" s="5" customFormat="1" ht="15" customHeight="1" x14ac:dyDescent="0.25">
      <c r="A3725" s="9" t="s">
        <v>7312</v>
      </c>
      <c r="C3725" s="9" t="str">
        <f>HYPERLINK("http://www.ncbi.nlm.nih.gov/protein/224994233","Kdm1a")</f>
        <v>Kdm1a</v>
      </c>
      <c r="D3725" s="10">
        <f t="shared" si="58"/>
        <v>4.745397337304488</v>
      </c>
      <c r="F3725" s="8" t="str">
        <f>HYPERLINK("https://esbl.nhlbi.nih.gov/Databases/mpkFractions/proteomic_fractions_log_files/Yang_log_img/224994233.jpg","show blot")</f>
        <v>show blot</v>
      </c>
      <c r="H3725" s="8" t="str">
        <f>HYPERLINK("https://esbl.nhlbi.nih.gov/Databases/mpkFractions/proteomic_fractions_linear_files/Yang_linear_img/224994233.jpg","show blot")</f>
        <v>show blot</v>
      </c>
      <c r="J3725" s="5" t="s">
        <v>7313</v>
      </c>
      <c r="L3725" s="11">
        <v>4.745397337304488</v>
      </c>
      <c r="N3725" s="12"/>
    </row>
    <row r="3726" spans="1:14" s="5" customFormat="1" ht="15" customHeight="1" x14ac:dyDescent="0.25">
      <c r="A3726" s="9" t="s">
        <v>7314</v>
      </c>
      <c r="C3726" s="9" t="str">
        <f>HYPERLINK("http://www.ncbi.nlm.nih.gov/protein/26986559","Kdm1b")</f>
        <v>Kdm1b</v>
      </c>
      <c r="D3726" s="10">
        <f t="shared" si="58"/>
        <v>1.1121435383678711</v>
      </c>
      <c r="F3726" s="8" t="str">
        <f>HYPERLINK("https://esbl.nhlbi.nih.gov/Databases/mpkFractions/proteomic_fractions_log_files/Yang_log_img/26986559.jpg","show blot")</f>
        <v>show blot</v>
      </c>
      <c r="H3726" s="8" t="str">
        <f>HYPERLINK("https://esbl.nhlbi.nih.gov/Databases/mpkFractions/proteomic_fractions_linear_files/Yang_linear_img/26986559.jpg","show blot")</f>
        <v>show blot</v>
      </c>
      <c r="J3726" s="5" t="s">
        <v>7315</v>
      </c>
      <c r="L3726" s="11">
        <v>1.1121435383678711</v>
      </c>
      <c r="N3726" s="12"/>
    </row>
    <row r="3727" spans="1:14" s="5" customFormat="1" ht="15" customHeight="1" x14ac:dyDescent="0.25">
      <c r="A3727" s="9" t="s">
        <v>7316</v>
      </c>
      <c r="C3727" s="9" t="str">
        <f>HYPERLINK("http://www.ncbi.nlm.nih.gov/protein/124486935","Kdm3b")</f>
        <v>Kdm3b</v>
      </c>
      <c r="D3727" s="10">
        <f t="shared" si="58"/>
        <v>3.118161751642317</v>
      </c>
      <c r="F3727" s="8" t="str">
        <f>HYPERLINK("https://esbl.nhlbi.nih.gov/Databases/mpkFractions/proteomic_fractions_log_files/Yang_log_img/124486935.jpg","show blot")</f>
        <v>show blot</v>
      </c>
      <c r="H3727" s="8" t="str">
        <f>HYPERLINK("https://esbl.nhlbi.nih.gov/Databases/mpkFractions/proteomic_fractions_linear_files/Yang_linear_img/124486935.jpg","show blot")</f>
        <v>show blot</v>
      </c>
      <c r="J3727" s="5" t="s">
        <v>7317</v>
      </c>
      <c r="L3727" s="11">
        <v>3.118161751642317</v>
      </c>
      <c r="N3727" s="12"/>
    </row>
    <row r="3728" spans="1:14" s="5" customFormat="1" ht="15" customHeight="1" x14ac:dyDescent="0.25">
      <c r="A3728" s="9" t="s">
        <v>7318</v>
      </c>
      <c r="C3728" s="9" t="str">
        <f>HYPERLINK("http://www.ncbi.nlm.nih.gov/protein/165905607","Kdm5c")</f>
        <v>Kdm5c</v>
      </c>
      <c r="D3728" s="10">
        <f t="shared" si="58"/>
        <v>3.5115782018731649</v>
      </c>
      <c r="F3728" s="8" t="str">
        <f>HYPERLINK("https://esbl.nhlbi.nih.gov/Databases/mpkFractions/proteomic_fractions_log_files/Yang_log_img/165905607.jpg","show blot")</f>
        <v>show blot</v>
      </c>
      <c r="H3728" s="8" t="str">
        <f>HYPERLINK("https://esbl.nhlbi.nih.gov/Databases/mpkFractions/proteomic_fractions_linear_files/Yang_linear_img/165905607.jpg","show blot")</f>
        <v>show blot</v>
      </c>
      <c r="J3728" s="5" t="s">
        <v>7319</v>
      </c>
      <c r="L3728" s="11">
        <v>3.5115782018731649</v>
      </c>
      <c r="N3728" s="12"/>
    </row>
    <row r="3729" spans="1:14" s="5" customFormat="1" ht="15" customHeight="1" x14ac:dyDescent="0.25">
      <c r="A3729" s="9" t="s">
        <v>7320</v>
      </c>
      <c r="C3729" s="9" t="str">
        <f>HYPERLINK("http://www.ncbi.nlm.nih.gov/protein/27777648","Kdr")</f>
        <v>Kdr</v>
      </c>
      <c r="D3729" s="10">
        <f t="shared" si="58"/>
        <v>5.2084726593073407</v>
      </c>
      <c r="F3729" s="8" t="str">
        <f>HYPERLINK("https://esbl.nhlbi.nih.gov/Databases/mpkFractions/proteomic_fractions_log_files/Yang_log_img/27777648.jpg","show blot")</f>
        <v>show blot</v>
      </c>
      <c r="H3729" s="8" t="str">
        <f>HYPERLINK("https://esbl.nhlbi.nih.gov/Databases/mpkFractions/proteomic_fractions_linear_files/Yang_linear_img/27777648.jpg","show blot")</f>
        <v>show blot</v>
      </c>
      <c r="J3729" s="5" t="s">
        <v>7321</v>
      </c>
      <c r="L3729" s="11">
        <v>5.2084726593073407</v>
      </c>
      <c r="N3729" s="12"/>
    </row>
    <row r="3730" spans="1:14" s="5" customFormat="1" ht="15" customHeight="1" x14ac:dyDescent="0.25">
      <c r="A3730" s="9" t="s">
        <v>7322</v>
      </c>
      <c r="C3730" s="9" t="str">
        <f>HYPERLINK("http://www.ncbi.nlm.nih.gov/protein/110625780","Kdsr")</f>
        <v>Kdsr</v>
      </c>
      <c r="D3730" s="10">
        <f t="shared" si="58"/>
        <v>4.2334406718174398</v>
      </c>
      <c r="F3730" s="8" t="str">
        <f>HYPERLINK("https://esbl.nhlbi.nih.gov/Databases/mpkFractions/proteomic_fractions_log_files/Yang_log_img/110625780.jpg","show blot")</f>
        <v>show blot</v>
      </c>
      <c r="H3730" s="8" t="str">
        <f>HYPERLINK("https://esbl.nhlbi.nih.gov/Databases/mpkFractions/proteomic_fractions_linear_files/Yang_linear_img/110625780.jpg","show blot")</f>
        <v>show blot</v>
      </c>
      <c r="J3730" s="5" t="s">
        <v>7323</v>
      </c>
      <c r="L3730" s="11">
        <v>4.2334406718174398</v>
      </c>
      <c r="N3730" s="12"/>
    </row>
    <row r="3731" spans="1:14" s="5" customFormat="1" ht="15" customHeight="1" x14ac:dyDescent="0.25">
      <c r="A3731" s="9" t="s">
        <v>7324</v>
      </c>
      <c r="C3731" s="9" t="str">
        <f>HYPERLINK("http://www.ncbi.nlm.nih.gov/protein/160333659;7710044","Keap1")</f>
        <v>Keap1</v>
      </c>
      <c r="D3731" s="10">
        <f t="shared" si="58"/>
        <v>4.098868961744663</v>
      </c>
      <c r="F3731" s="8" t="str">
        <f>HYPERLINK("https://esbl.nhlbi.nih.gov/Databases/mpkFractions/proteomic_fractions_log_files/Yang_log_img/160333659;7710044.jpg","show blot")</f>
        <v>show blot</v>
      </c>
      <c r="H3731" s="8" t="str">
        <f>HYPERLINK("https://esbl.nhlbi.nih.gov/Databases/mpkFractions/proteomic_fractions_linear_files/Yang_linear_img/160333659;7710044.jpg","show blot")</f>
        <v>show blot</v>
      </c>
      <c r="J3731" s="5" t="s">
        <v>7325</v>
      </c>
      <c r="L3731" s="11">
        <v>4.098868961744663</v>
      </c>
      <c r="N3731" s="12"/>
    </row>
    <row r="3732" spans="1:14" s="5" customFormat="1" ht="15" customHeight="1" x14ac:dyDescent="0.25">
      <c r="A3732" s="9" t="s">
        <v>7326</v>
      </c>
      <c r="C3732" s="9" t="str">
        <f>HYPERLINK("http://www.ncbi.nlm.nih.gov/protein/7710044","Keap1")</f>
        <v>Keap1</v>
      </c>
      <c r="D3732" s="10">
        <f t="shared" si="58"/>
        <v>4.098868961744663</v>
      </c>
      <c r="F3732" s="8" t="str">
        <f>HYPERLINK("https://esbl.nhlbi.nih.gov/Databases/mpkFractions/proteomic_fractions_log_files/Yang_log_img/7710044.jpg","show blot")</f>
        <v>show blot</v>
      </c>
      <c r="H3732" s="8" t="str">
        <f>HYPERLINK("https://esbl.nhlbi.nih.gov/Databases/mpkFractions/proteomic_fractions_linear_files/Yang_linear_img/7710044.jpg","show blot")</f>
        <v>show blot</v>
      </c>
      <c r="J3732" s="5" t="s">
        <v>7325</v>
      </c>
      <c r="L3732" s="11">
        <v>4.098868961744663</v>
      </c>
      <c r="N3732" s="12"/>
    </row>
    <row r="3733" spans="1:14" s="5" customFormat="1" ht="15" customHeight="1" x14ac:dyDescent="0.25">
      <c r="A3733" s="9" t="s">
        <v>7327</v>
      </c>
      <c r="C3733" s="9" t="str">
        <f>HYPERLINK("http://www.ncbi.nlm.nih.gov/protein/110626031","Khdrbs1")</f>
        <v>Khdrbs1</v>
      </c>
      <c r="D3733" s="10">
        <f t="shared" si="58"/>
        <v>5.4605147746418714</v>
      </c>
      <c r="F3733" s="8" t="str">
        <f>HYPERLINK("https://esbl.nhlbi.nih.gov/Databases/mpkFractions/proteomic_fractions_log_files/Yang_log_img/110626031.jpg","show blot")</f>
        <v>show blot</v>
      </c>
      <c r="H3733" s="8" t="str">
        <f>HYPERLINK("https://esbl.nhlbi.nih.gov/Databases/mpkFractions/proteomic_fractions_linear_files/Yang_linear_img/110626031.jpg","show blot")</f>
        <v>show blot</v>
      </c>
      <c r="J3733" s="5" t="s">
        <v>7328</v>
      </c>
      <c r="L3733" s="11">
        <v>5.4605147746418714</v>
      </c>
      <c r="N3733" s="12"/>
    </row>
    <row r="3734" spans="1:14" s="5" customFormat="1" ht="15" customHeight="1" x14ac:dyDescent="0.25">
      <c r="A3734" s="9" t="s">
        <v>7329</v>
      </c>
      <c r="C3734" s="9" t="str">
        <f>HYPERLINK("http://www.ncbi.nlm.nih.gov/protein/18875400","Khdrbs2")</f>
        <v>Khdrbs2</v>
      </c>
      <c r="D3734" s="10">
        <f t="shared" si="58"/>
        <v>5.1617735187826321</v>
      </c>
      <c r="F3734" s="8" t="str">
        <f>HYPERLINK("https://esbl.nhlbi.nih.gov/Databases/mpkFractions/proteomic_fractions_log_files/Yang_log_img/18875400.jpg","show blot")</f>
        <v>show blot</v>
      </c>
      <c r="H3734" s="8" t="str">
        <f>HYPERLINK("https://esbl.nhlbi.nih.gov/Databases/mpkFractions/proteomic_fractions_linear_files/Yang_linear_img/18875400.jpg","show blot")</f>
        <v>show blot</v>
      </c>
      <c r="J3734" s="5" t="s">
        <v>7330</v>
      </c>
      <c r="L3734" s="11">
        <v>5.1617735187826321</v>
      </c>
      <c r="N3734" s="12"/>
    </row>
    <row r="3735" spans="1:14" s="5" customFormat="1" ht="15" customHeight="1" x14ac:dyDescent="0.25">
      <c r="A3735" s="9" t="s">
        <v>7331</v>
      </c>
      <c r="C3735" s="9" t="str">
        <f>HYPERLINK("http://www.ncbi.nlm.nih.gov/protein/117647236","Khdrbs3")</f>
        <v>Khdrbs3</v>
      </c>
      <c r="D3735" s="10">
        <f t="shared" si="58"/>
        <v>5.1617735187826321</v>
      </c>
      <c r="F3735" s="8" t="str">
        <f>HYPERLINK("https://esbl.nhlbi.nih.gov/Databases/mpkFractions/proteomic_fractions_log_files/Yang_log_img/117647236.jpg","show blot")</f>
        <v>show blot</v>
      </c>
      <c r="H3735" s="8" t="str">
        <f>HYPERLINK("https://esbl.nhlbi.nih.gov/Databases/mpkFractions/proteomic_fractions_linear_files/Yang_linear_img/117647236.jpg","show blot")</f>
        <v>show blot</v>
      </c>
      <c r="J3735" s="5" t="s">
        <v>7332</v>
      </c>
      <c r="L3735" s="11">
        <v>5.1617735187826321</v>
      </c>
      <c r="N3735" s="12"/>
    </row>
    <row r="3736" spans="1:14" s="5" customFormat="1" ht="15" customHeight="1" x14ac:dyDescent="0.25">
      <c r="A3736" s="9" t="s">
        <v>7333</v>
      </c>
      <c r="C3736" s="9" t="str">
        <f>HYPERLINK("http://www.ncbi.nlm.nih.gov/protein/31982229","Khk")</f>
        <v>Khk</v>
      </c>
      <c r="D3736" s="10">
        <f t="shared" si="58"/>
        <v>3.4872404363999161</v>
      </c>
      <c r="F3736" s="8" t="str">
        <f>HYPERLINK("https://esbl.nhlbi.nih.gov/Databases/mpkFractions/proteomic_fractions_log_files/Yang_log_img/31982229.jpg","show blot")</f>
        <v>show blot</v>
      </c>
      <c r="H3736" s="8" t="str">
        <f>HYPERLINK("https://esbl.nhlbi.nih.gov/Databases/mpkFractions/proteomic_fractions_linear_files/Yang_linear_img/31982229.jpg","show blot")</f>
        <v>show blot</v>
      </c>
      <c r="J3736" s="5" t="s">
        <v>7334</v>
      </c>
      <c r="L3736" s="11">
        <v>3.4872404363999161</v>
      </c>
      <c r="N3736" s="12"/>
    </row>
    <row r="3737" spans="1:14" s="5" customFormat="1" ht="15" customHeight="1" x14ac:dyDescent="0.25">
      <c r="A3737" s="9" t="s">
        <v>7335</v>
      </c>
      <c r="C3737" s="9" t="str">
        <f>HYPERLINK("http://www.ncbi.nlm.nih.gov/protein/163954948","Khsrp")</f>
        <v>Khsrp</v>
      </c>
      <c r="D3737" s="10">
        <f t="shared" si="58"/>
        <v>5.9014817799728041</v>
      </c>
      <c r="F3737" s="8" t="str">
        <f>HYPERLINK("https://esbl.nhlbi.nih.gov/Databases/mpkFractions/proteomic_fractions_log_files/Yang_log_img/163954948.jpg","show blot")</f>
        <v>show blot</v>
      </c>
      <c r="H3737" s="8" t="str">
        <f>HYPERLINK("https://esbl.nhlbi.nih.gov/Databases/mpkFractions/proteomic_fractions_linear_files/Yang_linear_img/163954948.jpg","show blot")</f>
        <v>show blot</v>
      </c>
      <c r="J3737" s="5" t="s">
        <v>7336</v>
      </c>
      <c r="L3737" s="11">
        <v>5.9014817799728041</v>
      </c>
      <c r="N3737" s="12"/>
    </row>
    <row r="3738" spans="1:14" s="5" customFormat="1" ht="15" customHeight="1" x14ac:dyDescent="0.25">
      <c r="A3738" s="9" t="s">
        <v>7337</v>
      </c>
      <c r="C3738" s="9" t="str">
        <f>HYPERLINK("http://www.ncbi.nlm.nih.gov/protein/124487039","Kidins220")</f>
        <v>Kidins220</v>
      </c>
      <c r="D3738" s="10">
        <f t="shared" si="58"/>
        <v>3.193314572952874</v>
      </c>
      <c r="F3738" s="8" t="str">
        <f>HYPERLINK("https://esbl.nhlbi.nih.gov/Databases/mpkFractions/proteomic_fractions_log_files/Yang_log_img/124487039.jpg","show blot")</f>
        <v>show blot</v>
      </c>
      <c r="H3738" s="8" t="str">
        <f>HYPERLINK("https://esbl.nhlbi.nih.gov/Databases/mpkFractions/proteomic_fractions_linear_files/Yang_linear_img/124487039.jpg","show blot")</f>
        <v>show blot</v>
      </c>
      <c r="J3738" s="5" t="s">
        <v>7338</v>
      </c>
      <c r="L3738" s="11">
        <v>3.193314572952874</v>
      </c>
      <c r="N3738" s="12"/>
    </row>
    <row r="3739" spans="1:14" s="5" customFormat="1" ht="15" customHeight="1" x14ac:dyDescent="0.25">
      <c r="A3739" s="9" t="s">
        <v>7339</v>
      </c>
      <c r="C3739" s="9" t="str">
        <f>HYPERLINK("http://www.ncbi.nlm.nih.gov/protein/45476577","Kif11")</f>
        <v>Kif11</v>
      </c>
      <c r="D3739" s="10">
        <f t="shared" si="58"/>
        <v>3.7939647266432668</v>
      </c>
      <c r="F3739" s="8" t="str">
        <f>HYPERLINK("https://esbl.nhlbi.nih.gov/Databases/mpkFractions/proteomic_fractions_log_files/Yang_log_img/45476577.jpg","show blot")</f>
        <v>show blot</v>
      </c>
      <c r="H3739" s="8" t="str">
        <f>HYPERLINK("https://esbl.nhlbi.nih.gov/Databases/mpkFractions/proteomic_fractions_linear_files/Yang_linear_img/45476577.jpg","show blot")</f>
        <v>show blot</v>
      </c>
      <c r="J3739" s="5" t="s">
        <v>7340</v>
      </c>
      <c r="L3739" s="11">
        <v>3.7939647266432668</v>
      </c>
      <c r="N3739" s="12"/>
    </row>
    <row r="3740" spans="1:14" s="5" customFormat="1" ht="15" customHeight="1" x14ac:dyDescent="0.25">
      <c r="A3740" s="9" t="s">
        <v>7341</v>
      </c>
      <c r="C3740" s="9" t="str">
        <f>HYPERLINK("http://www.ncbi.nlm.nih.gov/protein/120300944","Kif13a")</f>
        <v>Kif13a</v>
      </c>
      <c r="D3740" s="10">
        <f t="shared" si="58"/>
        <v>3.8921427291773441</v>
      </c>
      <c r="F3740" s="8" t="str">
        <f>HYPERLINK("https://esbl.nhlbi.nih.gov/Databases/mpkFractions/proteomic_fractions_log_files/Yang_log_img/120300944.jpg","show blot")</f>
        <v>show blot</v>
      </c>
      <c r="H3740" s="8" t="str">
        <f>HYPERLINK("https://esbl.nhlbi.nih.gov/Databases/mpkFractions/proteomic_fractions_linear_files/Yang_linear_img/120300944.jpg","show blot")</f>
        <v>show blot</v>
      </c>
      <c r="J3740" s="5" t="s">
        <v>7342</v>
      </c>
      <c r="L3740" s="11">
        <v>3.8921427291773441</v>
      </c>
      <c r="N3740" s="12"/>
    </row>
    <row r="3741" spans="1:14" s="5" customFormat="1" ht="15" customHeight="1" x14ac:dyDescent="0.25">
      <c r="A3741" s="9" t="s">
        <v>7343</v>
      </c>
      <c r="C3741" s="9" t="str">
        <f>HYPERLINK("http://www.ncbi.nlm.nih.gov/protein/124487163","Kif13b")</f>
        <v>Kif13b</v>
      </c>
      <c r="D3741" s="10">
        <f t="shared" si="58"/>
        <v>5.3473743011460124</v>
      </c>
      <c r="F3741" s="8" t="str">
        <f>HYPERLINK("https://esbl.nhlbi.nih.gov/Databases/mpkFractions/proteomic_fractions_log_files/Yang_log_img/124487163.jpg","show blot")</f>
        <v>show blot</v>
      </c>
      <c r="H3741" s="8" t="str">
        <f>HYPERLINK("https://esbl.nhlbi.nih.gov/Databases/mpkFractions/proteomic_fractions_linear_files/Yang_linear_img/124487163.jpg","show blot")</f>
        <v>show blot</v>
      </c>
      <c r="J3741" s="5" t="s">
        <v>7344</v>
      </c>
      <c r="L3741" s="11">
        <v>5.3473743011460124</v>
      </c>
      <c r="N3741" s="12"/>
    </row>
    <row r="3742" spans="1:14" s="5" customFormat="1" ht="15" customHeight="1" x14ac:dyDescent="0.25">
      <c r="A3742" s="9" t="s">
        <v>7345</v>
      </c>
      <c r="C3742" s="9" t="str">
        <f>HYPERLINK("http://www.ncbi.nlm.nih.gov/protein/124486927","Kif14")</f>
        <v>Kif14</v>
      </c>
      <c r="D3742" s="10">
        <f t="shared" si="58"/>
        <v>3.4224714978083668</v>
      </c>
      <c r="F3742" s="8" t="str">
        <f>HYPERLINK("https://esbl.nhlbi.nih.gov/Databases/mpkFractions/proteomic_fractions_log_files/Yang_log_img/124486927.jpg","show blot")</f>
        <v>show blot</v>
      </c>
      <c r="H3742" s="8" t="str">
        <f>HYPERLINK("https://esbl.nhlbi.nih.gov/Databases/mpkFractions/proteomic_fractions_linear_files/Yang_linear_img/124486927.jpg","show blot")</f>
        <v>show blot</v>
      </c>
      <c r="J3742" s="5" t="s">
        <v>7346</v>
      </c>
      <c r="L3742" s="11">
        <v>3.4224714978083668</v>
      </c>
      <c r="N3742" s="12"/>
    </row>
    <row r="3743" spans="1:14" s="5" customFormat="1" ht="15" customHeight="1" x14ac:dyDescent="0.25">
      <c r="A3743" s="9" t="s">
        <v>7347</v>
      </c>
      <c r="C3743" s="9" t="str">
        <f>HYPERLINK("http://www.ncbi.nlm.nih.gov/protein/39930325","Kif15")</f>
        <v>Kif15</v>
      </c>
      <c r="D3743" s="10">
        <f t="shared" si="58"/>
        <v>2.7070782860073002</v>
      </c>
      <c r="F3743" s="8" t="str">
        <f>HYPERLINK("https://esbl.nhlbi.nih.gov/Databases/mpkFractions/proteomic_fractions_log_files/Yang_log_img/39930325.jpg","show blot")</f>
        <v>show blot</v>
      </c>
      <c r="H3743" s="8" t="str">
        <f>HYPERLINK("https://esbl.nhlbi.nih.gov/Databases/mpkFractions/proteomic_fractions_linear_files/Yang_linear_img/39930325.jpg","show blot")</f>
        <v>show blot</v>
      </c>
      <c r="J3743" s="5" t="s">
        <v>7348</v>
      </c>
      <c r="L3743" s="11">
        <v>2.7070782860073002</v>
      </c>
      <c r="N3743" s="12"/>
    </row>
    <row r="3744" spans="1:14" s="5" customFormat="1" ht="15" customHeight="1" x14ac:dyDescent="0.25">
      <c r="A3744" s="9" t="s">
        <v>7349</v>
      </c>
      <c r="C3744" s="9" t="str">
        <f>HYPERLINK("http://www.ncbi.nlm.nih.gov/protein/124487287","Kif16b")</f>
        <v>Kif16b</v>
      </c>
      <c r="D3744" s="10">
        <f t="shared" si="58"/>
        <v>3.1995408793114821</v>
      </c>
      <c r="F3744" s="8" t="str">
        <f>HYPERLINK("https://esbl.nhlbi.nih.gov/Databases/mpkFractions/proteomic_fractions_log_files/Yang_log_img/124487287.jpg","show blot")</f>
        <v>show blot</v>
      </c>
      <c r="H3744" s="8" t="str">
        <f>HYPERLINK("https://esbl.nhlbi.nih.gov/Databases/mpkFractions/proteomic_fractions_linear_files/Yang_linear_img/124487287.jpg","show blot")</f>
        <v>show blot</v>
      </c>
      <c r="J3744" s="5" t="s">
        <v>7350</v>
      </c>
      <c r="L3744" s="11">
        <v>3.1995408793114821</v>
      </c>
      <c r="N3744" s="12"/>
    </row>
    <row r="3745" spans="1:14" s="5" customFormat="1" ht="15" customHeight="1" x14ac:dyDescent="0.25">
      <c r="A3745" s="9" t="s">
        <v>7351</v>
      </c>
      <c r="C3745" s="9" t="str">
        <f>HYPERLINK("http://www.ncbi.nlm.nih.gov/protein/13487898","Kif17")</f>
        <v>Kif17</v>
      </c>
      <c r="D3745" s="10">
        <f t="shared" si="58"/>
        <v>3.777060085685608</v>
      </c>
      <c r="F3745" s="8" t="str">
        <f>HYPERLINK("https://esbl.nhlbi.nih.gov/Databases/mpkFractions/proteomic_fractions_log_files/Yang_log_img/13487898.jpg","show blot")</f>
        <v>show blot</v>
      </c>
      <c r="H3745" s="8" t="str">
        <f>HYPERLINK("https://esbl.nhlbi.nih.gov/Databases/mpkFractions/proteomic_fractions_linear_files/Yang_linear_img/13487898.jpg","show blot")</f>
        <v>show blot</v>
      </c>
      <c r="J3745" s="5" t="s">
        <v>7352</v>
      </c>
      <c r="L3745" s="11">
        <v>3.777060085685608</v>
      </c>
      <c r="N3745" s="12"/>
    </row>
    <row r="3746" spans="1:14" s="5" customFormat="1" ht="15" customHeight="1" x14ac:dyDescent="0.25">
      <c r="A3746" s="9" t="s">
        <v>7353</v>
      </c>
      <c r="C3746" s="9" t="str">
        <f>HYPERLINK("http://www.ncbi.nlm.nih.gov/protein/300795177","Kif17")</f>
        <v>Kif17</v>
      </c>
      <c r="D3746" s="10">
        <f t="shared" si="58"/>
        <v>3.777060085685608</v>
      </c>
      <c r="F3746" s="8" t="str">
        <f>HYPERLINK("https://esbl.nhlbi.nih.gov/Databases/mpkFractions/proteomic_fractions_log_files/Yang_log_img/300795177.jpg","show blot")</f>
        <v>show blot</v>
      </c>
      <c r="H3746" s="8" t="str">
        <f>HYPERLINK("https://esbl.nhlbi.nih.gov/Databases/mpkFractions/proteomic_fractions_linear_files/Yang_linear_img/300795177.jpg","show blot")</f>
        <v>show blot</v>
      </c>
      <c r="J3746" s="5" t="s">
        <v>7354</v>
      </c>
      <c r="L3746" s="11">
        <v>3.777060085685608</v>
      </c>
      <c r="N3746" s="12"/>
    </row>
    <row r="3747" spans="1:14" s="5" customFormat="1" ht="15" customHeight="1" x14ac:dyDescent="0.25">
      <c r="A3747" s="9" t="s">
        <v>7355</v>
      </c>
      <c r="C3747" s="9" t="str">
        <f>HYPERLINK("http://www.ncbi.nlm.nih.gov/protein/160333877","Kif1a")</f>
        <v>Kif1a</v>
      </c>
      <c r="D3747" s="10">
        <f t="shared" si="58"/>
        <v>4.2032298948062632</v>
      </c>
      <c r="F3747" s="8" t="str">
        <f>HYPERLINK("https://esbl.nhlbi.nih.gov/Databases/mpkFractions/proteomic_fractions_log_files/Yang_log_img/160333877.jpg","show blot")</f>
        <v>show blot</v>
      </c>
      <c r="H3747" s="8" t="str">
        <f>HYPERLINK("https://esbl.nhlbi.nih.gov/Databases/mpkFractions/proteomic_fractions_linear_files/Yang_linear_img/160333877.jpg","show blot")</f>
        <v>show blot</v>
      </c>
      <c r="J3747" s="5" t="s">
        <v>7356</v>
      </c>
      <c r="L3747" s="11">
        <v>4.2032298948062632</v>
      </c>
      <c r="N3747" s="12"/>
    </row>
    <row r="3748" spans="1:14" s="5" customFormat="1" ht="15" customHeight="1" x14ac:dyDescent="0.25">
      <c r="A3748" s="9" t="s">
        <v>7357</v>
      </c>
      <c r="C3748" s="9" t="str">
        <f>HYPERLINK("http://www.ncbi.nlm.nih.gov/protein/160708010","Kif1a")</f>
        <v>Kif1a</v>
      </c>
      <c r="D3748" s="10">
        <f t="shared" si="58"/>
        <v>4.2032298948062632</v>
      </c>
      <c r="F3748" s="8" t="str">
        <f>HYPERLINK("https://esbl.nhlbi.nih.gov/Databases/mpkFractions/proteomic_fractions_log_files/Yang_log_img/160708010.jpg","show blot")</f>
        <v>show blot</v>
      </c>
      <c r="H3748" s="8" t="str">
        <f>HYPERLINK("https://esbl.nhlbi.nih.gov/Databases/mpkFractions/proteomic_fractions_linear_files/Yang_linear_img/160708010.jpg","show blot")</f>
        <v>show blot</v>
      </c>
      <c r="J3748" s="5" t="s">
        <v>7358</v>
      </c>
      <c r="L3748" s="11">
        <v>4.2032298948062632</v>
      </c>
      <c r="N3748" s="12"/>
    </row>
    <row r="3749" spans="1:14" s="5" customFormat="1" ht="15" customHeight="1" x14ac:dyDescent="0.25">
      <c r="A3749" s="9" t="s">
        <v>7359</v>
      </c>
      <c r="C3749" s="9" t="str">
        <f>HYPERLINK("http://www.ncbi.nlm.nih.gov/protein/86990458","Kif1b")</f>
        <v>Kif1b</v>
      </c>
      <c r="D3749" s="10">
        <f t="shared" si="58"/>
        <v>4.3814491821860688</v>
      </c>
      <c r="F3749" s="8" t="str">
        <f>HYPERLINK("https://esbl.nhlbi.nih.gov/Databases/mpkFractions/proteomic_fractions_log_files/Yang_log_img/86990458.jpg","show blot")</f>
        <v>show blot</v>
      </c>
      <c r="H3749" s="8" t="str">
        <f>HYPERLINK("https://esbl.nhlbi.nih.gov/Databases/mpkFractions/proteomic_fractions_linear_files/Yang_linear_img/86990458.jpg","show blot")</f>
        <v>show blot</v>
      </c>
      <c r="J3749" s="5" t="s">
        <v>7360</v>
      </c>
      <c r="L3749" s="11">
        <v>4.3814491821860688</v>
      </c>
      <c r="N3749" s="12"/>
    </row>
    <row r="3750" spans="1:14" s="5" customFormat="1" ht="15" customHeight="1" x14ac:dyDescent="0.25">
      <c r="A3750" s="9" t="s">
        <v>7361</v>
      </c>
      <c r="C3750" s="9" t="str">
        <f>HYPERLINK("http://www.ncbi.nlm.nih.gov/protein/86990460","Kif1b")</f>
        <v>Kif1b</v>
      </c>
      <c r="D3750" s="10">
        <f t="shared" si="58"/>
        <v>4.3814491821860688</v>
      </c>
      <c r="F3750" s="8" t="str">
        <f>HYPERLINK("https://esbl.nhlbi.nih.gov/Databases/mpkFractions/proteomic_fractions_log_files/Yang_log_img/86990460.jpg","show blot")</f>
        <v>show blot</v>
      </c>
      <c r="H3750" s="8" t="str">
        <f>HYPERLINK("https://esbl.nhlbi.nih.gov/Databases/mpkFractions/proteomic_fractions_linear_files/Yang_linear_img/86990460.jpg","show blot")</f>
        <v>show blot</v>
      </c>
      <c r="J3750" s="5" t="s">
        <v>7362</v>
      </c>
      <c r="L3750" s="11">
        <v>4.3814491821860688</v>
      </c>
      <c r="N3750" s="12"/>
    </row>
    <row r="3751" spans="1:14" s="5" customFormat="1" ht="15" customHeight="1" x14ac:dyDescent="0.25">
      <c r="A3751" s="9" t="s">
        <v>7363</v>
      </c>
      <c r="C3751" s="9" t="str">
        <f>HYPERLINK("http://www.ncbi.nlm.nih.gov/protein/145966744","Kif1c")</f>
        <v>Kif1c</v>
      </c>
      <c r="D3751" s="10">
        <f t="shared" si="58"/>
        <v>4.4518776514533567</v>
      </c>
      <c r="F3751" s="8" t="str">
        <f>HYPERLINK("https://esbl.nhlbi.nih.gov/Databases/mpkFractions/proteomic_fractions_log_files/Yang_log_img/145966744.jpg","show blot")</f>
        <v>show blot</v>
      </c>
      <c r="H3751" s="8" t="str">
        <f>HYPERLINK("https://esbl.nhlbi.nih.gov/Databases/mpkFractions/proteomic_fractions_linear_files/Yang_linear_img/145966744.jpg","show blot")</f>
        <v>show blot</v>
      </c>
      <c r="J3751" s="5" t="s">
        <v>7364</v>
      </c>
      <c r="L3751" s="11">
        <v>4.4518776514533567</v>
      </c>
      <c r="N3751" s="12"/>
    </row>
    <row r="3752" spans="1:14" s="5" customFormat="1" ht="15" customHeight="1" x14ac:dyDescent="0.25">
      <c r="A3752" s="9" t="s">
        <v>7365</v>
      </c>
      <c r="C3752" s="9" t="str">
        <f>HYPERLINK("http://www.ncbi.nlm.nih.gov/protein/157823695","Kif21a")</f>
        <v>Kif21a</v>
      </c>
      <c r="D3752" s="10">
        <f t="shared" si="58"/>
        <v>2.6058855454257759</v>
      </c>
      <c r="F3752" s="8" t="str">
        <f>HYPERLINK("https://esbl.nhlbi.nih.gov/Databases/mpkFractions/proteomic_fractions_log_files/Yang_log_img/157823695.jpg","show blot")</f>
        <v>show blot</v>
      </c>
      <c r="H3752" s="8" t="str">
        <f>HYPERLINK("https://esbl.nhlbi.nih.gov/Databases/mpkFractions/proteomic_fractions_linear_files/Yang_linear_img/157823695.jpg","show blot")</f>
        <v>show blot</v>
      </c>
      <c r="J3752" s="5" t="s">
        <v>7366</v>
      </c>
      <c r="L3752" s="11">
        <v>2.6058855454257759</v>
      </c>
      <c r="N3752" s="12"/>
    </row>
    <row r="3753" spans="1:14" s="5" customFormat="1" ht="15" customHeight="1" x14ac:dyDescent="0.25">
      <c r="A3753" s="9" t="s">
        <v>7367</v>
      </c>
      <c r="C3753" s="9" t="str">
        <f>HYPERLINK("http://www.ncbi.nlm.nih.gov/protein/157823731","Kif21a")</f>
        <v>Kif21a</v>
      </c>
      <c r="D3753" s="10">
        <f t="shared" si="58"/>
        <v>2.6058855454257759</v>
      </c>
      <c r="F3753" s="8" t="str">
        <f>HYPERLINK("https://esbl.nhlbi.nih.gov/Databases/mpkFractions/proteomic_fractions_log_files/Yang_log_img/157823731.jpg","show blot")</f>
        <v>show blot</v>
      </c>
      <c r="H3753" s="8" t="str">
        <f>HYPERLINK("https://esbl.nhlbi.nih.gov/Databases/mpkFractions/proteomic_fractions_linear_files/Yang_linear_img/157823731.jpg","show blot")</f>
        <v>show blot</v>
      </c>
      <c r="J3753" s="5" t="s">
        <v>7368</v>
      </c>
      <c r="L3753" s="11">
        <v>2.6058855454257759</v>
      </c>
      <c r="N3753" s="12"/>
    </row>
    <row r="3754" spans="1:14" s="5" customFormat="1" ht="15" customHeight="1" x14ac:dyDescent="0.25">
      <c r="A3754" s="9" t="s">
        <v>7369</v>
      </c>
      <c r="C3754" s="9" t="str">
        <f>HYPERLINK("http://www.ncbi.nlm.nih.gov/protein/157823761","Kif21a")</f>
        <v>Kif21a</v>
      </c>
      <c r="D3754" s="10">
        <f t="shared" si="58"/>
        <v>2.6058855454257759</v>
      </c>
      <c r="F3754" s="8" t="str">
        <f>HYPERLINK("https://esbl.nhlbi.nih.gov/Databases/mpkFractions/proteomic_fractions_log_files/Yang_log_img/157823761.jpg","show blot")</f>
        <v>show blot</v>
      </c>
      <c r="H3754" s="8" t="str">
        <f>HYPERLINK("https://esbl.nhlbi.nih.gov/Databases/mpkFractions/proteomic_fractions_linear_files/Yang_linear_img/157823761.jpg","show blot")</f>
        <v>show blot</v>
      </c>
      <c r="J3754" s="5" t="s">
        <v>7370</v>
      </c>
      <c r="L3754" s="11">
        <v>2.6058855454257759</v>
      </c>
      <c r="N3754" s="12"/>
    </row>
    <row r="3755" spans="1:14" s="5" customFormat="1" ht="15" customHeight="1" x14ac:dyDescent="0.25">
      <c r="A3755" s="9" t="s">
        <v>7371</v>
      </c>
      <c r="C3755" s="9" t="str">
        <f>HYPERLINK("http://www.ncbi.nlm.nih.gov/protein/157823795","Kif21a")</f>
        <v>Kif21a</v>
      </c>
      <c r="D3755" s="10">
        <f t="shared" si="58"/>
        <v>2.6058855454257759</v>
      </c>
      <c r="F3755" s="8" t="str">
        <f>HYPERLINK("https://esbl.nhlbi.nih.gov/Databases/mpkFractions/proteomic_fractions_log_files/Yang_log_img/157823795.jpg","show blot")</f>
        <v>show blot</v>
      </c>
      <c r="H3755" s="8" t="str">
        <f>HYPERLINK("https://esbl.nhlbi.nih.gov/Databases/mpkFractions/proteomic_fractions_linear_files/Yang_linear_img/157823795.jpg","show blot")</f>
        <v>show blot</v>
      </c>
      <c r="J3755" s="5" t="s">
        <v>7372</v>
      </c>
      <c r="L3755" s="11">
        <v>2.6058855454257759</v>
      </c>
      <c r="N3755" s="12"/>
    </row>
    <row r="3756" spans="1:14" s="5" customFormat="1" ht="15" customHeight="1" x14ac:dyDescent="0.25">
      <c r="A3756" s="9" t="s">
        <v>7373</v>
      </c>
      <c r="C3756" s="9" t="str">
        <f>HYPERLINK("http://www.ncbi.nlm.nih.gov/protein/21704182","Kif22")</f>
        <v>Kif22</v>
      </c>
      <c r="D3756" s="10">
        <f t="shared" si="58"/>
        <v>3.7440050462824499</v>
      </c>
      <c r="F3756" s="8" t="str">
        <f>HYPERLINK("https://esbl.nhlbi.nih.gov/Databases/mpkFractions/proteomic_fractions_log_files/Yang_log_img/21704182.jpg","show blot")</f>
        <v>show blot</v>
      </c>
      <c r="H3756" s="8" t="str">
        <f>HYPERLINK("https://esbl.nhlbi.nih.gov/Databases/mpkFractions/proteomic_fractions_linear_files/Yang_linear_img/21704182.jpg","show blot")</f>
        <v>show blot</v>
      </c>
      <c r="J3756" s="5" t="s">
        <v>7374</v>
      </c>
      <c r="L3756" s="11">
        <v>3.7440050462824499</v>
      </c>
      <c r="N3756" s="12"/>
    </row>
    <row r="3757" spans="1:14" s="5" customFormat="1" ht="15" customHeight="1" x14ac:dyDescent="0.25">
      <c r="A3757" s="9" t="s">
        <v>7375</v>
      </c>
      <c r="C3757" s="9" t="str">
        <f>HYPERLINK("http://www.ncbi.nlm.nih.gov/protein/32401469","Kif27")</f>
        <v>Kif27</v>
      </c>
      <c r="D3757" s="10">
        <f t="shared" si="58"/>
        <v>2.6627756448717039</v>
      </c>
      <c r="F3757" s="8" t="str">
        <f>HYPERLINK("https://esbl.nhlbi.nih.gov/Databases/mpkFractions/proteomic_fractions_log_files/Yang_log_img/32401469.jpg","show blot")</f>
        <v>show blot</v>
      </c>
      <c r="H3757" s="8" t="str">
        <f>HYPERLINK("https://esbl.nhlbi.nih.gov/Databases/mpkFractions/proteomic_fractions_linear_files/Yang_linear_img/32401469.jpg","show blot")</f>
        <v>show blot</v>
      </c>
      <c r="J3757" s="5" t="s">
        <v>7376</v>
      </c>
      <c r="L3757" s="11">
        <v>2.6627756448717039</v>
      </c>
      <c r="N3757" s="12"/>
    </row>
    <row r="3758" spans="1:14" s="5" customFormat="1" ht="15" customHeight="1" x14ac:dyDescent="0.25">
      <c r="A3758" s="9" t="s">
        <v>7377</v>
      </c>
      <c r="C3758" s="9" t="str">
        <f>HYPERLINK("http://www.ncbi.nlm.nih.gov/protein/224809371","Kif2a")</f>
        <v>Kif2a</v>
      </c>
      <c r="D3758" s="10">
        <f t="shared" si="58"/>
        <v>4.1474707794779304</v>
      </c>
      <c r="F3758" s="8" t="str">
        <f>HYPERLINK("https://esbl.nhlbi.nih.gov/Databases/mpkFractions/proteomic_fractions_log_files/Yang_log_img/224809371.jpg","show blot")</f>
        <v>show blot</v>
      </c>
      <c r="H3758" s="8" t="str">
        <f>HYPERLINK("https://esbl.nhlbi.nih.gov/Databases/mpkFractions/proteomic_fractions_linear_files/Yang_linear_img/224809371.jpg","show blot")</f>
        <v>show blot</v>
      </c>
      <c r="J3758" s="5" t="s">
        <v>7378</v>
      </c>
      <c r="L3758" s="11">
        <v>4.1474707794779304</v>
      </c>
      <c r="N3758" s="12"/>
    </row>
    <row r="3759" spans="1:14" s="5" customFormat="1" ht="15" customHeight="1" x14ac:dyDescent="0.25">
      <c r="A3759" s="9" t="s">
        <v>7379</v>
      </c>
      <c r="C3759" s="9" t="str">
        <f>HYPERLINK("http://www.ncbi.nlm.nih.gov/protein/224809373","Kif2a")</f>
        <v>Kif2a</v>
      </c>
      <c r="D3759" s="10">
        <f t="shared" si="58"/>
        <v>4.1474707794779304</v>
      </c>
      <c r="F3759" s="8" t="str">
        <f>HYPERLINK("https://esbl.nhlbi.nih.gov/Databases/mpkFractions/proteomic_fractions_log_files/Yang_log_img/224809373.jpg","show blot")</f>
        <v>show blot</v>
      </c>
      <c r="H3759" s="8" t="str">
        <f>HYPERLINK("https://esbl.nhlbi.nih.gov/Databases/mpkFractions/proteomic_fractions_linear_files/Yang_linear_img/224809373.jpg","show blot")</f>
        <v>show blot</v>
      </c>
      <c r="J3759" s="5" t="s">
        <v>7380</v>
      </c>
      <c r="L3759" s="11">
        <v>4.1474707794779304</v>
      </c>
      <c r="N3759" s="12"/>
    </row>
    <row r="3760" spans="1:14" s="5" customFormat="1" ht="15" customHeight="1" x14ac:dyDescent="0.25">
      <c r="A3760" s="9" t="s">
        <v>7381</v>
      </c>
      <c r="C3760" s="9" t="str">
        <f>HYPERLINK("http://www.ncbi.nlm.nih.gov/protein/110625946","Kif2b")</f>
        <v>Kif2b</v>
      </c>
      <c r="D3760" s="10">
        <f t="shared" si="58"/>
        <v>3.45501820016811</v>
      </c>
      <c r="F3760" s="8" t="str">
        <f>HYPERLINK("https://esbl.nhlbi.nih.gov/Databases/mpkFractions/proteomic_fractions_log_files/Yang_log_img/110625946.jpg","show blot")</f>
        <v>show blot</v>
      </c>
      <c r="H3760" s="8" t="str">
        <f>HYPERLINK("https://esbl.nhlbi.nih.gov/Databases/mpkFractions/proteomic_fractions_linear_files/Yang_linear_img/110625946.jpg","show blot")</f>
        <v>show blot</v>
      </c>
      <c r="J3760" s="5" t="s">
        <v>7382</v>
      </c>
      <c r="L3760" s="11">
        <v>3.45501820016811</v>
      </c>
      <c r="N3760" s="12"/>
    </row>
    <row r="3761" spans="1:14" s="5" customFormat="1" ht="15" customHeight="1" x14ac:dyDescent="0.25">
      <c r="A3761" s="9" t="s">
        <v>7383</v>
      </c>
      <c r="C3761" s="9" t="str">
        <f>HYPERLINK("http://www.ncbi.nlm.nih.gov/protein/34328138","Kif3a")</f>
        <v>Kif3a</v>
      </c>
      <c r="D3761" s="10">
        <f t="shared" si="58"/>
        <v>3.870968526211584</v>
      </c>
      <c r="F3761" s="8" t="str">
        <f>HYPERLINK("https://esbl.nhlbi.nih.gov/Databases/mpkFractions/proteomic_fractions_log_files/Yang_log_img/34328138.jpg","show blot")</f>
        <v>show blot</v>
      </c>
      <c r="H3761" s="8" t="str">
        <f>HYPERLINK("https://esbl.nhlbi.nih.gov/Databases/mpkFractions/proteomic_fractions_linear_files/Yang_linear_img/34328138.jpg","show blot")</f>
        <v>show blot</v>
      </c>
      <c r="J3761" s="5" t="s">
        <v>7384</v>
      </c>
      <c r="L3761" s="11">
        <v>3.870968526211584</v>
      </c>
      <c r="N3761" s="12"/>
    </row>
    <row r="3762" spans="1:14" s="5" customFormat="1" ht="15" customHeight="1" x14ac:dyDescent="0.25">
      <c r="A3762" s="9" t="s">
        <v>7385</v>
      </c>
      <c r="C3762" s="9" t="str">
        <f>HYPERLINK("http://www.ncbi.nlm.nih.gov/protein/227908861","Kif3b")</f>
        <v>Kif3b</v>
      </c>
      <c r="D3762" s="10">
        <f t="shared" si="58"/>
        <v>3.85187773775159</v>
      </c>
      <c r="F3762" s="8" t="str">
        <f>HYPERLINK("https://esbl.nhlbi.nih.gov/Databases/mpkFractions/proteomic_fractions_log_files/Yang_log_img/227908861.jpg","show blot")</f>
        <v>show blot</v>
      </c>
      <c r="H3762" s="8" t="str">
        <f>HYPERLINK("https://esbl.nhlbi.nih.gov/Databases/mpkFractions/proteomic_fractions_linear_files/Yang_linear_img/227908861.jpg","show blot")</f>
        <v>show blot</v>
      </c>
      <c r="J3762" s="5" t="s">
        <v>7386</v>
      </c>
      <c r="L3762" s="11">
        <v>3.85187773775159</v>
      </c>
      <c r="N3762" s="12"/>
    </row>
    <row r="3763" spans="1:14" s="5" customFormat="1" ht="15" customHeight="1" x14ac:dyDescent="0.25">
      <c r="A3763" s="9" t="s">
        <v>7387</v>
      </c>
      <c r="C3763" s="9" t="str">
        <f>HYPERLINK("http://www.ncbi.nlm.nih.gov/protein/84781817","Kif3c")</f>
        <v>Kif3c</v>
      </c>
      <c r="D3763" s="10">
        <f t="shared" si="58"/>
        <v>3.7327809537541148</v>
      </c>
      <c r="F3763" s="8" t="str">
        <f>HYPERLINK("https://esbl.nhlbi.nih.gov/Databases/mpkFractions/proteomic_fractions_log_files/Yang_log_img/84781817.jpg","show blot")</f>
        <v>show blot</v>
      </c>
      <c r="H3763" s="8" t="str">
        <f>HYPERLINK("https://esbl.nhlbi.nih.gov/Databases/mpkFractions/proteomic_fractions_linear_files/Yang_linear_img/84781817.jpg","show blot")</f>
        <v>show blot</v>
      </c>
      <c r="J3763" s="5" t="s">
        <v>7388</v>
      </c>
      <c r="L3763" s="11">
        <v>3.7327809537541148</v>
      </c>
      <c r="N3763" s="12"/>
    </row>
    <row r="3764" spans="1:14" s="5" customFormat="1" ht="15" customHeight="1" x14ac:dyDescent="0.25">
      <c r="A3764" s="9" t="s">
        <v>7389</v>
      </c>
      <c r="C3764" s="9" t="str">
        <f>HYPERLINK("http://www.ncbi.nlm.nih.gov/protein/84781727;40254635","Kif5a")</f>
        <v>Kif5a</v>
      </c>
      <c r="D3764" s="10">
        <f t="shared" si="58"/>
        <v>5.3076266959131289</v>
      </c>
      <c r="F3764" s="8" t="str">
        <f>HYPERLINK("https://esbl.nhlbi.nih.gov/Databases/mpkFractions/proteomic_fractions_log_files/Yang_log_img/84781727;40254635.jpg","show blot")</f>
        <v>show blot</v>
      </c>
      <c r="H3764" s="8" t="str">
        <f>HYPERLINK("https://esbl.nhlbi.nih.gov/Databases/mpkFractions/proteomic_fractions_linear_files/Yang_linear_img/84781727;40254635.jpg","show blot")</f>
        <v>show blot</v>
      </c>
      <c r="J3764" s="5" t="s">
        <v>7390</v>
      </c>
      <c r="L3764" s="11">
        <v>5.3076266959131289</v>
      </c>
      <c r="N3764" s="12"/>
    </row>
    <row r="3765" spans="1:14" s="5" customFormat="1" ht="15" customHeight="1" x14ac:dyDescent="0.25">
      <c r="A3765" s="9" t="s">
        <v>7391</v>
      </c>
      <c r="C3765" s="9" t="str">
        <f>HYPERLINK("http://www.ncbi.nlm.nih.gov/protein/40254635;84781727","Kif5a")</f>
        <v>Kif5a</v>
      </c>
      <c r="D3765" s="10">
        <f t="shared" si="58"/>
        <v>5.3076266959131289</v>
      </c>
      <c r="F3765" s="8" t="str">
        <f>HYPERLINK("https://esbl.nhlbi.nih.gov/Databases/mpkFractions/proteomic_fractions_log_files/Yang_log_img/40254635;84781727.jpg","show blot")</f>
        <v>show blot</v>
      </c>
      <c r="H3765" s="8" t="str">
        <f>HYPERLINK("https://esbl.nhlbi.nih.gov/Databases/mpkFractions/proteomic_fractions_linear_files/Yang_linear_img/40254635;84781727.jpg","show blot")</f>
        <v>show blot</v>
      </c>
      <c r="J3765" s="5" t="s">
        <v>7390</v>
      </c>
      <c r="L3765" s="11">
        <v>5.3076266959131289</v>
      </c>
      <c r="N3765" s="12"/>
    </row>
    <row r="3766" spans="1:14" s="5" customFormat="1" ht="15" customHeight="1" x14ac:dyDescent="0.25">
      <c r="A3766" s="9" t="s">
        <v>7392</v>
      </c>
      <c r="C3766" s="9" t="str">
        <f>HYPERLINK("http://www.ncbi.nlm.nih.gov/protein/61657921","Kif5b")</f>
        <v>Kif5b</v>
      </c>
      <c r="D3766" s="10">
        <f t="shared" si="58"/>
        <v>5.8152829110905282</v>
      </c>
      <c r="F3766" s="8" t="str">
        <f>HYPERLINK("https://esbl.nhlbi.nih.gov/Databases/mpkFractions/proteomic_fractions_log_files/Yang_log_img/61657921.jpg","show blot")</f>
        <v>show blot</v>
      </c>
      <c r="H3766" s="8" t="str">
        <f>HYPERLINK("https://esbl.nhlbi.nih.gov/Databases/mpkFractions/proteomic_fractions_linear_files/Yang_linear_img/61657921.jpg","show blot")</f>
        <v>show blot</v>
      </c>
      <c r="J3766" s="5" t="s">
        <v>7393</v>
      </c>
      <c r="L3766" s="11">
        <v>5.8152829110905282</v>
      </c>
      <c r="N3766" s="12"/>
    </row>
    <row r="3767" spans="1:14" s="5" customFormat="1" ht="15" customHeight="1" x14ac:dyDescent="0.25">
      <c r="A3767" s="9" t="s">
        <v>7394</v>
      </c>
      <c r="C3767" s="9" t="str">
        <f>HYPERLINK("http://www.ncbi.nlm.nih.gov/protein/45433560","Kif5c")</f>
        <v>Kif5c</v>
      </c>
      <c r="D3767" s="10">
        <f t="shared" si="58"/>
        <v>5.3651360661261673</v>
      </c>
      <c r="F3767" s="8" t="str">
        <f>HYPERLINK("https://esbl.nhlbi.nih.gov/Databases/mpkFractions/proteomic_fractions_log_files/Yang_log_img/45433560.jpg","show blot")</f>
        <v>show blot</v>
      </c>
      <c r="H3767" s="8" t="str">
        <f>HYPERLINK("https://esbl.nhlbi.nih.gov/Databases/mpkFractions/proteomic_fractions_linear_files/Yang_linear_img/45433560.jpg","show blot")</f>
        <v>show blot</v>
      </c>
      <c r="J3767" s="5" t="s">
        <v>7395</v>
      </c>
      <c r="L3767" s="11">
        <v>5.3651360661261673</v>
      </c>
      <c r="N3767" s="12"/>
    </row>
    <row r="3768" spans="1:14" s="5" customFormat="1" ht="15" customHeight="1" x14ac:dyDescent="0.25">
      <c r="A3768" s="9" t="s">
        <v>7396</v>
      </c>
      <c r="C3768" s="9" t="str">
        <f>HYPERLINK("http://www.ncbi.nlm.nih.gov/protein/254675236","Kif9")</f>
        <v>Kif9</v>
      </c>
      <c r="D3768" s="10">
        <f t="shared" si="58"/>
        <v>3.725907563238227</v>
      </c>
      <c r="F3768" s="8" t="str">
        <f>HYPERLINK("https://esbl.nhlbi.nih.gov/Databases/mpkFractions/proteomic_fractions_log_files/Yang_log_img/254675236.jpg","show blot")</f>
        <v>show blot</v>
      </c>
      <c r="H3768" s="8" t="str">
        <f>HYPERLINK("https://esbl.nhlbi.nih.gov/Databases/mpkFractions/proteomic_fractions_linear_files/Yang_linear_img/254675236.jpg","show blot")</f>
        <v>show blot</v>
      </c>
      <c r="J3768" s="5" t="s">
        <v>7397</v>
      </c>
      <c r="L3768" s="11">
        <v>3.725907563238227</v>
      </c>
      <c r="N3768" s="12"/>
    </row>
    <row r="3769" spans="1:14" s="5" customFormat="1" ht="15" customHeight="1" x14ac:dyDescent="0.25">
      <c r="A3769" s="9" t="s">
        <v>7398</v>
      </c>
      <c r="C3769" s="9" t="str">
        <f>HYPERLINK("http://www.ncbi.nlm.nih.gov/protein/254675238","Kif9")</f>
        <v>Kif9</v>
      </c>
      <c r="D3769" s="10">
        <f t="shared" si="58"/>
        <v>3.725907563238227</v>
      </c>
      <c r="F3769" s="8" t="str">
        <f>HYPERLINK("https://esbl.nhlbi.nih.gov/Databases/mpkFractions/proteomic_fractions_log_files/Yang_log_img/254675238.jpg","show blot")</f>
        <v>show blot</v>
      </c>
      <c r="H3769" s="8" t="str">
        <f>HYPERLINK("https://esbl.nhlbi.nih.gov/Databases/mpkFractions/proteomic_fractions_linear_files/Yang_linear_img/254675238.jpg","show blot")</f>
        <v>show blot</v>
      </c>
      <c r="J3769" s="5" t="s">
        <v>7399</v>
      </c>
      <c r="L3769" s="11">
        <v>3.725907563238227</v>
      </c>
      <c r="N3769" s="12"/>
    </row>
    <row r="3770" spans="1:14" s="5" customFormat="1" ht="15" customHeight="1" x14ac:dyDescent="0.25">
      <c r="A3770" s="9" t="s">
        <v>7400</v>
      </c>
      <c r="C3770" s="9" t="str">
        <f>HYPERLINK("http://www.ncbi.nlm.nih.gov/protein/224967071","Kifc3")</f>
        <v>Kifc3</v>
      </c>
      <c r="D3770" s="10">
        <f t="shared" si="58"/>
        <v>3.840034408789927</v>
      </c>
      <c r="F3770" s="8" t="str">
        <f>HYPERLINK("https://esbl.nhlbi.nih.gov/Databases/mpkFractions/proteomic_fractions_log_files/Yang_log_img/224967071.jpg","show blot")</f>
        <v>show blot</v>
      </c>
      <c r="H3770" s="8" t="str">
        <f>HYPERLINK("https://esbl.nhlbi.nih.gov/Databases/mpkFractions/proteomic_fractions_linear_files/Yang_linear_img/224967071.jpg","show blot")</f>
        <v>show blot</v>
      </c>
      <c r="J3770" s="5" t="s">
        <v>7401</v>
      </c>
      <c r="L3770" s="11">
        <v>3.840034408789927</v>
      </c>
      <c r="N3770" s="12"/>
    </row>
    <row r="3771" spans="1:14" s="5" customFormat="1" ht="15" customHeight="1" x14ac:dyDescent="0.25">
      <c r="A3771" s="9" t="s">
        <v>7402</v>
      </c>
      <c r="C3771" s="9" t="str">
        <f>HYPERLINK("http://www.ncbi.nlm.nih.gov/protein/224967073","Kifc3")</f>
        <v>Kifc3</v>
      </c>
      <c r="D3771" s="10">
        <f t="shared" si="58"/>
        <v>3.840034408789927</v>
      </c>
      <c r="F3771" s="8" t="str">
        <f>HYPERLINK("https://esbl.nhlbi.nih.gov/Databases/mpkFractions/proteomic_fractions_log_files/Yang_log_img/224967073.jpg","show blot")</f>
        <v>show blot</v>
      </c>
      <c r="H3771" s="8" t="str">
        <f>HYPERLINK("https://esbl.nhlbi.nih.gov/Databases/mpkFractions/proteomic_fractions_linear_files/Yang_linear_img/224967073.jpg","show blot")</f>
        <v>show blot</v>
      </c>
      <c r="J3771" s="5" t="s">
        <v>7403</v>
      </c>
      <c r="L3771" s="11">
        <v>3.840034408789927</v>
      </c>
      <c r="N3771" s="12"/>
    </row>
    <row r="3772" spans="1:14" s="5" customFormat="1" ht="15" customHeight="1" x14ac:dyDescent="0.25">
      <c r="A3772" s="9" t="s">
        <v>7404</v>
      </c>
      <c r="C3772" s="9" t="str">
        <f>HYPERLINK("http://www.ncbi.nlm.nih.gov/protein/224967075","Kifc3")</f>
        <v>Kifc3</v>
      </c>
      <c r="D3772" s="10">
        <f t="shared" si="58"/>
        <v>3.840034408789927</v>
      </c>
      <c r="F3772" s="8" t="str">
        <f>HYPERLINK("https://esbl.nhlbi.nih.gov/Databases/mpkFractions/proteomic_fractions_log_files/Yang_log_img/224967075.jpg","show blot")</f>
        <v>show blot</v>
      </c>
      <c r="H3772" s="8" t="str">
        <f>HYPERLINK("https://esbl.nhlbi.nih.gov/Databases/mpkFractions/proteomic_fractions_linear_files/Yang_linear_img/224967075.jpg","show blot")</f>
        <v>show blot</v>
      </c>
      <c r="J3772" s="5" t="s">
        <v>7405</v>
      </c>
      <c r="L3772" s="11">
        <v>3.840034408789927</v>
      </c>
      <c r="N3772" s="12"/>
    </row>
    <row r="3773" spans="1:14" s="5" customFormat="1" ht="15" customHeight="1" x14ac:dyDescent="0.25">
      <c r="A3773" s="9" t="s">
        <v>7406</v>
      </c>
      <c r="C3773" s="9" t="str">
        <f>HYPERLINK("http://www.ncbi.nlm.nih.gov/protein/33859684","Kin")</f>
        <v>Kin</v>
      </c>
      <c r="D3773" s="10">
        <f t="shared" si="58"/>
        <v>3.185189464158388</v>
      </c>
      <c r="F3773" s="8" t="str">
        <f>HYPERLINK("https://esbl.nhlbi.nih.gov/Databases/mpkFractions/proteomic_fractions_log_files/Yang_log_img/33859684.jpg","show blot")</f>
        <v>show blot</v>
      </c>
      <c r="H3773" s="8" t="str">
        <f>HYPERLINK("https://esbl.nhlbi.nih.gov/Databases/mpkFractions/proteomic_fractions_linear_files/Yang_linear_img/33859684.jpg","show blot")</f>
        <v>show blot</v>
      </c>
      <c r="J3773" s="5" t="s">
        <v>7407</v>
      </c>
      <c r="L3773" s="11">
        <v>3.185189464158388</v>
      </c>
      <c r="N3773" s="12"/>
    </row>
    <row r="3774" spans="1:14" s="5" customFormat="1" ht="15" customHeight="1" x14ac:dyDescent="0.25">
      <c r="A3774" s="9" t="s">
        <v>7408</v>
      </c>
      <c r="C3774" s="9" t="str">
        <f>HYPERLINK("http://www.ncbi.nlm.nih.gov/protein/70608146","Kirrel")</f>
        <v>Kirrel</v>
      </c>
      <c r="D3774" s="10">
        <f t="shared" si="58"/>
        <v>2.4992510944536939</v>
      </c>
      <c r="F3774" s="8" t="str">
        <f>HYPERLINK("https://esbl.nhlbi.nih.gov/Databases/mpkFractions/proteomic_fractions_log_files/Yang_log_img/70608146.jpg","show blot")</f>
        <v>show blot</v>
      </c>
      <c r="H3774" s="8" t="str">
        <f>HYPERLINK("https://esbl.nhlbi.nih.gov/Databases/mpkFractions/proteomic_fractions_linear_files/Yang_linear_img/70608146.jpg","show blot")</f>
        <v>show blot</v>
      </c>
      <c r="J3774" s="5" t="s">
        <v>7409</v>
      </c>
      <c r="L3774" s="11">
        <v>2.4992510944536939</v>
      </c>
      <c r="N3774" s="12"/>
    </row>
    <row r="3775" spans="1:14" s="5" customFormat="1" ht="15" customHeight="1" x14ac:dyDescent="0.25">
      <c r="A3775" s="9" t="s">
        <v>7410</v>
      </c>
      <c r="C3775" s="9" t="str">
        <f>HYPERLINK("http://www.ncbi.nlm.nih.gov/protein/170650719","Kit")</f>
        <v>Kit</v>
      </c>
      <c r="D3775" s="10">
        <f t="shared" si="58"/>
        <v>5.3534285094375278</v>
      </c>
      <c r="F3775" s="8" t="str">
        <f>HYPERLINK("https://esbl.nhlbi.nih.gov/Databases/mpkFractions/proteomic_fractions_log_files/Yang_log_img/170650719.jpg","show blot")</f>
        <v>show blot</v>
      </c>
      <c r="H3775" s="8" t="str">
        <f>HYPERLINK("https://esbl.nhlbi.nih.gov/Databases/mpkFractions/proteomic_fractions_linear_files/Yang_linear_img/170650719.jpg","show blot")</f>
        <v>show blot</v>
      </c>
      <c r="J3775" s="5" t="s">
        <v>7411</v>
      </c>
      <c r="L3775" s="11">
        <v>5.3534285094375278</v>
      </c>
      <c r="N3775" s="12"/>
    </row>
    <row r="3776" spans="1:14" s="5" customFormat="1" ht="15" customHeight="1" x14ac:dyDescent="0.25">
      <c r="A3776" s="9" t="s">
        <v>7412</v>
      </c>
      <c r="C3776" s="9" t="str">
        <f>HYPERLINK("http://www.ncbi.nlm.nih.gov/protein/170650721","Kit")</f>
        <v>Kit</v>
      </c>
      <c r="D3776" s="10">
        <f t="shared" si="58"/>
        <v>5.3534285094375278</v>
      </c>
      <c r="F3776" s="8" t="str">
        <f>HYPERLINK("https://esbl.nhlbi.nih.gov/Databases/mpkFractions/proteomic_fractions_log_files/Yang_log_img/170650721.jpg","show blot")</f>
        <v>show blot</v>
      </c>
      <c r="H3776" s="8" t="str">
        <f>HYPERLINK("https://esbl.nhlbi.nih.gov/Databases/mpkFractions/proteomic_fractions_linear_files/Yang_linear_img/170650721.jpg","show blot")</f>
        <v>show blot</v>
      </c>
      <c r="J3776" s="5" t="s">
        <v>7413</v>
      </c>
      <c r="L3776" s="11">
        <v>5.3534285094375278</v>
      </c>
      <c r="N3776" s="12"/>
    </row>
    <row r="3777" spans="1:14" s="5" customFormat="1" ht="15" customHeight="1" x14ac:dyDescent="0.25">
      <c r="A3777" s="9" t="s">
        <v>7414</v>
      </c>
      <c r="C3777" s="9" t="str">
        <f>HYPERLINK("http://www.ncbi.nlm.nih.gov/protein/227330584","Kl")</f>
        <v>Kl</v>
      </c>
      <c r="D3777" s="10">
        <f t="shared" si="58"/>
        <v>5.4065255931982286</v>
      </c>
      <c r="F3777" s="8" t="str">
        <f>HYPERLINK("https://esbl.nhlbi.nih.gov/Databases/mpkFractions/proteomic_fractions_log_files/Yang_log_img/227330584.jpg","show blot")</f>
        <v>show blot</v>
      </c>
      <c r="H3777" s="8" t="str">
        <f>HYPERLINK("https://esbl.nhlbi.nih.gov/Databases/mpkFractions/proteomic_fractions_linear_files/Yang_linear_img/227330584.jpg","show blot")</f>
        <v>show blot</v>
      </c>
      <c r="J3777" s="5" t="s">
        <v>7415</v>
      </c>
      <c r="L3777" s="11">
        <v>5.4065255931982286</v>
      </c>
      <c r="N3777" s="12"/>
    </row>
    <row r="3778" spans="1:14" s="5" customFormat="1" ht="15" customHeight="1" x14ac:dyDescent="0.25">
      <c r="A3778" s="9" t="s">
        <v>7416</v>
      </c>
      <c r="C3778" s="9" t="str">
        <f>HYPERLINK("http://www.ncbi.nlm.nih.gov/protein/131412178","Klc1")</f>
        <v>Klc1</v>
      </c>
      <c r="D3778" s="10">
        <f t="shared" si="58"/>
        <v>4.2026012222294851</v>
      </c>
      <c r="F3778" s="8" t="str">
        <f>HYPERLINK("https://esbl.nhlbi.nih.gov/Databases/mpkFractions/proteomic_fractions_log_files/Yang_log_img/131412178.jpg","show blot")</f>
        <v>show blot</v>
      </c>
      <c r="H3778" s="8" t="str">
        <f>HYPERLINK("https://esbl.nhlbi.nih.gov/Databases/mpkFractions/proteomic_fractions_linear_files/Yang_linear_img/131412178.jpg","show blot")</f>
        <v>show blot</v>
      </c>
      <c r="J3778" s="5" t="s">
        <v>7417</v>
      </c>
      <c r="L3778" s="11">
        <v>4.2026012222294851</v>
      </c>
      <c r="N3778" s="12"/>
    </row>
    <row r="3779" spans="1:14" s="5" customFormat="1" ht="15" customHeight="1" x14ac:dyDescent="0.25">
      <c r="A3779" s="9" t="s">
        <v>7418</v>
      </c>
      <c r="C3779" s="9" t="str">
        <f>HYPERLINK("http://www.ncbi.nlm.nih.gov/protein/131412198","Klc1")</f>
        <v>Klc1</v>
      </c>
      <c r="D3779" s="10">
        <f t="shared" si="58"/>
        <v>4.2026012222294851</v>
      </c>
      <c r="F3779" s="8" t="str">
        <f>HYPERLINK("https://esbl.nhlbi.nih.gov/Databases/mpkFractions/proteomic_fractions_log_files/Yang_log_img/131412198.jpg","show blot")</f>
        <v>show blot</v>
      </c>
      <c r="H3779" s="8" t="str">
        <f>HYPERLINK("https://esbl.nhlbi.nih.gov/Databases/mpkFractions/proteomic_fractions_linear_files/Yang_linear_img/131412198.jpg","show blot")</f>
        <v>show blot</v>
      </c>
      <c r="J3779" s="5" t="s">
        <v>7419</v>
      </c>
      <c r="L3779" s="11">
        <v>4.2026012222294851</v>
      </c>
      <c r="N3779" s="12"/>
    </row>
    <row r="3780" spans="1:14" s="5" customFormat="1" ht="15" customHeight="1" x14ac:dyDescent="0.25">
      <c r="A3780" s="9" t="s">
        <v>7420</v>
      </c>
      <c r="C3780" s="9" t="str">
        <f>HYPERLINK("http://www.ncbi.nlm.nih.gov/protein/131412207","Klc1")</f>
        <v>Klc1</v>
      </c>
      <c r="D3780" s="10">
        <f t="shared" si="58"/>
        <v>4.2026012222294851</v>
      </c>
      <c r="F3780" s="8" t="str">
        <f>HYPERLINK("https://esbl.nhlbi.nih.gov/Databases/mpkFractions/proteomic_fractions_log_files/Yang_log_img/131412207.jpg","show blot")</f>
        <v>show blot</v>
      </c>
      <c r="H3780" s="8" t="str">
        <f>HYPERLINK("https://esbl.nhlbi.nih.gov/Databases/mpkFractions/proteomic_fractions_linear_files/Yang_linear_img/131412207.jpg","show blot")</f>
        <v>show blot</v>
      </c>
      <c r="J3780" s="5" t="s">
        <v>7421</v>
      </c>
      <c r="L3780" s="11">
        <v>4.2026012222294851</v>
      </c>
      <c r="N3780" s="12"/>
    </row>
    <row r="3781" spans="1:14" s="5" customFormat="1" ht="15" customHeight="1" x14ac:dyDescent="0.25">
      <c r="A3781" s="9" t="s">
        <v>7422</v>
      </c>
      <c r="C3781" s="9" t="str">
        <f>HYPERLINK("http://www.ncbi.nlm.nih.gov/protein/133778983","Klc2")</f>
        <v>Klc2</v>
      </c>
      <c r="D3781" s="10">
        <f t="shared" ref="D3781:D3844" si="59">L3781</f>
        <v>4.7217559734159158</v>
      </c>
      <c r="F3781" s="8" t="str">
        <f>HYPERLINK("https://esbl.nhlbi.nih.gov/Databases/mpkFractions/proteomic_fractions_log_files/Yang_log_img/133778983.jpg","show blot")</f>
        <v>show blot</v>
      </c>
      <c r="H3781" s="8" t="str">
        <f>HYPERLINK("https://esbl.nhlbi.nih.gov/Databases/mpkFractions/proteomic_fractions_linear_files/Yang_linear_img/133778983.jpg","show blot")</f>
        <v>show blot</v>
      </c>
      <c r="J3781" s="5" t="s">
        <v>7423</v>
      </c>
      <c r="L3781" s="11">
        <v>4.7217559734159158</v>
      </c>
      <c r="N3781" s="12"/>
    </row>
    <row r="3782" spans="1:14" s="5" customFormat="1" ht="15" customHeight="1" x14ac:dyDescent="0.25">
      <c r="A3782" s="9" t="s">
        <v>7424</v>
      </c>
      <c r="C3782" s="9" t="str">
        <f>HYPERLINK("http://www.ncbi.nlm.nih.gov/protein/22122725","Klc3")</f>
        <v>Klc3</v>
      </c>
      <c r="D3782" s="10">
        <f t="shared" si="59"/>
        <v>4.2745612942511393</v>
      </c>
      <c r="F3782" s="8" t="str">
        <f>HYPERLINK("https://esbl.nhlbi.nih.gov/Databases/mpkFractions/proteomic_fractions_log_files/Yang_log_img/22122725.jpg","show blot")</f>
        <v>show blot</v>
      </c>
      <c r="H3782" s="8" t="str">
        <f>HYPERLINK("https://esbl.nhlbi.nih.gov/Databases/mpkFractions/proteomic_fractions_linear_files/Yang_linear_img/22122725.jpg","show blot")</f>
        <v>show blot</v>
      </c>
      <c r="J3782" s="5" t="s">
        <v>7425</v>
      </c>
      <c r="L3782" s="11">
        <v>4.2745612942511393</v>
      </c>
      <c r="N3782" s="12"/>
    </row>
    <row r="3783" spans="1:14" s="5" customFormat="1" ht="15" customHeight="1" x14ac:dyDescent="0.25">
      <c r="A3783" s="9" t="s">
        <v>7426</v>
      </c>
      <c r="C3783" s="9" t="str">
        <f>HYPERLINK("http://www.ncbi.nlm.nih.gov/protein/13386370","Klc4")</f>
        <v>Klc4</v>
      </c>
      <c r="D3783" s="10">
        <f t="shared" si="59"/>
        <v>4.6933517084254914</v>
      </c>
      <c r="F3783" s="8" t="str">
        <f>HYPERLINK("https://esbl.nhlbi.nih.gov/Databases/mpkFractions/proteomic_fractions_log_files/Yang_log_img/13386370.jpg","show blot")</f>
        <v>show blot</v>
      </c>
      <c r="H3783" s="8" t="str">
        <f>HYPERLINK("https://esbl.nhlbi.nih.gov/Databases/mpkFractions/proteomic_fractions_linear_files/Yang_linear_img/13386370.jpg","show blot")</f>
        <v>show blot</v>
      </c>
      <c r="J3783" s="5" t="s">
        <v>7427</v>
      </c>
      <c r="L3783" s="11">
        <v>4.6933517084254914</v>
      </c>
      <c r="N3783" s="12"/>
    </row>
    <row r="3784" spans="1:14" s="5" customFormat="1" ht="15" customHeight="1" x14ac:dyDescent="0.25">
      <c r="A3784" s="9" t="s">
        <v>7428</v>
      </c>
      <c r="C3784" s="9" t="str">
        <f>HYPERLINK("http://www.ncbi.nlm.nih.gov/protein/58037463","Klhdc10")</f>
        <v>Klhdc10</v>
      </c>
      <c r="D3784" s="10">
        <f t="shared" si="59"/>
        <v>3.7478473762221678</v>
      </c>
      <c r="F3784" s="8" t="str">
        <f>HYPERLINK("https://esbl.nhlbi.nih.gov/Databases/mpkFractions/proteomic_fractions_log_files/Yang_log_img/58037463.jpg","show blot")</f>
        <v>show blot</v>
      </c>
      <c r="H3784" s="8" t="str">
        <f>HYPERLINK("https://esbl.nhlbi.nih.gov/Databases/mpkFractions/proteomic_fractions_linear_files/Yang_linear_img/58037463.jpg","show blot")</f>
        <v>show blot</v>
      </c>
      <c r="J3784" s="5" t="s">
        <v>7429</v>
      </c>
      <c r="L3784" s="11">
        <v>3.7478473762221678</v>
      </c>
      <c r="N3784" s="12"/>
    </row>
    <row r="3785" spans="1:14" s="5" customFormat="1" ht="15" customHeight="1" x14ac:dyDescent="0.25">
      <c r="A3785" s="9" t="s">
        <v>7430</v>
      </c>
      <c r="C3785" s="9" t="str">
        <f>HYPERLINK("http://www.ncbi.nlm.nih.gov/protein/226246638","Klhdc2")</f>
        <v>Klhdc2</v>
      </c>
      <c r="D3785" s="10">
        <f t="shared" si="59"/>
        <v>3.2117176299569099</v>
      </c>
      <c r="F3785" s="8" t="str">
        <f>HYPERLINK("https://esbl.nhlbi.nih.gov/Databases/mpkFractions/proteomic_fractions_log_files/Yang_log_img/226246638.jpg","show blot")</f>
        <v>show blot</v>
      </c>
      <c r="H3785" s="8" t="str">
        <f>HYPERLINK("https://esbl.nhlbi.nih.gov/Databases/mpkFractions/proteomic_fractions_linear_files/Yang_linear_img/226246638.jpg","show blot")</f>
        <v>show blot</v>
      </c>
      <c r="J3785" s="5" t="s">
        <v>7431</v>
      </c>
      <c r="L3785" s="11">
        <v>3.2117176299569099</v>
      </c>
      <c r="N3785" s="12"/>
    </row>
    <row r="3786" spans="1:14" s="5" customFormat="1" ht="15" customHeight="1" x14ac:dyDescent="0.25">
      <c r="A3786" s="9" t="s">
        <v>7432</v>
      </c>
      <c r="C3786" s="9" t="str">
        <f>HYPERLINK("http://www.ncbi.nlm.nih.gov/protein/255683384","Klhdc4")</f>
        <v>Klhdc4</v>
      </c>
      <c r="D3786" s="10">
        <f t="shared" si="59"/>
        <v>3.3278205418960889</v>
      </c>
      <c r="F3786" s="8" t="str">
        <f>HYPERLINK("https://esbl.nhlbi.nih.gov/Databases/mpkFractions/proteomic_fractions_log_files/Yang_log_img/255683384.jpg","show blot")</f>
        <v>show blot</v>
      </c>
      <c r="H3786" s="8" t="str">
        <f>HYPERLINK("https://esbl.nhlbi.nih.gov/Databases/mpkFractions/proteomic_fractions_linear_files/Yang_linear_img/255683384.jpg","show blot")</f>
        <v>show blot</v>
      </c>
      <c r="J3786" s="5" t="s">
        <v>7433</v>
      </c>
      <c r="L3786" s="11">
        <v>3.3278205418960889</v>
      </c>
      <c r="N3786" s="12"/>
    </row>
    <row r="3787" spans="1:14" s="5" customFormat="1" ht="15" customHeight="1" x14ac:dyDescent="0.25">
      <c r="A3787" s="9" t="s">
        <v>7434</v>
      </c>
      <c r="C3787" s="9" t="str">
        <f>HYPERLINK("http://www.ncbi.nlm.nih.gov/protein/237513007","Klhdc7b")</f>
        <v>Klhdc7b</v>
      </c>
      <c r="D3787" s="10">
        <f t="shared" si="59"/>
        <v>4.0101657490787304</v>
      </c>
      <c r="F3787" s="8" t="str">
        <f>HYPERLINK("https://esbl.nhlbi.nih.gov/Databases/mpkFractions/proteomic_fractions_log_files/Yang_log_img/237513007.jpg","show blot")</f>
        <v>show blot</v>
      </c>
      <c r="H3787" s="8" t="str">
        <f>HYPERLINK("https://esbl.nhlbi.nih.gov/Databases/mpkFractions/proteomic_fractions_linear_files/Yang_linear_img/237513007.jpg","show blot")</f>
        <v>show blot</v>
      </c>
      <c r="J3787" s="5" t="s">
        <v>7435</v>
      </c>
      <c r="L3787" s="11">
        <v>4.0101657490787304</v>
      </c>
      <c r="N3787" s="12"/>
    </row>
    <row r="3788" spans="1:14" s="5" customFormat="1" ht="15" customHeight="1" x14ac:dyDescent="0.25">
      <c r="A3788" s="9" t="s">
        <v>7436</v>
      </c>
      <c r="C3788" s="9" t="str">
        <f>HYPERLINK("http://www.ncbi.nlm.nih.gov/protein/84794655","Klhl15")</f>
        <v>Klhl15</v>
      </c>
      <c r="D3788" s="10">
        <f t="shared" si="59"/>
        <v>1.9556877503135059</v>
      </c>
      <c r="F3788" s="8" t="str">
        <f>HYPERLINK("https://esbl.nhlbi.nih.gov/Databases/mpkFractions/proteomic_fractions_log_files/Yang_log_img/84794655.jpg","show blot")</f>
        <v>show blot</v>
      </c>
      <c r="H3788" s="8" t="str">
        <f>HYPERLINK("https://esbl.nhlbi.nih.gov/Databases/mpkFractions/proteomic_fractions_linear_files/Yang_linear_img/84794655.jpg","show blot")</f>
        <v>show blot</v>
      </c>
      <c r="J3788" s="5" t="s">
        <v>7437</v>
      </c>
      <c r="L3788" s="11">
        <v>1.9556877503135059</v>
      </c>
      <c r="N3788" s="12"/>
    </row>
    <row r="3789" spans="1:14" s="5" customFormat="1" ht="15" customHeight="1" x14ac:dyDescent="0.25">
      <c r="A3789" s="9" t="s">
        <v>7438</v>
      </c>
      <c r="C3789" s="9" t="str">
        <f>HYPERLINK("http://www.ncbi.nlm.nih.gov/protein/159032012","Klhl22")</f>
        <v>Klhl22</v>
      </c>
      <c r="D3789" s="10">
        <f t="shared" si="59"/>
        <v>3.5536189627217869</v>
      </c>
      <c r="F3789" s="8" t="str">
        <f>HYPERLINK("https://esbl.nhlbi.nih.gov/Databases/mpkFractions/proteomic_fractions_log_files/Yang_log_img/159032012.jpg","show blot")</f>
        <v>show blot</v>
      </c>
      <c r="H3789" s="8" t="str">
        <f>HYPERLINK("https://esbl.nhlbi.nih.gov/Databases/mpkFractions/proteomic_fractions_linear_files/Yang_linear_img/159032012.jpg","show blot")</f>
        <v>show blot</v>
      </c>
      <c r="J3789" s="5" t="s">
        <v>7439</v>
      </c>
      <c r="L3789" s="11">
        <v>3.5536189627217869</v>
      </c>
      <c r="N3789" s="12"/>
    </row>
    <row r="3790" spans="1:14" s="5" customFormat="1" ht="15" customHeight="1" x14ac:dyDescent="0.25">
      <c r="A3790" s="9" t="s">
        <v>7440</v>
      </c>
      <c r="C3790" s="9" t="str">
        <f>HYPERLINK("http://www.ncbi.nlm.nih.gov/protein/109288014","Kntc1")</f>
        <v>Kntc1</v>
      </c>
      <c r="D3790" s="10">
        <f t="shared" si="59"/>
        <v>3.4136219076611161</v>
      </c>
      <c r="F3790" s="8" t="str">
        <f>HYPERLINK("https://esbl.nhlbi.nih.gov/Databases/mpkFractions/proteomic_fractions_log_files/Yang_log_img/109288014.jpg","show blot")</f>
        <v>show blot</v>
      </c>
      <c r="H3790" s="8" t="str">
        <f>HYPERLINK("https://esbl.nhlbi.nih.gov/Databases/mpkFractions/proteomic_fractions_linear_files/Yang_linear_img/109288014.jpg","show blot")</f>
        <v>show blot</v>
      </c>
      <c r="J3790" s="5" t="s">
        <v>7441</v>
      </c>
      <c r="L3790" s="11">
        <v>3.4136219076611161</v>
      </c>
      <c r="N3790" s="12"/>
    </row>
    <row r="3791" spans="1:14" s="5" customFormat="1" ht="15" customHeight="1" x14ac:dyDescent="0.25">
      <c r="A3791" s="9" t="s">
        <v>7442</v>
      </c>
      <c r="C3791" s="9" t="str">
        <f>HYPERLINK("http://www.ncbi.nlm.nih.gov/protein/31543047","Kpna1")</f>
        <v>Kpna1</v>
      </c>
      <c r="D3791" s="10">
        <f t="shared" si="59"/>
        <v>2.8857003330964939</v>
      </c>
      <c r="F3791" s="8" t="str">
        <f>HYPERLINK("https://esbl.nhlbi.nih.gov/Databases/mpkFractions/proteomic_fractions_log_files/Yang_log_img/31543047.jpg","show blot")</f>
        <v>show blot</v>
      </c>
      <c r="H3791" s="8" t="str">
        <f>HYPERLINK("https://esbl.nhlbi.nih.gov/Databases/mpkFractions/proteomic_fractions_linear_files/Yang_linear_img/31543047.jpg","show blot")</f>
        <v>show blot</v>
      </c>
      <c r="J3791" s="5" t="s">
        <v>7443</v>
      </c>
      <c r="L3791" s="11">
        <v>2.8857003330964939</v>
      </c>
      <c r="N3791" s="12"/>
    </row>
    <row r="3792" spans="1:14" s="5" customFormat="1" ht="15" customHeight="1" x14ac:dyDescent="0.25">
      <c r="A3792" s="9" t="s">
        <v>7444</v>
      </c>
      <c r="C3792" s="9" t="str">
        <f>HYPERLINK("http://www.ncbi.nlm.nih.gov/protein/6754474","Kpna2")</f>
        <v>Kpna2</v>
      </c>
      <c r="D3792" s="10">
        <f t="shared" si="59"/>
        <v>5.3182562084895197</v>
      </c>
      <c r="F3792" s="8" t="str">
        <f>HYPERLINK("https://esbl.nhlbi.nih.gov/Databases/mpkFractions/proteomic_fractions_log_files/Yang_log_img/6754474.jpg","show blot")</f>
        <v>show blot</v>
      </c>
      <c r="H3792" s="8" t="str">
        <f>HYPERLINK("https://esbl.nhlbi.nih.gov/Databases/mpkFractions/proteomic_fractions_linear_files/Yang_linear_img/6754474.jpg","show blot")</f>
        <v>show blot</v>
      </c>
      <c r="J3792" s="5" t="s">
        <v>7443</v>
      </c>
      <c r="L3792" s="11">
        <v>5.3182562084895197</v>
      </c>
      <c r="N3792" s="12"/>
    </row>
    <row r="3793" spans="1:14" s="5" customFormat="1" ht="15" customHeight="1" x14ac:dyDescent="0.25">
      <c r="A3793" s="9" t="s">
        <v>7445</v>
      </c>
      <c r="C3793" s="9" t="str">
        <f>HYPERLINK("http://www.ncbi.nlm.nih.gov/protein/6680596","Kpna3")</f>
        <v>Kpna3</v>
      </c>
      <c r="D3793" s="10">
        <f t="shared" si="59"/>
        <v>4.8448389959168408</v>
      </c>
      <c r="F3793" s="8" t="str">
        <f>HYPERLINK("https://esbl.nhlbi.nih.gov/Databases/mpkFractions/proteomic_fractions_log_files/Yang_log_img/6680596.jpg","show blot")</f>
        <v>show blot</v>
      </c>
      <c r="H3793" s="8" t="str">
        <f>HYPERLINK("https://esbl.nhlbi.nih.gov/Databases/mpkFractions/proteomic_fractions_linear_files/Yang_linear_img/6680596.jpg","show blot")</f>
        <v>show blot</v>
      </c>
      <c r="J3793" s="5" t="s">
        <v>7446</v>
      </c>
      <c r="L3793" s="11">
        <v>4.8448389959168408</v>
      </c>
      <c r="N3793" s="12"/>
    </row>
    <row r="3794" spans="1:14" s="5" customFormat="1" ht="15" customHeight="1" x14ac:dyDescent="0.25">
      <c r="A3794" s="9" t="s">
        <v>7447</v>
      </c>
      <c r="C3794" s="9" t="str">
        <f>HYPERLINK("http://www.ncbi.nlm.nih.gov/protein/6680598","Kpna4")</f>
        <v>Kpna4</v>
      </c>
      <c r="D3794" s="10">
        <f t="shared" si="59"/>
        <v>4.9524777895167986</v>
      </c>
      <c r="F3794" s="8" t="str">
        <f>HYPERLINK("https://esbl.nhlbi.nih.gov/Databases/mpkFractions/proteomic_fractions_log_files/Yang_log_img/6680598.jpg","show blot")</f>
        <v>show blot</v>
      </c>
      <c r="H3794" s="8" t="str">
        <f>HYPERLINK("https://esbl.nhlbi.nih.gov/Databases/mpkFractions/proteomic_fractions_linear_files/Yang_linear_img/6680598.jpg","show blot")</f>
        <v>show blot</v>
      </c>
      <c r="J3794" s="5" t="s">
        <v>7446</v>
      </c>
      <c r="L3794" s="11">
        <v>4.9524777895167986</v>
      </c>
      <c r="N3794" s="12"/>
    </row>
    <row r="3795" spans="1:14" s="5" customFormat="1" ht="15" customHeight="1" x14ac:dyDescent="0.25">
      <c r="A3795" s="9" t="s">
        <v>7448</v>
      </c>
      <c r="C3795" s="9" t="str">
        <f>HYPERLINK("http://www.ncbi.nlm.nih.gov/protein/227116300","Kpna6")</f>
        <v>Kpna6</v>
      </c>
      <c r="D3795" s="10">
        <f t="shared" si="59"/>
        <v>3.364890209303935</v>
      </c>
      <c r="F3795" s="8" t="str">
        <f>HYPERLINK("https://esbl.nhlbi.nih.gov/Databases/mpkFractions/proteomic_fractions_log_files/Yang_log_img/227116300.jpg","show blot")</f>
        <v>show blot</v>
      </c>
      <c r="H3795" s="8" t="str">
        <f>HYPERLINK("https://esbl.nhlbi.nih.gov/Databases/mpkFractions/proteomic_fractions_linear_files/Yang_linear_img/227116300.jpg","show blot")</f>
        <v>show blot</v>
      </c>
      <c r="J3795" s="5" t="s">
        <v>7449</v>
      </c>
      <c r="L3795" s="11">
        <v>3.364890209303935</v>
      </c>
      <c r="N3795" s="12"/>
    </row>
    <row r="3796" spans="1:14" s="5" customFormat="1" ht="15" customHeight="1" x14ac:dyDescent="0.25">
      <c r="A3796" s="9" t="s">
        <v>7450</v>
      </c>
      <c r="C3796" s="9" t="str">
        <f>HYPERLINK("http://www.ncbi.nlm.nih.gov/protein/88014720","Kpnb1")</f>
        <v>Kpnb1</v>
      </c>
      <c r="D3796" s="10">
        <f t="shared" si="59"/>
        <v>6.0868096342064426</v>
      </c>
      <c r="F3796" s="8" t="str">
        <f>HYPERLINK("https://esbl.nhlbi.nih.gov/Databases/mpkFractions/proteomic_fractions_log_files/Yang_log_img/88014720.jpg","show blot")</f>
        <v>show blot</v>
      </c>
      <c r="H3796" s="8" t="str">
        <f>HYPERLINK("https://esbl.nhlbi.nih.gov/Databases/mpkFractions/proteomic_fractions_linear_files/Yang_linear_img/88014720.jpg","show blot")</f>
        <v>show blot</v>
      </c>
      <c r="J3796" s="5" t="s">
        <v>7451</v>
      </c>
      <c r="L3796" s="11">
        <v>6.0868096342064426</v>
      </c>
      <c r="N3796" s="12"/>
    </row>
    <row r="3797" spans="1:14" s="5" customFormat="1" ht="15" customHeight="1" x14ac:dyDescent="0.25">
      <c r="A3797" s="9" t="s">
        <v>7452</v>
      </c>
      <c r="C3797" s="9" t="str">
        <f>HYPERLINK("http://www.ncbi.nlm.nih.gov/protein/228480267","Kptn")</f>
        <v>Kptn</v>
      </c>
      <c r="D3797" s="10">
        <f t="shared" si="59"/>
        <v>4.3512342000750754</v>
      </c>
      <c r="F3797" s="8" t="str">
        <f>HYPERLINK("https://esbl.nhlbi.nih.gov/Databases/mpkFractions/proteomic_fractions_log_files/Yang_log_img/228480267.jpg","show blot")</f>
        <v>show blot</v>
      </c>
      <c r="H3797" s="8" t="str">
        <f>HYPERLINK("https://esbl.nhlbi.nih.gov/Databases/mpkFractions/proteomic_fractions_linear_files/Yang_linear_img/228480267.jpg","show blot")</f>
        <v>show blot</v>
      </c>
      <c r="J3797" s="5" t="s">
        <v>7453</v>
      </c>
      <c r="L3797" s="11">
        <v>4.3512342000750754</v>
      </c>
      <c r="N3797" s="12"/>
    </row>
    <row r="3798" spans="1:14" s="5" customFormat="1" ht="15" customHeight="1" x14ac:dyDescent="0.25">
      <c r="A3798" s="9" t="s">
        <v>7454</v>
      </c>
      <c r="C3798" s="9" t="str">
        <f>HYPERLINK("http://www.ncbi.nlm.nih.gov/protein/266458391","Kras")</f>
        <v>Kras</v>
      </c>
      <c r="D3798" s="10">
        <f t="shared" si="59"/>
        <v>5.8362474849950843</v>
      </c>
      <c r="F3798" s="8" t="str">
        <f>HYPERLINK("https://esbl.nhlbi.nih.gov/Databases/mpkFractions/proteomic_fractions_log_files/Yang_log_img/266458391.jpg","show blot")</f>
        <v>show blot</v>
      </c>
      <c r="H3798" s="8" t="str">
        <f>HYPERLINK("https://esbl.nhlbi.nih.gov/Databases/mpkFractions/proteomic_fractions_linear_files/Yang_linear_img/266458391.jpg","show blot")</f>
        <v>show blot</v>
      </c>
      <c r="J3798" s="5" t="s">
        <v>7455</v>
      </c>
      <c r="L3798" s="11">
        <v>5.8362474849950843</v>
      </c>
      <c r="N3798" s="12"/>
    </row>
    <row r="3799" spans="1:14" s="5" customFormat="1" ht="15" customHeight="1" x14ac:dyDescent="0.25">
      <c r="A3799" s="9" t="s">
        <v>7456</v>
      </c>
      <c r="C3799" s="9" t="str">
        <f>HYPERLINK("http://www.ncbi.nlm.nih.gov/protein/282847448","Krit1")</f>
        <v>Krit1</v>
      </c>
      <c r="D3799" s="10">
        <f t="shared" si="59"/>
        <v>2.980510770657526</v>
      </c>
      <c r="F3799" s="8" t="str">
        <f>HYPERLINK("https://esbl.nhlbi.nih.gov/Databases/mpkFractions/proteomic_fractions_log_files/Yang_log_img/282847448.jpg","show blot")</f>
        <v>show blot</v>
      </c>
      <c r="H3799" s="8" t="str">
        <f>HYPERLINK("https://esbl.nhlbi.nih.gov/Databases/mpkFractions/proteomic_fractions_linear_files/Yang_linear_img/282847448.jpg","show blot")</f>
        <v>show blot</v>
      </c>
      <c r="J3799" s="5" t="s">
        <v>7457</v>
      </c>
      <c r="L3799" s="11">
        <v>2.980510770657526</v>
      </c>
      <c r="N3799" s="12"/>
    </row>
    <row r="3800" spans="1:14" s="5" customFormat="1" ht="15" customHeight="1" x14ac:dyDescent="0.25">
      <c r="A3800" s="9" t="s">
        <v>7458</v>
      </c>
      <c r="C3800" s="9" t="str">
        <f>HYPERLINK("http://www.ncbi.nlm.nih.gov/protein/282847450","Krit1")</f>
        <v>Krit1</v>
      </c>
      <c r="D3800" s="10">
        <f t="shared" si="59"/>
        <v>2.980510770657526</v>
      </c>
      <c r="F3800" s="8" t="str">
        <f>HYPERLINK("https://esbl.nhlbi.nih.gov/Databases/mpkFractions/proteomic_fractions_log_files/Yang_log_img/282847450.jpg","show blot")</f>
        <v>show blot</v>
      </c>
      <c r="H3800" s="8" t="str">
        <f>HYPERLINK("https://esbl.nhlbi.nih.gov/Databases/mpkFractions/proteomic_fractions_linear_files/Yang_linear_img/282847450.jpg","show blot")</f>
        <v>show blot</v>
      </c>
      <c r="J3800" s="5" t="s">
        <v>7459</v>
      </c>
      <c r="L3800" s="11">
        <v>2.980510770657526</v>
      </c>
      <c r="N3800" s="12"/>
    </row>
    <row r="3801" spans="1:14" s="5" customFormat="1" ht="15" customHeight="1" x14ac:dyDescent="0.25">
      <c r="A3801" s="9" t="s">
        <v>7460</v>
      </c>
      <c r="C3801" s="9" t="str">
        <f>HYPERLINK("http://www.ncbi.nlm.nih.gov/protein/226442952","Krr1")</f>
        <v>Krr1</v>
      </c>
      <c r="D3801" s="10">
        <f t="shared" si="59"/>
        <v>4.2216456347320506</v>
      </c>
      <c r="F3801" s="8" t="str">
        <f>HYPERLINK("https://esbl.nhlbi.nih.gov/Databases/mpkFractions/proteomic_fractions_log_files/Yang_log_img/226442952.jpg","show blot")</f>
        <v>show blot</v>
      </c>
      <c r="H3801" s="8" t="str">
        <f>HYPERLINK("https://esbl.nhlbi.nih.gov/Databases/mpkFractions/proteomic_fractions_linear_files/Yang_linear_img/226442952.jpg","show blot")</f>
        <v>show blot</v>
      </c>
      <c r="J3801" s="5" t="s">
        <v>7461</v>
      </c>
      <c r="L3801" s="11">
        <v>4.2216456347320506</v>
      </c>
      <c r="N3801" s="12"/>
    </row>
    <row r="3802" spans="1:14" s="5" customFormat="1" ht="15" customHeight="1" x14ac:dyDescent="0.25">
      <c r="A3802" s="9" t="s">
        <v>7462</v>
      </c>
      <c r="C3802" s="9" t="str">
        <f>HYPERLINK("http://www.ncbi.nlm.nih.gov/protein/20270210","Kti12")</f>
        <v>Kti12</v>
      </c>
      <c r="D3802" s="10" t="str">
        <f t="shared" si="59"/>
        <v>-</v>
      </c>
      <c r="F3802" s="8" t="str">
        <f>HYPERLINK("https://esbl.nhlbi.nih.gov/Databases/mpkFractions/proteomic_fractions_log_files/Yang_log_img/20270210.jpg","show blot")</f>
        <v>show blot</v>
      </c>
      <c r="H3802" s="8" t="str">
        <f>HYPERLINK("https://esbl.nhlbi.nih.gov/Databases/mpkFractions/proteomic_fractions_linear_files/Yang_linear_img/20270210.jpg","show blot")</f>
        <v>show blot</v>
      </c>
      <c r="J3802" s="5" t="s">
        <v>7463</v>
      </c>
      <c r="L3802" s="13" t="s">
        <v>389</v>
      </c>
      <c r="N3802" s="12"/>
    </row>
    <row r="3803" spans="1:14" s="5" customFormat="1" ht="15" customHeight="1" x14ac:dyDescent="0.25">
      <c r="A3803" s="9" t="s">
        <v>7464</v>
      </c>
      <c r="C3803" s="9" t="str">
        <f>HYPERLINK("http://www.ncbi.nlm.nih.gov/protein/144922638","Ktn1")</f>
        <v>Ktn1</v>
      </c>
      <c r="D3803" s="10">
        <f t="shared" si="59"/>
        <v>4.8023980624980096</v>
      </c>
      <c r="F3803" s="8" t="str">
        <f>HYPERLINK("https://esbl.nhlbi.nih.gov/Databases/mpkFractions/proteomic_fractions_log_files/Yang_log_img/144922638.jpg","show blot")</f>
        <v>show blot</v>
      </c>
      <c r="H3803" s="8" t="str">
        <f>HYPERLINK("https://esbl.nhlbi.nih.gov/Databases/mpkFractions/proteomic_fractions_linear_files/Yang_linear_img/144922638.jpg","show blot")</f>
        <v>show blot</v>
      </c>
      <c r="J3803" s="5" t="s">
        <v>7465</v>
      </c>
      <c r="L3803" s="11">
        <v>4.8023980624980096</v>
      </c>
      <c r="N3803" s="12"/>
    </row>
    <row r="3804" spans="1:14" s="5" customFormat="1" ht="15" customHeight="1" x14ac:dyDescent="0.25">
      <c r="A3804" s="9" t="s">
        <v>7466</v>
      </c>
      <c r="C3804" s="9" t="str">
        <f>HYPERLINK("http://www.ncbi.nlm.nih.gov/protein/112293279","L1cam")</f>
        <v>L1cam</v>
      </c>
      <c r="D3804" s="10">
        <f t="shared" si="59"/>
        <v>3.6114751428031342</v>
      </c>
      <c r="F3804" s="8" t="str">
        <f>HYPERLINK("https://esbl.nhlbi.nih.gov/Databases/mpkFractions/proteomic_fractions_log_files/Yang_log_img/112293279.jpg","show blot")</f>
        <v>show blot</v>
      </c>
      <c r="H3804" s="8" t="str">
        <f>HYPERLINK("https://esbl.nhlbi.nih.gov/Databases/mpkFractions/proteomic_fractions_linear_files/Yang_linear_img/112293279.jpg","show blot")</f>
        <v>show blot</v>
      </c>
      <c r="J3804" s="5" t="s">
        <v>7467</v>
      </c>
      <c r="L3804" s="11">
        <v>3.6114751428031342</v>
      </c>
      <c r="N3804" s="12"/>
    </row>
    <row r="3805" spans="1:14" s="5" customFormat="1" ht="15" customHeight="1" x14ac:dyDescent="0.25">
      <c r="A3805" s="9" t="s">
        <v>7468</v>
      </c>
      <c r="C3805" s="9" t="str">
        <f>HYPERLINK("http://www.ncbi.nlm.nih.gov/protein/21703884","L2hgdh")</f>
        <v>L2hgdh</v>
      </c>
      <c r="D3805" s="10">
        <f t="shared" si="59"/>
        <v>4.2056271992200314</v>
      </c>
      <c r="F3805" s="8" t="str">
        <f>HYPERLINK("https://esbl.nhlbi.nih.gov/Databases/mpkFractions/proteomic_fractions_log_files/Yang_log_img/21703884.jpg","show blot")</f>
        <v>show blot</v>
      </c>
      <c r="H3805" s="8" t="str">
        <f>HYPERLINK("https://esbl.nhlbi.nih.gov/Databases/mpkFractions/proteomic_fractions_linear_files/Yang_linear_img/21703884.jpg","show blot")</f>
        <v>show blot</v>
      </c>
      <c r="J3805" s="5" t="s">
        <v>7469</v>
      </c>
      <c r="L3805" s="11">
        <v>4.2056271992200314</v>
      </c>
      <c r="N3805" s="12"/>
    </row>
    <row r="3806" spans="1:14" s="5" customFormat="1" ht="15" customHeight="1" x14ac:dyDescent="0.25">
      <c r="A3806" s="9" t="s">
        <v>7470</v>
      </c>
      <c r="C3806" s="9" t="str">
        <f>HYPERLINK("http://www.ncbi.nlm.nih.gov/protein/13399318","l7Rn6")</f>
        <v>l7Rn6</v>
      </c>
      <c r="D3806" s="10">
        <f t="shared" si="59"/>
        <v>4.0735197987508514</v>
      </c>
      <c r="F3806" s="8" t="str">
        <f>HYPERLINK("https://esbl.nhlbi.nih.gov/Databases/mpkFractions/proteomic_fractions_log_files/Yang_log_img/13399318.jpg","show blot")</f>
        <v>show blot</v>
      </c>
      <c r="H3806" s="8" t="str">
        <f>HYPERLINK("https://esbl.nhlbi.nih.gov/Databases/mpkFractions/proteomic_fractions_linear_files/Yang_linear_img/13399318.jpg","show blot")</f>
        <v>show blot</v>
      </c>
      <c r="J3806" s="5" t="s">
        <v>7471</v>
      </c>
      <c r="L3806" s="11">
        <v>4.0735197987508514</v>
      </c>
      <c r="N3806" s="12"/>
    </row>
    <row r="3807" spans="1:14" s="5" customFormat="1" ht="15" customHeight="1" x14ac:dyDescent="0.25">
      <c r="A3807" s="9" t="s">
        <v>7472</v>
      </c>
      <c r="C3807" s="9" t="str">
        <f>HYPERLINK("http://www.ncbi.nlm.nih.gov/protein/144922663","Lace1")</f>
        <v>Lace1</v>
      </c>
      <c r="D3807" s="10">
        <f t="shared" si="59"/>
        <v>2.6328565839940561</v>
      </c>
      <c r="F3807" s="8" t="str">
        <f>HYPERLINK("https://esbl.nhlbi.nih.gov/Databases/mpkFractions/proteomic_fractions_log_files/Yang_log_img/144922663.jpg","show blot")</f>
        <v>show blot</v>
      </c>
      <c r="H3807" s="8" t="str">
        <f>HYPERLINK("https://esbl.nhlbi.nih.gov/Databases/mpkFractions/proteomic_fractions_linear_files/Yang_linear_img/144922663.jpg","show blot")</f>
        <v>show blot</v>
      </c>
      <c r="J3807" s="5" t="s">
        <v>7473</v>
      </c>
      <c r="L3807" s="11">
        <v>2.6328565839940561</v>
      </c>
      <c r="N3807" s="12"/>
    </row>
    <row r="3808" spans="1:14" s="5" customFormat="1" ht="15" customHeight="1" x14ac:dyDescent="0.25">
      <c r="A3808" s="9" t="s">
        <v>7474</v>
      </c>
      <c r="C3808" s="9" t="str">
        <f>HYPERLINK("http://www.ncbi.nlm.nih.gov/protein/13507666","Lactb")</f>
        <v>Lactb</v>
      </c>
      <c r="D3808" s="10">
        <f t="shared" si="59"/>
        <v>4.1578915892215838</v>
      </c>
      <c r="F3808" s="8" t="str">
        <f>HYPERLINK("https://esbl.nhlbi.nih.gov/Databases/mpkFractions/proteomic_fractions_log_files/Yang_log_img/13507666.jpg","show blot")</f>
        <v>show blot</v>
      </c>
      <c r="H3808" s="8" t="str">
        <f>HYPERLINK("https://esbl.nhlbi.nih.gov/Databases/mpkFractions/proteomic_fractions_linear_files/Yang_linear_img/13507666.jpg","show blot")</f>
        <v>show blot</v>
      </c>
      <c r="J3808" s="5" t="s">
        <v>7475</v>
      </c>
      <c r="L3808" s="11">
        <v>4.1578915892215838</v>
      </c>
      <c r="N3808" s="12"/>
    </row>
    <row r="3809" spans="1:14" s="5" customFormat="1" ht="15" customHeight="1" x14ac:dyDescent="0.25">
      <c r="A3809" s="9" t="s">
        <v>7476</v>
      </c>
      <c r="C3809" s="9" t="str">
        <f>HYPERLINK("http://www.ncbi.nlm.nih.gov/protein/21703764","Lactb2")</f>
        <v>Lactb2</v>
      </c>
      <c r="D3809" s="10">
        <f t="shared" si="59"/>
        <v>4.3891486689704324</v>
      </c>
      <c r="F3809" s="8" t="str">
        <f>HYPERLINK("https://esbl.nhlbi.nih.gov/Databases/mpkFractions/proteomic_fractions_log_files/Yang_log_img/21703764.jpg","show blot")</f>
        <v>show blot</v>
      </c>
      <c r="H3809" s="8" t="str">
        <f>HYPERLINK("https://esbl.nhlbi.nih.gov/Databases/mpkFractions/proteomic_fractions_linear_files/Yang_linear_img/21703764.jpg","show blot")</f>
        <v>show blot</v>
      </c>
      <c r="J3809" s="5" t="s">
        <v>7477</v>
      </c>
      <c r="L3809" s="11">
        <v>4.3891486689704324</v>
      </c>
      <c r="N3809" s="12"/>
    </row>
    <row r="3810" spans="1:14" s="5" customFormat="1" ht="15" customHeight="1" x14ac:dyDescent="0.25">
      <c r="A3810" s="9" t="s">
        <v>7478</v>
      </c>
      <c r="C3810" s="9" t="str">
        <f>HYPERLINK("http://www.ncbi.nlm.nih.gov/protein/31981555","Lad1")</f>
        <v>Lad1</v>
      </c>
      <c r="D3810" s="10">
        <f t="shared" si="59"/>
        <v>5.5179662465367043</v>
      </c>
      <c r="F3810" s="8" t="str">
        <f>HYPERLINK("https://esbl.nhlbi.nih.gov/Databases/mpkFractions/proteomic_fractions_log_files/Yang_log_img/31981555.jpg","show blot")</f>
        <v>show blot</v>
      </c>
      <c r="H3810" s="8" t="str">
        <f>HYPERLINK("https://esbl.nhlbi.nih.gov/Databases/mpkFractions/proteomic_fractions_linear_files/Yang_linear_img/31981555.jpg","show blot")</f>
        <v>show blot</v>
      </c>
      <c r="J3810" s="5" t="s">
        <v>7479</v>
      </c>
      <c r="L3810" s="11">
        <v>5.5179662465367043</v>
      </c>
      <c r="N3810" s="12"/>
    </row>
    <row r="3811" spans="1:14" s="5" customFormat="1" ht="15" customHeight="1" x14ac:dyDescent="0.25">
      <c r="A3811" s="9" t="s">
        <v>7480</v>
      </c>
      <c r="C3811" s="9" t="str">
        <f>HYPERLINK("http://www.ncbi.nlm.nih.gov/protein/13384798","Lage3")</f>
        <v>Lage3</v>
      </c>
      <c r="D3811" s="10">
        <f t="shared" si="59"/>
        <v>4.0817928913828858</v>
      </c>
      <c r="F3811" s="8" t="str">
        <f>HYPERLINK("https://esbl.nhlbi.nih.gov/Databases/mpkFractions/proteomic_fractions_log_files/Yang_log_img/13384798.jpg","show blot")</f>
        <v>show blot</v>
      </c>
      <c r="H3811" s="8" t="str">
        <f>HYPERLINK("https://esbl.nhlbi.nih.gov/Databases/mpkFractions/proteomic_fractions_linear_files/Yang_linear_img/13384798.jpg","show blot")</f>
        <v>show blot</v>
      </c>
      <c r="J3811" s="5" t="s">
        <v>7481</v>
      </c>
      <c r="L3811" s="11">
        <v>4.0817928913828858</v>
      </c>
      <c r="N3811" s="12"/>
    </row>
    <row r="3812" spans="1:14" s="5" customFormat="1" ht="15" customHeight="1" x14ac:dyDescent="0.25">
      <c r="A3812" s="9" t="s">
        <v>7482</v>
      </c>
      <c r="C3812" s="9" t="str">
        <f>HYPERLINK("http://www.ncbi.nlm.nih.gov/protein/124487155","Lama5")</f>
        <v>Lama5</v>
      </c>
      <c r="D3812" s="10">
        <f t="shared" si="59"/>
        <v>2.47541953242375</v>
      </c>
      <c r="F3812" s="8" t="str">
        <f>HYPERLINK("https://esbl.nhlbi.nih.gov/Databases/mpkFractions/proteomic_fractions_log_files/Yang_log_img/124487155.jpg","show blot")</f>
        <v>show blot</v>
      </c>
      <c r="H3812" s="8" t="str">
        <f>HYPERLINK("https://esbl.nhlbi.nih.gov/Databases/mpkFractions/proteomic_fractions_linear_files/Yang_linear_img/124487155.jpg","show blot")</f>
        <v>show blot</v>
      </c>
      <c r="J3812" s="5" t="s">
        <v>7483</v>
      </c>
      <c r="L3812" s="11">
        <v>2.47541953242375</v>
      </c>
      <c r="N3812" s="12"/>
    </row>
    <row r="3813" spans="1:14" s="5" customFormat="1" ht="15" customHeight="1" x14ac:dyDescent="0.25">
      <c r="A3813" s="9" t="s">
        <v>7484</v>
      </c>
      <c r="C3813" s="9" t="str">
        <f>HYPERLINK("http://www.ncbi.nlm.nih.gov/protein/114326497","Lamb1")</f>
        <v>Lamb1</v>
      </c>
      <c r="D3813" s="10">
        <f t="shared" si="59"/>
        <v>4.1867042120373652</v>
      </c>
      <c r="F3813" s="8" t="str">
        <f>HYPERLINK("https://esbl.nhlbi.nih.gov/Databases/mpkFractions/proteomic_fractions_log_files/Yang_log_img/114326497.jpg","show blot")</f>
        <v>show blot</v>
      </c>
      <c r="H3813" s="8" t="str">
        <f>HYPERLINK("https://esbl.nhlbi.nih.gov/Databases/mpkFractions/proteomic_fractions_linear_files/Yang_linear_img/114326497.jpg","show blot")</f>
        <v>show blot</v>
      </c>
      <c r="J3813" s="5" t="s">
        <v>7485</v>
      </c>
      <c r="L3813" s="11">
        <v>4.1867042120373652</v>
      </c>
      <c r="N3813" s="12"/>
    </row>
    <row r="3814" spans="1:14" s="5" customFormat="1" ht="15" customHeight="1" x14ac:dyDescent="0.25">
      <c r="A3814" s="9" t="s">
        <v>7486</v>
      </c>
      <c r="C3814" s="9" t="str">
        <f>HYPERLINK("http://www.ncbi.nlm.nih.gov/protein/31982223","Lamb2")</f>
        <v>Lamb2</v>
      </c>
      <c r="D3814" s="10">
        <f t="shared" si="59"/>
        <v>2.9156431091198818</v>
      </c>
      <c r="F3814" s="8" t="str">
        <f>HYPERLINK("https://esbl.nhlbi.nih.gov/Databases/mpkFractions/proteomic_fractions_log_files/Yang_log_img/31982223.jpg","show blot")</f>
        <v>show blot</v>
      </c>
      <c r="H3814" s="8" t="str">
        <f>HYPERLINK("https://esbl.nhlbi.nih.gov/Databases/mpkFractions/proteomic_fractions_linear_files/Yang_linear_img/31982223.jpg","show blot")</f>
        <v>show blot</v>
      </c>
      <c r="J3814" s="5" t="s">
        <v>7487</v>
      </c>
      <c r="L3814" s="11">
        <v>2.9156431091198818</v>
      </c>
      <c r="N3814" s="12"/>
    </row>
    <row r="3815" spans="1:14" s="5" customFormat="1" ht="15" customHeight="1" x14ac:dyDescent="0.25">
      <c r="A3815" s="9" t="s">
        <v>7488</v>
      </c>
      <c r="C3815" s="9" t="str">
        <f>HYPERLINK("http://www.ncbi.nlm.nih.gov/protein/153791270","Lamc1")</f>
        <v>Lamc1</v>
      </c>
      <c r="D3815" s="10">
        <f t="shared" si="59"/>
        <v>2.0879445290209371</v>
      </c>
      <c r="F3815" s="8" t="str">
        <f>HYPERLINK("https://esbl.nhlbi.nih.gov/Databases/mpkFractions/proteomic_fractions_log_files/Yang_log_img/153791270.jpg","show blot")</f>
        <v>show blot</v>
      </c>
      <c r="H3815" s="8" t="str">
        <f>HYPERLINK("https://esbl.nhlbi.nih.gov/Databases/mpkFractions/proteomic_fractions_linear_files/Yang_linear_img/153791270.jpg","show blot")</f>
        <v>show blot</v>
      </c>
      <c r="J3815" s="5" t="s">
        <v>7489</v>
      </c>
      <c r="L3815" s="11">
        <v>2.0879445290209371</v>
      </c>
      <c r="N3815" s="12"/>
    </row>
    <row r="3816" spans="1:14" s="5" customFormat="1" ht="15" customHeight="1" x14ac:dyDescent="0.25">
      <c r="A3816" s="9" t="s">
        <v>7490</v>
      </c>
      <c r="C3816" s="9" t="str">
        <f>HYPERLINK("http://www.ncbi.nlm.nih.gov/protein/110624798","Lamc2")</f>
        <v>Lamc2</v>
      </c>
      <c r="D3816" s="10">
        <f t="shared" si="59"/>
        <v>2.6837878214300992</v>
      </c>
      <c r="F3816" s="8" t="str">
        <f>HYPERLINK("https://esbl.nhlbi.nih.gov/Databases/mpkFractions/proteomic_fractions_log_files/Yang_log_img/110624798.jpg","show blot")</f>
        <v>show blot</v>
      </c>
      <c r="H3816" s="8" t="str">
        <f>HYPERLINK("https://esbl.nhlbi.nih.gov/Databases/mpkFractions/proteomic_fractions_linear_files/Yang_linear_img/110624798.jpg","show blot")</f>
        <v>show blot</v>
      </c>
      <c r="J3816" s="5" t="s">
        <v>7491</v>
      </c>
      <c r="L3816" s="11">
        <v>2.6837878214300992</v>
      </c>
      <c r="N3816" s="12"/>
    </row>
    <row r="3817" spans="1:14" s="5" customFormat="1" ht="15" customHeight="1" x14ac:dyDescent="0.25">
      <c r="A3817" s="9" t="s">
        <v>7492</v>
      </c>
      <c r="C3817" s="9" t="str">
        <f>HYPERLINK("http://www.ncbi.nlm.nih.gov/protein/113195678","Lamp1")</f>
        <v>Lamp1</v>
      </c>
      <c r="D3817" s="10">
        <f t="shared" si="59"/>
        <v>6.0795669073360044</v>
      </c>
      <c r="F3817" s="8" t="str">
        <f>HYPERLINK("https://esbl.nhlbi.nih.gov/Databases/mpkFractions/proteomic_fractions_log_files/Yang_log_img/113195678.jpg","show blot")</f>
        <v>show blot</v>
      </c>
      <c r="H3817" s="8" t="str">
        <f>HYPERLINK("https://esbl.nhlbi.nih.gov/Databases/mpkFractions/proteomic_fractions_linear_files/Yang_linear_img/113195678.jpg","show blot")</f>
        <v>show blot</v>
      </c>
      <c r="J3817" s="5" t="s">
        <v>7493</v>
      </c>
      <c r="L3817" s="11">
        <v>6.0795669073360044</v>
      </c>
      <c r="N3817" s="12"/>
    </row>
    <row r="3818" spans="1:14" s="5" customFormat="1" ht="15" customHeight="1" x14ac:dyDescent="0.25">
      <c r="A3818" s="9" t="s">
        <v>7494</v>
      </c>
      <c r="C3818" s="9" t="str">
        <f>HYPERLINK("http://www.ncbi.nlm.nih.gov/protein/31543108","Lamp2")</f>
        <v>Lamp2</v>
      </c>
      <c r="D3818" s="10">
        <f t="shared" si="59"/>
        <v>5.7572100623090261</v>
      </c>
      <c r="F3818" s="8" t="str">
        <f>HYPERLINK("https://esbl.nhlbi.nih.gov/Databases/mpkFractions/proteomic_fractions_log_files/Yang_log_img/31543108.jpg","show blot")</f>
        <v>show blot</v>
      </c>
      <c r="H3818" s="8" t="str">
        <f>HYPERLINK("https://esbl.nhlbi.nih.gov/Databases/mpkFractions/proteomic_fractions_linear_files/Yang_linear_img/31543108.jpg","show blot")</f>
        <v>show blot</v>
      </c>
      <c r="J3818" s="5" t="s">
        <v>7495</v>
      </c>
      <c r="L3818" s="11">
        <v>5.7572100623090261</v>
      </c>
      <c r="N3818" s="12"/>
    </row>
    <row r="3819" spans="1:14" s="5" customFormat="1" ht="15" customHeight="1" x14ac:dyDescent="0.25">
      <c r="A3819" s="9" t="s">
        <v>7496</v>
      </c>
      <c r="C3819" s="9" t="str">
        <f>HYPERLINK("http://www.ncbi.nlm.nih.gov/protein/63054837","Lamp2")</f>
        <v>Lamp2</v>
      </c>
      <c r="D3819" s="10">
        <f t="shared" si="59"/>
        <v>5.7572100623090261</v>
      </c>
      <c r="F3819" s="8" t="str">
        <f>HYPERLINK("https://esbl.nhlbi.nih.gov/Databases/mpkFractions/proteomic_fractions_log_files/Yang_log_img/63054837.jpg","show blot")</f>
        <v>show blot</v>
      </c>
      <c r="H3819" s="8" t="str">
        <f>HYPERLINK("https://esbl.nhlbi.nih.gov/Databases/mpkFractions/proteomic_fractions_linear_files/Yang_linear_img/63054837.jpg","show blot")</f>
        <v>show blot</v>
      </c>
      <c r="J3819" s="5" t="s">
        <v>7497</v>
      </c>
      <c r="L3819" s="11">
        <v>5.7572100623090261</v>
      </c>
      <c r="N3819" s="12"/>
    </row>
    <row r="3820" spans="1:14" s="5" customFormat="1" ht="15" customHeight="1" x14ac:dyDescent="0.25">
      <c r="A3820" s="9" t="s">
        <v>7498</v>
      </c>
      <c r="C3820" s="9" t="str">
        <f>HYPERLINK("http://www.ncbi.nlm.nih.gov/protein/242332593","Lamtor1")</f>
        <v>Lamtor1</v>
      </c>
      <c r="D3820" s="10">
        <f t="shared" si="59"/>
        <v>5.5226401197597541</v>
      </c>
      <c r="F3820" s="8" t="str">
        <f>HYPERLINK("https://esbl.nhlbi.nih.gov/Databases/mpkFractions/proteomic_fractions_log_files/Yang_log_img/242332593.jpg","show blot")</f>
        <v>show blot</v>
      </c>
      <c r="H3820" s="8" t="str">
        <f>HYPERLINK("https://esbl.nhlbi.nih.gov/Databases/mpkFractions/proteomic_fractions_linear_files/Yang_linear_img/242332593.jpg","show blot")</f>
        <v>show blot</v>
      </c>
      <c r="J3820" s="5" t="s">
        <v>7499</v>
      </c>
      <c r="L3820" s="11">
        <v>5.5226401197597541</v>
      </c>
      <c r="N3820" s="12"/>
    </row>
    <row r="3821" spans="1:14" s="5" customFormat="1" ht="15" customHeight="1" x14ac:dyDescent="0.25">
      <c r="A3821" s="9" t="s">
        <v>7500</v>
      </c>
      <c r="C3821" s="9" t="str">
        <f>HYPERLINK("http://www.ncbi.nlm.nih.gov/protein/13752573","Lamtor2")</f>
        <v>Lamtor2</v>
      </c>
      <c r="D3821" s="10">
        <f t="shared" si="59"/>
        <v>5.3477912660705087</v>
      </c>
      <c r="F3821" s="8" t="str">
        <f>HYPERLINK("https://esbl.nhlbi.nih.gov/Databases/mpkFractions/proteomic_fractions_log_files/Yang_log_img/13752573.jpg","show blot")</f>
        <v>show blot</v>
      </c>
      <c r="H3821" s="8" t="str">
        <f>HYPERLINK("https://esbl.nhlbi.nih.gov/Databases/mpkFractions/proteomic_fractions_linear_files/Yang_linear_img/13752573.jpg","show blot")</f>
        <v>show blot</v>
      </c>
      <c r="J3821" s="5" t="s">
        <v>7501</v>
      </c>
      <c r="L3821" s="11">
        <v>5.3477912660705087</v>
      </c>
      <c r="N3821" s="12"/>
    </row>
    <row r="3822" spans="1:14" s="5" customFormat="1" ht="15" customHeight="1" x14ac:dyDescent="0.25">
      <c r="A3822" s="9" t="s">
        <v>7502</v>
      </c>
      <c r="C3822" s="9" t="str">
        <f>HYPERLINK("http://www.ncbi.nlm.nih.gov/protein/9910452","Lamtor3")</f>
        <v>Lamtor3</v>
      </c>
      <c r="D3822" s="10">
        <f t="shared" si="59"/>
        <v>4.4823410192732496</v>
      </c>
      <c r="F3822" s="8" t="str">
        <f>HYPERLINK("https://esbl.nhlbi.nih.gov/Databases/mpkFractions/proteomic_fractions_log_files/Yang_log_img/9910452.jpg","show blot")</f>
        <v>show blot</v>
      </c>
      <c r="H3822" s="8" t="str">
        <f>HYPERLINK("https://esbl.nhlbi.nih.gov/Databases/mpkFractions/proteomic_fractions_linear_files/Yang_linear_img/9910452.jpg","show blot")</f>
        <v>show blot</v>
      </c>
      <c r="J3822" s="5" t="s">
        <v>7503</v>
      </c>
      <c r="L3822" s="11">
        <v>4.4823410192732496</v>
      </c>
      <c r="N3822" s="12"/>
    </row>
    <row r="3823" spans="1:14" s="5" customFormat="1" ht="15" customHeight="1" x14ac:dyDescent="0.25">
      <c r="A3823" s="9" t="s">
        <v>7504</v>
      </c>
      <c r="C3823" s="9" t="str">
        <f>HYPERLINK("http://www.ncbi.nlm.nih.gov/protein/237820655","Lamtor5")</f>
        <v>Lamtor5</v>
      </c>
      <c r="D3823" s="10">
        <f t="shared" si="59"/>
        <v>4.076133686468606</v>
      </c>
      <c r="F3823" s="8" t="str">
        <f>HYPERLINK("https://esbl.nhlbi.nih.gov/Databases/mpkFractions/proteomic_fractions_log_files/Yang_log_img/237820655.jpg","show blot")</f>
        <v>show blot</v>
      </c>
      <c r="H3823" s="8" t="str">
        <f>HYPERLINK("https://esbl.nhlbi.nih.gov/Databases/mpkFractions/proteomic_fractions_linear_files/Yang_linear_img/237820655.jpg","show blot")</f>
        <v>show blot</v>
      </c>
      <c r="J3823" s="5" t="s">
        <v>7505</v>
      </c>
      <c r="L3823" s="11">
        <v>4.076133686468606</v>
      </c>
      <c r="N3823" s="12"/>
    </row>
    <row r="3824" spans="1:14" s="5" customFormat="1" ht="15" customHeight="1" x14ac:dyDescent="0.25">
      <c r="A3824" s="9" t="s">
        <v>7506</v>
      </c>
      <c r="C3824" s="9" t="str">
        <f>HYPERLINK("http://www.ncbi.nlm.nih.gov/protein/300795817","Lancl1")</f>
        <v>Lancl1</v>
      </c>
      <c r="D3824" s="10">
        <f t="shared" si="59"/>
        <v>4.9913123226161904</v>
      </c>
      <c r="F3824" s="8" t="str">
        <f>HYPERLINK("https://esbl.nhlbi.nih.gov/Databases/mpkFractions/proteomic_fractions_log_files/Yang_log_img/300795817.jpg","show blot")</f>
        <v>show blot</v>
      </c>
      <c r="H3824" s="8" t="str">
        <f>HYPERLINK("https://esbl.nhlbi.nih.gov/Databases/mpkFractions/proteomic_fractions_linear_files/Yang_linear_img/300795817.jpg","show blot")</f>
        <v>show blot</v>
      </c>
      <c r="J3824" s="5" t="s">
        <v>7507</v>
      </c>
      <c r="L3824" s="11">
        <v>4.9913123226161904</v>
      </c>
      <c r="N3824" s="12"/>
    </row>
    <row r="3825" spans="1:14" s="5" customFormat="1" ht="15" customHeight="1" x14ac:dyDescent="0.25">
      <c r="A3825" s="9" t="s">
        <v>7508</v>
      </c>
      <c r="C3825" s="9" t="str">
        <f>HYPERLINK("http://www.ncbi.nlm.nih.gov/protein/19526936","Lancl2")</f>
        <v>Lancl2</v>
      </c>
      <c r="D3825" s="10">
        <f t="shared" si="59"/>
        <v>4.9019541954901351</v>
      </c>
      <c r="F3825" s="8" t="str">
        <f>HYPERLINK("https://esbl.nhlbi.nih.gov/Databases/mpkFractions/proteomic_fractions_log_files/Yang_log_img/19526936.jpg","show blot")</f>
        <v>show blot</v>
      </c>
      <c r="H3825" s="8" t="str">
        <f>HYPERLINK("https://esbl.nhlbi.nih.gov/Databases/mpkFractions/proteomic_fractions_linear_files/Yang_linear_img/19526936.jpg","show blot")</f>
        <v>show blot</v>
      </c>
      <c r="J3825" s="5" t="s">
        <v>7509</v>
      </c>
      <c r="L3825" s="11">
        <v>4.9019541954901351</v>
      </c>
      <c r="N3825" s="12"/>
    </row>
    <row r="3826" spans="1:14" s="5" customFormat="1" ht="15" customHeight="1" x14ac:dyDescent="0.25">
      <c r="A3826" s="9" t="s">
        <v>7510</v>
      </c>
      <c r="C3826" s="9" t="str">
        <f>HYPERLINK("http://www.ncbi.nlm.nih.gov/protein/255069715","Lap3")</f>
        <v>Lap3</v>
      </c>
      <c r="D3826" s="10">
        <f t="shared" si="59"/>
        <v>5.5180237327248483</v>
      </c>
      <c r="F3826" s="8" t="str">
        <f>HYPERLINK("https://esbl.nhlbi.nih.gov/Databases/mpkFractions/proteomic_fractions_log_files/Yang_log_img/255069715.jpg","show blot")</f>
        <v>show blot</v>
      </c>
      <c r="H3826" s="8" t="str">
        <f>HYPERLINK("https://esbl.nhlbi.nih.gov/Databases/mpkFractions/proteomic_fractions_linear_files/Yang_linear_img/255069715.jpg","show blot")</f>
        <v>show blot</v>
      </c>
      <c r="J3826" s="5" t="s">
        <v>7511</v>
      </c>
      <c r="L3826" s="11">
        <v>5.5180237327248483</v>
      </c>
      <c r="N3826" s="12"/>
    </row>
    <row r="3827" spans="1:14" s="5" customFormat="1" ht="15" customHeight="1" x14ac:dyDescent="0.25">
      <c r="A3827" s="9" t="s">
        <v>7512</v>
      </c>
      <c r="C3827" s="9" t="str">
        <f>HYPERLINK("http://www.ncbi.nlm.nih.gov/protein/109689716","Laptm4a")</f>
        <v>Laptm4a</v>
      </c>
      <c r="D3827" s="10">
        <f t="shared" si="59"/>
        <v>3.928894634100538</v>
      </c>
      <c r="F3827" s="8" t="str">
        <f>HYPERLINK("https://esbl.nhlbi.nih.gov/Databases/mpkFractions/proteomic_fractions_log_files/Yang_log_img/109689716.jpg","show blot")</f>
        <v>show blot</v>
      </c>
      <c r="H3827" s="8" t="str">
        <f>HYPERLINK("https://esbl.nhlbi.nih.gov/Databases/mpkFractions/proteomic_fractions_linear_files/Yang_linear_img/109689716.jpg","show blot")</f>
        <v>show blot</v>
      </c>
      <c r="J3827" s="5" t="s">
        <v>7513</v>
      </c>
      <c r="L3827" s="11">
        <v>3.928894634100538</v>
      </c>
      <c r="N3827" s="12"/>
    </row>
    <row r="3828" spans="1:14" s="5" customFormat="1" ht="15" customHeight="1" x14ac:dyDescent="0.25">
      <c r="A3828" s="9" t="s">
        <v>7514</v>
      </c>
      <c r="C3828" s="9" t="str">
        <f>HYPERLINK("http://www.ncbi.nlm.nih.gov/protein/226442901","Larp1")</f>
        <v>Larp1</v>
      </c>
      <c r="D3828" s="10">
        <f t="shared" si="59"/>
        <v>4.4271121697061906</v>
      </c>
      <c r="F3828" s="8" t="str">
        <f>HYPERLINK("https://esbl.nhlbi.nih.gov/Databases/mpkFractions/proteomic_fractions_log_files/Yang_log_img/226442901.jpg","show blot")</f>
        <v>show blot</v>
      </c>
      <c r="H3828" s="8" t="str">
        <f>HYPERLINK("https://esbl.nhlbi.nih.gov/Databases/mpkFractions/proteomic_fractions_linear_files/Yang_linear_img/226442901.jpg","show blot")</f>
        <v>show blot</v>
      </c>
      <c r="J3828" s="5" t="s">
        <v>7515</v>
      </c>
      <c r="L3828" s="11">
        <v>4.4271121697061906</v>
      </c>
      <c r="N3828" s="12"/>
    </row>
    <row r="3829" spans="1:14" s="5" customFormat="1" ht="15" customHeight="1" x14ac:dyDescent="0.25">
      <c r="A3829" s="9" t="s">
        <v>7516</v>
      </c>
      <c r="C3829" s="9" t="str">
        <f>HYPERLINK("http://www.ncbi.nlm.nih.gov/protein/124358932","Larp4")</f>
        <v>Larp4</v>
      </c>
      <c r="D3829" s="10">
        <f t="shared" si="59"/>
        <v>4.4758090492149778</v>
      </c>
      <c r="F3829" s="8" t="str">
        <f>HYPERLINK("https://esbl.nhlbi.nih.gov/Databases/mpkFractions/proteomic_fractions_log_files/Yang_log_img/124358932.jpg","show blot")</f>
        <v>show blot</v>
      </c>
      <c r="H3829" s="8" t="str">
        <f>HYPERLINK("https://esbl.nhlbi.nih.gov/Databases/mpkFractions/proteomic_fractions_linear_files/Yang_linear_img/124358932.jpg","show blot")</f>
        <v>show blot</v>
      </c>
      <c r="J3829" s="5" t="s">
        <v>7517</v>
      </c>
      <c r="L3829" s="11">
        <v>4.4758090492149778</v>
      </c>
      <c r="N3829" s="12"/>
    </row>
    <row r="3830" spans="1:14" s="5" customFormat="1" ht="15" customHeight="1" x14ac:dyDescent="0.25">
      <c r="A3830" s="9" t="s">
        <v>7518</v>
      </c>
      <c r="C3830" s="9" t="str">
        <f>HYPERLINK("http://www.ncbi.nlm.nih.gov/protein/124358934","Larp4")</f>
        <v>Larp4</v>
      </c>
      <c r="D3830" s="10">
        <f t="shared" si="59"/>
        <v>4.4758090492149778</v>
      </c>
      <c r="F3830" s="8" t="str">
        <f>HYPERLINK("https://esbl.nhlbi.nih.gov/Databases/mpkFractions/proteomic_fractions_log_files/Yang_log_img/124358934.jpg","show blot")</f>
        <v>show blot</v>
      </c>
      <c r="H3830" s="8" t="str">
        <f>HYPERLINK("https://esbl.nhlbi.nih.gov/Databases/mpkFractions/proteomic_fractions_linear_files/Yang_linear_img/124358934.jpg","show blot")</f>
        <v>show blot</v>
      </c>
      <c r="J3830" s="5" t="s">
        <v>7519</v>
      </c>
      <c r="L3830" s="11">
        <v>4.4758090492149778</v>
      </c>
      <c r="N3830" s="12"/>
    </row>
    <row r="3831" spans="1:14" s="5" customFormat="1" ht="15" customHeight="1" x14ac:dyDescent="0.25">
      <c r="A3831" s="9" t="s">
        <v>7520</v>
      </c>
      <c r="C3831" s="9" t="str">
        <f>HYPERLINK("http://www.ncbi.nlm.nih.gov/protein/27369836","Larp4b")</f>
        <v>Larp4b</v>
      </c>
      <c r="D3831" s="10">
        <f t="shared" si="59"/>
        <v>4.8515541128218684</v>
      </c>
      <c r="F3831" s="8" t="str">
        <f>HYPERLINK("https://esbl.nhlbi.nih.gov/Databases/mpkFractions/proteomic_fractions_log_files/Yang_log_img/27369836.jpg","show blot")</f>
        <v>show blot</v>
      </c>
      <c r="H3831" s="8" t="str">
        <f>HYPERLINK("https://esbl.nhlbi.nih.gov/Databases/mpkFractions/proteomic_fractions_linear_files/Yang_linear_img/27369836.jpg","show blot")</f>
        <v>show blot</v>
      </c>
      <c r="J3831" s="5" t="s">
        <v>7521</v>
      </c>
      <c r="L3831" s="11">
        <v>4.8515541128218684</v>
      </c>
      <c r="N3831" s="12"/>
    </row>
    <row r="3832" spans="1:14" s="5" customFormat="1" ht="15" customHeight="1" x14ac:dyDescent="0.25">
      <c r="A3832" s="9" t="s">
        <v>7522</v>
      </c>
      <c r="C3832" s="9" t="str">
        <f>HYPERLINK("http://www.ncbi.nlm.nih.gov/protein/110665742","Larp7")</f>
        <v>Larp7</v>
      </c>
      <c r="D3832" s="10">
        <f t="shared" si="59"/>
        <v>5.4644668080266046</v>
      </c>
      <c r="F3832" s="8" t="str">
        <f>HYPERLINK("https://esbl.nhlbi.nih.gov/Databases/mpkFractions/proteomic_fractions_log_files/Yang_log_img/110665742.jpg","show blot")</f>
        <v>show blot</v>
      </c>
      <c r="H3832" s="8" t="str">
        <f>HYPERLINK("https://esbl.nhlbi.nih.gov/Databases/mpkFractions/proteomic_fractions_linear_files/Yang_linear_img/110665742.jpg","show blot")</f>
        <v>show blot</v>
      </c>
      <c r="J3832" s="5" t="s">
        <v>7523</v>
      </c>
      <c r="L3832" s="11">
        <v>5.4644668080266046</v>
      </c>
      <c r="N3832" s="12"/>
    </row>
    <row r="3833" spans="1:14" s="5" customFormat="1" ht="15" customHeight="1" x14ac:dyDescent="0.25">
      <c r="A3833" s="9" t="s">
        <v>7524</v>
      </c>
      <c r="C3833" s="9" t="str">
        <f>HYPERLINK("http://www.ncbi.nlm.nih.gov/protein/120537241","Lars")</f>
        <v>Lars</v>
      </c>
      <c r="D3833" s="10">
        <f t="shared" si="59"/>
        <v>5.6998050606584139</v>
      </c>
      <c r="F3833" s="8" t="str">
        <f>HYPERLINK("https://esbl.nhlbi.nih.gov/Databases/mpkFractions/proteomic_fractions_log_files/Yang_log_img/120537241.jpg","show blot")</f>
        <v>show blot</v>
      </c>
      <c r="H3833" s="8" t="str">
        <f>HYPERLINK("https://esbl.nhlbi.nih.gov/Databases/mpkFractions/proteomic_fractions_linear_files/Yang_linear_img/120537241.jpg","show blot")</f>
        <v>show blot</v>
      </c>
      <c r="J3833" s="5" t="s">
        <v>7525</v>
      </c>
      <c r="L3833" s="11">
        <v>5.6998050606584139</v>
      </c>
      <c r="N3833" s="12"/>
    </row>
    <row r="3834" spans="1:14" s="5" customFormat="1" ht="15" customHeight="1" x14ac:dyDescent="0.25">
      <c r="A3834" s="9" t="s">
        <v>7526</v>
      </c>
      <c r="C3834" s="9" t="str">
        <f>HYPERLINK("http://www.ncbi.nlm.nih.gov/protein/23346617","Lars2")</f>
        <v>Lars2</v>
      </c>
      <c r="D3834" s="10">
        <f t="shared" si="59"/>
        <v>2.4797935589304889</v>
      </c>
      <c r="F3834" s="8" t="str">
        <f>HYPERLINK("https://esbl.nhlbi.nih.gov/Databases/mpkFractions/proteomic_fractions_log_files/Yang_log_img/23346617.jpg","show blot")</f>
        <v>show blot</v>
      </c>
      <c r="H3834" s="8" t="str">
        <f>HYPERLINK("https://esbl.nhlbi.nih.gov/Databases/mpkFractions/proteomic_fractions_linear_files/Yang_linear_img/23346617.jpg","show blot")</f>
        <v>show blot</v>
      </c>
      <c r="J3834" s="5" t="s">
        <v>7527</v>
      </c>
      <c r="L3834" s="11">
        <v>2.4797935589304889</v>
      </c>
      <c r="N3834" s="12"/>
    </row>
    <row r="3835" spans="1:14" s="5" customFormat="1" ht="15" customHeight="1" x14ac:dyDescent="0.25">
      <c r="A3835" s="9" t="s">
        <v>7528</v>
      </c>
      <c r="C3835" s="9" t="str">
        <f>HYPERLINK("http://www.ncbi.nlm.nih.gov/protein/407262453","Las1l")</f>
        <v>Las1l</v>
      </c>
      <c r="D3835" s="10">
        <f t="shared" si="59"/>
        <v>2.8251014115980029</v>
      </c>
      <c r="F3835" s="8" t="str">
        <f>HYPERLINK("https://esbl.nhlbi.nih.gov/Databases/mpkFractions/proteomic_fractions_log_files/Yang_log_img/407262453.jpg","show blot")</f>
        <v>show blot</v>
      </c>
      <c r="H3835" s="8" t="str">
        <f>HYPERLINK("https://esbl.nhlbi.nih.gov/Databases/mpkFractions/proteomic_fractions_linear_files/Yang_linear_img/407262453.jpg","show blot")</f>
        <v>show blot</v>
      </c>
      <c r="J3835" s="5" t="s">
        <v>7529</v>
      </c>
      <c r="L3835" s="11">
        <v>2.8251014115980029</v>
      </c>
      <c r="N3835" s="12"/>
    </row>
    <row r="3836" spans="1:14" s="5" customFormat="1" ht="15" customHeight="1" x14ac:dyDescent="0.25">
      <c r="A3836" s="9" t="s">
        <v>7530</v>
      </c>
      <c r="C3836" s="9" t="str">
        <f>HYPERLINK("http://www.ncbi.nlm.nih.gov/protein/71979675","Las1l")</f>
        <v>Las1l</v>
      </c>
      <c r="D3836" s="10">
        <f t="shared" si="59"/>
        <v>2.8251014115980029</v>
      </c>
      <c r="F3836" s="8" t="str">
        <f>HYPERLINK("https://esbl.nhlbi.nih.gov/Databases/mpkFractions/proteomic_fractions_log_files/Yang_log_img/71979675.jpg","show blot")</f>
        <v>show blot</v>
      </c>
      <c r="H3836" s="8" t="str">
        <f>HYPERLINK("https://esbl.nhlbi.nih.gov/Databases/mpkFractions/proteomic_fractions_linear_files/Yang_linear_img/71979675.jpg","show blot")</f>
        <v>show blot</v>
      </c>
      <c r="J3836" s="5" t="s">
        <v>7531</v>
      </c>
      <c r="L3836" s="11">
        <v>2.8251014115980029</v>
      </c>
      <c r="N3836" s="12"/>
    </row>
    <row r="3837" spans="1:14" s="5" customFormat="1" ht="15" customHeight="1" x14ac:dyDescent="0.25">
      <c r="A3837" s="9" t="s">
        <v>7532</v>
      </c>
      <c r="C3837" s="9" t="str">
        <f>HYPERLINK("http://www.ncbi.nlm.nih.gov/protein/6754508","Lasp1")</f>
        <v>Lasp1</v>
      </c>
      <c r="D3837" s="10">
        <f t="shared" si="59"/>
        <v>6.221382981752722</v>
      </c>
      <c r="F3837" s="8" t="str">
        <f>HYPERLINK("https://esbl.nhlbi.nih.gov/Databases/mpkFractions/proteomic_fractions_log_files/Yang_log_img/6754508.jpg","show blot")</f>
        <v>show blot</v>
      </c>
      <c r="H3837" s="8" t="str">
        <f>HYPERLINK("https://esbl.nhlbi.nih.gov/Databases/mpkFractions/proteomic_fractions_linear_files/Yang_linear_img/6754508.jpg","show blot")</f>
        <v>show blot</v>
      </c>
      <c r="J3837" s="5" t="s">
        <v>7533</v>
      </c>
      <c r="L3837" s="11">
        <v>6.221382981752722</v>
      </c>
      <c r="N3837" s="12"/>
    </row>
    <row r="3838" spans="1:14" s="5" customFormat="1" ht="15" customHeight="1" x14ac:dyDescent="0.25">
      <c r="A3838" s="9" t="s">
        <v>7534</v>
      </c>
      <c r="C3838" s="9" t="str">
        <f>HYPERLINK("http://www.ncbi.nlm.nih.gov/protein/229608895","Lbr")</f>
        <v>Lbr</v>
      </c>
      <c r="D3838" s="10">
        <f t="shared" si="59"/>
        <v>5.1581983733764174</v>
      </c>
      <c r="F3838" s="8" t="str">
        <f>HYPERLINK("https://esbl.nhlbi.nih.gov/Databases/mpkFractions/proteomic_fractions_log_files/Yang_log_img/229608895.jpg","show blot")</f>
        <v>show blot</v>
      </c>
      <c r="H3838" s="8" t="str">
        <f>HYPERLINK("https://esbl.nhlbi.nih.gov/Databases/mpkFractions/proteomic_fractions_linear_files/Yang_linear_img/229608895.jpg","show blot")</f>
        <v>show blot</v>
      </c>
      <c r="J3838" s="5" t="s">
        <v>7535</v>
      </c>
      <c r="L3838" s="11">
        <v>5.1581983733764174</v>
      </c>
      <c r="N3838" s="12"/>
    </row>
    <row r="3839" spans="1:14" s="5" customFormat="1" ht="15" customHeight="1" x14ac:dyDescent="0.25">
      <c r="A3839" s="9" t="s">
        <v>7536</v>
      </c>
      <c r="C3839" s="9" t="str">
        <f>HYPERLINK("http://www.ncbi.nlm.nih.gov/protein/244791455","Lck")</f>
        <v>Lck</v>
      </c>
      <c r="D3839" s="10">
        <f t="shared" si="59"/>
        <v>5.360216560041934</v>
      </c>
      <c r="F3839" s="8" t="str">
        <f>HYPERLINK("https://esbl.nhlbi.nih.gov/Databases/mpkFractions/proteomic_fractions_log_files/Yang_log_img/244791455.jpg","show blot")</f>
        <v>show blot</v>
      </c>
      <c r="H3839" s="8" t="str">
        <f>HYPERLINK("https://esbl.nhlbi.nih.gov/Databases/mpkFractions/proteomic_fractions_linear_files/Yang_linear_img/244791455.jpg","show blot")</f>
        <v>show blot</v>
      </c>
      <c r="J3839" s="5" t="s">
        <v>7537</v>
      </c>
      <c r="L3839" s="11">
        <v>5.360216560041934</v>
      </c>
      <c r="N3839" s="12"/>
    </row>
    <row r="3840" spans="1:14" s="5" customFormat="1" ht="15" customHeight="1" x14ac:dyDescent="0.25">
      <c r="A3840" s="9" t="s">
        <v>7538</v>
      </c>
      <c r="C3840" s="9" t="str">
        <f>HYPERLINK("http://www.ncbi.nlm.nih.gov/protein/33859570","Lck")</f>
        <v>Lck</v>
      </c>
      <c r="D3840" s="10">
        <f t="shared" si="59"/>
        <v>5.360216560041934</v>
      </c>
      <c r="F3840" s="8" t="str">
        <f>HYPERLINK("https://esbl.nhlbi.nih.gov/Databases/mpkFractions/proteomic_fractions_log_files/Yang_log_img/33859570.jpg","show blot")</f>
        <v>show blot</v>
      </c>
      <c r="H3840" s="8" t="str">
        <f>HYPERLINK("https://esbl.nhlbi.nih.gov/Databases/mpkFractions/proteomic_fractions_linear_files/Yang_linear_img/33859570.jpg","show blot")</f>
        <v>show blot</v>
      </c>
      <c r="J3840" s="5" t="s">
        <v>7539</v>
      </c>
      <c r="L3840" s="11">
        <v>5.360216560041934</v>
      </c>
      <c r="N3840" s="12"/>
    </row>
    <row r="3841" spans="1:14" s="5" customFormat="1" ht="15" customHeight="1" x14ac:dyDescent="0.25">
      <c r="A3841" s="9" t="s">
        <v>7540</v>
      </c>
      <c r="C3841" s="9" t="str">
        <f>HYPERLINK("http://www.ncbi.nlm.nih.gov/protein/295789100;295789098","Lclat1")</f>
        <v>Lclat1</v>
      </c>
      <c r="D3841" s="10">
        <f t="shared" si="59"/>
        <v>3.1386230201632488</v>
      </c>
      <c r="F3841" s="8" t="str">
        <f>HYPERLINK("https://esbl.nhlbi.nih.gov/Databases/mpkFractions/proteomic_fractions_log_files/Yang_log_img/295789100;295789098.jpg","show blot")</f>
        <v>show blot</v>
      </c>
      <c r="H3841" s="8" t="str">
        <f>HYPERLINK("https://esbl.nhlbi.nih.gov/Databases/mpkFractions/proteomic_fractions_linear_files/Yang_linear_img/295789100;295789098.jpg","show blot")</f>
        <v>show blot</v>
      </c>
      <c r="J3841" s="5" t="s">
        <v>7541</v>
      </c>
      <c r="L3841" s="11">
        <v>3.1386230201632488</v>
      </c>
      <c r="N3841" s="12"/>
    </row>
    <row r="3842" spans="1:14" s="5" customFormat="1" ht="15" customHeight="1" x14ac:dyDescent="0.25">
      <c r="A3842" s="9" t="s">
        <v>7542</v>
      </c>
      <c r="C3842" s="9" t="str">
        <f>HYPERLINK("http://www.ncbi.nlm.nih.gov/protein/42794773","Lcmt1")</f>
        <v>Lcmt1</v>
      </c>
      <c r="D3842" s="10">
        <f t="shared" si="59"/>
        <v>5.6867928272684196</v>
      </c>
      <c r="F3842" s="8" t="str">
        <f>HYPERLINK("https://esbl.nhlbi.nih.gov/Databases/mpkFractions/proteomic_fractions_log_files/Yang_log_img/42794773.jpg","show blot")</f>
        <v>show blot</v>
      </c>
      <c r="H3842" s="8" t="str">
        <f>HYPERLINK("https://esbl.nhlbi.nih.gov/Databases/mpkFractions/proteomic_fractions_linear_files/Yang_linear_img/42794773.jpg","show blot")</f>
        <v>show blot</v>
      </c>
      <c r="J3842" s="5" t="s">
        <v>7543</v>
      </c>
      <c r="L3842" s="11">
        <v>5.6867928272684196</v>
      </c>
      <c r="N3842" s="12"/>
    </row>
    <row r="3843" spans="1:14" s="5" customFormat="1" ht="15" customHeight="1" x14ac:dyDescent="0.25">
      <c r="A3843" s="9" t="s">
        <v>7544</v>
      </c>
      <c r="C3843" s="9" t="str">
        <f>HYPERLINK("http://www.ncbi.nlm.nih.gov/protein/34328049","Lcn2")</f>
        <v>Lcn2</v>
      </c>
      <c r="D3843" s="10">
        <f t="shared" si="59"/>
        <v>4.1064878326121814</v>
      </c>
      <c r="F3843" s="8" t="str">
        <f>HYPERLINK("https://esbl.nhlbi.nih.gov/Databases/mpkFractions/proteomic_fractions_log_files/Yang_log_img/34328049.jpg","show blot")</f>
        <v>show blot</v>
      </c>
      <c r="H3843" s="8" t="str">
        <f>HYPERLINK("https://esbl.nhlbi.nih.gov/Databases/mpkFractions/proteomic_fractions_linear_files/Yang_linear_img/34328049.jpg","show blot")</f>
        <v>show blot</v>
      </c>
      <c r="J3843" s="5" t="s">
        <v>7545</v>
      </c>
      <c r="L3843" s="11">
        <v>4.1064878326121814</v>
      </c>
      <c r="N3843" s="12"/>
    </row>
    <row r="3844" spans="1:14" s="5" customFormat="1" ht="15" customHeight="1" x14ac:dyDescent="0.25">
      <c r="A3844" s="9" t="s">
        <v>7546</v>
      </c>
      <c r="C3844" s="9" t="str">
        <f>HYPERLINK("http://www.ncbi.nlm.nih.gov/protein/31543113;350606354","Lcp1")</f>
        <v>Lcp1</v>
      </c>
      <c r="D3844" s="10">
        <f t="shared" si="59"/>
        <v>5.247699525515344</v>
      </c>
      <c r="F3844" s="8" t="str">
        <f>HYPERLINK("https://esbl.nhlbi.nih.gov/Databases/mpkFractions/proteomic_fractions_log_files/Yang_log_img/31543113;350606354.jpg","show blot")</f>
        <v>show blot</v>
      </c>
      <c r="H3844" s="8" t="str">
        <f>HYPERLINK("https://esbl.nhlbi.nih.gov/Databases/mpkFractions/proteomic_fractions_linear_files/Yang_linear_img/31543113;350606354.jpg","show blot")</f>
        <v>show blot</v>
      </c>
      <c r="J3844" s="5" t="s">
        <v>7547</v>
      </c>
      <c r="L3844" s="11">
        <v>5.247699525515344</v>
      </c>
      <c r="N3844" s="12"/>
    </row>
    <row r="3845" spans="1:14" s="5" customFormat="1" ht="15" customHeight="1" x14ac:dyDescent="0.25">
      <c r="A3845" s="9" t="s">
        <v>7548</v>
      </c>
      <c r="C3845" s="9" t="str">
        <f>HYPERLINK("http://www.ncbi.nlm.nih.gov/protein/257743039","Ldha")</f>
        <v>Ldha</v>
      </c>
      <c r="D3845" s="10">
        <f t="shared" ref="D3845:D3908" si="60">L3845</f>
        <v>7.2471967060982578</v>
      </c>
      <c r="F3845" s="8" t="str">
        <f>HYPERLINK("https://esbl.nhlbi.nih.gov/Databases/mpkFractions/proteomic_fractions_log_files/Yang_log_img/257743039.jpg","show blot")</f>
        <v>show blot</v>
      </c>
      <c r="H3845" s="8" t="str">
        <f>HYPERLINK("https://esbl.nhlbi.nih.gov/Databases/mpkFractions/proteomic_fractions_linear_files/Yang_linear_img/257743039.jpg","show blot")</f>
        <v>show blot</v>
      </c>
      <c r="J3845" s="5" t="s">
        <v>7549</v>
      </c>
      <c r="L3845" s="11">
        <v>7.2471967060982578</v>
      </c>
      <c r="N3845" s="12"/>
    </row>
    <row r="3846" spans="1:14" s="5" customFormat="1" ht="15" customHeight="1" x14ac:dyDescent="0.25">
      <c r="A3846" s="9" t="s">
        <v>7550</v>
      </c>
      <c r="C3846" s="9" t="str">
        <f>HYPERLINK("http://www.ncbi.nlm.nih.gov/protein/6754524","Ldha")</f>
        <v>Ldha</v>
      </c>
      <c r="D3846" s="10">
        <f t="shared" si="60"/>
        <v>7.2471967060982578</v>
      </c>
      <c r="F3846" s="8" t="str">
        <f>HYPERLINK("https://esbl.nhlbi.nih.gov/Databases/mpkFractions/proteomic_fractions_log_files/Yang_log_img/6754524.jpg","show blot")</f>
        <v>show blot</v>
      </c>
      <c r="H3846" s="8" t="str">
        <f>HYPERLINK("https://esbl.nhlbi.nih.gov/Databases/mpkFractions/proteomic_fractions_linear_files/Yang_linear_img/6754524.jpg","show blot")</f>
        <v>show blot</v>
      </c>
      <c r="J3846" s="5" t="s">
        <v>7551</v>
      </c>
      <c r="L3846" s="11">
        <v>7.2471967060982578</v>
      </c>
      <c r="N3846" s="12"/>
    </row>
    <row r="3847" spans="1:14" s="5" customFormat="1" ht="15" customHeight="1" x14ac:dyDescent="0.25">
      <c r="A3847" s="9" t="s">
        <v>7552</v>
      </c>
      <c r="C3847" s="9" t="str">
        <f>HYPERLINK("http://www.ncbi.nlm.nih.gov/protein/30425048","Ldhal6b")</f>
        <v>Ldhal6b</v>
      </c>
      <c r="D3847" s="10">
        <f t="shared" si="60"/>
        <v>5.7182172596160914</v>
      </c>
      <c r="F3847" s="8" t="str">
        <f>HYPERLINK("https://esbl.nhlbi.nih.gov/Databases/mpkFractions/proteomic_fractions_log_files/Yang_log_img/30425048.jpg","show blot")</f>
        <v>show blot</v>
      </c>
      <c r="H3847" s="8" t="str">
        <f>HYPERLINK("https://esbl.nhlbi.nih.gov/Databases/mpkFractions/proteomic_fractions_linear_files/Yang_linear_img/30425048.jpg","show blot")</f>
        <v>show blot</v>
      </c>
      <c r="J3847" s="5" t="s">
        <v>7553</v>
      </c>
      <c r="L3847" s="11">
        <v>5.7182172596160914</v>
      </c>
      <c r="N3847" s="12"/>
    </row>
    <row r="3848" spans="1:14" s="5" customFormat="1" ht="15" customHeight="1" x14ac:dyDescent="0.25">
      <c r="A3848" s="9" t="s">
        <v>7554</v>
      </c>
      <c r="C3848" s="9" t="str">
        <f>HYPERLINK("http://www.ncbi.nlm.nih.gov/protein/6678674","Ldhb")</f>
        <v>Ldhb</v>
      </c>
      <c r="D3848" s="10">
        <f t="shared" si="60"/>
        <v>6.644298454906405</v>
      </c>
      <c r="F3848" s="8" t="str">
        <f>HYPERLINK("https://esbl.nhlbi.nih.gov/Databases/mpkFractions/proteomic_fractions_log_files/Yang_log_img/6678674.jpg","show blot")</f>
        <v>show blot</v>
      </c>
      <c r="H3848" s="8" t="str">
        <f>HYPERLINK("https://esbl.nhlbi.nih.gov/Databases/mpkFractions/proteomic_fractions_linear_files/Yang_linear_img/6678674.jpg","show blot")</f>
        <v>show blot</v>
      </c>
      <c r="J3848" s="5" t="s">
        <v>7555</v>
      </c>
      <c r="L3848" s="11">
        <v>6.644298454906405</v>
      </c>
      <c r="N3848" s="12"/>
    </row>
    <row r="3849" spans="1:14" s="5" customFormat="1" ht="15" customHeight="1" x14ac:dyDescent="0.25">
      <c r="A3849" s="9" t="s">
        <v>7556</v>
      </c>
      <c r="C3849" s="9" t="str">
        <f>HYPERLINK("http://www.ncbi.nlm.nih.gov/protein/7305229","Ldhc")</f>
        <v>Ldhc</v>
      </c>
      <c r="D3849" s="10">
        <f t="shared" si="60"/>
        <v>6.7261976252484814</v>
      </c>
      <c r="F3849" s="8" t="str">
        <f>HYPERLINK("https://esbl.nhlbi.nih.gov/Databases/mpkFractions/proteomic_fractions_log_files/Yang_log_img/7305229.jpg","show blot")</f>
        <v>show blot</v>
      </c>
      <c r="H3849" s="8" t="str">
        <f>HYPERLINK("https://esbl.nhlbi.nih.gov/Databases/mpkFractions/proteomic_fractions_linear_files/Yang_linear_img/7305229.jpg","show blot")</f>
        <v>show blot</v>
      </c>
      <c r="J3849" s="5" t="s">
        <v>7557</v>
      </c>
      <c r="L3849" s="11">
        <v>6.7261976252484814</v>
      </c>
      <c r="N3849" s="12"/>
    </row>
    <row r="3850" spans="1:14" s="5" customFormat="1" ht="15" customHeight="1" x14ac:dyDescent="0.25">
      <c r="A3850" s="9" t="s">
        <v>7558</v>
      </c>
      <c r="C3850" s="9" t="str">
        <f>HYPERLINK("http://www.ncbi.nlm.nih.gov/protein/34328379","Ldhd")</f>
        <v>Ldhd</v>
      </c>
      <c r="D3850" s="10">
        <f t="shared" si="60"/>
        <v>4.4527799817548264</v>
      </c>
      <c r="F3850" s="8" t="str">
        <f>HYPERLINK("https://esbl.nhlbi.nih.gov/Databases/mpkFractions/proteomic_fractions_log_files/Yang_log_img/34328379.jpg","show blot")</f>
        <v>show blot</v>
      </c>
      <c r="H3850" s="8" t="str">
        <f>HYPERLINK("https://esbl.nhlbi.nih.gov/Databases/mpkFractions/proteomic_fractions_linear_files/Yang_linear_img/34328379.jpg","show blot")</f>
        <v>show blot</v>
      </c>
      <c r="J3850" s="5" t="s">
        <v>7559</v>
      </c>
      <c r="L3850" s="11">
        <v>4.4527799817548264</v>
      </c>
      <c r="N3850" s="12"/>
    </row>
    <row r="3851" spans="1:14" s="5" customFormat="1" ht="15" customHeight="1" x14ac:dyDescent="0.25">
      <c r="A3851" s="9" t="s">
        <v>7560</v>
      </c>
      <c r="C3851" s="9" t="str">
        <f>HYPERLINK("http://www.ncbi.nlm.nih.gov/protein/113195700","Ldlr")</f>
        <v>Ldlr</v>
      </c>
      <c r="D3851" s="10">
        <f t="shared" si="60"/>
        <v>2.1922597567505688</v>
      </c>
      <c r="F3851" s="8" t="str">
        <f>HYPERLINK("https://esbl.nhlbi.nih.gov/Databases/mpkFractions/proteomic_fractions_log_files/Yang_log_img/113195700.jpg","show blot")</f>
        <v>show blot</v>
      </c>
      <c r="H3851" s="8" t="str">
        <f>HYPERLINK("https://esbl.nhlbi.nih.gov/Databases/mpkFractions/proteomic_fractions_linear_files/Yang_linear_img/113195700.jpg","show blot")</f>
        <v>show blot</v>
      </c>
      <c r="J3851" s="5" t="s">
        <v>7561</v>
      </c>
      <c r="L3851" s="11">
        <v>2.1922597567505688</v>
      </c>
      <c r="N3851" s="12"/>
    </row>
    <row r="3852" spans="1:14" s="5" customFormat="1" ht="15" customHeight="1" x14ac:dyDescent="0.25">
      <c r="A3852" s="9" t="s">
        <v>7562</v>
      </c>
      <c r="C3852" s="9" t="str">
        <f>HYPERLINK("http://www.ncbi.nlm.nih.gov/protein/358030301","Ldlr")</f>
        <v>Ldlr</v>
      </c>
      <c r="D3852" s="10">
        <f t="shared" si="60"/>
        <v>2.1922597567505688</v>
      </c>
      <c r="F3852" s="8" t="str">
        <f>HYPERLINK("https://esbl.nhlbi.nih.gov/Databases/mpkFractions/proteomic_fractions_log_files/Yang_log_img/358030301.jpg","show blot")</f>
        <v>show blot</v>
      </c>
      <c r="H3852" s="8" t="str">
        <f>HYPERLINK("https://esbl.nhlbi.nih.gov/Databases/mpkFractions/proteomic_fractions_linear_files/Yang_linear_img/358030301.jpg","show blot")</f>
        <v>show blot</v>
      </c>
      <c r="J3852" s="5" t="s">
        <v>7563</v>
      </c>
      <c r="L3852" s="11">
        <v>2.1922597567505688</v>
      </c>
      <c r="N3852" s="12"/>
    </row>
    <row r="3853" spans="1:14" s="5" customFormat="1" ht="15" customHeight="1" x14ac:dyDescent="0.25">
      <c r="A3853" s="9" t="s">
        <v>7564</v>
      </c>
      <c r="C3853" s="9" t="str">
        <f>HYPERLINK("http://www.ncbi.nlm.nih.gov/protein/358030304","Ldlr")</f>
        <v>Ldlr</v>
      </c>
      <c r="D3853" s="10">
        <f t="shared" si="60"/>
        <v>2.1922597567505688</v>
      </c>
      <c r="F3853" s="8" t="str">
        <f>HYPERLINK("https://esbl.nhlbi.nih.gov/Databases/mpkFractions/proteomic_fractions_log_files/Yang_log_img/358030304.jpg","show blot")</f>
        <v>show blot</v>
      </c>
      <c r="H3853" s="8" t="str">
        <f>HYPERLINK("https://esbl.nhlbi.nih.gov/Databases/mpkFractions/proteomic_fractions_linear_files/Yang_linear_img/358030304.jpg","show blot")</f>
        <v>show blot</v>
      </c>
      <c r="J3853" s="5" t="s">
        <v>7565</v>
      </c>
      <c r="L3853" s="11">
        <v>2.1922597567505688</v>
      </c>
      <c r="N3853" s="12"/>
    </row>
    <row r="3854" spans="1:14" s="5" customFormat="1" ht="15" customHeight="1" x14ac:dyDescent="0.25">
      <c r="A3854" s="9" t="s">
        <v>7566</v>
      </c>
      <c r="C3854" s="9" t="str">
        <f>HYPERLINK("http://www.ncbi.nlm.nih.gov/protein/160333775","Ldlrap1")</f>
        <v>Ldlrap1</v>
      </c>
      <c r="D3854" s="10">
        <f t="shared" si="60"/>
        <v>3.3927630772091808</v>
      </c>
      <c r="F3854" s="8" t="str">
        <f>HYPERLINK("https://esbl.nhlbi.nih.gov/Databases/mpkFractions/proteomic_fractions_log_files/Yang_log_img/160333775.jpg","show blot")</f>
        <v>show blot</v>
      </c>
      <c r="H3854" s="8" t="str">
        <f>HYPERLINK("https://esbl.nhlbi.nih.gov/Databases/mpkFractions/proteomic_fractions_linear_files/Yang_linear_img/160333775.jpg","show blot")</f>
        <v>show blot</v>
      </c>
      <c r="J3854" s="5" t="s">
        <v>7567</v>
      </c>
      <c r="L3854" s="11">
        <v>3.3927630772091808</v>
      </c>
      <c r="N3854" s="12"/>
    </row>
    <row r="3855" spans="1:14" s="5" customFormat="1" ht="15" customHeight="1" x14ac:dyDescent="0.25">
      <c r="A3855" s="9" t="s">
        <v>7568</v>
      </c>
      <c r="C3855" s="9" t="str">
        <f>HYPERLINK("http://www.ncbi.nlm.nih.gov/protein/170932462","Lect1")</f>
        <v>Lect1</v>
      </c>
      <c r="D3855" s="10">
        <f t="shared" si="60"/>
        <v>4.145519791057283</v>
      </c>
      <c r="F3855" s="8" t="str">
        <f>HYPERLINK("https://esbl.nhlbi.nih.gov/Databases/mpkFractions/proteomic_fractions_log_files/Yang_log_img/170932462.jpg","show blot")</f>
        <v>show blot</v>
      </c>
      <c r="H3855" s="8" t="str">
        <f>HYPERLINK("https://esbl.nhlbi.nih.gov/Databases/mpkFractions/proteomic_fractions_linear_files/Yang_linear_img/170932462.jpg","show blot")</f>
        <v>show blot</v>
      </c>
      <c r="J3855" s="5" t="s">
        <v>7569</v>
      </c>
      <c r="L3855" s="11">
        <v>4.145519791057283</v>
      </c>
      <c r="N3855" s="12"/>
    </row>
    <row r="3856" spans="1:14" s="5" customFormat="1" ht="15" customHeight="1" x14ac:dyDescent="0.25">
      <c r="A3856" s="9" t="s">
        <v>7570</v>
      </c>
      <c r="C3856" s="9" t="str">
        <f>HYPERLINK("http://www.ncbi.nlm.nih.gov/protein/145864461","Lemd3")</f>
        <v>Lemd3</v>
      </c>
      <c r="D3856" s="10">
        <f t="shared" si="60"/>
        <v>3.0382189990018</v>
      </c>
      <c r="F3856" s="8" t="str">
        <f>HYPERLINK("https://esbl.nhlbi.nih.gov/Databases/mpkFractions/proteomic_fractions_log_files/Yang_log_img/145864461.jpg","show blot")</f>
        <v>show blot</v>
      </c>
      <c r="H3856" s="8" t="str">
        <f>HYPERLINK("https://esbl.nhlbi.nih.gov/Databases/mpkFractions/proteomic_fractions_linear_files/Yang_linear_img/145864461.jpg","show blot")</f>
        <v>show blot</v>
      </c>
      <c r="J3856" s="5" t="s">
        <v>7571</v>
      </c>
      <c r="L3856" s="11">
        <v>3.0382189990018</v>
      </c>
      <c r="N3856" s="12"/>
    </row>
    <row r="3857" spans="1:14" s="5" customFormat="1" ht="15" customHeight="1" x14ac:dyDescent="0.25">
      <c r="A3857" s="9" t="s">
        <v>7572</v>
      </c>
      <c r="C3857" s="9" t="str">
        <f>HYPERLINK("http://www.ncbi.nlm.nih.gov/protein/87299619","Leo1")</f>
        <v>Leo1</v>
      </c>
      <c r="D3857" s="10">
        <f t="shared" si="60"/>
        <v>3.9179671228121982</v>
      </c>
      <c r="F3857" s="8" t="str">
        <f>HYPERLINK("https://esbl.nhlbi.nih.gov/Databases/mpkFractions/proteomic_fractions_log_files/Yang_log_img/87299619.jpg","show blot")</f>
        <v>show blot</v>
      </c>
      <c r="H3857" s="8" t="str">
        <f>HYPERLINK("https://esbl.nhlbi.nih.gov/Databases/mpkFractions/proteomic_fractions_linear_files/Yang_linear_img/87299619.jpg","show blot")</f>
        <v>show blot</v>
      </c>
      <c r="J3857" s="5" t="s">
        <v>7573</v>
      </c>
      <c r="L3857" s="11">
        <v>3.9179671228121982</v>
      </c>
      <c r="N3857" s="12"/>
    </row>
    <row r="3858" spans="1:14" s="5" customFormat="1" ht="15" customHeight="1" x14ac:dyDescent="0.25">
      <c r="A3858" s="9" t="s">
        <v>7574</v>
      </c>
      <c r="C3858" s="9" t="str">
        <f>HYPERLINK("http://www.ncbi.nlm.nih.gov/protein/28077089","Leprot")</f>
        <v>Leprot</v>
      </c>
      <c r="D3858" s="10">
        <f t="shared" si="60"/>
        <v>3.974076730409569</v>
      </c>
      <c r="F3858" s="8" t="str">
        <f>HYPERLINK("https://esbl.nhlbi.nih.gov/Databases/mpkFractions/proteomic_fractions_log_files/Yang_log_img/28077089.jpg","show blot")</f>
        <v>show blot</v>
      </c>
      <c r="H3858" s="8" t="str">
        <f>HYPERLINK("https://esbl.nhlbi.nih.gov/Databases/mpkFractions/proteomic_fractions_linear_files/Yang_linear_img/28077089.jpg","show blot")</f>
        <v>show blot</v>
      </c>
      <c r="J3858" s="5" t="s">
        <v>7575</v>
      </c>
      <c r="L3858" s="11">
        <v>3.974076730409569</v>
      </c>
      <c r="N3858" s="12"/>
    </row>
    <row r="3859" spans="1:14" s="5" customFormat="1" ht="15" customHeight="1" x14ac:dyDescent="0.25">
      <c r="A3859" s="9" t="s">
        <v>7576</v>
      </c>
      <c r="C3859" s="9" t="str">
        <f>HYPERLINK("http://www.ncbi.nlm.nih.gov/protein/13386094","Leprotl1")</f>
        <v>Leprotl1</v>
      </c>
      <c r="D3859" s="10">
        <f t="shared" si="60"/>
        <v>3.7233735670189838</v>
      </c>
      <c r="F3859" s="8" t="str">
        <f>HYPERLINK("https://esbl.nhlbi.nih.gov/Databases/mpkFractions/proteomic_fractions_log_files/Yang_log_img/13386094.jpg","show blot")</f>
        <v>show blot</v>
      </c>
      <c r="H3859" s="8" t="str">
        <f>HYPERLINK("https://esbl.nhlbi.nih.gov/Databases/mpkFractions/proteomic_fractions_linear_files/Yang_linear_img/13386094.jpg","show blot")</f>
        <v>show blot</v>
      </c>
      <c r="J3859" s="5" t="s">
        <v>7577</v>
      </c>
      <c r="L3859" s="11">
        <v>3.7233735670189838</v>
      </c>
      <c r="N3859" s="12"/>
    </row>
    <row r="3860" spans="1:14" s="5" customFormat="1" ht="15" customHeight="1" x14ac:dyDescent="0.25">
      <c r="A3860" s="9" t="s">
        <v>7578</v>
      </c>
      <c r="C3860" s="9" t="str">
        <f>HYPERLINK("http://www.ncbi.nlm.nih.gov/protein/9789997","Letm1")</f>
        <v>Letm1</v>
      </c>
      <c r="D3860" s="10">
        <f t="shared" si="60"/>
        <v>4.695597604966296</v>
      </c>
      <c r="F3860" s="8" t="str">
        <f>HYPERLINK("https://esbl.nhlbi.nih.gov/Databases/mpkFractions/proteomic_fractions_log_files/Yang_log_img/9789997.jpg","show blot")</f>
        <v>show blot</v>
      </c>
      <c r="H3860" s="8" t="str">
        <f>HYPERLINK("https://esbl.nhlbi.nih.gov/Databases/mpkFractions/proteomic_fractions_linear_files/Yang_linear_img/9789997.jpg","show blot")</f>
        <v>show blot</v>
      </c>
      <c r="J3860" s="5" t="s">
        <v>7579</v>
      </c>
      <c r="L3860" s="11">
        <v>4.695597604966296</v>
      </c>
      <c r="N3860" s="12"/>
    </row>
    <row r="3861" spans="1:14" s="5" customFormat="1" ht="15" customHeight="1" x14ac:dyDescent="0.25">
      <c r="A3861" s="9" t="s">
        <v>7580</v>
      </c>
      <c r="C3861" s="9" t="str">
        <f>HYPERLINK("http://www.ncbi.nlm.nih.gov/protein/6678682","Lgals1")</f>
        <v>Lgals1</v>
      </c>
      <c r="D3861" s="10">
        <f t="shared" si="60"/>
        <v>6.6762293216996724</v>
      </c>
      <c r="F3861" s="8" t="str">
        <f>HYPERLINK("https://esbl.nhlbi.nih.gov/Databases/mpkFractions/proteomic_fractions_log_files/Yang_log_img/6678682.jpg","show blot")</f>
        <v>show blot</v>
      </c>
      <c r="H3861" s="8" t="str">
        <f>HYPERLINK("https://esbl.nhlbi.nih.gov/Databases/mpkFractions/proteomic_fractions_linear_files/Yang_linear_img/6678682.jpg","show blot")</f>
        <v>show blot</v>
      </c>
      <c r="J3861" s="5" t="s">
        <v>7581</v>
      </c>
      <c r="L3861" s="11">
        <v>6.6762293216996724</v>
      </c>
      <c r="N3861" s="12"/>
    </row>
    <row r="3862" spans="1:14" s="5" customFormat="1" ht="15" customHeight="1" x14ac:dyDescent="0.25">
      <c r="A3862" s="9" t="s">
        <v>7582</v>
      </c>
      <c r="C3862" s="9" t="str">
        <f>HYPERLINK("http://www.ncbi.nlm.nih.gov/protein/9506757","Lgals12")</f>
        <v>Lgals12</v>
      </c>
      <c r="D3862" s="10">
        <f t="shared" si="60"/>
        <v>1.991878526635724</v>
      </c>
      <c r="F3862" s="8" t="str">
        <f>HYPERLINK("https://esbl.nhlbi.nih.gov/Databases/mpkFractions/proteomic_fractions_log_files/Yang_log_img/9506757.jpg","show blot")</f>
        <v>show blot</v>
      </c>
      <c r="H3862" s="8" t="str">
        <f>HYPERLINK("https://esbl.nhlbi.nih.gov/Databases/mpkFractions/proteomic_fractions_linear_files/Yang_linear_img/9506757.jpg","show blot")</f>
        <v>show blot</v>
      </c>
      <c r="J3862" s="5" t="s">
        <v>7583</v>
      </c>
      <c r="L3862" s="11">
        <v>1.991878526635724</v>
      </c>
      <c r="N3862" s="12"/>
    </row>
    <row r="3863" spans="1:14" s="5" customFormat="1" ht="15" customHeight="1" x14ac:dyDescent="0.25">
      <c r="A3863" s="9" t="s">
        <v>7584</v>
      </c>
      <c r="C3863" s="9" t="str">
        <f>HYPERLINK("http://www.ncbi.nlm.nih.gov/protein/33859580;225543163","Lgals3")</f>
        <v>Lgals3</v>
      </c>
      <c r="D3863" s="10">
        <f t="shared" si="60"/>
        <v>5.8273233303552816</v>
      </c>
      <c r="F3863" s="8" t="str">
        <f>HYPERLINK("https://esbl.nhlbi.nih.gov/Databases/mpkFractions/proteomic_fractions_log_files/Yang_log_img/33859580;225543163.jpg","show blot")</f>
        <v>show blot</v>
      </c>
      <c r="H3863" s="8" t="str">
        <f>HYPERLINK("https://esbl.nhlbi.nih.gov/Databases/mpkFractions/proteomic_fractions_linear_files/Yang_linear_img/33859580;225543163.jpg","show blot")</f>
        <v>show blot</v>
      </c>
      <c r="J3863" s="5" t="s">
        <v>7585</v>
      </c>
      <c r="L3863" s="11">
        <v>5.8273233303552816</v>
      </c>
      <c r="N3863" s="12"/>
    </row>
    <row r="3864" spans="1:14" s="5" customFormat="1" ht="15" customHeight="1" x14ac:dyDescent="0.25">
      <c r="A3864" s="9" t="s">
        <v>7586</v>
      </c>
      <c r="C3864" s="9" t="str">
        <f>HYPERLINK("http://www.ncbi.nlm.nih.gov/protein/225543163","Lgals3")</f>
        <v>Lgals3</v>
      </c>
      <c r="D3864" s="10">
        <f t="shared" si="60"/>
        <v>5.8273233303552816</v>
      </c>
      <c r="F3864" s="8" t="str">
        <f>HYPERLINK("https://esbl.nhlbi.nih.gov/Databases/mpkFractions/proteomic_fractions_log_files/Yang_log_img/225543163.jpg","show blot")</f>
        <v>show blot</v>
      </c>
      <c r="H3864" s="8" t="str">
        <f>HYPERLINK("https://esbl.nhlbi.nih.gov/Databases/mpkFractions/proteomic_fractions_linear_files/Yang_linear_img/225543163.jpg","show blot")</f>
        <v>show blot</v>
      </c>
      <c r="J3864" s="5" t="s">
        <v>7585</v>
      </c>
      <c r="L3864" s="11">
        <v>5.8273233303552816</v>
      </c>
      <c r="N3864" s="12"/>
    </row>
    <row r="3865" spans="1:14" s="5" customFormat="1" ht="15" customHeight="1" x14ac:dyDescent="0.25">
      <c r="A3865" s="9" t="s">
        <v>7587</v>
      </c>
      <c r="C3865" s="9" t="str">
        <f>HYPERLINK("http://www.ncbi.nlm.nih.gov/protein/9256551","Lgals8")</f>
        <v>Lgals8</v>
      </c>
      <c r="D3865" s="10">
        <f t="shared" si="60"/>
        <v>4.250439656264879</v>
      </c>
      <c r="F3865" s="8" t="str">
        <f>HYPERLINK("https://esbl.nhlbi.nih.gov/Databases/mpkFractions/proteomic_fractions_log_files/Yang_log_img/9256551.jpg","show blot")</f>
        <v>show blot</v>
      </c>
      <c r="H3865" s="8" t="str">
        <f>HYPERLINK("https://esbl.nhlbi.nih.gov/Databases/mpkFractions/proteomic_fractions_linear_files/Yang_linear_img/9256551.jpg","show blot")</f>
        <v>show blot</v>
      </c>
      <c r="J3865" s="5" t="s">
        <v>7588</v>
      </c>
      <c r="L3865" s="11">
        <v>4.250439656264879</v>
      </c>
      <c r="N3865" s="12"/>
    </row>
    <row r="3866" spans="1:14" s="5" customFormat="1" ht="15" customHeight="1" x14ac:dyDescent="0.25">
      <c r="A3866" s="9" t="s">
        <v>7589</v>
      </c>
      <c r="C3866" s="9" t="str">
        <f>HYPERLINK("http://www.ncbi.nlm.nih.gov/protein/312261230;9256551","Lgals8")</f>
        <v>Lgals8</v>
      </c>
      <c r="D3866" s="10">
        <f t="shared" si="60"/>
        <v>4.250439656264879</v>
      </c>
      <c r="F3866" s="8" t="str">
        <f>HYPERLINK("https://esbl.nhlbi.nih.gov/Databases/mpkFractions/proteomic_fractions_log_files/Yang_log_img/312261230;9256551.jpg","show blot")</f>
        <v>show blot</v>
      </c>
      <c r="H3866" s="8" t="str">
        <f>HYPERLINK("https://esbl.nhlbi.nih.gov/Databases/mpkFractions/proteomic_fractions_linear_files/Yang_linear_img/312261230;9256551.jpg","show blot")</f>
        <v>show blot</v>
      </c>
      <c r="J3866" s="5" t="s">
        <v>7588</v>
      </c>
      <c r="L3866" s="11">
        <v>4.250439656264879</v>
      </c>
      <c r="N3866" s="12"/>
    </row>
    <row r="3867" spans="1:14" s="5" customFormat="1" ht="15" customHeight="1" x14ac:dyDescent="0.25">
      <c r="A3867" s="9" t="s">
        <v>7590</v>
      </c>
      <c r="C3867" s="9" t="str">
        <f>HYPERLINK("http://www.ncbi.nlm.nih.gov/protein/226531119","Lgals9")</f>
        <v>Lgals9</v>
      </c>
      <c r="D3867" s="10">
        <f t="shared" si="60"/>
        <v>5.0816333442741506</v>
      </c>
      <c r="F3867" s="8" t="str">
        <f>HYPERLINK("https://esbl.nhlbi.nih.gov/Databases/mpkFractions/proteomic_fractions_log_files/Yang_log_img/226531119.jpg","show blot")</f>
        <v>show blot</v>
      </c>
      <c r="H3867" s="8" t="str">
        <f>HYPERLINK("https://esbl.nhlbi.nih.gov/Databases/mpkFractions/proteomic_fractions_linear_files/Yang_linear_img/226531119.jpg","show blot")</f>
        <v>show blot</v>
      </c>
      <c r="J3867" s="5" t="s">
        <v>7591</v>
      </c>
      <c r="L3867" s="11">
        <v>5.0816333442741506</v>
      </c>
      <c r="N3867" s="12"/>
    </row>
    <row r="3868" spans="1:14" s="5" customFormat="1" ht="15" customHeight="1" x14ac:dyDescent="0.25">
      <c r="A3868" s="9" t="s">
        <v>7592</v>
      </c>
      <c r="C3868" s="9" t="str">
        <f>HYPERLINK("http://www.ncbi.nlm.nih.gov/protein/226531139","Lgals9")</f>
        <v>Lgals9</v>
      </c>
      <c r="D3868" s="10">
        <f t="shared" si="60"/>
        <v>5.0816333442741506</v>
      </c>
      <c r="F3868" s="8" t="str">
        <f>HYPERLINK("https://esbl.nhlbi.nih.gov/Databases/mpkFractions/proteomic_fractions_log_files/Yang_log_img/226531139.jpg","show blot")</f>
        <v>show blot</v>
      </c>
      <c r="H3868" s="8" t="str">
        <f>HYPERLINK("https://esbl.nhlbi.nih.gov/Databases/mpkFractions/proteomic_fractions_linear_files/Yang_linear_img/226531139.jpg","show blot")</f>
        <v>show blot</v>
      </c>
      <c r="J3868" s="5" t="s">
        <v>7593</v>
      </c>
      <c r="L3868" s="11">
        <v>5.0816333442741506</v>
      </c>
      <c r="N3868" s="12"/>
    </row>
    <row r="3869" spans="1:14" s="5" customFormat="1" ht="15" customHeight="1" x14ac:dyDescent="0.25">
      <c r="A3869" s="9" t="s">
        <v>7594</v>
      </c>
      <c r="C3869" s="9" t="str">
        <f>HYPERLINK("http://www.ncbi.nlm.nih.gov/protein/29611654","Lgalsl")</f>
        <v>Lgalsl</v>
      </c>
      <c r="D3869" s="10">
        <f t="shared" si="60"/>
        <v>4.3802132891003183</v>
      </c>
      <c r="F3869" s="8" t="str">
        <f>HYPERLINK("https://esbl.nhlbi.nih.gov/Databases/mpkFractions/proteomic_fractions_log_files/Yang_log_img/29611654.jpg","show blot")</f>
        <v>show blot</v>
      </c>
      <c r="H3869" s="8" t="str">
        <f>HYPERLINK("https://esbl.nhlbi.nih.gov/Databases/mpkFractions/proteomic_fractions_linear_files/Yang_linear_img/29611654.jpg","show blot")</f>
        <v>show blot</v>
      </c>
      <c r="J3869" s="5" t="s">
        <v>7595</v>
      </c>
      <c r="L3869" s="11">
        <v>4.3802132891003183</v>
      </c>
      <c r="N3869" s="12"/>
    </row>
    <row r="3870" spans="1:14" s="5" customFormat="1" ht="15" customHeight="1" x14ac:dyDescent="0.25">
      <c r="A3870" s="9" t="s">
        <v>7596</v>
      </c>
      <c r="C3870" s="9" t="str">
        <f>HYPERLINK("http://www.ncbi.nlm.nih.gov/protein/7242187","Lgmn")</f>
        <v>Lgmn</v>
      </c>
      <c r="D3870" s="10">
        <f t="shared" si="60"/>
        <v>5.6980342403351294</v>
      </c>
      <c r="F3870" s="8" t="str">
        <f>HYPERLINK("https://esbl.nhlbi.nih.gov/Databases/mpkFractions/proteomic_fractions_log_files/Yang_log_img/7242187.jpg","show blot")</f>
        <v>show blot</v>
      </c>
      <c r="H3870" s="8" t="str">
        <f>HYPERLINK("https://esbl.nhlbi.nih.gov/Databases/mpkFractions/proteomic_fractions_linear_files/Yang_linear_img/7242187.jpg","show blot")</f>
        <v>show blot</v>
      </c>
      <c r="J3870" s="5" t="s">
        <v>7597</v>
      </c>
      <c r="L3870" s="11">
        <v>5.6980342403351294</v>
      </c>
      <c r="N3870" s="12"/>
    </row>
    <row r="3871" spans="1:14" s="5" customFormat="1" ht="15" customHeight="1" x14ac:dyDescent="0.25">
      <c r="A3871" s="9" t="s">
        <v>7598</v>
      </c>
      <c r="C3871" s="9" t="str">
        <f>HYPERLINK("http://www.ncbi.nlm.nih.gov/protein/13277380","Lias")</f>
        <v>Lias</v>
      </c>
      <c r="D3871" s="10">
        <f t="shared" si="60"/>
        <v>1.8199432273512011</v>
      </c>
      <c r="F3871" s="8" t="str">
        <f>HYPERLINK("https://esbl.nhlbi.nih.gov/Databases/mpkFractions/proteomic_fractions_log_files/Yang_log_img/13277380.jpg","show blot")</f>
        <v>show blot</v>
      </c>
      <c r="H3871" s="8" t="str">
        <f>HYPERLINK("https://esbl.nhlbi.nih.gov/Databases/mpkFractions/proteomic_fractions_linear_files/Yang_linear_img/13277380.jpg","show blot")</f>
        <v>show blot</v>
      </c>
      <c r="J3871" s="5" t="s">
        <v>7599</v>
      </c>
      <c r="L3871" s="11">
        <v>1.8199432273512011</v>
      </c>
      <c r="N3871" s="12"/>
    </row>
    <row r="3872" spans="1:14" s="5" customFormat="1" ht="15" customHeight="1" x14ac:dyDescent="0.25">
      <c r="A3872" s="9" t="s">
        <v>7600</v>
      </c>
      <c r="C3872" s="9" t="str">
        <f>HYPERLINK("http://www.ncbi.nlm.nih.gov/protein/313151236;133892266","Lig1")</f>
        <v>Lig1</v>
      </c>
      <c r="D3872" s="10">
        <f t="shared" si="60"/>
        <v>5.3046196066375826</v>
      </c>
      <c r="F3872" s="8" t="str">
        <f>HYPERLINK("https://esbl.nhlbi.nih.gov/Databases/mpkFractions/proteomic_fractions_log_files/Yang_log_img/313151236;133892266.jpg","show blot")</f>
        <v>show blot</v>
      </c>
      <c r="H3872" s="8" t="str">
        <f>HYPERLINK("https://esbl.nhlbi.nih.gov/Databases/mpkFractions/proteomic_fractions_linear_files/Yang_linear_img/313151236;133892266.jpg","show blot")</f>
        <v>show blot</v>
      </c>
      <c r="J3872" s="5" t="s">
        <v>7601</v>
      </c>
      <c r="L3872" s="11">
        <v>5.3046196066375826</v>
      </c>
      <c r="N3872" s="12"/>
    </row>
    <row r="3873" spans="1:14" s="5" customFormat="1" ht="15" customHeight="1" x14ac:dyDescent="0.25">
      <c r="A3873" s="9" t="s">
        <v>7602</v>
      </c>
      <c r="C3873" s="9" t="str">
        <f>HYPERLINK("http://www.ncbi.nlm.nih.gov/protein/133892266","Lig1")</f>
        <v>Lig1</v>
      </c>
      <c r="D3873" s="10">
        <f t="shared" si="60"/>
        <v>5.3046196066375826</v>
      </c>
      <c r="F3873" s="8" t="str">
        <f>HYPERLINK("https://esbl.nhlbi.nih.gov/Databases/mpkFractions/proteomic_fractions_log_files/Yang_log_img/133892266.jpg","show blot")</f>
        <v>show blot</v>
      </c>
      <c r="H3873" s="8" t="str">
        <f>HYPERLINK("https://esbl.nhlbi.nih.gov/Databases/mpkFractions/proteomic_fractions_linear_files/Yang_linear_img/133892266.jpg","show blot")</f>
        <v>show blot</v>
      </c>
      <c r="J3873" s="5" t="s">
        <v>7601</v>
      </c>
      <c r="L3873" s="11">
        <v>5.3046196066375826</v>
      </c>
      <c r="N3873" s="12"/>
    </row>
    <row r="3874" spans="1:14" s="5" customFormat="1" ht="15" customHeight="1" x14ac:dyDescent="0.25">
      <c r="A3874" s="9" t="s">
        <v>7603</v>
      </c>
      <c r="C3874" s="9" t="str">
        <f>HYPERLINK("http://www.ncbi.nlm.nih.gov/protein/158518433","Lima1")</f>
        <v>Lima1</v>
      </c>
      <c r="D3874" s="10">
        <f t="shared" si="60"/>
        <v>4.9696629130326802</v>
      </c>
      <c r="F3874" s="8" t="str">
        <f>HYPERLINK("https://esbl.nhlbi.nih.gov/Databases/mpkFractions/proteomic_fractions_log_files/Yang_log_img/158518433.jpg","show blot")</f>
        <v>show blot</v>
      </c>
      <c r="H3874" s="8" t="str">
        <f>HYPERLINK("https://esbl.nhlbi.nih.gov/Databases/mpkFractions/proteomic_fractions_linear_files/Yang_linear_img/158518433.jpg","show blot")</f>
        <v>show blot</v>
      </c>
      <c r="J3874" s="5" t="s">
        <v>7604</v>
      </c>
      <c r="L3874" s="11">
        <v>4.9696629130326802</v>
      </c>
      <c r="N3874" s="12"/>
    </row>
    <row r="3875" spans="1:14" s="5" customFormat="1" ht="15" customHeight="1" x14ac:dyDescent="0.25">
      <c r="A3875" s="9" t="s">
        <v>7605</v>
      </c>
      <c r="C3875" s="9" t="str">
        <f>HYPERLINK("http://www.ncbi.nlm.nih.gov/protein/165905585","Lima1")</f>
        <v>Lima1</v>
      </c>
      <c r="D3875" s="10">
        <f t="shared" si="60"/>
        <v>4.9696629130326802</v>
      </c>
      <c r="F3875" s="8" t="str">
        <f>HYPERLINK("https://esbl.nhlbi.nih.gov/Databases/mpkFractions/proteomic_fractions_log_files/Yang_log_img/165905585.jpg","show blot")</f>
        <v>show blot</v>
      </c>
      <c r="H3875" s="8" t="str">
        <f>HYPERLINK("https://esbl.nhlbi.nih.gov/Databases/mpkFractions/proteomic_fractions_linear_files/Yang_linear_img/165905585.jpg","show blot")</f>
        <v>show blot</v>
      </c>
      <c r="J3875" s="5" t="s">
        <v>7606</v>
      </c>
      <c r="L3875" s="11">
        <v>4.9696629130326802</v>
      </c>
      <c r="N3875" s="12"/>
    </row>
    <row r="3876" spans="1:14" s="5" customFormat="1" ht="15" customHeight="1" x14ac:dyDescent="0.25">
      <c r="A3876" s="9" t="s">
        <v>7607</v>
      </c>
      <c r="C3876" s="9" t="str">
        <f>HYPERLINK("http://www.ncbi.nlm.nih.gov/protein/224994267","Limd1")</f>
        <v>Limd1</v>
      </c>
      <c r="D3876" s="10">
        <f t="shared" si="60"/>
        <v>2.9541361937761099</v>
      </c>
      <c r="F3876" s="8" t="str">
        <f>HYPERLINK("https://esbl.nhlbi.nih.gov/Databases/mpkFractions/proteomic_fractions_log_files/Yang_log_img/224994267.jpg","show blot")</f>
        <v>show blot</v>
      </c>
      <c r="H3876" s="8" t="str">
        <f>HYPERLINK("https://esbl.nhlbi.nih.gov/Databases/mpkFractions/proteomic_fractions_linear_files/Yang_linear_img/224994267.jpg","show blot")</f>
        <v>show blot</v>
      </c>
      <c r="J3876" s="5" t="s">
        <v>7608</v>
      </c>
      <c r="L3876" s="11">
        <v>2.9541361937761099</v>
      </c>
      <c r="N3876" s="12"/>
    </row>
    <row r="3877" spans="1:14" s="5" customFormat="1" ht="15" customHeight="1" x14ac:dyDescent="0.25">
      <c r="A3877" s="9" t="s">
        <v>7609</v>
      </c>
      <c r="C3877" s="9" t="str">
        <f>HYPERLINK("http://www.ncbi.nlm.nih.gov/protein/6754550","Limk2")</f>
        <v>Limk2</v>
      </c>
      <c r="D3877" s="10">
        <f t="shared" si="60"/>
        <v>2.9792976912211522</v>
      </c>
      <c r="F3877" s="8" t="str">
        <f>HYPERLINK("https://esbl.nhlbi.nih.gov/Databases/mpkFractions/proteomic_fractions_log_files/Yang_log_img/6754550.jpg","show blot")</f>
        <v>show blot</v>
      </c>
      <c r="H3877" s="8" t="str">
        <f>HYPERLINK("https://esbl.nhlbi.nih.gov/Databases/mpkFractions/proteomic_fractions_linear_files/Yang_linear_img/6754550.jpg","show blot")</f>
        <v>show blot</v>
      </c>
      <c r="J3877" s="5" t="s">
        <v>7610</v>
      </c>
      <c r="L3877" s="11">
        <v>2.9792976912211522</v>
      </c>
      <c r="N3877" s="12"/>
    </row>
    <row r="3878" spans="1:14" s="5" customFormat="1" ht="15" customHeight="1" x14ac:dyDescent="0.25">
      <c r="A3878" s="9" t="s">
        <v>7611</v>
      </c>
      <c r="C3878" s="9" t="str">
        <f>HYPERLINK("http://www.ncbi.nlm.nih.gov/protein/76443701","Limk2")</f>
        <v>Limk2</v>
      </c>
      <c r="D3878" s="10">
        <f t="shared" si="60"/>
        <v>2.9792976912211522</v>
      </c>
      <c r="F3878" s="8" t="str">
        <f>HYPERLINK("https://esbl.nhlbi.nih.gov/Databases/mpkFractions/proteomic_fractions_log_files/Yang_log_img/76443701.jpg","show blot")</f>
        <v>show blot</v>
      </c>
      <c r="H3878" s="8" t="str">
        <f>HYPERLINK("https://esbl.nhlbi.nih.gov/Databases/mpkFractions/proteomic_fractions_linear_files/Yang_linear_img/76443701.jpg","show blot")</f>
        <v>show blot</v>
      </c>
      <c r="J3878" s="5" t="s">
        <v>7612</v>
      </c>
      <c r="L3878" s="11">
        <v>2.9792976912211522</v>
      </c>
      <c r="N3878" s="12"/>
    </row>
    <row r="3879" spans="1:14" s="5" customFormat="1" ht="15" customHeight="1" x14ac:dyDescent="0.25">
      <c r="A3879" s="9" t="s">
        <v>7613</v>
      </c>
      <c r="C3879" s="9" t="str">
        <f>HYPERLINK("http://www.ncbi.nlm.nih.gov/protein/77404365","Limk2")</f>
        <v>Limk2</v>
      </c>
      <c r="D3879" s="10">
        <f t="shared" si="60"/>
        <v>2.9792976912211522</v>
      </c>
      <c r="F3879" s="8" t="str">
        <f>HYPERLINK("https://esbl.nhlbi.nih.gov/Databases/mpkFractions/proteomic_fractions_log_files/Yang_log_img/77404365.jpg","show blot")</f>
        <v>show blot</v>
      </c>
      <c r="H3879" s="8" t="str">
        <f>HYPERLINK("https://esbl.nhlbi.nih.gov/Databases/mpkFractions/proteomic_fractions_linear_files/Yang_linear_img/77404365.jpg","show blot")</f>
        <v>show blot</v>
      </c>
      <c r="J3879" s="5" t="s">
        <v>7614</v>
      </c>
      <c r="L3879" s="11">
        <v>2.9792976912211522</v>
      </c>
      <c r="N3879" s="12"/>
    </row>
    <row r="3880" spans="1:14" s="5" customFormat="1" ht="15" customHeight="1" x14ac:dyDescent="0.25">
      <c r="A3880" s="9" t="s">
        <v>7615</v>
      </c>
      <c r="C3880" s="9" t="str">
        <f>HYPERLINK("http://www.ncbi.nlm.nih.gov/protein/300863087","Lims1")</f>
        <v>Lims1</v>
      </c>
      <c r="D3880" s="10">
        <f t="shared" si="60"/>
        <v>5.274062351623102</v>
      </c>
      <c r="F3880" s="8" t="str">
        <f>HYPERLINK("https://esbl.nhlbi.nih.gov/Databases/mpkFractions/proteomic_fractions_log_files/Yang_log_img/300863087.jpg","show blot")</f>
        <v>show blot</v>
      </c>
      <c r="H3880" s="8" t="str">
        <f>HYPERLINK("https://esbl.nhlbi.nih.gov/Databases/mpkFractions/proteomic_fractions_linear_files/Yang_linear_img/300863087.jpg","show blot")</f>
        <v>show blot</v>
      </c>
      <c r="J3880" s="5" t="s">
        <v>7616</v>
      </c>
      <c r="L3880" s="11">
        <v>5.274062351623102</v>
      </c>
      <c r="N3880" s="12"/>
    </row>
    <row r="3881" spans="1:14" s="5" customFormat="1" ht="15" customHeight="1" x14ac:dyDescent="0.25">
      <c r="A3881" s="9" t="s">
        <v>7617</v>
      </c>
      <c r="C3881" s="9" t="str">
        <f>HYPERLINK("http://www.ncbi.nlm.nih.gov/protein/300863089","Lims1")</f>
        <v>Lims1</v>
      </c>
      <c r="D3881" s="10">
        <f t="shared" si="60"/>
        <v>5.274062351623102</v>
      </c>
      <c r="F3881" s="8" t="str">
        <f>HYPERLINK("https://esbl.nhlbi.nih.gov/Databases/mpkFractions/proteomic_fractions_log_files/Yang_log_img/300863089.jpg","show blot")</f>
        <v>show blot</v>
      </c>
      <c r="H3881" s="8" t="str">
        <f>HYPERLINK("https://esbl.nhlbi.nih.gov/Databases/mpkFractions/proteomic_fractions_linear_files/Yang_linear_img/300863089.jpg","show blot")</f>
        <v>show blot</v>
      </c>
      <c r="J3881" s="5" t="s">
        <v>7618</v>
      </c>
      <c r="L3881" s="11">
        <v>5.274062351623102</v>
      </c>
      <c r="N3881" s="12"/>
    </row>
    <row r="3882" spans="1:14" s="5" customFormat="1" ht="15" customHeight="1" x14ac:dyDescent="0.25">
      <c r="A3882" s="9" t="s">
        <v>7619</v>
      </c>
      <c r="C3882" s="9" t="str">
        <f>HYPERLINK("http://www.ncbi.nlm.nih.gov/protein/84794647","Lims1")</f>
        <v>Lims1</v>
      </c>
      <c r="D3882" s="10">
        <f t="shared" si="60"/>
        <v>5.274062351623102</v>
      </c>
      <c r="F3882" s="8" t="str">
        <f>HYPERLINK("https://esbl.nhlbi.nih.gov/Databases/mpkFractions/proteomic_fractions_log_files/Yang_log_img/84794647.jpg","show blot")</f>
        <v>show blot</v>
      </c>
      <c r="H3882" s="8" t="str">
        <f>HYPERLINK("https://esbl.nhlbi.nih.gov/Databases/mpkFractions/proteomic_fractions_linear_files/Yang_linear_img/84794647.jpg","show blot")</f>
        <v>show blot</v>
      </c>
      <c r="J3882" s="5" t="s">
        <v>7620</v>
      </c>
      <c r="L3882" s="11">
        <v>5.274062351623102</v>
      </c>
      <c r="N3882" s="12"/>
    </row>
    <row r="3883" spans="1:14" s="5" customFormat="1" ht="15" customHeight="1" x14ac:dyDescent="0.25">
      <c r="A3883" s="9" t="s">
        <v>7621</v>
      </c>
      <c r="C3883" s="9" t="str">
        <f>HYPERLINK("http://www.ncbi.nlm.nih.gov/protein/21450085","Lims2")</f>
        <v>Lims2</v>
      </c>
      <c r="D3883" s="10">
        <f t="shared" si="60"/>
        <v>3.677370664720756</v>
      </c>
      <c r="F3883" s="8" t="str">
        <f>HYPERLINK("https://esbl.nhlbi.nih.gov/Databases/mpkFractions/proteomic_fractions_log_files/Yang_log_img/21450085.jpg","show blot")</f>
        <v>show blot</v>
      </c>
      <c r="H3883" s="8" t="str">
        <f>HYPERLINK("https://esbl.nhlbi.nih.gov/Databases/mpkFractions/proteomic_fractions_linear_files/Yang_linear_img/21450085.jpg","show blot")</f>
        <v>show blot</v>
      </c>
      <c r="J3883" s="5" t="s">
        <v>7622</v>
      </c>
      <c r="L3883" s="11">
        <v>3.677370664720756</v>
      </c>
      <c r="N3883" s="12"/>
    </row>
    <row r="3884" spans="1:14" s="5" customFormat="1" ht="15" customHeight="1" x14ac:dyDescent="0.25">
      <c r="A3884" s="9" t="s">
        <v>7623</v>
      </c>
      <c r="C3884" s="9" t="str">
        <f>HYPERLINK("http://www.ncbi.nlm.nih.gov/protein/85701728","Lin7a")</f>
        <v>Lin7a</v>
      </c>
      <c r="D3884" s="10">
        <f t="shared" si="60"/>
        <v>4.8658885703169767</v>
      </c>
      <c r="F3884" s="8" t="str">
        <f>HYPERLINK("https://esbl.nhlbi.nih.gov/Databases/mpkFractions/proteomic_fractions_log_files/Yang_log_img/85701728.jpg","show blot")</f>
        <v>show blot</v>
      </c>
      <c r="H3884" s="8" t="str">
        <f>HYPERLINK("https://esbl.nhlbi.nih.gov/Databases/mpkFractions/proteomic_fractions_linear_files/Yang_linear_img/85701728.jpg","show blot")</f>
        <v>show blot</v>
      </c>
      <c r="J3884" s="5" t="s">
        <v>7624</v>
      </c>
      <c r="L3884" s="11">
        <v>4.8658885703169767</v>
      </c>
      <c r="N3884" s="12"/>
    </row>
    <row r="3885" spans="1:14" s="5" customFormat="1" ht="15" customHeight="1" x14ac:dyDescent="0.25">
      <c r="A3885" s="9" t="s">
        <v>7625</v>
      </c>
      <c r="C3885" s="9" t="str">
        <f>HYPERLINK("http://www.ncbi.nlm.nih.gov/protein/86991442","Lin7a")</f>
        <v>Lin7a</v>
      </c>
      <c r="D3885" s="10">
        <f t="shared" si="60"/>
        <v>4.8658885703169767</v>
      </c>
      <c r="F3885" s="8" t="str">
        <f>HYPERLINK("https://esbl.nhlbi.nih.gov/Databases/mpkFractions/proteomic_fractions_log_files/Yang_log_img/86991442.jpg","show blot")</f>
        <v>show blot</v>
      </c>
      <c r="H3885" s="8" t="str">
        <f>HYPERLINK("https://esbl.nhlbi.nih.gov/Databases/mpkFractions/proteomic_fractions_linear_files/Yang_linear_img/86991442.jpg","show blot")</f>
        <v>show blot</v>
      </c>
      <c r="J3885" s="5" t="s">
        <v>7626</v>
      </c>
      <c r="L3885" s="11">
        <v>4.8658885703169767</v>
      </c>
      <c r="N3885" s="12"/>
    </row>
    <row r="3886" spans="1:14" s="5" customFormat="1" ht="15" customHeight="1" x14ac:dyDescent="0.25">
      <c r="A3886" s="9" t="s">
        <v>7627</v>
      </c>
      <c r="C3886" s="9" t="str">
        <f>HYPERLINK("http://www.ncbi.nlm.nih.gov/protein/6755971","Lin7b")</f>
        <v>Lin7b</v>
      </c>
      <c r="D3886" s="10">
        <f t="shared" si="60"/>
        <v>4.3461412892537101</v>
      </c>
      <c r="F3886" s="8" t="str">
        <f>HYPERLINK("https://esbl.nhlbi.nih.gov/Databases/mpkFractions/proteomic_fractions_log_files/Yang_log_img/6755971.jpg","show blot")</f>
        <v>show blot</v>
      </c>
      <c r="H3886" s="8" t="str">
        <f>HYPERLINK("https://esbl.nhlbi.nih.gov/Databases/mpkFractions/proteomic_fractions_linear_files/Yang_linear_img/6755971.jpg","show blot")</f>
        <v>show blot</v>
      </c>
      <c r="J3886" s="5" t="s">
        <v>7628</v>
      </c>
      <c r="L3886" s="11">
        <v>4.3461412892537101</v>
      </c>
      <c r="N3886" s="12"/>
    </row>
    <row r="3887" spans="1:14" s="5" customFormat="1" ht="15" customHeight="1" x14ac:dyDescent="0.25">
      <c r="A3887" s="9" t="s">
        <v>7629</v>
      </c>
      <c r="C3887" s="9" t="str">
        <f>HYPERLINK("http://www.ncbi.nlm.nih.gov/protein/6755973","Lin7c")</f>
        <v>Lin7c</v>
      </c>
      <c r="D3887" s="10">
        <f t="shared" si="60"/>
        <v>5.491904509565205</v>
      </c>
      <c r="F3887" s="8" t="str">
        <f>HYPERLINK("https://esbl.nhlbi.nih.gov/Databases/mpkFractions/proteomic_fractions_log_files/Yang_log_img/6755973.jpg","show blot")</f>
        <v>show blot</v>
      </c>
      <c r="H3887" s="8" t="str">
        <f>HYPERLINK("https://esbl.nhlbi.nih.gov/Databases/mpkFractions/proteomic_fractions_linear_files/Yang_linear_img/6755973.jpg","show blot")</f>
        <v>show blot</v>
      </c>
      <c r="J3887" s="5" t="s">
        <v>7630</v>
      </c>
      <c r="L3887" s="11">
        <v>5.491904509565205</v>
      </c>
      <c r="N3887" s="12"/>
    </row>
    <row r="3888" spans="1:14" s="5" customFormat="1" ht="15" customHeight="1" x14ac:dyDescent="0.25">
      <c r="A3888" s="9" t="s">
        <v>7631</v>
      </c>
      <c r="C3888" s="9" t="str">
        <f>HYPERLINK("http://www.ncbi.nlm.nih.gov/protein/161760651","Lipa")</f>
        <v>Lipa</v>
      </c>
      <c r="D3888" s="10">
        <f t="shared" si="60"/>
        <v>3.865837931537262</v>
      </c>
      <c r="F3888" s="8" t="str">
        <f>HYPERLINK("https://esbl.nhlbi.nih.gov/Databases/mpkFractions/proteomic_fractions_log_files/Yang_log_img/161760651.jpg","show blot")</f>
        <v>show blot</v>
      </c>
      <c r="H3888" s="8" t="str">
        <f>HYPERLINK("https://esbl.nhlbi.nih.gov/Databases/mpkFractions/proteomic_fractions_linear_files/Yang_linear_img/161760651.jpg","show blot")</f>
        <v>show blot</v>
      </c>
      <c r="J3888" s="5" t="s">
        <v>7632</v>
      </c>
      <c r="L3888" s="11">
        <v>3.865837931537262</v>
      </c>
      <c r="N3888" s="12"/>
    </row>
    <row r="3889" spans="1:14" s="5" customFormat="1" ht="15" customHeight="1" x14ac:dyDescent="0.25">
      <c r="A3889" s="9" t="s">
        <v>7633</v>
      </c>
      <c r="C3889" s="9" t="str">
        <f>HYPERLINK("http://www.ncbi.nlm.nih.gov/protein/87239970","Lipe")</f>
        <v>Lipe</v>
      </c>
      <c r="D3889" s="10">
        <f t="shared" si="60"/>
        <v>3.7598618924757812</v>
      </c>
      <c r="F3889" s="8" t="str">
        <f>HYPERLINK("https://esbl.nhlbi.nih.gov/Databases/mpkFractions/proteomic_fractions_log_files/Yang_log_img/87239970.jpg","show blot")</f>
        <v>show blot</v>
      </c>
      <c r="H3889" s="8" t="str">
        <f>HYPERLINK("https://esbl.nhlbi.nih.gov/Databases/mpkFractions/proteomic_fractions_linear_files/Yang_linear_img/87239970.jpg","show blot")</f>
        <v>show blot</v>
      </c>
      <c r="J3889" s="5" t="s">
        <v>7634</v>
      </c>
      <c r="L3889" s="11">
        <v>3.7598618924757812</v>
      </c>
      <c r="N3889" s="12"/>
    </row>
    <row r="3890" spans="1:14" s="5" customFormat="1" ht="15" customHeight="1" x14ac:dyDescent="0.25">
      <c r="A3890" s="9" t="s">
        <v>7635</v>
      </c>
      <c r="C3890" s="9" t="str">
        <f>HYPERLINK("http://www.ncbi.nlm.nih.gov/protein/87239972","Lipe")</f>
        <v>Lipe</v>
      </c>
      <c r="D3890" s="10">
        <f t="shared" si="60"/>
        <v>3.7598618924757812</v>
      </c>
      <c r="F3890" s="8" t="str">
        <f>HYPERLINK("https://esbl.nhlbi.nih.gov/Databases/mpkFractions/proteomic_fractions_log_files/Yang_log_img/87239972.jpg","show blot")</f>
        <v>show blot</v>
      </c>
      <c r="H3890" s="8" t="str">
        <f>HYPERLINK("https://esbl.nhlbi.nih.gov/Databases/mpkFractions/proteomic_fractions_linear_files/Yang_linear_img/87239972.jpg","show blot")</f>
        <v>show blot</v>
      </c>
      <c r="J3890" s="5" t="s">
        <v>7636</v>
      </c>
      <c r="L3890" s="11">
        <v>3.7598618924757812</v>
      </c>
      <c r="N3890" s="12"/>
    </row>
    <row r="3891" spans="1:14" s="5" customFormat="1" ht="15" customHeight="1" x14ac:dyDescent="0.25">
      <c r="A3891" s="9" t="s">
        <v>7637</v>
      </c>
      <c r="C3891" s="9" t="str">
        <f>HYPERLINK("http://www.ncbi.nlm.nih.gov/protein/226874865","Llgl1")</f>
        <v>Llgl1</v>
      </c>
      <c r="D3891" s="10">
        <f t="shared" si="60"/>
        <v>4.0300753677813006</v>
      </c>
      <c r="F3891" s="8" t="str">
        <f>HYPERLINK("https://esbl.nhlbi.nih.gov/Databases/mpkFractions/proteomic_fractions_log_files/Yang_log_img/226874865.jpg","show blot")</f>
        <v>show blot</v>
      </c>
      <c r="H3891" s="8" t="str">
        <f>HYPERLINK("https://esbl.nhlbi.nih.gov/Databases/mpkFractions/proteomic_fractions_linear_files/Yang_linear_img/226874865.jpg","show blot")</f>
        <v>show blot</v>
      </c>
      <c r="J3891" s="5" t="s">
        <v>7638</v>
      </c>
      <c r="L3891" s="11">
        <v>4.0300753677813006</v>
      </c>
      <c r="N3891" s="12"/>
    </row>
    <row r="3892" spans="1:14" s="5" customFormat="1" ht="15" customHeight="1" x14ac:dyDescent="0.25">
      <c r="A3892" s="9" t="s">
        <v>7639</v>
      </c>
      <c r="C3892" s="9" t="str">
        <f>HYPERLINK("http://www.ncbi.nlm.nih.gov/protein/226874867","Llgl1")</f>
        <v>Llgl1</v>
      </c>
      <c r="D3892" s="10">
        <f t="shared" si="60"/>
        <v>4.0300753677813006</v>
      </c>
      <c r="F3892" s="8" t="str">
        <f>HYPERLINK("https://esbl.nhlbi.nih.gov/Databases/mpkFractions/proteomic_fractions_log_files/Yang_log_img/226874867.jpg","show blot")</f>
        <v>show blot</v>
      </c>
      <c r="H3892" s="8" t="str">
        <f>HYPERLINK("https://esbl.nhlbi.nih.gov/Databases/mpkFractions/proteomic_fractions_linear_files/Yang_linear_img/226874867.jpg","show blot")</f>
        <v>show blot</v>
      </c>
      <c r="J3892" s="5" t="s">
        <v>7640</v>
      </c>
      <c r="L3892" s="11">
        <v>4.0300753677813006</v>
      </c>
      <c r="N3892" s="12"/>
    </row>
    <row r="3893" spans="1:14" s="5" customFormat="1" ht="15" customHeight="1" x14ac:dyDescent="0.25">
      <c r="A3893" s="9" t="s">
        <v>7641</v>
      </c>
      <c r="C3893" s="9" t="str">
        <f>HYPERLINK("http://www.ncbi.nlm.nih.gov/protein/6678696","Llgl1")</f>
        <v>Llgl1</v>
      </c>
      <c r="D3893" s="10">
        <f t="shared" si="60"/>
        <v>4.0300753677813006</v>
      </c>
      <c r="F3893" s="8" t="str">
        <f>HYPERLINK("https://esbl.nhlbi.nih.gov/Databases/mpkFractions/proteomic_fractions_log_files/Yang_log_img/6678696.jpg","show blot")</f>
        <v>show blot</v>
      </c>
      <c r="H3893" s="8" t="str">
        <f>HYPERLINK("https://esbl.nhlbi.nih.gov/Databases/mpkFractions/proteomic_fractions_linear_files/Yang_linear_img/6678696.jpg","show blot")</f>
        <v>show blot</v>
      </c>
      <c r="J3893" s="5" t="s">
        <v>7642</v>
      </c>
      <c r="L3893" s="11">
        <v>4.0300753677813006</v>
      </c>
      <c r="N3893" s="12"/>
    </row>
    <row r="3894" spans="1:14" s="5" customFormat="1" ht="15" customHeight="1" x14ac:dyDescent="0.25">
      <c r="A3894" s="9" t="s">
        <v>7643</v>
      </c>
      <c r="C3894" s="9" t="str">
        <f>HYPERLINK("http://www.ncbi.nlm.nih.gov/protein/144922656","Llgl2")</f>
        <v>Llgl2</v>
      </c>
      <c r="D3894" s="10">
        <f t="shared" si="60"/>
        <v>5.1614708124806841</v>
      </c>
      <c r="F3894" s="8" t="str">
        <f>HYPERLINK("https://esbl.nhlbi.nih.gov/Databases/mpkFractions/proteomic_fractions_log_files/Yang_log_img/144922656.jpg","show blot")</f>
        <v>show blot</v>
      </c>
      <c r="H3894" s="8" t="str">
        <f>HYPERLINK("https://esbl.nhlbi.nih.gov/Databases/mpkFractions/proteomic_fractions_linear_files/Yang_linear_img/144922656.jpg","show blot")</f>
        <v>show blot</v>
      </c>
      <c r="J3894" s="5" t="s">
        <v>7644</v>
      </c>
      <c r="L3894" s="11">
        <v>5.1614708124806841</v>
      </c>
      <c r="N3894" s="12"/>
    </row>
    <row r="3895" spans="1:14" s="5" customFormat="1" ht="15" customHeight="1" x14ac:dyDescent="0.25">
      <c r="A3895" s="9" t="s">
        <v>7645</v>
      </c>
      <c r="C3895" s="9" t="str">
        <f>HYPERLINK("http://www.ncbi.nlm.nih.gov/protein/357527422","Llgl2")</f>
        <v>Llgl2</v>
      </c>
      <c r="D3895" s="10">
        <f t="shared" si="60"/>
        <v>5.1614708124806841</v>
      </c>
      <c r="F3895" s="8" t="str">
        <f>HYPERLINK("https://esbl.nhlbi.nih.gov/Databases/mpkFractions/proteomic_fractions_log_files/Yang_log_img/357527422.jpg","show blot")</f>
        <v>show blot</v>
      </c>
      <c r="H3895" s="8" t="str">
        <f>HYPERLINK("https://esbl.nhlbi.nih.gov/Databases/mpkFractions/proteomic_fractions_linear_files/Yang_linear_img/357527422.jpg","show blot")</f>
        <v>show blot</v>
      </c>
      <c r="J3895" s="5" t="s">
        <v>7646</v>
      </c>
      <c r="L3895" s="11">
        <v>5.1614708124806841</v>
      </c>
      <c r="N3895" s="12"/>
    </row>
    <row r="3896" spans="1:14" s="5" customFormat="1" ht="15" customHeight="1" x14ac:dyDescent="0.25">
      <c r="A3896" s="9" t="s">
        <v>7647</v>
      </c>
      <c r="C3896" s="9" t="str">
        <f>HYPERLINK("http://www.ncbi.nlm.nih.gov/protein/21313566","Llph")</f>
        <v>Llph</v>
      </c>
      <c r="D3896" s="10">
        <f t="shared" si="60"/>
        <v>4.2882305866769679</v>
      </c>
      <c r="F3896" s="8" t="str">
        <f>HYPERLINK("https://esbl.nhlbi.nih.gov/Databases/mpkFractions/proteomic_fractions_log_files/Yang_log_img/21313566.jpg","show blot")</f>
        <v>show blot</v>
      </c>
      <c r="H3896" s="8" t="str">
        <f>HYPERLINK("https://esbl.nhlbi.nih.gov/Databases/mpkFractions/proteomic_fractions_linear_files/Yang_linear_img/21313566.jpg","show blot")</f>
        <v>show blot</v>
      </c>
      <c r="J3896" s="5" t="s">
        <v>7648</v>
      </c>
      <c r="L3896" s="11">
        <v>4.2882305866769679</v>
      </c>
      <c r="N3896" s="12"/>
    </row>
    <row r="3897" spans="1:14" s="5" customFormat="1" ht="15" customHeight="1" x14ac:dyDescent="0.25">
      <c r="A3897" s="9" t="s">
        <v>7649</v>
      </c>
      <c r="C3897" s="9" t="str">
        <f>HYPERLINK("http://www.ncbi.nlm.nih.gov/protein/149270995","Llph-ps2")</f>
        <v>Llph-ps2</v>
      </c>
      <c r="D3897" s="10">
        <f t="shared" si="60"/>
        <v>4.2882305866769679</v>
      </c>
      <c r="F3897" s="8" t="str">
        <f>HYPERLINK("https://esbl.nhlbi.nih.gov/Databases/mpkFractions/proteomic_fractions_log_files/Yang_log_img/149270995.jpg","show blot")</f>
        <v>show blot</v>
      </c>
      <c r="H3897" s="8" t="str">
        <f>HYPERLINK("https://esbl.nhlbi.nih.gov/Databases/mpkFractions/proteomic_fractions_linear_files/Yang_linear_img/149270995.jpg","show blot")</f>
        <v>show blot</v>
      </c>
      <c r="J3897" s="5" t="s">
        <v>5559</v>
      </c>
      <c r="L3897" s="11">
        <v>4.2882305866769679</v>
      </c>
      <c r="N3897" s="12"/>
    </row>
    <row r="3898" spans="1:14" s="5" customFormat="1" ht="15" customHeight="1" x14ac:dyDescent="0.25">
      <c r="A3898" s="9" t="s">
        <v>7650</v>
      </c>
      <c r="C3898" s="9" t="str">
        <f>HYPERLINK("http://www.ncbi.nlm.nih.gov/protein/21312570","Lman1")</f>
        <v>Lman1</v>
      </c>
      <c r="D3898" s="10">
        <f t="shared" si="60"/>
        <v>4.6802108589652329</v>
      </c>
      <c r="F3898" s="8" t="str">
        <f>HYPERLINK("https://esbl.nhlbi.nih.gov/Databases/mpkFractions/proteomic_fractions_log_files/Yang_log_img/21312570.jpg","show blot")</f>
        <v>show blot</v>
      </c>
      <c r="H3898" s="8" t="str">
        <f>HYPERLINK("https://esbl.nhlbi.nih.gov/Databases/mpkFractions/proteomic_fractions_linear_files/Yang_linear_img/21312570.jpg","show blot")</f>
        <v>show blot</v>
      </c>
      <c r="J3898" s="5" t="s">
        <v>7651</v>
      </c>
      <c r="L3898" s="11">
        <v>4.6802108589652329</v>
      </c>
      <c r="N3898" s="12"/>
    </row>
    <row r="3899" spans="1:14" s="5" customFormat="1" ht="15" customHeight="1" x14ac:dyDescent="0.25">
      <c r="A3899" s="9" t="s">
        <v>7652</v>
      </c>
      <c r="C3899" s="9" t="str">
        <f>HYPERLINK("http://www.ncbi.nlm.nih.gov/protein/34328278","Lman2")</f>
        <v>Lman2</v>
      </c>
      <c r="D3899" s="10">
        <f t="shared" si="60"/>
        <v>5.5197188944600706</v>
      </c>
      <c r="F3899" s="8" t="str">
        <f>HYPERLINK("https://esbl.nhlbi.nih.gov/Databases/mpkFractions/proteomic_fractions_log_files/Yang_log_img/34328278.jpg","show blot")</f>
        <v>show blot</v>
      </c>
      <c r="H3899" s="8" t="str">
        <f>HYPERLINK("https://esbl.nhlbi.nih.gov/Databases/mpkFractions/proteomic_fractions_linear_files/Yang_linear_img/34328278.jpg","show blot")</f>
        <v>show blot</v>
      </c>
      <c r="J3899" s="5" t="s">
        <v>7653</v>
      </c>
      <c r="L3899" s="11">
        <v>5.5197188944600706</v>
      </c>
      <c r="N3899" s="12"/>
    </row>
    <row r="3900" spans="1:14" s="5" customFormat="1" ht="15" customHeight="1" x14ac:dyDescent="0.25">
      <c r="A3900" s="9" t="s">
        <v>7654</v>
      </c>
      <c r="C3900" s="9" t="str">
        <f>HYPERLINK("http://www.ncbi.nlm.nih.gov/protein/61656186","Lman2l")</f>
        <v>Lman2l</v>
      </c>
      <c r="D3900" s="10">
        <f t="shared" si="60"/>
        <v>4.0249858752016081</v>
      </c>
      <c r="F3900" s="8" t="str">
        <f>HYPERLINK("https://esbl.nhlbi.nih.gov/Databases/mpkFractions/proteomic_fractions_log_files/Yang_log_img/61656186.jpg","show blot")</f>
        <v>show blot</v>
      </c>
      <c r="H3900" s="8" t="str">
        <f>HYPERLINK("https://esbl.nhlbi.nih.gov/Databases/mpkFractions/proteomic_fractions_linear_files/Yang_linear_img/61656186.jpg","show blot")</f>
        <v>show blot</v>
      </c>
      <c r="J3900" s="5" t="s">
        <v>7655</v>
      </c>
      <c r="L3900" s="11">
        <v>4.0249858752016081</v>
      </c>
      <c r="N3900" s="12"/>
    </row>
    <row r="3901" spans="1:14" s="5" customFormat="1" ht="15" customHeight="1" x14ac:dyDescent="0.25">
      <c r="A3901" s="9" t="s">
        <v>7656</v>
      </c>
      <c r="C3901" s="9" t="str">
        <f>HYPERLINK("http://www.ncbi.nlm.nih.gov/protein/123701962","Lmbrd1")</f>
        <v>Lmbrd1</v>
      </c>
      <c r="D3901" s="10">
        <f t="shared" si="60"/>
        <v>2.6034016046557809</v>
      </c>
      <c r="F3901" s="8" t="str">
        <f>HYPERLINK("https://esbl.nhlbi.nih.gov/Databases/mpkFractions/proteomic_fractions_log_files/Yang_log_img/123701962.jpg","show blot")</f>
        <v>show blot</v>
      </c>
      <c r="H3901" s="8" t="str">
        <f>HYPERLINK("https://esbl.nhlbi.nih.gov/Databases/mpkFractions/proteomic_fractions_linear_files/Yang_linear_img/123701962.jpg","show blot")</f>
        <v>show blot</v>
      </c>
      <c r="J3901" s="5" t="s">
        <v>7657</v>
      </c>
      <c r="L3901" s="11">
        <v>2.6034016046557809</v>
      </c>
      <c r="N3901" s="12"/>
    </row>
    <row r="3902" spans="1:14" s="5" customFormat="1" ht="15" customHeight="1" x14ac:dyDescent="0.25">
      <c r="A3902" s="9" t="s">
        <v>7658</v>
      </c>
      <c r="C3902" s="9" t="str">
        <f>HYPERLINK("http://www.ncbi.nlm.nih.gov/protein/254939582","Lmf1")</f>
        <v>Lmf1</v>
      </c>
      <c r="D3902" s="10">
        <f t="shared" si="60"/>
        <v>5.6361996803265422</v>
      </c>
      <c r="F3902" s="8" t="str">
        <f>HYPERLINK("https://esbl.nhlbi.nih.gov/Databases/mpkFractions/proteomic_fractions_log_files/Yang_log_img/254939582.jpg","show blot")</f>
        <v>show blot</v>
      </c>
      <c r="H3902" s="8" t="str">
        <f>HYPERLINK("https://esbl.nhlbi.nih.gov/Databases/mpkFractions/proteomic_fractions_linear_files/Yang_linear_img/254939582.jpg","show blot")</f>
        <v>show blot</v>
      </c>
      <c r="J3902" s="5" t="s">
        <v>7659</v>
      </c>
      <c r="L3902" s="11">
        <v>5.6361996803265422</v>
      </c>
      <c r="N3902" s="12"/>
    </row>
    <row r="3903" spans="1:14" s="5" customFormat="1" ht="15" customHeight="1" x14ac:dyDescent="0.25">
      <c r="A3903" s="9" t="s">
        <v>7660</v>
      </c>
      <c r="C3903" s="9" t="str">
        <f>HYPERLINK("http://www.ncbi.nlm.nih.gov/protein/30725786","Lmf2")</f>
        <v>Lmf2</v>
      </c>
      <c r="D3903" s="10">
        <f t="shared" si="60"/>
        <v>4.0216933175928116</v>
      </c>
      <c r="F3903" s="8" t="str">
        <f>HYPERLINK("https://esbl.nhlbi.nih.gov/Databases/mpkFractions/proteomic_fractions_log_files/Yang_log_img/30725786.jpg","show blot")</f>
        <v>show blot</v>
      </c>
      <c r="H3903" s="8" t="str">
        <f>HYPERLINK("https://esbl.nhlbi.nih.gov/Databases/mpkFractions/proteomic_fractions_linear_files/Yang_linear_img/30725786.jpg","show blot")</f>
        <v>show blot</v>
      </c>
      <c r="J3903" s="5" t="s">
        <v>7661</v>
      </c>
      <c r="L3903" s="11">
        <v>4.0216933175928116</v>
      </c>
      <c r="N3903" s="12"/>
    </row>
    <row r="3904" spans="1:14" s="5" customFormat="1" ht="15" customHeight="1" x14ac:dyDescent="0.25">
      <c r="A3904" s="9" t="s">
        <v>7662</v>
      </c>
      <c r="C3904" s="9" t="str">
        <f>HYPERLINK("http://www.ncbi.nlm.nih.gov/protein/9506843","Lmna")</f>
        <v>Lmna</v>
      </c>
      <c r="D3904" s="10">
        <f t="shared" si="60"/>
        <v>6.9399800974681174</v>
      </c>
      <c r="F3904" s="8" t="str">
        <f>HYPERLINK("https://esbl.nhlbi.nih.gov/Databases/mpkFractions/proteomic_fractions_log_files/Yang_log_img/9506843.jpg","show blot")</f>
        <v>show blot</v>
      </c>
      <c r="H3904" s="8" t="str">
        <f>HYPERLINK("https://esbl.nhlbi.nih.gov/Databases/mpkFractions/proteomic_fractions_linear_files/Yang_linear_img/9506843.jpg","show blot")</f>
        <v>show blot</v>
      </c>
      <c r="J3904" s="5" t="s">
        <v>7663</v>
      </c>
      <c r="L3904" s="11">
        <v>6.9399800974681174</v>
      </c>
      <c r="N3904" s="12"/>
    </row>
    <row r="3905" spans="1:14" s="5" customFormat="1" ht="15" customHeight="1" x14ac:dyDescent="0.25">
      <c r="A3905" s="9" t="s">
        <v>7664</v>
      </c>
      <c r="C3905" s="9" t="str">
        <f>HYPERLINK("http://www.ncbi.nlm.nih.gov/protein/161760667","Lmna")</f>
        <v>Lmna</v>
      </c>
      <c r="D3905" s="10">
        <f t="shared" si="60"/>
        <v>6.9399800974681174</v>
      </c>
      <c r="F3905" s="8" t="str">
        <f>HYPERLINK("https://esbl.nhlbi.nih.gov/Databases/mpkFractions/proteomic_fractions_log_files/Yang_log_img/161760667.jpg","show blot")</f>
        <v>show blot</v>
      </c>
      <c r="H3905" s="8" t="str">
        <f>HYPERLINK("https://esbl.nhlbi.nih.gov/Databases/mpkFractions/proteomic_fractions_linear_files/Yang_linear_img/161760667.jpg","show blot")</f>
        <v>show blot</v>
      </c>
      <c r="J3905" s="5" t="s">
        <v>7665</v>
      </c>
      <c r="L3905" s="11">
        <v>6.9399800974681174</v>
      </c>
      <c r="N3905" s="12"/>
    </row>
    <row r="3906" spans="1:14" s="5" customFormat="1" ht="15" customHeight="1" x14ac:dyDescent="0.25">
      <c r="A3906" s="9" t="s">
        <v>7666</v>
      </c>
      <c r="C3906" s="9" t="str">
        <f>HYPERLINK("http://www.ncbi.nlm.nih.gov/protein/162287370","Lmna")</f>
        <v>Lmna</v>
      </c>
      <c r="D3906" s="10">
        <f t="shared" si="60"/>
        <v>6.9399800974681174</v>
      </c>
      <c r="F3906" s="8" t="str">
        <f>HYPERLINK("https://esbl.nhlbi.nih.gov/Databases/mpkFractions/proteomic_fractions_log_files/Yang_log_img/162287370.jpg","show blot")</f>
        <v>show blot</v>
      </c>
      <c r="H3906" s="8" t="str">
        <f>HYPERLINK("https://esbl.nhlbi.nih.gov/Databases/mpkFractions/proteomic_fractions_linear_files/Yang_linear_img/162287370.jpg","show blot")</f>
        <v>show blot</v>
      </c>
      <c r="J3906" s="5" t="s">
        <v>7667</v>
      </c>
      <c r="L3906" s="11">
        <v>6.9399800974681174</v>
      </c>
      <c r="N3906" s="12"/>
    </row>
    <row r="3907" spans="1:14" s="5" customFormat="1" ht="15" customHeight="1" x14ac:dyDescent="0.25">
      <c r="A3907" s="9" t="s">
        <v>7668</v>
      </c>
      <c r="C3907" s="9" t="str">
        <f>HYPERLINK("http://www.ncbi.nlm.nih.gov/protein/188219589","Lmnb1")</f>
        <v>Lmnb1</v>
      </c>
      <c r="D3907" s="10">
        <f t="shared" si="60"/>
        <v>6.3072300173428806</v>
      </c>
      <c r="F3907" s="8" t="str">
        <f>HYPERLINK("https://esbl.nhlbi.nih.gov/Databases/mpkFractions/proteomic_fractions_log_files/Yang_log_img/188219589.jpg","show blot")</f>
        <v>show blot</v>
      </c>
      <c r="H3907" s="8" t="str">
        <f>HYPERLINK("https://esbl.nhlbi.nih.gov/Databases/mpkFractions/proteomic_fractions_linear_files/Yang_linear_img/188219589.jpg","show blot")</f>
        <v>show blot</v>
      </c>
      <c r="J3907" s="5" t="s">
        <v>7669</v>
      </c>
      <c r="L3907" s="11">
        <v>6.3072300173428806</v>
      </c>
      <c r="N3907" s="12"/>
    </row>
    <row r="3908" spans="1:14" s="5" customFormat="1" ht="15" customHeight="1" x14ac:dyDescent="0.25">
      <c r="A3908" s="9" t="s">
        <v>7670</v>
      </c>
      <c r="C3908" s="9" t="str">
        <f>HYPERLINK("http://www.ncbi.nlm.nih.gov/protein/113195686","Lmnb2")</f>
        <v>Lmnb2</v>
      </c>
      <c r="D3908" s="10">
        <f t="shared" si="60"/>
        <v>5.8574986971421801</v>
      </c>
      <c r="F3908" s="8" t="str">
        <f>HYPERLINK("https://esbl.nhlbi.nih.gov/Databases/mpkFractions/proteomic_fractions_log_files/Yang_log_img/113195686.jpg","show blot")</f>
        <v>show blot</v>
      </c>
      <c r="H3908" s="8" t="str">
        <f>HYPERLINK("https://esbl.nhlbi.nih.gov/Databases/mpkFractions/proteomic_fractions_linear_files/Yang_linear_img/113195686.jpg","show blot")</f>
        <v>show blot</v>
      </c>
      <c r="J3908" s="5" t="s">
        <v>7671</v>
      </c>
      <c r="L3908" s="11">
        <v>5.8574986971421801</v>
      </c>
      <c r="N3908" s="12"/>
    </row>
    <row r="3909" spans="1:14" s="5" customFormat="1" ht="15" customHeight="1" x14ac:dyDescent="0.25">
      <c r="A3909" s="9" t="s">
        <v>7672</v>
      </c>
      <c r="C3909" s="9" t="str">
        <f>HYPERLINK("http://www.ncbi.nlm.nih.gov/protein/157311641","Lmo7")</f>
        <v>Lmo7</v>
      </c>
      <c r="D3909" s="10">
        <f t="shared" ref="D3909:D3972" si="61">L3909</f>
        <v>3.4147320303531079</v>
      </c>
      <c r="F3909" s="8" t="str">
        <f>HYPERLINK("https://esbl.nhlbi.nih.gov/Databases/mpkFractions/proteomic_fractions_log_files/Yang_log_img/157311641.jpg","show blot")</f>
        <v>show blot</v>
      </c>
      <c r="H3909" s="8" t="str">
        <f>HYPERLINK("https://esbl.nhlbi.nih.gov/Databases/mpkFractions/proteomic_fractions_linear_files/Yang_linear_img/157311641.jpg","show blot")</f>
        <v>show blot</v>
      </c>
      <c r="J3909" s="5" t="s">
        <v>7673</v>
      </c>
      <c r="L3909" s="11">
        <v>3.4147320303531079</v>
      </c>
      <c r="N3909" s="12"/>
    </row>
    <row r="3910" spans="1:14" s="5" customFormat="1" ht="15" customHeight="1" x14ac:dyDescent="0.25">
      <c r="A3910" s="9" t="s">
        <v>7674</v>
      </c>
      <c r="C3910" s="9" t="str">
        <f>HYPERLINK("http://www.ncbi.nlm.nih.gov/protein/124487401","Lmtk2")</f>
        <v>Lmtk2</v>
      </c>
      <c r="D3910" s="10">
        <f t="shared" si="61"/>
        <v>2.6601206503510268</v>
      </c>
      <c r="F3910" s="8" t="str">
        <f>HYPERLINK("https://esbl.nhlbi.nih.gov/Databases/mpkFractions/proteomic_fractions_log_files/Yang_log_img/124487401.jpg","show blot")</f>
        <v>show blot</v>
      </c>
      <c r="H3910" s="8" t="str">
        <f>HYPERLINK("https://esbl.nhlbi.nih.gov/Databases/mpkFractions/proteomic_fractions_linear_files/Yang_linear_img/124487401.jpg","show blot")</f>
        <v>show blot</v>
      </c>
      <c r="J3910" s="5" t="s">
        <v>7675</v>
      </c>
      <c r="L3910" s="11">
        <v>2.6601206503510268</v>
      </c>
      <c r="N3910" s="12"/>
    </row>
    <row r="3911" spans="1:14" s="5" customFormat="1" ht="15" customHeight="1" x14ac:dyDescent="0.25">
      <c r="A3911" s="9" t="s">
        <v>7676</v>
      </c>
      <c r="C3911" s="9" t="str">
        <f>HYPERLINK("http://www.ncbi.nlm.nih.gov/protein/27370240","Lnpep")</f>
        <v>Lnpep</v>
      </c>
      <c r="D3911" s="10">
        <f t="shared" si="61"/>
        <v>5.0830161261402518</v>
      </c>
      <c r="F3911" s="8" t="str">
        <f>HYPERLINK("https://esbl.nhlbi.nih.gov/Databases/mpkFractions/proteomic_fractions_log_files/Yang_log_img/27370240.jpg","show blot")</f>
        <v>show blot</v>
      </c>
      <c r="H3911" s="8" t="str">
        <f>HYPERLINK("https://esbl.nhlbi.nih.gov/Databases/mpkFractions/proteomic_fractions_linear_files/Yang_linear_img/27370240.jpg","show blot")</f>
        <v>show blot</v>
      </c>
      <c r="J3911" s="5" t="s">
        <v>7677</v>
      </c>
      <c r="L3911" s="11">
        <v>5.0830161261402518</v>
      </c>
      <c r="N3911" s="12"/>
    </row>
    <row r="3912" spans="1:14" s="5" customFormat="1" ht="15" customHeight="1" x14ac:dyDescent="0.25">
      <c r="A3912" s="9" t="s">
        <v>7678</v>
      </c>
      <c r="C3912" s="9" t="str">
        <f>HYPERLINK("http://www.ncbi.nlm.nih.gov/protein/407260881","LOC100044322")</f>
        <v>LOC100044322</v>
      </c>
      <c r="D3912" s="10">
        <f t="shared" si="61"/>
        <v>5.3156511029977063</v>
      </c>
      <c r="F3912" s="8" t="str">
        <f>HYPERLINK("https://esbl.nhlbi.nih.gov/Databases/mpkFractions/proteomic_fractions_log_files/Yang_log_img/407260881.jpg","show blot")</f>
        <v>show blot</v>
      </c>
      <c r="H3912" s="8" t="str">
        <f>HYPERLINK("https://esbl.nhlbi.nih.gov/Databases/mpkFractions/proteomic_fractions_linear_files/Yang_linear_img/407260881.jpg","show blot")</f>
        <v>show blot</v>
      </c>
      <c r="J3912" s="5" t="s">
        <v>7679</v>
      </c>
      <c r="L3912" s="11">
        <v>5.3156511029977063</v>
      </c>
      <c r="N3912" s="12"/>
    </row>
    <row r="3913" spans="1:14" s="5" customFormat="1" ht="15" customHeight="1" x14ac:dyDescent="0.25">
      <c r="A3913" s="9" t="s">
        <v>7680</v>
      </c>
      <c r="C3913" s="9" t="str">
        <f>HYPERLINK("http://www.ncbi.nlm.nih.gov/protein/149257848","LOC100044391")</f>
        <v>LOC100044391</v>
      </c>
      <c r="D3913" s="10">
        <f t="shared" si="61"/>
        <v>5.0194096679939628</v>
      </c>
      <c r="F3913" s="8" t="str">
        <f>HYPERLINK("https://esbl.nhlbi.nih.gov/Databases/mpkFractions/proteomic_fractions_log_files/Yang_log_img/149257848.jpg","show blot")</f>
        <v>show blot</v>
      </c>
      <c r="H3913" s="8" t="str">
        <f>HYPERLINK("https://esbl.nhlbi.nih.gov/Databases/mpkFractions/proteomic_fractions_linear_files/Yang_linear_img/149257848.jpg","show blot")</f>
        <v>show blot</v>
      </c>
      <c r="J3913" s="5" t="s">
        <v>7681</v>
      </c>
      <c r="L3913" s="11">
        <v>5.0194096679939628</v>
      </c>
      <c r="N3913" s="12"/>
    </row>
    <row r="3914" spans="1:14" s="5" customFormat="1" ht="15" customHeight="1" x14ac:dyDescent="0.25">
      <c r="A3914" s="9" t="s">
        <v>7682</v>
      </c>
      <c r="C3914" s="9" t="str">
        <f>HYPERLINK("http://www.ncbi.nlm.nih.gov/protein/377837128","LOC100044627")</f>
        <v>LOC100044627</v>
      </c>
      <c r="D3914" s="10">
        <f t="shared" si="61"/>
        <v>6.5666952313389038</v>
      </c>
      <c r="F3914" s="8" t="str">
        <f>HYPERLINK("https://esbl.nhlbi.nih.gov/Databases/mpkFractions/proteomic_fractions_log_files/Yang_log_img/377837128.jpg","show blot")</f>
        <v>show blot</v>
      </c>
      <c r="H3914" s="8" t="str">
        <f>HYPERLINK("https://esbl.nhlbi.nih.gov/Databases/mpkFractions/proteomic_fractions_linear_files/Yang_linear_img/377837128.jpg","show blot")</f>
        <v>show blot</v>
      </c>
      <c r="J3914" s="5" t="s">
        <v>5567</v>
      </c>
      <c r="L3914" s="11">
        <v>6.5666952313389038</v>
      </c>
      <c r="N3914" s="12"/>
    </row>
    <row r="3915" spans="1:14" s="5" customFormat="1" ht="15" customHeight="1" x14ac:dyDescent="0.25">
      <c r="A3915" s="9" t="s">
        <v>7683</v>
      </c>
      <c r="C3915" s="9" t="str">
        <f>HYPERLINK("http://www.ncbi.nlm.nih.gov/protein/149255928","LOC100044742")</f>
        <v>LOC100044742</v>
      </c>
      <c r="D3915" s="10">
        <f t="shared" si="61"/>
        <v>4.9235633097358997</v>
      </c>
      <c r="F3915" s="8" t="str">
        <f>HYPERLINK("https://esbl.nhlbi.nih.gov/Databases/mpkFractions/proteomic_fractions_log_files/Yang_log_img/149255928.jpg","show blot")</f>
        <v>show blot</v>
      </c>
      <c r="H3915" s="8" t="str">
        <f>HYPERLINK("https://esbl.nhlbi.nih.gov/Databases/mpkFractions/proteomic_fractions_linear_files/Yang_linear_img/149255928.jpg","show blot")</f>
        <v>show blot</v>
      </c>
      <c r="J3915" s="5" t="s">
        <v>7684</v>
      </c>
      <c r="L3915" s="11">
        <v>4.9235633097358997</v>
      </c>
      <c r="N3915" s="12"/>
    </row>
    <row r="3916" spans="1:14" s="5" customFormat="1" ht="15" customHeight="1" x14ac:dyDescent="0.25">
      <c r="A3916" s="9" t="s">
        <v>7685</v>
      </c>
      <c r="C3916" s="9" t="str">
        <f>HYPERLINK("http://www.ncbi.nlm.nih.gov/protein/309263678","LOC100044811")</f>
        <v>LOC100044811</v>
      </c>
      <c r="D3916" s="10">
        <f t="shared" si="61"/>
        <v>3.9203105292643601</v>
      </c>
      <c r="F3916" s="8" t="str">
        <f>HYPERLINK("https://esbl.nhlbi.nih.gov/Databases/mpkFractions/proteomic_fractions_log_files/Yang_log_img/309263678.jpg","show blot")</f>
        <v>show blot</v>
      </c>
      <c r="H3916" s="8" t="str">
        <f>HYPERLINK("https://esbl.nhlbi.nih.gov/Databases/mpkFractions/proteomic_fractions_linear_files/Yang_linear_img/309263678.jpg","show blot")</f>
        <v>show blot</v>
      </c>
      <c r="J3916" s="5" t="s">
        <v>7686</v>
      </c>
      <c r="L3916" s="11">
        <v>3.9203105292643601</v>
      </c>
      <c r="N3916" s="12"/>
    </row>
    <row r="3917" spans="1:14" s="5" customFormat="1" ht="15" customHeight="1" x14ac:dyDescent="0.25">
      <c r="A3917" s="9" t="s">
        <v>7687</v>
      </c>
      <c r="C3917" s="9" t="str">
        <f>HYPERLINK("http://www.ncbi.nlm.nih.gov/protein/149251501","LOC100044829")</f>
        <v>LOC100044829</v>
      </c>
      <c r="D3917" s="10">
        <f t="shared" si="61"/>
        <v>6.0769382248876793</v>
      </c>
      <c r="F3917" s="8" t="str">
        <f>HYPERLINK("https://esbl.nhlbi.nih.gov/Databases/mpkFractions/proteomic_fractions_log_files/Yang_log_img/149251501.jpg","show blot")</f>
        <v>show blot</v>
      </c>
      <c r="H3917" s="8" t="str">
        <f>HYPERLINK("https://esbl.nhlbi.nih.gov/Databases/mpkFractions/proteomic_fractions_linear_files/Yang_linear_img/149251501.jpg","show blot")</f>
        <v>show blot</v>
      </c>
      <c r="J3917" s="5" t="s">
        <v>7688</v>
      </c>
      <c r="L3917" s="11">
        <v>6.0769382248876793</v>
      </c>
      <c r="N3917" s="12"/>
    </row>
    <row r="3918" spans="1:14" s="5" customFormat="1" ht="15" customHeight="1" x14ac:dyDescent="0.25">
      <c r="A3918" s="9" t="s">
        <v>7689</v>
      </c>
      <c r="C3918" s="9" t="str">
        <f>HYPERLINK("http://www.ncbi.nlm.nih.gov/protein/407262350","LOC100044900")</f>
        <v>LOC100044900</v>
      </c>
      <c r="D3918" s="10">
        <f t="shared" si="61"/>
        <v>4.4480859469832188</v>
      </c>
      <c r="F3918" s="8" t="str">
        <f>HYPERLINK("https://esbl.nhlbi.nih.gov/Databases/mpkFractions/proteomic_fractions_log_files/Yang_log_img/407262350.jpg","show blot")</f>
        <v>show blot</v>
      </c>
      <c r="H3918" s="8" t="str">
        <f>HYPERLINK("https://esbl.nhlbi.nih.gov/Databases/mpkFractions/proteomic_fractions_linear_files/Yang_linear_img/407262350.jpg","show blot")</f>
        <v>show blot</v>
      </c>
      <c r="J3918" s="5" t="s">
        <v>7690</v>
      </c>
      <c r="L3918" s="11">
        <v>4.4480859469832188</v>
      </c>
      <c r="N3918" s="12"/>
    </row>
    <row r="3919" spans="1:14" s="5" customFormat="1" ht="15" customHeight="1" x14ac:dyDescent="0.25">
      <c r="A3919" s="9" t="s">
        <v>7691</v>
      </c>
      <c r="C3919" s="9" t="str">
        <f>HYPERLINK("http://www.ncbi.nlm.nih.gov/protein/407262350;35493987","LOC100044900")</f>
        <v>LOC100044900</v>
      </c>
      <c r="D3919" s="10">
        <f t="shared" si="61"/>
        <v>4.4480859469832188</v>
      </c>
      <c r="F3919" s="8" t="str">
        <f>HYPERLINK("https://esbl.nhlbi.nih.gov/Databases/mpkFractions/proteomic_fractions_log_files/Yang_log_img/407262350;35493987.jpg","show blot")</f>
        <v>show blot</v>
      </c>
      <c r="H3919" s="8" t="str">
        <f>HYPERLINK("https://esbl.nhlbi.nih.gov/Databases/mpkFractions/proteomic_fractions_linear_files/Yang_linear_img/407262350;35493987.jpg","show blot")</f>
        <v>show blot</v>
      </c>
      <c r="J3919" s="5" t="s">
        <v>7690</v>
      </c>
      <c r="L3919" s="11">
        <v>4.4480859469832188</v>
      </c>
      <c r="N3919" s="12"/>
    </row>
    <row r="3920" spans="1:14" s="5" customFormat="1" ht="15" customHeight="1" x14ac:dyDescent="0.25">
      <c r="A3920" s="9" t="s">
        <v>7692</v>
      </c>
      <c r="C3920" s="9" t="str">
        <f>HYPERLINK("http://www.ncbi.nlm.nih.gov/protein/407262157","LOC100045148")</f>
        <v>LOC100045148</v>
      </c>
      <c r="D3920" s="10">
        <f t="shared" si="61"/>
        <v>1.0720263151598881</v>
      </c>
      <c r="F3920" s="8" t="str">
        <f>HYPERLINK("https://esbl.nhlbi.nih.gov/Databases/mpkFractions/proteomic_fractions_log_files/Yang_log_img/407262157.jpg","show blot")</f>
        <v>show blot</v>
      </c>
      <c r="H3920" s="8" t="str">
        <f>HYPERLINK("https://esbl.nhlbi.nih.gov/Databases/mpkFractions/proteomic_fractions_linear_files/Yang_linear_img/407262157.jpg","show blot")</f>
        <v>show blot</v>
      </c>
      <c r="J3920" s="5" t="s">
        <v>7693</v>
      </c>
      <c r="L3920" s="11">
        <v>1.0720263151598881</v>
      </c>
      <c r="N3920" s="12"/>
    </row>
    <row r="3921" spans="1:14" s="5" customFormat="1" ht="15" customHeight="1" x14ac:dyDescent="0.25">
      <c r="A3921" s="9" t="s">
        <v>7694</v>
      </c>
      <c r="C3921" s="9" t="str">
        <f>HYPERLINK("http://www.ncbi.nlm.nih.gov/protein/309267107","LOC100045191")</f>
        <v>LOC100045191</v>
      </c>
      <c r="D3921" s="10">
        <f t="shared" si="61"/>
        <v>7.1327697710483653</v>
      </c>
      <c r="F3921" s="8" t="str">
        <f>HYPERLINK("https://esbl.nhlbi.nih.gov/Databases/mpkFractions/proteomic_fractions_log_files/Yang_log_img/309267107.jpg","show blot")</f>
        <v>show blot</v>
      </c>
      <c r="H3921" s="8" t="str">
        <f>HYPERLINK("https://esbl.nhlbi.nih.gov/Databases/mpkFractions/proteomic_fractions_linear_files/Yang_linear_img/309267107.jpg","show blot")</f>
        <v>show blot</v>
      </c>
      <c r="J3921" s="5" t="s">
        <v>7695</v>
      </c>
      <c r="L3921" s="11">
        <v>7.1327697710483653</v>
      </c>
      <c r="N3921" s="12"/>
    </row>
    <row r="3922" spans="1:14" s="5" customFormat="1" ht="15" customHeight="1" x14ac:dyDescent="0.25">
      <c r="A3922" s="9" t="s">
        <v>7696</v>
      </c>
      <c r="C3922" s="9" t="str">
        <f>HYPERLINK("http://www.ncbi.nlm.nih.gov/protein/309267107;109134362","LOC100045191")</f>
        <v>LOC100045191</v>
      </c>
      <c r="D3922" s="10">
        <f t="shared" si="61"/>
        <v>7.1327697710483653</v>
      </c>
      <c r="F3922" s="8" t="str">
        <f>HYPERLINK("https://esbl.nhlbi.nih.gov/Databases/mpkFractions/proteomic_fractions_log_files/Yang_log_img/309267107;109134362.jpg","show blot")</f>
        <v>show blot</v>
      </c>
      <c r="H3922" s="8" t="str">
        <f>HYPERLINK("https://esbl.nhlbi.nih.gov/Databases/mpkFractions/proteomic_fractions_linear_files/Yang_linear_img/309267107;109134362.jpg","show blot")</f>
        <v>show blot</v>
      </c>
      <c r="J3922" s="5" t="s">
        <v>7695</v>
      </c>
      <c r="L3922" s="11">
        <v>7.1327697710483653</v>
      </c>
      <c r="N3922" s="12"/>
    </row>
    <row r="3923" spans="1:14" s="5" customFormat="1" ht="15" customHeight="1" x14ac:dyDescent="0.25">
      <c r="A3923" s="9" t="s">
        <v>7697</v>
      </c>
      <c r="C3923" s="9" t="str">
        <f>HYPERLINK("http://www.ncbi.nlm.nih.gov/protein/309266688","LOC100045367")</f>
        <v>LOC100045367</v>
      </c>
      <c r="D3923" s="10">
        <f t="shared" si="61"/>
        <v>6.4921015700826841</v>
      </c>
      <c r="F3923" s="8" t="str">
        <f>HYPERLINK("https://esbl.nhlbi.nih.gov/Databases/mpkFractions/proteomic_fractions_log_files/Yang_log_img/309266688.jpg","show blot")</f>
        <v>show blot</v>
      </c>
      <c r="H3923" s="8" t="str">
        <f>HYPERLINK("https://esbl.nhlbi.nih.gov/Databases/mpkFractions/proteomic_fractions_linear_files/Yang_linear_img/309266688.jpg","show blot")</f>
        <v>show blot</v>
      </c>
      <c r="J3923" s="5" t="s">
        <v>7698</v>
      </c>
      <c r="L3923" s="11">
        <v>6.4921015700826841</v>
      </c>
      <c r="N3923" s="12"/>
    </row>
    <row r="3924" spans="1:14" s="5" customFormat="1" ht="15" customHeight="1" x14ac:dyDescent="0.25">
      <c r="A3924" s="9" t="s">
        <v>7699</v>
      </c>
      <c r="C3924" s="9" t="str">
        <f>HYPERLINK("http://www.ncbi.nlm.nih.gov/protein/149274502","LOC100045688")</f>
        <v>LOC100045688</v>
      </c>
      <c r="D3924" s="10">
        <f t="shared" si="61"/>
        <v>4.8944537682706244</v>
      </c>
      <c r="F3924" s="8" t="str">
        <f>HYPERLINK("https://esbl.nhlbi.nih.gov/Databases/mpkFractions/proteomic_fractions_log_files/Yang_log_img/149274502.jpg","show blot")</f>
        <v>show blot</v>
      </c>
      <c r="H3924" s="8" t="str">
        <f>HYPERLINK("https://esbl.nhlbi.nih.gov/Databases/mpkFractions/proteomic_fractions_linear_files/Yang_linear_img/149274502.jpg","show blot")</f>
        <v>show blot</v>
      </c>
      <c r="J3924" s="5" t="s">
        <v>5530</v>
      </c>
      <c r="L3924" s="11">
        <v>4.8944537682706244</v>
      </c>
      <c r="N3924" s="12"/>
    </row>
    <row r="3925" spans="1:14" s="5" customFormat="1" ht="15" customHeight="1" x14ac:dyDescent="0.25">
      <c r="A3925" s="9" t="s">
        <v>7700</v>
      </c>
      <c r="C3925" s="9" t="str">
        <f>HYPERLINK("http://www.ncbi.nlm.nih.gov/protein/149271901","LOC100045848")</f>
        <v>LOC100045848</v>
      </c>
      <c r="D3925" s="10">
        <f t="shared" si="61"/>
        <v>5.3052359420347894</v>
      </c>
      <c r="F3925" s="8" t="str">
        <f>HYPERLINK("https://esbl.nhlbi.nih.gov/Databases/mpkFractions/proteomic_fractions_log_files/Yang_log_img/149271901.jpg","show blot")</f>
        <v>show blot</v>
      </c>
      <c r="H3925" s="8" t="str">
        <f>HYPERLINK("https://esbl.nhlbi.nih.gov/Databases/mpkFractions/proteomic_fractions_linear_files/Yang_linear_img/149271901.jpg","show blot")</f>
        <v>show blot</v>
      </c>
      <c r="J3925" s="5" t="s">
        <v>7701</v>
      </c>
      <c r="L3925" s="11">
        <v>5.3052359420347894</v>
      </c>
      <c r="N3925" s="12"/>
    </row>
    <row r="3926" spans="1:14" s="5" customFormat="1" ht="15" customHeight="1" x14ac:dyDescent="0.25">
      <c r="A3926" s="9" t="s">
        <v>7702</v>
      </c>
      <c r="C3926" s="9" t="str">
        <f>HYPERLINK("http://www.ncbi.nlm.nih.gov/protein/149251548","LOC100045901")</f>
        <v>LOC100045901</v>
      </c>
      <c r="D3926" s="10">
        <f t="shared" si="61"/>
        <v>5.7772407420395089</v>
      </c>
      <c r="F3926" s="8" t="str">
        <f>HYPERLINK("https://esbl.nhlbi.nih.gov/Databases/mpkFractions/proteomic_fractions_log_files/Yang_log_img/149251548.jpg","show blot")</f>
        <v>show blot</v>
      </c>
      <c r="H3926" s="8" t="str">
        <f>HYPERLINK("https://esbl.nhlbi.nih.gov/Databases/mpkFractions/proteomic_fractions_linear_files/Yang_linear_img/149251548.jpg","show blot")</f>
        <v>show blot</v>
      </c>
      <c r="J3926" s="5" t="s">
        <v>5451</v>
      </c>
      <c r="L3926" s="11">
        <v>5.7772407420395089</v>
      </c>
      <c r="N3926" s="12"/>
    </row>
    <row r="3927" spans="1:14" s="5" customFormat="1" ht="15" customHeight="1" x14ac:dyDescent="0.25">
      <c r="A3927" s="9" t="s">
        <v>7703</v>
      </c>
      <c r="C3927" s="9" t="str">
        <f>HYPERLINK("http://www.ncbi.nlm.nih.gov/protein/149262068","LOC100045924")</f>
        <v>LOC100045924</v>
      </c>
      <c r="D3927" s="10">
        <f t="shared" si="61"/>
        <v>4.3186648478961969</v>
      </c>
      <c r="F3927" s="8" t="str">
        <f>HYPERLINK("https://esbl.nhlbi.nih.gov/Databases/mpkFractions/proteomic_fractions_log_files/Yang_log_img/149262068.jpg","show blot")</f>
        <v>show blot</v>
      </c>
      <c r="H3927" s="8" t="str">
        <f>HYPERLINK("https://esbl.nhlbi.nih.gov/Databases/mpkFractions/proteomic_fractions_linear_files/Yang_linear_img/149262068.jpg","show blot")</f>
        <v>show blot</v>
      </c>
      <c r="J3927" s="5" t="s">
        <v>7704</v>
      </c>
      <c r="L3927" s="11">
        <v>4.3186648478961969</v>
      </c>
      <c r="N3927" s="12"/>
    </row>
    <row r="3928" spans="1:14" s="5" customFormat="1" ht="15" customHeight="1" x14ac:dyDescent="0.25">
      <c r="A3928" s="9" t="s">
        <v>7705</v>
      </c>
      <c r="C3928" s="9" t="str">
        <f>HYPERLINK("http://www.ncbi.nlm.nih.gov/protein/309267183","LOC100045968")</f>
        <v>LOC100045968</v>
      </c>
      <c r="D3928" s="10">
        <f t="shared" si="61"/>
        <v>5.9335489009985984</v>
      </c>
      <c r="F3928" s="8" t="str">
        <f>HYPERLINK("https://esbl.nhlbi.nih.gov/Databases/mpkFractions/proteomic_fractions_log_files/Yang_log_img/309267183.jpg","show blot")</f>
        <v>show blot</v>
      </c>
      <c r="H3928" s="8" t="str">
        <f>HYPERLINK("https://esbl.nhlbi.nih.gov/Databases/mpkFractions/proteomic_fractions_linear_files/Yang_linear_img/309267183.jpg","show blot")</f>
        <v>show blot</v>
      </c>
      <c r="J3928" s="5" t="s">
        <v>7706</v>
      </c>
      <c r="L3928" s="11">
        <v>5.9335489009985984</v>
      </c>
      <c r="N3928" s="12"/>
    </row>
    <row r="3929" spans="1:14" s="5" customFormat="1" ht="15" customHeight="1" x14ac:dyDescent="0.25">
      <c r="A3929" s="9" t="s">
        <v>7707</v>
      </c>
      <c r="C3929" s="9" t="str">
        <f>HYPERLINK("http://www.ncbi.nlm.nih.gov/protein/149260287","LOC100045999")</f>
        <v>LOC100045999</v>
      </c>
      <c r="D3929" s="10">
        <f t="shared" si="61"/>
        <v>7.1913918855954986</v>
      </c>
      <c r="F3929" s="8" t="str">
        <f>HYPERLINK("https://esbl.nhlbi.nih.gov/Databases/mpkFractions/proteomic_fractions_log_files/Yang_log_img/149260287.jpg","show blot")</f>
        <v>show blot</v>
      </c>
      <c r="H3929" s="8" t="str">
        <f>HYPERLINK("https://esbl.nhlbi.nih.gov/Databases/mpkFractions/proteomic_fractions_linear_files/Yang_linear_img/149260287.jpg","show blot")</f>
        <v>show blot</v>
      </c>
      <c r="J3929" s="5" t="s">
        <v>7708</v>
      </c>
      <c r="L3929" s="11">
        <v>7.1913918855954986</v>
      </c>
      <c r="N3929" s="12"/>
    </row>
    <row r="3930" spans="1:14" s="5" customFormat="1" ht="15" customHeight="1" x14ac:dyDescent="0.25">
      <c r="A3930" s="9" t="s">
        <v>7709</v>
      </c>
      <c r="C3930" s="9" t="str">
        <f>HYPERLINK("http://www.ncbi.nlm.nih.gov/protein/407262677","LOC100046048")</f>
        <v>LOC100046048</v>
      </c>
      <c r="D3930" s="10">
        <f t="shared" si="61"/>
        <v>2.674710943022617</v>
      </c>
      <c r="F3930" s="8" t="str">
        <f>HYPERLINK("https://esbl.nhlbi.nih.gov/Databases/mpkFractions/proteomic_fractions_log_files/Yang_log_img/407262677.jpg","show blot")</f>
        <v>show blot</v>
      </c>
      <c r="H3930" s="8" t="str">
        <f>HYPERLINK("https://esbl.nhlbi.nih.gov/Databases/mpkFractions/proteomic_fractions_linear_files/Yang_linear_img/407262677.jpg","show blot")</f>
        <v>show blot</v>
      </c>
      <c r="J3930" s="5" t="s">
        <v>7710</v>
      </c>
      <c r="L3930" s="11">
        <v>2.674710943022617</v>
      </c>
      <c r="N3930" s="12"/>
    </row>
    <row r="3931" spans="1:14" s="5" customFormat="1" ht="15" customHeight="1" x14ac:dyDescent="0.25">
      <c r="A3931" s="9" t="s">
        <v>7711</v>
      </c>
      <c r="C3931" s="9" t="str">
        <f>HYPERLINK("http://www.ncbi.nlm.nih.gov/protein/149263037","LOC100046079")</f>
        <v>LOC100046079</v>
      </c>
      <c r="D3931" s="10">
        <f t="shared" si="61"/>
        <v>5.9947556653357674</v>
      </c>
      <c r="F3931" s="8" t="str">
        <f>HYPERLINK("https://esbl.nhlbi.nih.gov/Databases/mpkFractions/proteomic_fractions_log_files/Yang_log_img/149263037.jpg","show blot")</f>
        <v>show blot</v>
      </c>
      <c r="H3931" s="8" t="str">
        <f>HYPERLINK("https://esbl.nhlbi.nih.gov/Databases/mpkFractions/proteomic_fractions_linear_files/Yang_linear_img/149263037.jpg","show blot")</f>
        <v>show blot</v>
      </c>
      <c r="J3931" s="5" t="s">
        <v>7712</v>
      </c>
      <c r="L3931" s="11">
        <v>5.9947556653357674</v>
      </c>
      <c r="N3931" s="12"/>
    </row>
    <row r="3932" spans="1:14" s="5" customFormat="1" ht="15" customHeight="1" x14ac:dyDescent="0.25">
      <c r="A3932" s="9" t="s">
        <v>7713</v>
      </c>
      <c r="C3932" s="9" t="str">
        <f>HYPERLINK("http://www.ncbi.nlm.nih.gov/protein/149258501","LOC100046151")</f>
        <v>LOC100046151</v>
      </c>
      <c r="D3932" s="10">
        <f t="shared" si="61"/>
        <v>7.4651904924707608</v>
      </c>
      <c r="F3932" s="8" t="str">
        <f>HYPERLINK("https://esbl.nhlbi.nih.gov/Databases/mpkFractions/proteomic_fractions_log_files/Yang_log_img/149258501.jpg","show blot")</f>
        <v>show blot</v>
      </c>
      <c r="H3932" s="8" t="str">
        <f>HYPERLINK("https://esbl.nhlbi.nih.gov/Databases/mpkFractions/proteomic_fractions_linear_files/Yang_linear_img/149258501.jpg","show blot")</f>
        <v>show blot</v>
      </c>
      <c r="J3932" s="5" t="s">
        <v>7714</v>
      </c>
      <c r="L3932" s="11">
        <v>7.4651904924707608</v>
      </c>
      <c r="N3932" s="12"/>
    </row>
    <row r="3933" spans="1:14" s="5" customFormat="1" ht="15" customHeight="1" x14ac:dyDescent="0.25">
      <c r="A3933" s="9" t="s">
        <v>7715</v>
      </c>
      <c r="C3933" s="9" t="str">
        <f>HYPERLINK("http://www.ncbi.nlm.nih.gov/protein/407261592","LOC100046151")</f>
        <v>LOC100046151</v>
      </c>
      <c r="D3933" s="10">
        <f t="shared" si="61"/>
        <v>7.4651904924707608</v>
      </c>
      <c r="F3933" s="8" t="str">
        <f>HYPERLINK("https://esbl.nhlbi.nih.gov/Databases/mpkFractions/proteomic_fractions_log_files/Yang_log_img/407261592.jpg","show blot")</f>
        <v>show blot</v>
      </c>
      <c r="H3933" s="8" t="str">
        <f>HYPERLINK("https://esbl.nhlbi.nih.gov/Databases/mpkFractions/proteomic_fractions_linear_files/Yang_linear_img/407261592.jpg","show blot")</f>
        <v>show blot</v>
      </c>
      <c r="J3933" s="5" t="s">
        <v>7716</v>
      </c>
      <c r="L3933" s="11">
        <v>7.4651904924707608</v>
      </c>
      <c r="N3933" s="12"/>
    </row>
    <row r="3934" spans="1:14" s="5" customFormat="1" ht="15" customHeight="1" x14ac:dyDescent="0.25">
      <c r="A3934" s="9" t="s">
        <v>7717</v>
      </c>
      <c r="C3934" s="9" t="str">
        <f>HYPERLINK("http://www.ncbi.nlm.nih.gov/protein/407261594","LOC100046151")</f>
        <v>LOC100046151</v>
      </c>
      <c r="D3934" s="10">
        <f t="shared" si="61"/>
        <v>7.4651904924707608</v>
      </c>
      <c r="F3934" s="8" t="str">
        <f>HYPERLINK("https://esbl.nhlbi.nih.gov/Databases/mpkFractions/proteomic_fractions_log_files/Yang_log_img/407261594.jpg","show blot")</f>
        <v>show blot</v>
      </c>
      <c r="H3934" s="8" t="str">
        <f>HYPERLINK("https://esbl.nhlbi.nih.gov/Databases/mpkFractions/proteomic_fractions_linear_files/Yang_linear_img/407261594.jpg","show blot")</f>
        <v>show blot</v>
      </c>
      <c r="J3934" s="5" t="s">
        <v>7718</v>
      </c>
      <c r="L3934" s="11">
        <v>7.4651904924707608</v>
      </c>
      <c r="N3934" s="12"/>
    </row>
    <row r="3935" spans="1:14" s="5" customFormat="1" ht="15" customHeight="1" x14ac:dyDescent="0.25">
      <c r="A3935" s="9" t="s">
        <v>7719</v>
      </c>
      <c r="C3935" s="9" t="str">
        <f>HYPERLINK("http://www.ncbi.nlm.nih.gov/protein/149254294","LOC100046223")</f>
        <v>LOC100046223</v>
      </c>
      <c r="D3935" s="10">
        <f t="shared" si="61"/>
        <v>5.9075149391853303</v>
      </c>
      <c r="F3935" s="8" t="str">
        <f>HYPERLINK("https://esbl.nhlbi.nih.gov/Databases/mpkFractions/proteomic_fractions_log_files/Yang_log_img/149254294.jpg","show blot")</f>
        <v>show blot</v>
      </c>
      <c r="H3935" s="8" t="str">
        <f>HYPERLINK("https://esbl.nhlbi.nih.gov/Databases/mpkFractions/proteomic_fractions_linear_files/Yang_linear_img/149254294.jpg","show blot")</f>
        <v>show blot</v>
      </c>
      <c r="J3935" s="5" t="s">
        <v>5822</v>
      </c>
      <c r="L3935" s="11">
        <v>5.9075149391853303</v>
      </c>
      <c r="N3935" s="12"/>
    </row>
    <row r="3936" spans="1:14" s="5" customFormat="1" ht="15" customHeight="1" x14ac:dyDescent="0.25">
      <c r="A3936" s="9" t="s">
        <v>7720</v>
      </c>
      <c r="C3936" s="9" t="str">
        <f>HYPERLINK("http://www.ncbi.nlm.nih.gov/protein/407261929","LOC100046289")</f>
        <v>LOC100046289</v>
      </c>
      <c r="D3936" s="10">
        <f t="shared" si="61"/>
        <v>4.7200504982130127</v>
      </c>
      <c r="F3936" s="8" t="str">
        <f>HYPERLINK("https://esbl.nhlbi.nih.gov/Databases/mpkFractions/proteomic_fractions_log_files/Yang_log_img/407261929.jpg","show blot")</f>
        <v>show blot</v>
      </c>
      <c r="H3936" s="8" t="str">
        <f>HYPERLINK("https://esbl.nhlbi.nih.gov/Databases/mpkFractions/proteomic_fractions_linear_files/Yang_linear_img/407261929.jpg","show blot")</f>
        <v>show blot</v>
      </c>
      <c r="J3936" s="5" t="s">
        <v>7721</v>
      </c>
      <c r="L3936" s="11">
        <v>4.7200504982130127</v>
      </c>
      <c r="N3936" s="12"/>
    </row>
    <row r="3937" spans="1:14" s="5" customFormat="1" ht="15" customHeight="1" x14ac:dyDescent="0.25">
      <c r="A3937" s="9" t="s">
        <v>7722</v>
      </c>
      <c r="C3937" s="9" t="str">
        <f>HYPERLINK("http://www.ncbi.nlm.nih.gov/protein/149267077","LOC100046297")</f>
        <v>LOC100046297</v>
      </c>
      <c r="D3937" s="10">
        <f t="shared" si="61"/>
        <v>6.783840406851315</v>
      </c>
      <c r="F3937" s="8" t="str">
        <f>HYPERLINK("https://esbl.nhlbi.nih.gov/Databases/mpkFractions/proteomic_fractions_log_files/Yang_log_img/149267077.jpg","show blot")</f>
        <v>show blot</v>
      </c>
      <c r="H3937" s="8" t="str">
        <f>HYPERLINK("https://esbl.nhlbi.nih.gov/Databases/mpkFractions/proteomic_fractions_linear_files/Yang_linear_img/149267077.jpg","show blot")</f>
        <v>show blot</v>
      </c>
      <c r="J3937" s="5" t="s">
        <v>7723</v>
      </c>
      <c r="L3937" s="11">
        <v>6.783840406851315</v>
      </c>
      <c r="N3937" s="12"/>
    </row>
    <row r="3938" spans="1:14" s="5" customFormat="1" ht="15" customHeight="1" x14ac:dyDescent="0.25">
      <c r="A3938" s="9" t="s">
        <v>7724</v>
      </c>
      <c r="C3938" s="9" t="str">
        <f>HYPERLINK("http://www.ncbi.nlm.nih.gov/protein/149251776","LOC100046628")</f>
        <v>LOC100046628</v>
      </c>
      <c r="D3938" s="10">
        <f t="shared" si="61"/>
        <v>6.5600699378059248</v>
      </c>
      <c r="F3938" s="8" t="str">
        <f>HYPERLINK("https://esbl.nhlbi.nih.gov/Databases/mpkFractions/proteomic_fractions_log_files/Yang_log_img/149251776.jpg","show blot")</f>
        <v>show blot</v>
      </c>
      <c r="H3938" s="8" t="str">
        <f>HYPERLINK("https://esbl.nhlbi.nih.gov/Databases/mpkFractions/proteomic_fractions_linear_files/Yang_linear_img/149251776.jpg","show blot")</f>
        <v>show blot</v>
      </c>
      <c r="J3938" s="5" t="s">
        <v>7725</v>
      </c>
      <c r="L3938" s="11">
        <v>6.5600699378059248</v>
      </c>
      <c r="N3938" s="12"/>
    </row>
    <row r="3939" spans="1:14" s="5" customFormat="1" ht="15" customHeight="1" x14ac:dyDescent="0.25">
      <c r="A3939" s="9" t="s">
        <v>7726</v>
      </c>
      <c r="C3939" s="9" t="str">
        <f>HYPERLINK("http://www.ncbi.nlm.nih.gov/protein/149274885","LOC100046684")</f>
        <v>LOC100046684</v>
      </c>
      <c r="D3939" s="10">
        <f t="shared" si="61"/>
        <v>5.6991564613115573</v>
      </c>
      <c r="F3939" s="8" t="str">
        <f>HYPERLINK("https://esbl.nhlbi.nih.gov/Databases/mpkFractions/proteomic_fractions_log_files/Yang_log_img/149274885.jpg","show blot")</f>
        <v>show blot</v>
      </c>
      <c r="H3939" s="8" t="str">
        <f>HYPERLINK("https://esbl.nhlbi.nih.gov/Databases/mpkFractions/proteomic_fractions_linear_files/Yang_linear_img/149274885.jpg","show blot")</f>
        <v>show blot</v>
      </c>
      <c r="J3939" s="5" t="s">
        <v>7727</v>
      </c>
      <c r="L3939" s="11">
        <v>5.6991564613115573</v>
      </c>
      <c r="N3939" s="12"/>
    </row>
    <row r="3940" spans="1:14" s="5" customFormat="1" ht="15" customHeight="1" x14ac:dyDescent="0.25">
      <c r="A3940" s="9" t="s">
        <v>7728</v>
      </c>
      <c r="C3940" s="9" t="str">
        <f>HYPERLINK("http://www.ncbi.nlm.nih.gov/protein/149274887","LOC100046684")</f>
        <v>LOC100046684</v>
      </c>
      <c r="D3940" s="10">
        <f t="shared" si="61"/>
        <v>5.6991564613115573</v>
      </c>
      <c r="F3940" s="8" t="str">
        <f>HYPERLINK("https://esbl.nhlbi.nih.gov/Databases/mpkFractions/proteomic_fractions_log_files/Yang_log_img/149274887.jpg","show blot")</f>
        <v>show blot</v>
      </c>
      <c r="H3940" s="8" t="str">
        <f>HYPERLINK("https://esbl.nhlbi.nih.gov/Databases/mpkFractions/proteomic_fractions_linear_files/Yang_linear_img/149274887.jpg","show blot")</f>
        <v>show blot</v>
      </c>
      <c r="J3940" s="5" t="s">
        <v>7729</v>
      </c>
      <c r="L3940" s="11">
        <v>5.6991564613115573</v>
      </c>
      <c r="N3940" s="12"/>
    </row>
    <row r="3941" spans="1:14" s="5" customFormat="1" ht="15" customHeight="1" x14ac:dyDescent="0.25">
      <c r="A3941" s="9" t="s">
        <v>7730</v>
      </c>
      <c r="C3941" s="9" t="str">
        <f>HYPERLINK("http://www.ncbi.nlm.nih.gov/protein/309266230","LOC100047252")</f>
        <v>LOC100047252</v>
      </c>
      <c r="D3941" s="10">
        <f t="shared" si="61"/>
        <v>6.6271072205687158</v>
      </c>
      <c r="F3941" s="8" t="str">
        <f>HYPERLINK("https://esbl.nhlbi.nih.gov/Databases/mpkFractions/proteomic_fractions_log_files/Yang_log_img/309266230.jpg","show blot")</f>
        <v>show blot</v>
      </c>
      <c r="H3941" s="8" t="str">
        <f>HYPERLINK("https://esbl.nhlbi.nih.gov/Databases/mpkFractions/proteomic_fractions_linear_files/Yang_linear_img/309266230.jpg","show blot")</f>
        <v>show blot</v>
      </c>
      <c r="J3941" s="5" t="s">
        <v>7731</v>
      </c>
      <c r="L3941" s="11">
        <v>6.6271072205687158</v>
      </c>
      <c r="N3941" s="12"/>
    </row>
    <row r="3942" spans="1:14" s="5" customFormat="1" ht="15" customHeight="1" x14ac:dyDescent="0.25">
      <c r="A3942" s="9" t="s">
        <v>7732</v>
      </c>
      <c r="C3942" s="9" t="str">
        <f>HYPERLINK("http://www.ncbi.nlm.nih.gov/protein/149251053","LOC100047429")</f>
        <v>LOC100047429</v>
      </c>
      <c r="D3942" s="10">
        <f t="shared" si="61"/>
        <v>6.2576911951153749</v>
      </c>
      <c r="F3942" s="8" t="str">
        <f>HYPERLINK("https://esbl.nhlbi.nih.gov/Databases/mpkFractions/proteomic_fractions_log_files/Yang_log_img/149251053.jpg","show blot")</f>
        <v>show blot</v>
      </c>
      <c r="H3942" s="8" t="str">
        <f>HYPERLINK("https://esbl.nhlbi.nih.gov/Databases/mpkFractions/proteomic_fractions_linear_files/Yang_linear_img/149251053.jpg","show blot")</f>
        <v>show blot</v>
      </c>
      <c r="J3942" s="5" t="s">
        <v>7733</v>
      </c>
      <c r="L3942" s="11">
        <v>6.2576911951153749</v>
      </c>
      <c r="N3942" s="12"/>
    </row>
    <row r="3943" spans="1:14" s="5" customFormat="1" ht="15" customHeight="1" x14ac:dyDescent="0.25">
      <c r="A3943" s="9" t="s">
        <v>7734</v>
      </c>
      <c r="C3943" s="9" t="str">
        <f>HYPERLINK("http://www.ncbi.nlm.nih.gov/protein/149251053;20070412","LOC100047429")</f>
        <v>LOC100047429</v>
      </c>
      <c r="D3943" s="10">
        <f t="shared" si="61"/>
        <v>6.2576911951153749</v>
      </c>
      <c r="F3943" s="8" t="str">
        <f>HYPERLINK("https://esbl.nhlbi.nih.gov/Databases/mpkFractions/proteomic_fractions_log_files/Yang_log_img/149251053;20070412.jpg","show blot")</f>
        <v>show blot</v>
      </c>
      <c r="H3943" s="8" t="str">
        <f>HYPERLINK("https://esbl.nhlbi.nih.gov/Databases/mpkFractions/proteomic_fractions_linear_files/Yang_linear_img/149251053;20070412.jpg","show blot")</f>
        <v>show blot</v>
      </c>
      <c r="J3943" s="5" t="s">
        <v>7733</v>
      </c>
      <c r="L3943" s="11">
        <v>6.2576911951153749</v>
      </c>
      <c r="N3943" s="12"/>
    </row>
    <row r="3944" spans="1:14" s="5" customFormat="1" ht="15" customHeight="1" x14ac:dyDescent="0.25">
      <c r="A3944" s="9" t="s">
        <v>7735</v>
      </c>
      <c r="C3944" s="9" t="str">
        <f>HYPERLINK("http://www.ncbi.nlm.nih.gov/protein/309264668","LOC100047518")</f>
        <v>LOC100047518</v>
      </c>
      <c r="D3944" s="10">
        <f t="shared" si="61"/>
        <v>5.3100469016698852</v>
      </c>
      <c r="F3944" s="8" t="str">
        <f>HYPERLINK("https://esbl.nhlbi.nih.gov/Databases/mpkFractions/proteomic_fractions_log_files/Yang_log_img/309264668.jpg","show blot")</f>
        <v>show blot</v>
      </c>
      <c r="H3944" s="8" t="str">
        <f>HYPERLINK("https://esbl.nhlbi.nih.gov/Databases/mpkFractions/proteomic_fractions_linear_files/Yang_linear_img/309264668.jpg","show blot")</f>
        <v>show blot</v>
      </c>
      <c r="J3944" s="5" t="s">
        <v>7736</v>
      </c>
      <c r="L3944" s="11">
        <v>5.3100469016698852</v>
      </c>
      <c r="N3944" s="12"/>
    </row>
    <row r="3945" spans="1:14" s="5" customFormat="1" ht="15" customHeight="1" x14ac:dyDescent="0.25">
      <c r="A3945" s="9" t="s">
        <v>7737</v>
      </c>
      <c r="C3945" s="9" t="str">
        <f>HYPERLINK("http://www.ncbi.nlm.nih.gov/protein/407262733","LOC100047577")</f>
        <v>LOC100047577</v>
      </c>
      <c r="D3945" s="10">
        <f t="shared" si="61"/>
        <v>6.2745452918119096</v>
      </c>
      <c r="F3945" s="8" t="str">
        <f>HYPERLINK("https://esbl.nhlbi.nih.gov/Databases/mpkFractions/proteomic_fractions_log_files/Yang_log_img/407262733.jpg","show blot")</f>
        <v>show blot</v>
      </c>
      <c r="H3945" s="8" t="str">
        <f>HYPERLINK("https://esbl.nhlbi.nih.gov/Databases/mpkFractions/proteomic_fractions_linear_files/Yang_linear_img/407262733.jpg","show blot")</f>
        <v>show blot</v>
      </c>
      <c r="J3945" s="5" t="s">
        <v>7738</v>
      </c>
      <c r="L3945" s="11">
        <v>6.2745452918119096</v>
      </c>
      <c r="N3945" s="12"/>
    </row>
    <row r="3946" spans="1:14" s="5" customFormat="1" ht="15" customHeight="1" x14ac:dyDescent="0.25">
      <c r="A3946" s="9" t="s">
        <v>7739</v>
      </c>
      <c r="C3946" s="9" t="str">
        <f>HYPERLINK("http://www.ncbi.nlm.nih.gov/protein/149261435","LOC100047658")</f>
        <v>LOC100047658</v>
      </c>
      <c r="D3946" s="10">
        <f t="shared" si="61"/>
        <v>5.3594363644085146</v>
      </c>
      <c r="F3946" s="8" t="str">
        <f>HYPERLINK("https://esbl.nhlbi.nih.gov/Databases/mpkFractions/proteomic_fractions_log_files/Yang_log_img/149261435.jpg","show blot")</f>
        <v>show blot</v>
      </c>
      <c r="H3946" s="8" t="str">
        <f>HYPERLINK("https://esbl.nhlbi.nih.gov/Databases/mpkFractions/proteomic_fractions_linear_files/Yang_linear_img/149261435.jpg","show blot")</f>
        <v>show blot</v>
      </c>
      <c r="J3946" s="5" t="s">
        <v>7740</v>
      </c>
      <c r="L3946" s="11">
        <v>5.3594363644085146</v>
      </c>
      <c r="N3946" s="12"/>
    </row>
    <row r="3947" spans="1:14" s="5" customFormat="1" ht="15" customHeight="1" x14ac:dyDescent="0.25">
      <c r="A3947" s="9" t="s">
        <v>7741</v>
      </c>
      <c r="C3947" s="9" t="str">
        <f>HYPERLINK("http://www.ncbi.nlm.nih.gov/protein/407262563","LOC100047753")</f>
        <v>LOC100047753</v>
      </c>
      <c r="D3947" s="10">
        <f t="shared" si="61"/>
        <v>6.8404898171222941</v>
      </c>
      <c r="F3947" s="8" t="str">
        <f>HYPERLINK("https://esbl.nhlbi.nih.gov/Databases/mpkFractions/proteomic_fractions_log_files/Yang_log_img/407262563.jpg","show blot")</f>
        <v>show blot</v>
      </c>
      <c r="H3947" s="8" t="str">
        <f>HYPERLINK("https://esbl.nhlbi.nih.gov/Databases/mpkFractions/proteomic_fractions_linear_files/Yang_linear_img/407262563.jpg","show blot")</f>
        <v>show blot</v>
      </c>
      <c r="J3947" s="5" t="s">
        <v>7742</v>
      </c>
      <c r="L3947" s="11">
        <v>6.8404898171222941</v>
      </c>
      <c r="N3947" s="12"/>
    </row>
    <row r="3948" spans="1:14" s="5" customFormat="1" ht="15" customHeight="1" x14ac:dyDescent="0.25">
      <c r="A3948" s="9" t="s">
        <v>7743</v>
      </c>
      <c r="C3948" s="9" t="str">
        <f>HYPERLINK("http://www.ncbi.nlm.nih.gov/protein/149240955","LOC100047957")</f>
        <v>LOC100047957</v>
      </c>
      <c r="D3948" s="10">
        <f t="shared" si="61"/>
        <v>5.7930506391847549</v>
      </c>
      <c r="F3948" s="8" t="str">
        <f>HYPERLINK("https://esbl.nhlbi.nih.gov/Databases/mpkFractions/proteomic_fractions_log_files/Yang_log_img/149240955.jpg","show blot")</f>
        <v>show blot</v>
      </c>
      <c r="H3948" s="8" t="str">
        <f>HYPERLINK("https://esbl.nhlbi.nih.gov/Databases/mpkFractions/proteomic_fractions_linear_files/Yang_linear_img/149240955.jpg","show blot")</f>
        <v>show blot</v>
      </c>
      <c r="J3948" s="5" t="s">
        <v>7744</v>
      </c>
      <c r="L3948" s="11">
        <v>5.7930506391847549</v>
      </c>
      <c r="N3948" s="12"/>
    </row>
    <row r="3949" spans="1:14" s="5" customFormat="1" ht="15" customHeight="1" x14ac:dyDescent="0.25">
      <c r="A3949" s="9" t="s">
        <v>7745</v>
      </c>
      <c r="C3949" s="9" t="str">
        <f>HYPERLINK("http://www.ncbi.nlm.nih.gov/protein/407261725","LOC100048117")</f>
        <v>LOC100048117</v>
      </c>
      <c r="D3949" s="10">
        <f t="shared" si="61"/>
        <v>7.5178238443902323</v>
      </c>
      <c r="F3949" s="8" t="str">
        <f>HYPERLINK("https://esbl.nhlbi.nih.gov/Databases/mpkFractions/proteomic_fractions_log_files/Yang_log_img/407261725.jpg","show blot")</f>
        <v>show blot</v>
      </c>
      <c r="H3949" s="8" t="str">
        <f>HYPERLINK("https://esbl.nhlbi.nih.gov/Databases/mpkFractions/proteomic_fractions_linear_files/Yang_linear_img/407261725.jpg","show blot")</f>
        <v>show blot</v>
      </c>
      <c r="J3949" s="5" t="s">
        <v>7746</v>
      </c>
      <c r="L3949" s="11">
        <v>7.5178238443902323</v>
      </c>
      <c r="N3949" s="12"/>
    </row>
    <row r="3950" spans="1:14" s="5" customFormat="1" ht="15" customHeight="1" x14ac:dyDescent="0.25">
      <c r="A3950" s="9" t="s">
        <v>7747</v>
      </c>
      <c r="C3950" s="9" t="str">
        <f>HYPERLINK("http://www.ncbi.nlm.nih.gov/protein/407261373","LOC100048119")</f>
        <v>LOC100048119</v>
      </c>
      <c r="D3950" s="10">
        <f t="shared" si="61"/>
        <v>6.5171764396842926</v>
      </c>
      <c r="F3950" s="8" t="str">
        <f>HYPERLINK("https://esbl.nhlbi.nih.gov/Databases/mpkFractions/proteomic_fractions_log_files/Yang_log_img/407261373.jpg","show blot")</f>
        <v>show blot</v>
      </c>
      <c r="H3950" s="8" t="str">
        <f>HYPERLINK("https://esbl.nhlbi.nih.gov/Databases/mpkFractions/proteomic_fractions_linear_files/Yang_linear_img/407261373.jpg","show blot")</f>
        <v>show blot</v>
      </c>
      <c r="J3950" s="5" t="s">
        <v>7748</v>
      </c>
      <c r="L3950" s="11">
        <v>6.5171764396842926</v>
      </c>
      <c r="N3950" s="12"/>
    </row>
    <row r="3951" spans="1:14" s="5" customFormat="1" ht="15" customHeight="1" x14ac:dyDescent="0.25">
      <c r="A3951" s="9" t="s">
        <v>7749</v>
      </c>
      <c r="C3951" s="9" t="str">
        <f>HYPERLINK("http://www.ncbi.nlm.nih.gov/protein/377834168","LOC100048410")</f>
        <v>LOC100048410</v>
      </c>
      <c r="D3951" s="10">
        <f t="shared" si="61"/>
        <v>5.6021166380761134</v>
      </c>
      <c r="F3951" s="8" t="str">
        <f>HYPERLINK("https://esbl.nhlbi.nih.gov/Databases/mpkFractions/proteomic_fractions_log_files/Yang_log_img/377834168.jpg","show blot")</f>
        <v>show blot</v>
      </c>
      <c r="H3951" s="8" t="str">
        <f>HYPERLINK("https://esbl.nhlbi.nih.gov/Databases/mpkFractions/proteomic_fractions_linear_files/Yang_linear_img/377834168.jpg","show blot")</f>
        <v>show blot</v>
      </c>
      <c r="J3951" s="5" t="s">
        <v>7750</v>
      </c>
      <c r="L3951" s="11">
        <v>5.6021166380761134</v>
      </c>
      <c r="N3951" s="12"/>
    </row>
    <row r="3952" spans="1:14" s="5" customFormat="1" ht="15" customHeight="1" x14ac:dyDescent="0.25">
      <c r="A3952" s="9" t="s">
        <v>7751</v>
      </c>
      <c r="C3952" s="9" t="str">
        <f>HYPERLINK("http://www.ncbi.nlm.nih.gov/protein/149255796","LOC100048447")</f>
        <v>LOC100048447</v>
      </c>
      <c r="D3952" s="10">
        <f t="shared" si="61"/>
        <v>4.3843892297544542</v>
      </c>
      <c r="F3952" s="8" t="str">
        <f>HYPERLINK("https://esbl.nhlbi.nih.gov/Databases/mpkFractions/proteomic_fractions_log_files/Yang_log_img/149255796.jpg","show blot")</f>
        <v>show blot</v>
      </c>
      <c r="H3952" s="8" t="str">
        <f>HYPERLINK("https://esbl.nhlbi.nih.gov/Databases/mpkFractions/proteomic_fractions_linear_files/Yang_linear_img/149255796.jpg","show blot")</f>
        <v>show blot</v>
      </c>
      <c r="J3952" s="5" t="s">
        <v>7752</v>
      </c>
      <c r="L3952" s="11">
        <v>4.3843892297544542</v>
      </c>
      <c r="N3952" s="12"/>
    </row>
    <row r="3953" spans="1:14" s="5" customFormat="1" ht="15" customHeight="1" x14ac:dyDescent="0.25">
      <c r="A3953" s="9" t="s">
        <v>7753</v>
      </c>
      <c r="C3953" s="9" t="str">
        <f>HYPERLINK("http://www.ncbi.nlm.nih.gov/protein/407261032","LOC100048613")</f>
        <v>LOC100048613</v>
      </c>
      <c r="D3953" s="10">
        <f t="shared" si="61"/>
        <v>5.6399676217473713</v>
      </c>
      <c r="F3953" s="8" t="str">
        <f>HYPERLINK("https://esbl.nhlbi.nih.gov/Databases/mpkFractions/proteomic_fractions_log_files/Yang_log_img/407261032.jpg","show blot")</f>
        <v>show blot</v>
      </c>
      <c r="H3953" s="8" t="str">
        <f>HYPERLINK("https://esbl.nhlbi.nih.gov/Databases/mpkFractions/proteomic_fractions_linear_files/Yang_linear_img/407261032.jpg","show blot")</f>
        <v>show blot</v>
      </c>
      <c r="J3953" s="5" t="s">
        <v>7754</v>
      </c>
      <c r="L3953" s="11">
        <v>5.6399676217473713</v>
      </c>
      <c r="N3953" s="12"/>
    </row>
    <row r="3954" spans="1:14" s="5" customFormat="1" ht="15" customHeight="1" x14ac:dyDescent="0.25">
      <c r="A3954" s="9" t="s">
        <v>7755</v>
      </c>
      <c r="C3954" s="9" t="str">
        <f>HYPERLINK("http://www.ncbi.nlm.nih.gov/protein/309267068","LOC100048629")</f>
        <v>LOC100048629</v>
      </c>
      <c r="D3954" s="10">
        <f t="shared" si="61"/>
        <v>2.3677524016771501</v>
      </c>
      <c r="F3954" s="8" t="str">
        <f>HYPERLINK("https://esbl.nhlbi.nih.gov/Databases/mpkFractions/proteomic_fractions_log_files/Yang_log_img/309267068.jpg","show blot")</f>
        <v>show blot</v>
      </c>
      <c r="H3954" s="8" t="str">
        <f>HYPERLINK("https://esbl.nhlbi.nih.gov/Databases/mpkFractions/proteomic_fractions_linear_files/Yang_linear_img/309267068.jpg","show blot")</f>
        <v>show blot</v>
      </c>
      <c r="J3954" s="5" t="s">
        <v>7756</v>
      </c>
      <c r="L3954" s="11">
        <v>2.3677524016771501</v>
      </c>
      <c r="N3954" s="12"/>
    </row>
    <row r="3955" spans="1:14" s="5" customFormat="1" ht="15" customHeight="1" x14ac:dyDescent="0.25">
      <c r="A3955" s="9" t="s">
        <v>7757</v>
      </c>
      <c r="C3955" s="9" t="str">
        <f>HYPERLINK("http://www.ncbi.nlm.nih.gov/protein/407262004","LOC100503047")</f>
        <v>LOC100503047</v>
      </c>
      <c r="D3955" s="10">
        <f t="shared" si="61"/>
        <v>5.2172725202409316</v>
      </c>
      <c r="F3955" s="8" t="str">
        <f>HYPERLINK("https://esbl.nhlbi.nih.gov/Databases/mpkFractions/proteomic_fractions_log_files/Yang_log_img/407262004.jpg","show blot")</f>
        <v>show blot</v>
      </c>
      <c r="H3955" s="8" t="str">
        <f>HYPERLINK("https://esbl.nhlbi.nih.gov/Databases/mpkFractions/proteomic_fractions_linear_files/Yang_linear_img/407262004.jpg","show blot")</f>
        <v>show blot</v>
      </c>
      <c r="J3955" s="5" t="s">
        <v>7758</v>
      </c>
      <c r="L3955" s="11">
        <v>5.2172725202409316</v>
      </c>
      <c r="N3955" s="12"/>
    </row>
    <row r="3956" spans="1:14" s="5" customFormat="1" ht="15" customHeight="1" x14ac:dyDescent="0.25">
      <c r="A3956" s="9" t="s">
        <v>7759</v>
      </c>
      <c r="C3956" s="9" t="str">
        <f>HYPERLINK("http://www.ncbi.nlm.nih.gov/protein/309264158","LOC100503055")</f>
        <v>LOC100503055</v>
      </c>
      <c r="D3956" s="10">
        <f t="shared" si="61"/>
        <v>6.1832457968905414</v>
      </c>
      <c r="F3956" s="8" t="str">
        <f>HYPERLINK("https://esbl.nhlbi.nih.gov/Databases/mpkFractions/proteomic_fractions_log_files/Yang_log_img/309264158.jpg","show blot")</f>
        <v>show blot</v>
      </c>
      <c r="H3956" s="8" t="str">
        <f>HYPERLINK("https://esbl.nhlbi.nih.gov/Databases/mpkFractions/proteomic_fractions_linear_files/Yang_linear_img/309264158.jpg","show blot")</f>
        <v>show blot</v>
      </c>
      <c r="J3956" s="5" t="s">
        <v>5490</v>
      </c>
      <c r="L3956" s="11">
        <v>6.1832457968905414</v>
      </c>
      <c r="N3956" s="12"/>
    </row>
    <row r="3957" spans="1:14" s="5" customFormat="1" ht="15" customHeight="1" x14ac:dyDescent="0.25">
      <c r="A3957" s="9" t="s">
        <v>7760</v>
      </c>
      <c r="C3957" s="9" t="str">
        <f>HYPERLINK("http://www.ncbi.nlm.nih.gov/protein/309267076","LOC100503180")</f>
        <v>LOC100503180</v>
      </c>
      <c r="D3957" s="10">
        <f t="shared" si="61"/>
        <v>4.6101616103865277</v>
      </c>
      <c r="F3957" s="8" t="str">
        <f>HYPERLINK("https://esbl.nhlbi.nih.gov/Databases/mpkFractions/proteomic_fractions_log_files/Yang_log_img/309267076.jpg","show blot")</f>
        <v>show blot</v>
      </c>
      <c r="H3957" s="8" t="str">
        <f>HYPERLINK("https://esbl.nhlbi.nih.gov/Databases/mpkFractions/proteomic_fractions_linear_files/Yang_linear_img/309267076.jpg","show blot")</f>
        <v>show blot</v>
      </c>
      <c r="J3957" s="5" t="s">
        <v>7761</v>
      </c>
      <c r="L3957" s="11">
        <v>4.6101616103865277</v>
      </c>
      <c r="N3957" s="12"/>
    </row>
    <row r="3958" spans="1:14" s="5" customFormat="1" ht="15" customHeight="1" x14ac:dyDescent="0.25">
      <c r="A3958" s="9" t="s">
        <v>7762</v>
      </c>
      <c r="C3958" s="9" t="str">
        <f>HYPERLINK("http://www.ncbi.nlm.nih.gov/protein/309264728","LOC100503217")</f>
        <v>LOC100503217</v>
      </c>
      <c r="D3958" s="10">
        <f t="shared" si="61"/>
        <v>4.7622427415114057</v>
      </c>
      <c r="F3958" s="8" t="str">
        <f>HYPERLINK("https://esbl.nhlbi.nih.gov/Databases/mpkFractions/proteomic_fractions_log_files/Yang_log_img/309264728.jpg","show blot")</f>
        <v>show blot</v>
      </c>
      <c r="H3958" s="8" t="str">
        <f>HYPERLINK("https://esbl.nhlbi.nih.gov/Databases/mpkFractions/proteomic_fractions_linear_files/Yang_linear_img/309264728.jpg","show blot")</f>
        <v>show blot</v>
      </c>
      <c r="J3958" s="5" t="s">
        <v>7763</v>
      </c>
      <c r="L3958" s="11">
        <v>4.7622427415114057</v>
      </c>
      <c r="N3958" s="12"/>
    </row>
    <row r="3959" spans="1:14" s="5" customFormat="1" ht="15" customHeight="1" x14ac:dyDescent="0.25">
      <c r="A3959" s="9" t="s">
        <v>7764</v>
      </c>
      <c r="C3959" s="9" t="str">
        <f>HYPERLINK("http://www.ncbi.nlm.nih.gov/protein/309265521","LOC100503235")</f>
        <v>LOC100503235</v>
      </c>
      <c r="D3959" s="10">
        <f t="shared" si="61"/>
        <v>4.3632586113553282</v>
      </c>
      <c r="F3959" s="8" t="str">
        <f>HYPERLINK("https://esbl.nhlbi.nih.gov/Databases/mpkFractions/proteomic_fractions_log_files/Yang_log_img/309265521.jpg","show blot")</f>
        <v>show blot</v>
      </c>
      <c r="H3959" s="8" t="str">
        <f>HYPERLINK("https://esbl.nhlbi.nih.gov/Databases/mpkFractions/proteomic_fractions_linear_files/Yang_linear_img/309265521.jpg","show blot")</f>
        <v>show blot</v>
      </c>
      <c r="J3959" s="5" t="s">
        <v>7765</v>
      </c>
      <c r="L3959" s="11">
        <v>4.3632586113553282</v>
      </c>
      <c r="N3959" s="12"/>
    </row>
    <row r="3960" spans="1:14" s="5" customFormat="1" ht="15" customHeight="1" x14ac:dyDescent="0.25">
      <c r="A3960" s="9" t="s">
        <v>7766</v>
      </c>
      <c r="C3960" s="9" t="str">
        <f>HYPERLINK("http://www.ncbi.nlm.nih.gov/protein/377833219","LOC100503822")</f>
        <v>LOC100503822</v>
      </c>
      <c r="D3960" s="10">
        <f t="shared" si="61"/>
        <v>4.9192815811625286</v>
      </c>
      <c r="F3960" s="8" t="str">
        <f>HYPERLINK("https://esbl.nhlbi.nih.gov/Databases/mpkFractions/proteomic_fractions_log_files/Yang_log_img/377833219.jpg","show blot")</f>
        <v>show blot</v>
      </c>
      <c r="H3960" s="8" t="str">
        <f>HYPERLINK("https://esbl.nhlbi.nih.gov/Databases/mpkFractions/proteomic_fractions_linear_files/Yang_linear_img/377833219.jpg","show blot")</f>
        <v>show blot</v>
      </c>
      <c r="J3960" s="5" t="s">
        <v>7767</v>
      </c>
      <c r="L3960" s="11">
        <v>4.9192815811625286</v>
      </c>
      <c r="N3960" s="12"/>
    </row>
    <row r="3961" spans="1:14" s="5" customFormat="1" ht="15" customHeight="1" x14ac:dyDescent="0.25">
      <c r="A3961" s="9" t="s">
        <v>7768</v>
      </c>
      <c r="C3961" s="9" t="str">
        <f>HYPERLINK("http://www.ncbi.nlm.nih.gov/protein/309265677","LOC100504817")</f>
        <v>LOC100504817</v>
      </c>
      <c r="D3961" s="10">
        <f t="shared" si="61"/>
        <v>6.3719934058066006</v>
      </c>
      <c r="F3961" s="8" t="str">
        <f>HYPERLINK("https://esbl.nhlbi.nih.gov/Databases/mpkFractions/proteomic_fractions_log_files/Yang_log_img/309265677.jpg","show blot")</f>
        <v>show blot</v>
      </c>
      <c r="H3961" s="8" t="str">
        <f>HYPERLINK("https://esbl.nhlbi.nih.gov/Databases/mpkFractions/proteomic_fractions_linear_files/Yang_linear_img/309265677.jpg","show blot")</f>
        <v>show blot</v>
      </c>
      <c r="J3961" s="5" t="s">
        <v>5734</v>
      </c>
      <c r="L3961" s="11">
        <v>6.3719934058066006</v>
      </c>
      <c r="N3961" s="12"/>
    </row>
    <row r="3962" spans="1:14" s="5" customFormat="1" ht="15" customHeight="1" x14ac:dyDescent="0.25">
      <c r="A3962" s="9" t="s">
        <v>7769</v>
      </c>
      <c r="C3962" s="9" t="str">
        <f>HYPERLINK("http://www.ncbi.nlm.nih.gov/protein/309265792","LOC100504863")</f>
        <v>LOC100504863</v>
      </c>
      <c r="D3962" s="10">
        <f t="shared" si="61"/>
        <v>6.3070518638885957</v>
      </c>
      <c r="F3962" s="8" t="str">
        <f>HYPERLINK("https://esbl.nhlbi.nih.gov/Databases/mpkFractions/proteomic_fractions_log_files/Yang_log_img/309265792.jpg","show blot")</f>
        <v>show blot</v>
      </c>
      <c r="H3962" s="8" t="str">
        <f>HYPERLINK("https://esbl.nhlbi.nih.gov/Databases/mpkFractions/proteomic_fractions_linear_files/Yang_linear_img/309265792.jpg","show blot")</f>
        <v>show blot</v>
      </c>
      <c r="J3962" s="5" t="s">
        <v>5892</v>
      </c>
      <c r="L3962" s="11">
        <v>6.3070518638885957</v>
      </c>
      <c r="N3962" s="12"/>
    </row>
    <row r="3963" spans="1:14" s="5" customFormat="1" ht="15" customHeight="1" x14ac:dyDescent="0.25">
      <c r="A3963" s="9" t="s">
        <v>7770</v>
      </c>
      <c r="C3963" s="9" t="str">
        <f>HYPERLINK("http://www.ncbi.nlm.nih.gov/protein/309263511","LOC100504872")</f>
        <v>LOC100504872</v>
      </c>
      <c r="D3963" s="10">
        <f t="shared" si="61"/>
        <v>6.590959736403657</v>
      </c>
      <c r="F3963" s="8" t="str">
        <f>HYPERLINK("https://esbl.nhlbi.nih.gov/Databases/mpkFractions/proteomic_fractions_log_files/Yang_log_img/309263511.jpg","show blot")</f>
        <v>show blot</v>
      </c>
      <c r="H3963" s="8" t="str">
        <f>HYPERLINK("https://esbl.nhlbi.nih.gov/Databases/mpkFractions/proteomic_fractions_linear_files/Yang_linear_img/309263511.jpg","show blot")</f>
        <v>show blot</v>
      </c>
      <c r="J3963" s="5" t="s">
        <v>7771</v>
      </c>
      <c r="L3963" s="11">
        <v>6.590959736403657</v>
      </c>
      <c r="N3963" s="12"/>
    </row>
    <row r="3964" spans="1:14" s="5" customFormat="1" ht="15" customHeight="1" x14ac:dyDescent="0.25">
      <c r="A3964" s="9" t="s">
        <v>7772</v>
      </c>
      <c r="C3964" s="9" t="str">
        <f>HYPERLINK("http://www.ncbi.nlm.nih.gov/protein/309265053","LOC100504912")</f>
        <v>LOC100504912</v>
      </c>
      <c r="D3964" s="10">
        <f t="shared" si="61"/>
        <v>6.3078840132454914</v>
      </c>
      <c r="F3964" s="8" t="str">
        <f>HYPERLINK("https://esbl.nhlbi.nih.gov/Databases/mpkFractions/proteomic_fractions_log_files/Yang_log_img/309265053.jpg","show blot")</f>
        <v>show blot</v>
      </c>
      <c r="H3964" s="8" t="str">
        <f>HYPERLINK("https://esbl.nhlbi.nih.gov/Databases/mpkFractions/proteomic_fractions_linear_files/Yang_linear_img/309265053.jpg","show blot")</f>
        <v>show blot</v>
      </c>
      <c r="J3964" s="5" t="s">
        <v>7773</v>
      </c>
      <c r="L3964" s="11">
        <v>6.3078840132454914</v>
      </c>
      <c r="N3964" s="12"/>
    </row>
    <row r="3965" spans="1:14" s="5" customFormat="1" ht="15" customHeight="1" x14ac:dyDescent="0.25">
      <c r="A3965" s="9" t="s">
        <v>7774</v>
      </c>
      <c r="C3965" s="9" t="str">
        <f>HYPERLINK("http://www.ncbi.nlm.nih.gov/protein/309266753","LOC100504959")</f>
        <v>LOC100504959</v>
      </c>
      <c r="D3965" s="10">
        <f t="shared" si="61"/>
        <v>3.6863629781980309</v>
      </c>
      <c r="F3965" s="8" t="str">
        <f>HYPERLINK("https://esbl.nhlbi.nih.gov/Databases/mpkFractions/proteomic_fractions_log_files/Yang_log_img/309266753.jpg","show blot")</f>
        <v>show blot</v>
      </c>
      <c r="H3965" s="8" t="str">
        <f>HYPERLINK("https://esbl.nhlbi.nih.gov/Databases/mpkFractions/proteomic_fractions_linear_files/Yang_linear_img/309266753.jpg","show blot")</f>
        <v>show blot</v>
      </c>
      <c r="J3965" s="5" t="s">
        <v>7775</v>
      </c>
      <c r="L3965" s="11">
        <v>3.6863629781980309</v>
      </c>
      <c r="N3965" s="12"/>
    </row>
    <row r="3966" spans="1:14" s="5" customFormat="1" ht="15" customHeight="1" x14ac:dyDescent="0.25">
      <c r="A3966" s="9" t="s">
        <v>7776</v>
      </c>
      <c r="C3966" s="9" t="str">
        <f>HYPERLINK("http://www.ncbi.nlm.nih.gov/protein/309265938","LOC100504968")</f>
        <v>LOC100504968</v>
      </c>
      <c r="D3966" s="10">
        <f t="shared" si="61"/>
        <v>5.1567694033407419</v>
      </c>
      <c r="F3966" s="8" t="str">
        <f>HYPERLINK("https://esbl.nhlbi.nih.gov/Databases/mpkFractions/proteomic_fractions_log_files/Yang_log_img/309265938.jpg","show blot")</f>
        <v>show blot</v>
      </c>
      <c r="H3966" s="8" t="str">
        <f>HYPERLINK("https://esbl.nhlbi.nih.gov/Databases/mpkFractions/proteomic_fractions_linear_files/Yang_linear_img/309265938.jpg","show blot")</f>
        <v>show blot</v>
      </c>
      <c r="J3966" s="5" t="s">
        <v>7777</v>
      </c>
      <c r="L3966" s="11">
        <v>5.1567694033407419</v>
      </c>
      <c r="N3966" s="12"/>
    </row>
    <row r="3967" spans="1:14" s="5" customFormat="1" ht="15" customHeight="1" x14ac:dyDescent="0.25">
      <c r="A3967" s="9" t="s">
        <v>7778</v>
      </c>
      <c r="C3967" s="9" t="str">
        <f>HYPERLINK("http://www.ncbi.nlm.nih.gov/protein/309264544","LOC100504988")</f>
        <v>LOC100504988</v>
      </c>
      <c r="D3967" s="10">
        <f t="shared" si="61"/>
        <v>5.2141548007548382</v>
      </c>
      <c r="F3967" s="8" t="str">
        <f>HYPERLINK("https://esbl.nhlbi.nih.gov/Databases/mpkFractions/proteomic_fractions_log_files/Yang_log_img/309264544.jpg","show blot")</f>
        <v>show blot</v>
      </c>
      <c r="H3967" s="8" t="str">
        <f>HYPERLINK("https://esbl.nhlbi.nih.gov/Databases/mpkFractions/proteomic_fractions_linear_files/Yang_linear_img/309264544.jpg","show blot")</f>
        <v>show blot</v>
      </c>
      <c r="J3967" s="5" t="s">
        <v>7779</v>
      </c>
      <c r="L3967" s="11">
        <v>5.2141548007548382</v>
      </c>
      <c r="N3967" s="12"/>
    </row>
    <row r="3968" spans="1:14" s="5" customFormat="1" ht="15" customHeight="1" x14ac:dyDescent="0.25">
      <c r="A3968" s="9" t="s">
        <v>7780</v>
      </c>
      <c r="C3968" s="9" t="str">
        <f>HYPERLINK("http://www.ncbi.nlm.nih.gov/protein/309266758","LOC100505014")</f>
        <v>LOC100505014</v>
      </c>
      <c r="D3968" s="10">
        <f t="shared" si="61"/>
        <v>5.8643843583132194</v>
      </c>
      <c r="F3968" s="8" t="str">
        <f>HYPERLINK("https://esbl.nhlbi.nih.gov/Databases/mpkFractions/proteomic_fractions_log_files/Yang_log_img/309266758.jpg","show blot")</f>
        <v>show blot</v>
      </c>
      <c r="H3968" s="8" t="str">
        <f>HYPERLINK("https://esbl.nhlbi.nih.gov/Databases/mpkFractions/proteomic_fractions_linear_files/Yang_linear_img/309266758.jpg","show blot")</f>
        <v>show blot</v>
      </c>
      <c r="J3968" s="5" t="s">
        <v>5472</v>
      </c>
      <c r="L3968" s="11">
        <v>5.8643843583132194</v>
      </c>
      <c r="N3968" s="12"/>
    </row>
    <row r="3969" spans="1:14" s="5" customFormat="1" ht="15" customHeight="1" x14ac:dyDescent="0.25">
      <c r="A3969" s="9" t="s">
        <v>7781</v>
      </c>
      <c r="C3969" s="9" t="str">
        <f>HYPERLINK("http://www.ncbi.nlm.nih.gov/protein/309264022","LOC100505031")</f>
        <v>LOC100505031</v>
      </c>
      <c r="D3969" s="10">
        <f t="shared" si="61"/>
        <v>7.0466419888209053</v>
      </c>
      <c r="F3969" s="8" t="str">
        <f>HYPERLINK("https://esbl.nhlbi.nih.gov/Databases/mpkFractions/proteomic_fractions_log_files/Yang_log_img/309264022.jpg","show blot")</f>
        <v>show blot</v>
      </c>
      <c r="H3969" s="8" t="str">
        <f>HYPERLINK("https://esbl.nhlbi.nih.gov/Databases/mpkFractions/proteomic_fractions_linear_files/Yang_linear_img/309264022.jpg","show blot")</f>
        <v>show blot</v>
      </c>
      <c r="J3969" s="5" t="s">
        <v>7782</v>
      </c>
      <c r="L3969" s="11">
        <v>7.0466419888209053</v>
      </c>
      <c r="N3969" s="12"/>
    </row>
    <row r="3970" spans="1:14" s="5" customFormat="1" ht="15" customHeight="1" x14ac:dyDescent="0.25">
      <c r="A3970" s="9" t="s">
        <v>7783</v>
      </c>
      <c r="C3970" s="9" t="str">
        <f>HYPERLINK("http://www.ncbi.nlm.nih.gov/protein/309265361","LOC100505283")</f>
        <v>LOC100505283</v>
      </c>
      <c r="D3970" s="10">
        <f t="shared" si="61"/>
        <v>6.4194241153996714</v>
      </c>
      <c r="F3970" s="8" t="str">
        <f>HYPERLINK("https://esbl.nhlbi.nih.gov/Databases/mpkFractions/proteomic_fractions_log_files/Yang_log_img/309265361.jpg","show blot")</f>
        <v>show blot</v>
      </c>
      <c r="H3970" s="8" t="str">
        <f>HYPERLINK("https://esbl.nhlbi.nih.gov/Databases/mpkFractions/proteomic_fractions_linear_files/Yang_linear_img/309265361.jpg","show blot")</f>
        <v>show blot</v>
      </c>
      <c r="J3970" s="5" t="s">
        <v>5456</v>
      </c>
      <c r="L3970" s="11">
        <v>6.4194241153996714</v>
      </c>
      <c r="N3970" s="12"/>
    </row>
    <row r="3971" spans="1:14" s="5" customFormat="1" ht="15" customHeight="1" x14ac:dyDescent="0.25">
      <c r="A3971" s="9" t="s">
        <v>7784</v>
      </c>
      <c r="C3971" s="9" t="str">
        <f>HYPERLINK("http://www.ncbi.nlm.nih.gov/protein/377835354","LOC100861685")</f>
        <v>LOC100861685</v>
      </c>
      <c r="D3971" s="10">
        <f t="shared" si="61"/>
        <v>6.7302704696046884</v>
      </c>
      <c r="F3971" s="8" t="str">
        <f>HYPERLINK("https://esbl.nhlbi.nih.gov/Databases/mpkFractions/proteomic_fractions_log_files/Yang_log_img/377835354.jpg","show blot")</f>
        <v>show blot</v>
      </c>
      <c r="H3971" s="8" t="str">
        <f>HYPERLINK("https://esbl.nhlbi.nih.gov/Databases/mpkFractions/proteomic_fractions_linear_files/Yang_linear_img/377835354.jpg","show blot")</f>
        <v>show blot</v>
      </c>
      <c r="J3971" s="5" t="s">
        <v>5651</v>
      </c>
      <c r="L3971" s="11">
        <v>6.7302704696046884</v>
      </c>
      <c r="N3971" s="12"/>
    </row>
    <row r="3972" spans="1:14" s="5" customFormat="1" ht="15" customHeight="1" x14ac:dyDescent="0.25">
      <c r="A3972" s="9" t="s">
        <v>7785</v>
      </c>
      <c r="C3972" s="9" t="str">
        <f>HYPERLINK("http://www.ncbi.nlm.nih.gov/protein/377834995","LOC100861784")</f>
        <v>LOC100861784</v>
      </c>
      <c r="D3972" s="10">
        <f t="shared" si="61"/>
        <v>5.6465441294128524</v>
      </c>
      <c r="F3972" s="8" t="str">
        <f>HYPERLINK("https://esbl.nhlbi.nih.gov/Databases/mpkFractions/proteomic_fractions_log_files/Yang_log_img/377834995.jpg","show blot")</f>
        <v>show blot</v>
      </c>
      <c r="H3972" s="8" t="str">
        <f>HYPERLINK("https://esbl.nhlbi.nih.gov/Databases/mpkFractions/proteomic_fractions_linear_files/Yang_linear_img/377834995.jpg","show blot")</f>
        <v>show blot</v>
      </c>
      <c r="J3972" s="5" t="s">
        <v>5451</v>
      </c>
      <c r="L3972" s="11">
        <v>5.6465441294128524</v>
      </c>
      <c r="N3972" s="12"/>
    </row>
    <row r="3973" spans="1:14" s="5" customFormat="1" ht="15" customHeight="1" x14ac:dyDescent="0.25">
      <c r="A3973" s="9" t="s">
        <v>7786</v>
      </c>
      <c r="C3973" s="9" t="str">
        <f>HYPERLINK("http://www.ncbi.nlm.nih.gov/protein/407263800","LOC100861898")</f>
        <v>LOC100861898</v>
      </c>
      <c r="D3973" s="10">
        <f t="shared" ref="D3973:D4036" si="62">L3973</f>
        <v>5.6331309333669566</v>
      </c>
      <c r="F3973" s="8" t="str">
        <f>HYPERLINK("https://esbl.nhlbi.nih.gov/Databases/mpkFractions/proteomic_fractions_log_files/Yang_log_img/407263800.jpg","show blot")</f>
        <v>show blot</v>
      </c>
      <c r="H3973" s="8" t="str">
        <f>HYPERLINK("https://esbl.nhlbi.nih.gov/Databases/mpkFractions/proteomic_fractions_linear_files/Yang_linear_img/407263800.jpg","show blot")</f>
        <v>show blot</v>
      </c>
      <c r="J3973" s="5" t="s">
        <v>5619</v>
      </c>
      <c r="L3973" s="11">
        <v>5.6331309333669566</v>
      </c>
      <c r="N3973" s="12"/>
    </row>
    <row r="3974" spans="1:14" s="5" customFormat="1" ht="15" customHeight="1" x14ac:dyDescent="0.25">
      <c r="A3974" s="9" t="s">
        <v>7787</v>
      </c>
      <c r="C3974" s="9" t="str">
        <f>HYPERLINK("http://www.ncbi.nlm.nih.gov/protein/377833741","LOC100861945")</f>
        <v>LOC100861945</v>
      </c>
      <c r="D3974" s="10">
        <f t="shared" si="62"/>
        <v>3.7940120138184281</v>
      </c>
      <c r="F3974" s="8" t="str">
        <f>HYPERLINK("https://esbl.nhlbi.nih.gov/Databases/mpkFractions/proteomic_fractions_log_files/Yang_log_img/377833741.jpg","show blot")</f>
        <v>show blot</v>
      </c>
      <c r="H3974" s="8" t="str">
        <f>HYPERLINK("https://esbl.nhlbi.nih.gov/Databases/mpkFractions/proteomic_fractions_linear_files/Yang_linear_img/377833741.jpg","show blot")</f>
        <v>show blot</v>
      </c>
      <c r="J3974" s="5" t="s">
        <v>7788</v>
      </c>
      <c r="L3974" s="11">
        <v>3.7940120138184281</v>
      </c>
      <c r="N3974" s="12"/>
    </row>
    <row r="3975" spans="1:14" s="5" customFormat="1" ht="15" customHeight="1" x14ac:dyDescent="0.25">
      <c r="A3975" s="9" t="s">
        <v>7789</v>
      </c>
      <c r="C3975" s="9" t="str">
        <f>HYPERLINK("http://www.ncbi.nlm.nih.gov/protein/377835119","LOC100861947")</f>
        <v>LOC100861947</v>
      </c>
      <c r="D3975" s="10">
        <f t="shared" si="62"/>
        <v>5.5450765311337307</v>
      </c>
      <c r="F3975" s="8" t="str">
        <f>HYPERLINK("https://esbl.nhlbi.nih.gov/Databases/mpkFractions/proteomic_fractions_log_files/Yang_log_img/377835119.jpg","show blot")</f>
        <v>show blot</v>
      </c>
      <c r="H3975" s="8" t="str">
        <f>HYPERLINK("https://esbl.nhlbi.nih.gov/Databases/mpkFractions/proteomic_fractions_linear_files/Yang_linear_img/377835119.jpg","show blot")</f>
        <v>show blot</v>
      </c>
      <c r="J3975" s="5" t="s">
        <v>7790</v>
      </c>
      <c r="L3975" s="11">
        <v>5.5450765311337307</v>
      </c>
      <c r="N3975" s="12"/>
    </row>
    <row r="3976" spans="1:14" s="5" customFormat="1" ht="15" customHeight="1" x14ac:dyDescent="0.25">
      <c r="A3976" s="9" t="s">
        <v>7791</v>
      </c>
      <c r="C3976" s="9" t="str">
        <f>HYPERLINK("http://www.ncbi.nlm.nih.gov/protein/377834422","LOC100862012")</f>
        <v>LOC100862012</v>
      </c>
      <c r="D3976" s="10">
        <f t="shared" si="62"/>
        <v>7.030885174361539</v>
      </c>
      <c r="F3976" s="8" t="str">
        <f>HYPERLINK("https://esbl.nhlbi.nih.gov/Databases/mpkFractions/proteomic_fractions_log_files/Yang_log_img/377834422.jpg","show blot")</f>
        <v>show blot</v>
      </c>
      <c r="H3976" s="8" t="str">
        <f>HYPERLINK("https://esbl.nhlbi.nih.gov/Databases/mpkFractions/proteomic_fractions_linear_files/Yang_linear_img/377834422.jpg","show blot")</f>
        <v>show blot</v>
      </c>
      <c r="J3976" s="5" t="s">
        <v>7792</v>
      </c>
      <c r="L3976" s="11">
        <v>7.030885174361539</v>
      </c>
      <c r="N3976" s="12"/>
    </row>
    <row r="3977" spans="1:14" s="5" customFormat="1" ht="15" customHeight="1" x14ac:dyDescent="0.25">
      <c r="A3977" s="9" t="s">
        <v>7793</v>
      </c>
      <c r="C3977" s="9" t="str">
        <f>HYPERLINK("http://www.ncbi.nlm.nih.gov/protein/377834028","LOC100862066")</f>
        <v>LOC100862066</v>
      </c>
      <c r="D3977" s="10">
        <f t="shared" si="62"/>
        <v>4.2290309626525673</v>
      </c>
      <c r="F3977" s="8" t="str">
        <f>HYPERLINK("https://esbl.nhlbi.nih.gov/Databases/mpkFractions/proteomic_fractions_log_files/Yang_log_img/377834028.jpg","show blot")</f>
        <v>show blot</v>
      </c>
      <c r="H3977" s="8" t="str">
        <f>HYPERLINK("https://esbl.nhlbi.nih.gov/Databases/mpkFractions/proteomic_fractions_linear_files/Yang_linear_img/377834028.jpg","show blot")</f>
        <v>show blot</v>
      </c>
      <c r="J3977" s="5" t="s">
        <v>7794</v>
      </c>
      <c r="L3977" s="11">
        <v>4.2290309626525673</v>
      </c>
      <c r="N3977" s="12"/>
    </row>
    <row r="3978" spans="1:14" s="5" customFormat="1" ht="15" customHeight="1" x14ac:dyDescent="0.25">
      <c r="A3978" s="9" t="s">
        <v>7795</v>
      </c>
      <c r="C3978" s="9" t="str">
        <f>HYPERLINK("http://www.ncbi.nlm.nih.gov/protein/377837112","LOC100862431")</f>
        <v>LOC100862431</v>
      </c>
      <c r="D3978" s="10">
        <f t="shared" si="62"/>
        <v>3.0806264869218061</v>
      </c>
      <c r="F3978" s="8" t="str">
        <f>HYPERLINK("https://esbl.nhlbi.nih.gov/Databases/mpkFractions/proteomic_fractions_log_files/Yang_log_img/377837112.jpg","show blot")</f>
        <v>show blot</v>
      </c>
      <c r="H3978" s="8" t="str">
        <f>HYPERLINK("https://esbl.nhlbi.nih.gov/Databases/mpkFractions/proteomic_fractions_linear_files/Yang_linear_img/377837112.jpg","show blot")</f>
        <v>show blot</v>
      </c>
      <c r="J3978" s="5" t="s">
        <v>7796</v>
      </c>
      <c r="L3978" s="11">
        <v>3.0806264869218061</v>
      </c>
      <c r="N3978" s="12"/>
    </row>
    <row r="3979" spans="1:14" s="5" customFormat="1" ht="15" customHeight="1" x14ac:dyDescent="0.25">
      <c r="A3979" s="9" t="s">
        <v>7797</v>
      </c>
      <c r="C3979" s="9" t="str">
        <f>HYPERLINK("http://www.ncbi.nlm.nih.gov/protein/377837104","LOC100862433")</f>
        <v>LOC100862433</v>
      </c>
      <c r="D3979" s="10">
        <f t="shared" si="62"/>
        <v>7.1347507942035859</v>
      </c>
      <c r="F3979" s="8" t="str">
        <f>HYPERLINK("https://esbl.nhlbi.nih.gov/Databases/mpkFractions/proteomic_fractions_log_files/Yang_log_img/377837104.jpg","show blot")</f>
        <v>show blot</v>
      </c>
      <c r="H3979" s="8" t="str">
        <f>HYPERLINK("https://esbl.nhlbi.nih.gov/Databases/mpkFractions/proteomic_fractions_linear_files/Yang_linear_img/377837104.jpg","show blot")</f>
        <v>show blot</v>
      </c>
      <c r="J3979" s="5" t="s">
        <v>7798</v>
      </c>
      <c r="L3979" s="11">
        <v>7.1347507942035859</v>
      </c>
      <c r="N3979" s="12"/>
    </row>
    <row r="3980" spans="1:14" s="5" customFormat="1" ht="15" customHeight="1" x14ac:dyDescent="0.25">
      <c r="A3980" s="9" t="s">
        <v>7799</v>
      </c>
      <c r="C3980" s="9" t="str">
        <f>HYPERLINK("http://www.ncbi.nlm.nih.gov/protein/377837120","LOC100862435")</f>
        <v>LOC100862435</v>
      </c>
      <c r="D3980" s="10">
        <f t="shared" si="62"/>
        <v>3.001445240874181</v>
      </c>
      <c r="F3980" s="8" t="str">
        <f>HYPERLINK("https://esbl.nhlbi.nih.gov/Databases/mpkFractions/proteomic_fractions_log_files/Yang_log_img/377837120.jpg","show blot")</f>
        <v>show blot</v>
      </c>
      <c r="H3980" s="8" t="str">
        <f>HYPERLINK("https://esbl.nhlbi.nih.gov/Databases/mpkFractions/proteomic_fractions_linear_files/Yang_linear_img/377837120.jpg","show blot")</f>
        <v>show blot</v>
      </c>
      <c r="J3980" s="5" t="s">
        <v>7800</v>
      </c>
      <c r="L3980" s="11">
        <v>3.001445240874181</v>
      </c>
      <c r="N3980" s="12"/>
    </row>
    <row r="3981" spans="1:14" s="5" customFormat="1" ht="15" customHeight="1" x14ac:dyDescent="0.25">
      <c r="A3981" s="9" t="s">
        <v>7801</v>
      </c>
      <c r="C3981" s="9" t="str">
        <f>HYPERLINK("http://www.ncbi.nlm.nih.gov/protein/377837231","LOC100862445")</f>
        <v>LOC100862445</v>
      </c>
      <c r="D3981" s="10">
        <f t="shared" si="62"/>
        <v>5.6759767414635904</v>
      </c>
      <c r="F3981" s="8" t="str">
        <f>HYPERLINK("https://esbl.nhlbi.nih.gov/Databases/mpkFractions/proteomic_fractions_log_files/Yang_log_img/377837231.jpg","show blot")</f>
        <v>show blot</v>
      </c>
      <c r="H3981" s="8" t="str">
        <f>HYPERLINK("https://esbl.nhlbi.nih.gov/Databases/mpkFractions/proteomic_fractions_linear_files/Yang_linear_img/377837231.jpg","show blot")</f>
        <v>show blot</v>
      </c>
      <c r="J3981" s="5" t="s">
        <v>5527</v>
      </c>
      <c r="L3981" s="11">
        <v>5.6759767414635904</v>
      </c>
      <c r="N3981" s="12"/>
    </row>
    <row r="3982" spans="1:14" s="5" customFormat="1" ht="15" customHeight="1" x14ac:dyDescent="0.25">
      <c r="A3982" s="9" t="s">
        <v>7802</v>
      </c>
      <c r="C3982" s="9" t="str">
        <f>HYPERLINK("http://www.ncbi.nlm.nih.gov/protein/407262755","LOC100862445")</f>
        <v>LOC100862445</v>
      </c>
      <c r="D3982" s="10">
        <f t="shared" si="62"/>
        <v>5.6759767414635904</v>
      </c>
      <c r="F3982" s="8" t="str">
        <f>HYPERLINK("https://esbl.nhlbi.nih.gov/Databases/mpkFractions/proteomic_fractions_log_files/Yang_log_img/407262755.jpg","show blot")</f>
        <v>show blot</v>
      </c>
      <c r="H3982" s="8" t="str">
        <f>HYPERLINK("https://esbl.nhlbi.nih.gov/Databases/mpkFractions/proteomic_fractions_linear_files/Yang_linear_img/407262755.jpg","show blot")</f>
        <v>show blot</v>
      </c>
      <c r="J3982" s="5" t="s">
        <v>5527</v>
      </c>
      <c r="L3982" s="11">
        <v>5.6759767414635904</v>
      </c>
      <c r="N3982" s="12"/>
    </row>
    <row r="3983" spans="1:14" s="5" customFormat="1" ht="15" customHeight="1" x14ac:dyDescent="0.25">
      <c r="A3983" s="9" t="s">
        <v>7803</v>
      </c>
      <c r="C3983" s="9" t="str">
        <f>HYPERLINK("http://www.ncbi.nlm.nih.gov/protein/407264599","LOC100862446")</f>
        <v>LOC100862446</v>
      </c>
      <c r="D3983" s="10">
        <f t="shared" si="62"/>
        <v>7.1896708662562903</v>
      </c>
      <c r="F3983" s="8" t="str">
        <f>HYPERLINK("https://esbl.nhlbi.nih.gov/Databases/mpkFractions/proteomic_fractions_log_files/Yang_log_img/407264599.jpg","show blot")</f>
        <v>show blot</v>
      </c>
      <c r="H3983" s="8" t="str">
        <f>HYPERLINK("https://esbl.nhlbi.nih.gov/Databases/mpkFractions/proteomic_fractions_linear_files/Yang_linear_img/407264599.jpg","show blot")</f>
        <v>show blot</v>
      </c>
      <c r="J3983" s="5" t="s">
        <v>7804</v>
      </c>
      <c r="L3983" s="11">
        <v>7.1896708662562903</v>
      </c>
      <c r="N3983" s="12"/>
    </row>
    <row r="3984" spans="1:14" s="5" customFormat="1" ht="15" customHeight="1" x14ac:dyDescent="0.25">
      <c r="A3984" s="9" t="s">
        <v>7805</v>
      </c>
      <c r="C3984" s="9" t="str">
        <f>HYPERLINK("http://www.ncbi.nlm.nih.gov/protein/377834725","LOC100862447")</f>
        <v>LOC100862447</v>
      </c>
      <c r="D3984" s="10">
        <f t="shared" si="62"/>
        <v>3.091621871223269</v>
      </c>
      <c r="F3984" s="8" t="str">
        <f>HYPERLINK("https://esbl.nhlbi.nih.gov/Databases/mpkFractions/proteomic_fractions_log_files/Yang_log_img/377834725.jpg","show blot")</f>
        <v>show blot</v>
      </c>
      <c r="H3984" s="8" t="str">
        <f>HYPERLINK("https://esbl.nhlbi.nih.gov/Databases/mpkFractions/proteomic_fractions_linear_files/Yang_linear_img/377834725.jpg","show blot")</f>
        <v>show blot</v>
      </c>
      <c r="J3984" s="5" t="s">
        <v>7796</v>
      </c>
      <c r="L3984" s="11">
        <v>3.091621871223269</v>
      </c>
      <c r="N3984" s="12"/>
    </row>
    <row r="3985" spans="1:14" s="5" customFormat="1" ht="15" customHeight="1" x14ac:dyDescent="0.25">
      <c r="A3985" s="9" t="s">
        <v>7806</v>
      </c>
      <c r="C3985" s="9" t="str">
        <f>HYPERLINK("http://www.ncbi.nlm.nih.gov/protein/407262287","LOC100862455")</f>
        <v>LOC100862455</v>
      </c>
      <c r="D3985" s="10">
        <f t="shared" si="62"/>
        <v>6.4334036087876214</v>
      </c>
      <c r="F3985" s="8" t="str">
        <f>HYPERLINK("https://esbl.nhlbi.nih.gov/Databases/mpkFractions/proteomic_fractions_log_files/Yang_log_img/407262287.jpg","show blot")</f>
        <v>show blot</v>
      </c>
      <c r="H3985" s="8" t="str">
        <f>HYPERLINK("https://esbl.nhlbi.nih.gov/Databases/mpkFractions/proteomic_fractions_linear_files/Yang_linear_img/407262287.jpg","show blot")</f>
        <v>show blot</v>
      </c>
      <c r="J3985" s="5" t="s">
        <v>5567</v>
      </c>
      <c r="L3985" s="11">
        <v>6.4334036087876214</v>
      </c>
      <c r="N3985" s="12"/>
    </row>
    <row r="3986" spans="1:14" s="5" customFormat="1" ht="15" customHeight="1" x14ac:dyDescent="0.25">
      <c r="A3986" s="9" t="s">
        <v>7807</v>
      </c>
      <c r="C3986" s="9" t="str">
        <f>HYPERLINK("http://www.ncbi.nlm.nih.gov/protein/377837185","LOC100862468")</f>
        <v>LOC100862468</v>
      </c>
      <c r="D3986" s="10">
        <f t="shared" si="62"/>
        <v>6.2994601477352008</v>
      </c>
      <c r="F3986" s="8" t="str">
        <f>HYPERLINK("https://esbl.nhlbi.nih.gov/Databases/mpkFractions/proteomic_fractions_log_files/Yang_log_img/377837185.jpg","show blot")</f>
        <v>show blot</v>
      </c>
      <c r="H3986" s="8" t="str">
        <f>HYPERLINK("https://esbl.nhlbi.nih.gov/Databases/mpkFractions/proteomic_fractions_linear_files/Yang_linear_img/377837185.jpg","show blot")</f>
        <v>show blot</v>
      </c>
      <c r="J3986" s="5" t="s">
        <v>7706</v>
      </c>
      <c r="L3986" s="11">
        <v>6.2994601477352008</v>
      </c>
      <c r="N3986" s="12"/>
    </row>
    <row r="3987" spans="1:14" s="5" customFormat="1" ht="15" customHeight="1" x14ac:dyDescent="0.25">
      <c r="A3987" s="9" t="s">
        <v>7808</v>
      </c>
      <c r="C3987" s="9" t="str">
        <f>HYPERLINK("http://www.ncbi.nlm.nih.gov/protein/407261291","LOC100862515")</f>
        <v>LOC100862515</v>
      </c>
      <c r="D3987" s="10">
        <f t="shared" si="62"/>
        <v>4.5607700101374302</v>
      </c>
      <c r="F3987" s="8" t="str">
        <f>HYPERLINK("https://esbl.nhlbi.nih.gov/Databases/mpkFractions/proteomic_fractions_log_files/Yang_log_img/407261291.jpg","show blot")</f>
        <v>show blot</v>
      </c>
      <c r="H3987" s="8" t="str">
        <f>HYPERLINK("https://esbl.nhlbi.nih.gov/Databases/mpkFractions/proteomic_fractions_linear_files/Yang_linear_img/407261291.jpg","show blot")</f>
        <v>show blot</v>
      </c>
      <c r="J3987" s="5" t="s">
        <v>7809</v>
      </c>
      <c r="L3987" s="11">
        <v>4.5607700101374302</v>
      </c>
      <c r="N3987" s="12"/>
    </row>
    <row r="3988" spans="1:14" s="5" customFormat="1" ht="15" customHeight="1" x14ac:dyDescent="0.25">
      <c r="A3988" s="9" t="s">
        <v>7810</v>
      </c>
      <c r="C3988" s="9" t="str">
        <f>HYPERLINK("http://www.ncbi.nlm.nih.gov/protein/377834690","LOC100862531")</f>
        <v>LOC100862531</v>
      </c>
      <c r="D3988" s="10">
        <f t="shared" si="62"/>
        <v>2.7534305151999061</v>
      </c>
      <c r="F3988" s="8" t="str">
        <f>HYPERLINK("https://esbl.nhlbi.nih.gov/Databases/mpkFractions/proteomic_fractions_log_files/Yang_log_img/377834690.jpg","show blot")</f>
        <v>show blot</v>
      </c>
      <c r="H3988" s="8" t="str">
        <f>HYPERLINK("https://esbl.nhlbi.nih.gov/Databases/mpkFractions/proteomic_fractions_linear_files/Yang_linear_img/377834690.jpg","show blot")</f>
        <v>show blot</v>
      </c>
      <c r="J3988" s="5" t="s">
        <v>7811</v>
      </c>
      <c r="L3988" s="11">
        <v>2.7534305151999061</v>
      </c>
      <c r="N3988" s="12"/>
    </row>
    <row r="3989" spans="1:14" s="5" customFormat="1" ht="15" customHeight="1" x14ac:dyDescent="0.25">
      <c r="A3989" s="9" t="s">
        <v>7812</v>
      </c>
      <c r="C3989" s="9" t="str">
        <f>HYPERLINK("http://www.ncbi.nlm.nih.gov/protein/377833375","LOC100862557")</f>
        <v>LOC100862557</v>
      </c>
      <c r="D3989" s="10">
        <f t="shared" si="62"/>
        <v>5.049654372832137</v>
      </c>
      <c r="F3989" s="8" t="str">
        <f>HYPERLINK("https://esbl.nhlbi.nih.gov/Databases/mpkFractions/proteomic_fractions_log_files/Yang_log_img/377833375.jpg","show blot")</f>
        <v>show blot</v>
      </c>
      <c r="H3989" s="8" t="str">
        <f>HYPERLINK("https://esbl.nhlbi.nih.gov/Databases/mpkFractions/proteomic_fractions_linear_files/Yang_linear_img/377833375.jpg","show blot")</f>
        <v>show blot</v>
      </c>
      <c r="J3989" s="5" t="s">
        <v>7813</v>
      </c>
      <c r="L3989" s="11">
        <v>5.049654372832137</v>
      </c>
      <c r="N3989" s="12"/>
    </row>
    <row r="3990" spans="1:14" s="5" customFormat="1" ht="15" customHeight="1" x14ac:dyDescent="0.25">
      <c r="A3990" s="9" t="s">
        <v>7814</v>
      </c>
      <c r="C3990" s="9" t="str">
        <f>HYPERLINK("http://www.ncbi.nlm.nih.gov/protein/377833339","LOC100862587")</f>
        <v>LOC100862587</v>
      </c>
      <c r="D3990" s="10">
        <f t="shared" si="62"/>
        <v>6.1833819262454011</v>
      </c>
      <c r="F3990" s="8" t="str">
        <f>HYPERLINK("https://esbl.nhlbi.nih.gov/Databases/mpkFractions/proteomic_fractions_log_files/Yang_log_img/377833339.jpg","show blot")</f>
        <v>show blot</v>
      </c>
      <c r="H3990" s="8" t="str">
        <f>HYPERLINK("https://esbl.nhlbi.nih.gov/Databases/mpkFractions/proteomic_fractions_linear_files/Yang_linear_img/377833339.jpg","show blot")</f>
        <v>show blot</v>
      </c>
      <c r="J3990" s="5" t="s">
        <v>5490</v>
      </c>
      <c r="L3990" s="11">
        <v>6.1833819262454011</v>
      </c>
      <c r="N3990" s="12"/>
    </row>
    <row r="3991" spans="1:14" s="5" customFormat="1" ht="15" customHeight="1" x14ac:dyDescent="0.25">
      <c r="A3991" s="9" t="s">
        <v>7815</v>
      </c>
      <c r="C3991" s="9" t="str">
        <f>HYPERLINK("http://www.ncbi.nlm.nih.gov/protein/377834331","LOC100862604")</f>
        <v>LOC100862604</v>
      </c>
      <c r="D3991" s="10">
        <f t="shared" si="62"/>
        <v>6.2923854893133306</v>
      </c>
      <c r="F3991" s="8" t="str">
        <f>HYPERLINK("https://esbl.nhlbi.nih.gov/Databases/mpkFractions/proteomic_fractions_log_files/Yang_log_img/377834331.jpg","show blot")</f>
        <v>show blot</v>
      </c>
      <c r="H3991" s="8" t="str">
        <f>HYPERLINK("https://esbl.nhlbi.nih.gov/Databases/mpkFractions/proteomic_fractions_linear_files/Yang_linear_img/377834331.jpg","show blot")</f>
        <v>show blot</v>
      </c>
      <c r="J3991" s="5" t="s">
        <v>5750</v>
      </c>
      <c r="L3991" s="11">
        <v>6.2923854893133306</v>
      </c>
      <c r="N3991" s="12"/>
    </row>
    <row r="3992" spans="1:14" s="5" customFormat="1" ht="15" customHeight="1" x14ac:dyDescent="0.25">
      <c r="A3992" s="9" t="s">
        <v>7816</v>
      </c>
      <c r="C3992" s="9" t="str">
        <f>HYPERLINK("http://www.ncbi.nlm.nih.gov/protein/407262330","LOC101055631")</f>
        <v>LOC101055631</v>
      </c>
      <c r="D3992" s="10">
        <f t="shared" si="62"/>
        <v>2.4220032186791629</v>
      </c>
      <c r="F3992" s="8" t="str">
        <f>HYPERLINK("https://esbl.nhlbi.nih.gov/Databases/mpkFractions/proteomic_fractions_log_files/Yang_log_img/407262330.jpg","show blot")</f>
        <v>show blot</v>
      </c>
      <c r="H3992" s="8" t="str">
        <f>HYPERLINK("https://esbl.nhlbi.nih.gov/Databases/mpkFractions/proteomic_fractions_linear_files/Yang_linear_img/407262330.jpg","show blot")</f>
        <v>show blot</v>
      </c>
      <c r="J3992" s="5" t="s">
        <v>7817</v>
      </c>
      <c r="L3992" s="11">
        <v>2.4220032186791629</v>
      </c>
      <c r="N3992" s="12"/>
    </row>
    <row r="3993" spans="1:14" s="5" customFormat="1" ht="15" customHeight="1" x14ac:dyDescent="0.25">
      <c r="A3993" s="9" t="s">
        <v>7818</v>
      </c>
      <c r="C3993" s="9" t="str">
        <f>HYPERLINK("http://www.ncbi.nlm.nih.gov/protein/407262230","LOC101055659")</f>
        <v>LOC101055659</v>
      </c>
      <c r="D3993" s="10">
        <f t="shared" si="62"/>
        <v>5.1296124408229922</v>
      </c>
      <c r="F3993" s="8" t="str">
        <f>HYPERLINK("https://esbl.nhlbi.nih.gov/Databases/mpkFractions/proteomic_fractions_log_files/Yang_log_img/407262230.jpg","show blot")</f>
        <v>show blot</v>
      </c>
      <c r="H3993" s="8" t="str">
        <f>HYPERLINK("https://esbl.nhlbi.nih.gov/Databases/mpkFractions/proteomic_fractions_linear_files/Yang_linear_img/407262230.jpg","show blot")</f>
        <v>show blot</v>
      </c>
      <c r="J3993" s="5" t="s">
        <v>5838</v>
      </c>
      <c r="L3993" s="11">
        <v>5.1296124408229922</v>
      </c>
      <c r="N3993" s="12"/>
    </row>
    <row r="3994" spans="1:14" s="5" customFormat="1" ht="15" customHeight="1" x14ac:dyDescent="0.25">
      <c r="A3994" s="9" t="s">
        <v>7819</v>
      </c>
      <c r="C3994" s="9" t="str">
        <f>HYPERLINK("http://www.ncbi.nlm.nih.gov/protein/407261331","LOC101055675")</f>
        <v>LOC101055675</v>
      </c>
      <c r="D3994" s="10">
        <f t="shared" si="62"/>
        <v>3.870315479148084</v>
      </c>
      <c r="F3994" s="8" t="str">
        <f>HYPERLINK("https://esbl.nhlbi.nih.gov/Databases/mpkFractions/proteomic_fractions_log_files/Yang_log_img/407261331.jpg","show blot")</f>
        <v>show blot</v>
      </c>
      <c r="H3994" s="8" t="str">
        <f>HYPERLINK("https://esbl.nhlbi.nih.gov/Databases/mpkFractions/proteomic_fractions_linear_files/Yang_linear_img/407261331.jpg","show blot")</f>
        <v>show blot</v>
      </c>
      <c r="J3994" s="5" t="s">
        <v>7820</v>
      </c>
      <c r="L3994" s="11">
        <v>3.870315479148084</v>
      </c>
      <c r="N3994" s="12"/>
    </row>
    <row r="3995" spans="1:14" s="5" customFormat="1" ht="15" customHeight="1" x14ac:dyDescent="0.25">
      <c r="A3995" s="9" t="s">
        <v>7821</v>
      </c>
      <c r="C3995" s="9" t="str">
        <f>HYPERLINK("http://www.ncbi.nlm.nih.gov/protein/407261069","LOC101055744")</f>
        <v>LOC101055744</v>
      </c>
      <c r="D3995" s="10">
        <f t="shared" si="62"/>
        <v>6.552175230845906</v>
      </c>
      <c r="F3995" s="8" t="str">
        <f>HYPERLINK("https://esbl.nhlbi.nih.gov/Databases/mpkFractions/proteomic_fractions_log_files/Yang_log_img/407261069.jpg","show blot")</f>
        <v>show blot</v>
      </c>
      <c r="H3995" s="8" t="str">
        <f>HYPERLINK("https://esbl.nhlbi.nih.gov/Databases/mpkFractions/proteomic_fractions_linear_files/Yang_linear_img/407261069.jpg","show blot")</f>
        <v>show blot</v>
      </c>
      <c r="J3995" s="5" t="s">
        <v>7822</v>
      </c>
      <c r="L3995" s="11">
        <v>6.552175230845906</v>
      </c>
      <c r="N3995" s="12"/>
    </row>
    <row r="3996" spans="1:14" s="5" customFormat="1" ht="15" customHeight="1" x14ac:dyDescent="0.25">
      <c r="A3996" s="9" t="s">
        <v>7823</v>
      </c>
      <c r="C3996" s="9" t="str">
        <f>HYPERLINK("http://www.ncbi.nlm.nih.gov/protein/407262437","LOC101055749")</f>
        <v>LOC101055749</v>
      </c>
      <c r="D3996" s="10">
        <f t="shared" si="62"/>
        <v>6.1133209350462048</v>
      </c>
      <c r="F3996" s="8" t="str">
        <f>HYPERLINK("https://esbl.nhlbi.nih.gov/Databases/mpkFractions/proteomic_fractions_log_files/Yang_log_img/407262437.jpg","show blot")</f>
        <v>show blot</v>
      </c>
      <c r="H3996" s="8" t="str">
        <f>HYPERLINK("https://esbl.nhlbi.nih.gov/Databases/mpkFractions/proteomic_fractions_linear_files/Yang_linear_img/407262437.jpg","show blot")</f>
        <v>show blot</v>
      </c>
      <c r="J3996" s="5" t="s">
        <v>7824</v>
      </c>
      <c r="L3996" s="11">
        <v>6.1133209350462048</v>
      </c>
      <c r="N3996" s="12"/>
    </row>
    <row r="3997" spans="1:14" s="5" customFormat="1" ht="15" customHeight="1" x14ac:dyDescent="0.25">
      <c r="A3997" s="9" t="s">
        <v>7825</v>
      </c>
      <c r="C3997" s="9" t="str">
        <f>HYPERLINK("http://www.ncbi.nlm.nih.gov/protein/407264338","LOC101055749")</f>
        <v>LOC101055749</v>
      </c>
      <c r="D3997" s="10">
        <f t="shared" si="62"/>
        <v>6.1133209350462048</v>
      </c>
      <c r="F3997" s="8" t="str">
        <f>HYPERLINK("https://esbl.nhlbi.nih.gov/Databases/mpkFractions/proteomic_fractions_log_files/Yang_log_img/407264338.jpg","show blot")</f>
        <v>show blot</v>
      </c>
      <c r="H3997" s="8" t="str">
        <f>HYPERLINK("https://esbl.nhlbi.nih.gov/Databases/mpkFractions/proteomic_fractions_linear_files/Yang_linear_img/407264338.jpg","show blot")</f>
        <v>show blot</v>
      </c>
      <c r="J3997" s="5" t="s">
        <v>7826</v>
      </c>
      <c r="L3997" s="11">
        <v>6.1133209350462048</v>
      </c>
      <c r="N3997" s="12"/>
    </row>
    <row r="3998" spans="1:14" s="5" customFormat="1" ht="15" customHeight="1" x14ac:dyDescent="0.25">
      <c r="A3998" s="9" t="s">
        <v>7827</v>
      </c>
      <c r="C3998" s="9" t="str">
        <f>HYPERLINK("http://www.ncbi.nlm.nih.gov/protein/407261248","LOC101055761")</f>
        <v>LOC101055761</v>
      </c>
      <c r="D3998" s="10">
        <f t="shared" si="62"/>
        <v>5.3550821872878887</v>
      </c>
      <c r="F3998" s="8" t="str">
        <f>HYPERLINK("https://esbl.nhlbi.nih.gov/Databases/mpkFractions/proteomic_fractions_log_files/Yang_log_img/407261248.jpg","show blot")</f>
        <v>show blot</v>
      </c>
      <c r="H3998" s="8" t="str">
        <f>HYPERLINK("https://esbl.nhlbi.nih.gov/Databases/mpkFractions/proteomic_fractions_linear_files/Yang_linear_img/407261248.jpg","show blot")</f>
        <v>show blot</v>
      </c>
      <c r="J3998" s="5" t="s">
        <v>7828</v>
      </c>
      <c r="L3998" s="11">
        <v>5.3550821872878887</v>
      </c>
      <c r="N3998" s="12"/>
    </row>
    <row r="3999" spans="1:14" s="5" customFormat="1" ht="15" customHeight="1" x14ac:dyDescent="0.25">
      <c r="A3999" s="9" t="s">
        <v>7829</v>
      </c>
      <c r="C3999" s="9" t="str">
        <f>HYPERLINK("http://www.ncbi.nlm.nih.gov/protein/407261857","LOC101055799")</f>
        <v>LOC101055799</v>
      </c>
      <c r="D3999" s="10">
        <f t="shared" si="62"/>
        <v>5.7643881056281874</v>
      </c>
      <c r="F3999" s="8" t="str">
        <f>HYPERLINK("https://esbl.nhlbi.nih.gov/Databases/mpkFractions/proteomic_fractions_log_files/Yang_log_img/407261857.jpg","show blot")</f>
        <v>show blot</v>
      </c>
      <c r="H3999" s="8" t="str">
        <f>HYPERLINK("https://esbl.nhlbi.nih.gov/Databases/mpkFractions/proteomic_fractions_linear_files/Yang_linear_img/407261857.jpg","show blot")</f>
        <v>show blot</v>
      </c>
      <c r="J3999" s="5" t="s">
        <v>5892</v>
      </c>
      <c r="L3999" s="11">
        <v>5.7643881056281874</v>
      </c>
      <c r="N3999" s="12"/>
    </row>
    <row r="4000" spans="1:14" s="5" customFormat="1" ht="15" customHeight="1" x14ac:dyDescent="0.25">
      <c r="A4000" s="9" t="s">
        <v>7830</v>
      </c>
      <c r="C4000" s="9" t="str">
        <f>HYPERLINK("http://www.ncbi.nlm.nih.gov/protein/407262441","LOC101055815")</f>
        <v>LOC101055815</v>
      </c>
      <c r="D4000" s="10">
        <f t="shared" si="62"/>
        <v>5.5009514650185931</v>
      </c>
      <c r="F4000" s="8" t="str">
        <f>HYPERLINK("https://esbl.nhlbi.nih.gov/Databases/mpkFractions/proteomic_fractions_log_files/Yang_log_img/407262441.jpg","show blot")</f>
        <v>show blot</v>
      </c>
      <c r="H4000" s="8" t="str">
        <f>HYPERLINK("https://esbl.nhlbi.nih.gov/Databases/mpkFractions/proteomic_fractions_linear_files/Yang_linear_img/407262441.jpg","show blot")</f>
        <v>show blot</v>
      </c>
      <c r="J4000" s="5" t="s">
        <v>5723</v>
      </c>
      <c r="L4000" s="11">
        <v>5.5009514650185931</v>
      </c>
      <c r="N4000" s="12"/>
    </row>
    <row r="4001" spans="1:14" s="5" customFormat="1" ht="15" customHeight="1" x14ac:dyDescent="0.25">
      <c r="A4001" s="9" t="s">
        <v>7831</v>
      </c>
      <c r="C4001" s="9" t="str">
        <f>HYPERLINK("http://www.ncbi.nlm.nih.gov/protein/407262010","LOC101055828")</f>
        <v>LOC101055828</v>
      </c>
      <c r="D4001" s="10">
        <f t="shared" si="62"/>
        <v>4.5175370099263468</v>
      </c>
      <c r="F4001" s="8" t="str">
        <f>HYPERLINK("https://esbl.nhlbi.nih.gov/Databases/mpkFractions/proteomic_fractions_log_files/Yang_log_img/407262010.jpg","show blot")</f>
        <v>show blot</v>
      </c>
      <c r="H4001" s="8" t="str">
        <f>HYPERLINK("https://esbl.nhlbi.nih.gov/Databases/mpkFractions/proteomic_fractions_linear_files/Yang_linear_img/407262010.jpg","show blot")</f>
        <v>show blot</v>
      </c>
      <c r="J4001" s="5" t="s">
        <v>7832</v>
      </c>
      <c r="L4001" s="11">
        <v>4.5175370099263468</v>
      </c>
      <c r="N4001" s="12"/>
    </row>
    <row r="4002" spans="1:14" s="5" customFormat="1" ht="15" customHeight="1" x14ac:dyDescent="0.25">
      <c r="A4002" s="9" t="s">
        <v>7833</v>
      </c>
      <c r="C4002" s="9" t="str">
        <f>HYPERLINK("http://www.ncbi.nlm.nih.gov/protein/407263825","LOC101055828")</f>
        <v>LOC101055828</v>
      </c>
      <c r="D4002" s="10">
        <f t="shared" si="62"/>
        <v>4.5175370099263468</v>
      </c>
      <c r="F4002" s="8" t="str">
        <f>HYPERLINK("https://esbl.nhlbi.nih.gov/Databases/mpkFractions/proteomic_fractions_log_files/Yang_log_img/407263825.jpg","show blot")</f>
        <v>show blot</v>
      </c>
      <c r="H4002" s="8" t="str">
        <f>HYPERLINK("https://esbl.nhlbi.nih.gov/Databases/mpkFractions/proteomic_fractions_linear_files/Yang_linear_img/407263825.jpg","show blot")</f>
        <v>show blot</v>
      </c>
      <c r="J4002" s="5" t="s">
        <v>7832</v>
      </c>
      <c r="L4002" s="11">
        <v>4.5175370099263468</v>
      </c>
      <c r="N4002" s="12"/>
    </row>
    <row r="4003" spans="1:14" s="5" customFormat="1" ht="15" customHeight="1" x14ac:dyDescent="0.25">
      <c r="A4003" s="9" t="s">
        <v>7834</v>
      </c>
      <c r="C4003" s="9" t="str">
        <f>HYPERLINK("http://www.ncbi.nlm.nih.gov/protein/407260908","LOC101055829")</f>
        <v>LOC101055829</v>
      </c>
      <c r="D4003" s="10">
        <f t="shared" si="62"/>
        <v>6.7481926808115702</v>
      </c>
      <c r="F4003" s="8" t="str">
        <f>HYPERLINK("https://esbl.nhlbi.nih.gov/Databases/mpkFractions/proteomic_fractions_log_files/Yang_log_img/407260908.jpg","show blot")</f>
        <v>show blot</v>
      </c>
      <c r="H4003" s="8" t="str">
        <f>HYPERLINK("https://esbl.nhlbi.nih.gov/Databases/mpkFractions/proteomic_fractions_linear_files/Yang_linear_img/407260908.jpg","show blot")</f>
        <v>show blot</v>
      </c>
      <c r="J4003" s="5" t="s">
        <v>5602</v>
      </c>
      <c r="L4003" s="11">
        <v>6.7481926808115702</v>
      </c>
      <c r="N4003" s="12"/>
    </row>
    <row r="4004" spans="1:14" s="5" customFormat="1" ht="15" customHeight="1" x14ac:dyDescent="0.25">
      <c r="A4004" s="9" t="s">
        <v>7835</v>
      </c>
      <c r="C4004" s="9" t="str">
        <f>HYPERLINK("http://www.ncbi.nlm.nih.gov/protein/407261194","LOC101055843")</f>
        <v>LOC101055843</v>
      </c>
      <c r="D4004" s="10">
        <f t="shared" si="62"/>
        <v>5.2159754944951624</v>
      </c>
      <c r="F4004" s="8" t="str">
        <f>HYPERLINK("https://esbl.nhlbi.nih.gov/Databases/mpkFractions/proteomic_fractions_log_files/Yang_log_img/407261194.jpg","show blot")</f>
        <v>show blot</v>
      </c>
      <c r="H4004" s="8" t="str">
        <f>HYPERLINK("https://esbl.nhlbi.nih.gov/Databases/mpkFractions/proteomic_fractions_linear_files/Yang_linear_img/407261194.jpg","show blot")</f>
        <v>show blot</v>
      </c>
      <c r="J4004" s="5" t="s">
        <v>7836</v>
      </c>
      <c r="L4004" s="11">
        <v>5.2159754944951624</v>
      </c>
      <c r="N4004" s="12"/>
    </row>
    <row r="4005" spans="1:14" s="5" customFormat="1" ht="15" customHeight="1" x14ac:dyDescent="0.25">
      <c r="A4005" s="9" t="s">
        <v>7837</v>
      </c>
      <c r="C4005" s="9" t="str">
        <f>HYPERLINK("http://www.ncbi.nlm.nih.gov/protein/407262073","LOC101055909")</f>
        <v>LOC101055909</v>
      </c>
      <c r="D4005" s="10">
        <f t="shared" si="62"/>
        <v>4.7176707236196274</v>
      </c>
      <c r="F4005" s="8" t="str">
        <f>HYPERLINK("https://esbl.nhlbi.nih.gov/Databases/mpkFractions/proteomic_fractions_log_files/Yang_log_img/407262073.jpg","show blot")</f>
        <v>show blot</v>
      </c>
      <c r="H4005" s="8" t="str">
        <f>HYPERLINK("https://esbl.nhlbi.nih.gov/Databases/mpkFractions/proteomic_fractions_linear_files/Yang_linear_img/407262073.jpg","show blot")</f>
        <v>show blot</v>
      </c>
      <c r="J4005" s="5" t="s">
        <v>7838</v>
      </c>
      <c r="L4005" s="11">
        <v>4.7176707236196274</v>
      </c>
      <c r="N4005" s="12"/>
    </row>
    <row r="4006" spans="1:14" s="5" customFormat="1" ht="15" customHeight="1" x14ac:dyDescent="0.25">
      <c r="A4006" s="9" t="s">
        <v>7839</v>
      </c>
      <c r="C4006" s="9" t="str">
        <f>HYPERLINK("http://www.ncbi.nlm.nih.gov/protein/407261941","LOC101055913")</f>
        <v>LOC101055913</v>
      </c>
      <c r="D4006" s="10">
        <f t="shared" si="62"/>
        <v>4.3986230461421041</v>
      </c>
      <c r="F4006" s="8" t="str">
        <f>HYPERLINK("https://esbl.nhlbi.nih.gov/Databases/mpkFractions/proteomic_fractions_log_files/Yang_log_img/407261941.jpg","show blot")</f>
        <v>show blot</v>
      </c>
      <c r="H4006" s="8" t="str">
        <f>HYPERLINK("https://esbl.nhlbi.nih.gov/Databases/mpkFractions/proteomic_fractions_linear_files/Yang_linear_img/407261941.jpg","show blot")</f>
        <v>show blot</v>
      </c>
      <c r="J4006" s="5" t="s">
        <v>7840</v>
      </c>
      <c r="L4006" s="11">
        <v>4.3986230461421041</v>
      </c>
      <c r="N4006" s="12"/>
    </row>
    <row r="4007" spans="1:14" s="5" customFormat="1" ht="15" customHeight="1" x14ac:dyDescent="0.25">
      <c r="A4007" s="9" t="s">
        <v>7841</v>
      </c>
      <c r="C4007" s="9" t="str">
        <f>HYPERLINK("http://www.ncbi.nlm.nih.gov/protein/407262980","LOC101055915")</f>
        <v>LOC101055915</v>
      </c>
      <c r="D4007" s="10">
        <f t="shared" si="62"/>
        <v>6.9335176895464343</v>
      </c>
      <c r="F4007" s="8" t="str">
        <f>HYPERLINK("https://esbl.nhlbi.nih.gov/Databases/mpkFractions/proteomic_fractions_log_files/Yang_log_img/407262980.jpg","show blot")</f>
        <v>show blot</v>
      </c>
      <c r="H4007" s="8" t="str">
        <f>HYPERLINK("https://esbl.nhlbi.nih.gov/Databases/mpkFractions/proteomic_fractions_linear_files/Yang_linear_img/407262980.jpg","show blot")</f>
        <v>show blot</v>
      </c>
      <c r="J4007" s="5" t="s">
        <v>7842</v>
      </c>
      <c r="L4007" s="11">
        <v>6.9335176895464343</v>
      </c>
      <c r="N4007" s="12"/>
    </row>
    <row r="4008" spans="1:14" s="5" customFormat="1" ht="15" customHeight="1" x14ac:dyDescent="0.25">
      <c r="A4008" s="9" t="s">
        <v>7843</v>
      </c>
      <c r="C4008" s="9" t="str">
        <f>HYPERLINK("http://www.ncbi.nlm.nih.gov/protein/407262455","LOC101055925")</f>
        <v>LOC101055925</v>
      </c>
      <c r="D4008" s="10">
        <f t="shared" si="62"/>
        <v>6.6120292111318024</v>
      </c>
      <c r="F4008" s="8" t="str">
        <f>HYPERLINK("https://esbl.nhlbi.nih.gov/Databases/mpkFractions/proteomic_fractions_log_files/Yang_log_img/407262455.jpg","show blot")</f>
        <v>show blot</v>
      </c>
      <c r="H4008" s="8" t="str">
        <f>HYPERLINK("https://esbl.nhlbi.nih.gov/Databases/mpkFractions/proteomic_fractions_linear_files/Yang_linear_img/407262455.jpg","show blot")</f>
        <v>show blot</v>
      </c>
      <c r="J4008" s="5" t="s">
        <v>7844</v>
      </c>
      <c r="L4008" s="11">
        <v>6.6120292111318024</v>
      </c>
      <c r="N4008" s="12"/>
    </row>
    <row r="4009" spans="1:14" s="5" customFormat="1" ht="15" customHeight="1" x14ac:dyDescent="0.25">
      <c r="A4009" s="9" t="s">
        <v>7845</v>
      </c>
      <c r="C4009" s="9" t="str">
        <f>HYPERLINK("http://www.ncbi.nlm.nih.gov/protein/407262470","LOC101055936")</f>
        <v>LOC101055936</v>
      </c>
      <c r="D4009" s="10">
        <f t="shared" si="62"/>
        <v>4.853048082094201</v>
      </c>
      <c r="F4009" s="8" t="str">
        <f>HYPERLINK("https://esbl.nhlbi.nih.gov/Databases/mpkFractions/proteomic_fractions_log_files/Yang_log_img/407262470.jpg","show blot")</f>
        <v>show blot</v>
      </c>
      <c r="H4009" s="8" t="str">
        <f>HYPERLINK("https://esbl.nhlbi.nih.gov/Databases/mpkFractions/proteomic_fractions_linear_files/Yang_linear_img/407262470.jpg","show blot")</f>
        <v>show blot</v>
      </c>
      <c r="J4009" s="5" t="s">
        <v>5602</v>
      </c>
      <c r="L4009" s="11">
        <v>4.853048082094201</v>
      </c>
      <c r="N4009" s="12"/>
    </row>
    <row r="4010" spans="1:14" s="5" customFormat="1" ht="15" customHeight="1" x14ac:dyDescent="0.25">
      <c r="A4010" s="9" t="s">
        <v>7846</v>
      </c>
      <c r="C4010" s="9" t="str">
        <f>HYPERLINK("http://www.ncbi.nlm.nih.gov/protein/407264353","LOC101055936")</f>
        <v>LOC101055936</v>
      </c>
      <c r="D4010" s="10">
        <f t="shared" si="62"/>
        <v>4.853048082094201</v>
      </c>
      <c r="F4010" s="8" t="str">
        <f>HYPERLINK("https://esbl.nhlbi.nih.gov/Databases/mpkFractions/proteomic_fractions_log_files/Yang_log_img/407264353.jpg","show blot")</f>
        <v>show blot</v>
      </c>
      <c r="H4010" s="8" t="str">
        <f>HYPERLINK("https://esbl.nhlbi.nih.gov/Databases/mpkFractions/proteomic_fractions_linear_files/Yang_linear_img/407264353.jpg","show blot")</f>
        <v>show blot</v>
      </c>
      <c r="J4010" s="5" t="s">
        <v>5602</v>
      </c>
      <c r="L4010" s="11">
        <v>4.853048082094201</v>
      </c>
      <c r="N4010" s="12"/>
    </row>
    <row r="4011" spans="1:14" s="5" customFormat="1" ht="15" customHeight="1" x14ac:dyDescent="0.25">
      <c r="A4011" s="9" t="s">
        <v>7847</v>
      </c>
      <c r="C4011" s="9" t="str">
        <f>HYPERLINK("http://www.ncbi.nlm.nih.gov/protein/407261474","LOC101055953")</f>
        <v>LOC101055953</v>
      </c>
      <c r="D4011" s="10">
        <f t="shared" si="62"/>
        <v>4.5333843542213996</v>
      </c>
      <c r="F4011" s="8" t="str">
        <f>HYPERLINK("https://esbl.nhlbi.nih.gov/Databases/mpkFractions/proteomic_fractions_log_files/Yang_log_img/407261474.jpg","show blot")</f>
        <v>show blot</v>
      </c>
      <c r="H4011" s="8" t="str">
        <f>HYPERLINK("https://esbl.nhlbi.nih.gov/Databases/mpkFractions/proteomic_fractions_linear_files/Yang_linear_img/407261474.jpg","show blot")</f>
        <v>show blot</v>
      </c>
      <c r="J4011" s="5" t="s">
        <v>7848</v>
      </c>
      <c r="L4011" s="11">
        <v>4.5333843542213996</v>
      </c>
      <c r="N4011" s="12"/>
    </row>
    <row r="4012" spans="1:14" s="5" customFormat="1" ht="15" customHeight="1" x14ac:dyDescent="0.25">
      <c r="A4012" s="9" t="s">
        <v>7849</v>
      </c>
      <c r="C4012" s="9" t="str">
        <f>HYPERLINK("http://www.ncbi.nlm.nih.gov/protein/407264058","LOC101055956")</f>
        <v>LOC101055956</v>
      </c>
      <c r="D4012" s="10">
        <f t="shared" si="62"/>
        <v>5.681640399892478</v>
      </c>
      <c r="F4012" s="8" t="str">
        <f>HYPERLINK("https://esbl.nhlbi.nih.gov/Databases/mpkFractions/proteomic_fractions_log_files/Yang_log_img/407264058.jpg","show blot")</f>
        <v>show blot</v>
      </c>
      <c r="H4012" s="8" t="str">
        <f>HYPERLINK("https://esbl.nhlbi.nih.gov/Databases/mpkFractions/proteomic_fractions_linear_files/Yang_linear_img/407264058.jpg","show blot")</f>
        <v>show blot</v>
      </c>
      <c r="J4012" s="5" t="s">
        <v>7850</v>
      </c>
      <c r="L4012" s="11">
        <v>5.681640399892478</v>
      </c>
      <c r="N4012" s="12"/>
    </row>
    <row r="4013" spans="1:14" s="5" customFormat="1" ht="15" customHeight="1" x14ac:dyDescent="0.25">
      <c r="A4013" s="9" t="s">
        <v>7851</v>
      </c>
      <c r="C4013" s="9" t="str">
        <f>HYPERLINK("http://www.ncbi.nlm.nih.gov/protein/407262130","LOC101056029")</f>
        <v>LOC101056029</v>
      </c>
      <c r="D4013" s="10">
        <f t="shared" si="62"/>
        <v>6.7356579817283624</v>
      </c>
      <c r="F4013" s="8" t="str">
        <f>HYPERLINK("https://esbl.nhlbi.nih.gov/Databases/mpkFractions/proteomic_fractions_log_files/Yang_log_img/407262130.jpg","show blot")</f>
        <v>show blot</v>
      </c>
      <c r="H4013" s="8" t="str">
        <f>HYPERLINK("https://esbl.nhlbi.nih.gov/Databases/mpkFractions/proteomic_fractions_linear_files/Yang_linear_img/407262130.jpg","show blot")</f>
        <v>show blot</v>
      </c>
      <c r="J4013" s="5" t="s">
        <v>5720</v>
      </c>
      <c r="L4013" s="11">
        <v>6.7356579817283624</v>
      </c>
      <c r="N4013" s="12"/>
    </row>
    <row r="4014" spans="1:14" s="5" customFormat="1" ht="15" customHeight="1" x14ac:dyDescent="0.25">
      <c r="A4014" s="9" t="s">
        <v>7852</v>
      </c>
      <c r="C4014" s="9" t="str">
        <f>HYPERLINK("http://www.ncbi.nlm.nih.gov/protein/407264033","LOC101056029")</f>
        <v>LOC101056029</v>
      </c>
      <c r="D4014" s="10">
        <f t="shared" si="62"/>
        <v>6.7356579817283624</v>
      </c>
      <c r="F4014" s="8" t="str">
        <f>HYPERLINK("https://esbl.nhlbi.nih.gov/Databases/mpkFractions/proteomic_fractions_log_files/Yang_log_img/407264033.jpg","show blot")</f>
        <v>show blot</v>
      </c>
      <c r="H4014" s="8" t="str">
        <f>HYPERLINK("https://esbl.nhlbi.nih.gov/Databases/mpkFractions/proteomic_fractions_linear_files/Yang_linear_img/407264033.jpg","show blot")</f>
        <v>show blot</v>
      </c>
      <c r="J4014" s="5" t="s">
        <v>5720</v>
      </c>
      <c r="L4014" s="11">
        <v>6.7356579817283624</v>
      </c>
      <c r="N4014" s="12"/>
    </row>
    <row r="4015" spans="1:14" s="5" customFormat="1" ht="15" customHeight="1" x14ac:dyDescent="0.25">
      <c r="A4015" s="9" t="s">
        <v>7853</v>
      </c>
      <c r="C4015" s="9" t="str">
        <f>HYPERLINK("http://www.ncbi.nlm.nih.gov/protein/407261723","LOC101056044")</f>
        <v>LOC101056044</v>
      </c>
      <c r="D4015" s="10">
        <f t="shared" si="62"/>
        <v>5.7915234559075923</v>
      </c>
      <c r="F4015" s="8" t="str">
        <f>HYPERLINK("https://esbl.nhlbi.nih.gov/Databases/mpkFractions/proteomic_fractions_log_files/Yang_log_img/407261723.jpg","show blot")</f>
        <v>show blot</v>
      </c>
      <c r="H4015" s="8" t="str">
        <f>HYPERLINK("https://esbl.nhlbi.nih.gov/Databases/mpkFractions/proteomic_fractions_linear_files/Yang_linear_img/407261723.jpg","show blot")</f>
        <v>show blot</v>
      </c>
      <c r="J4015" s="5" t="s">
        <v>7854</v>
      </c>
      <c r="L4015" s="11">
        <v>5.7915234559075923</v>
      </c>
      <c r="N4015" s="12"/>
    </row>
    <row r="4016" spans="1:14" s="5" customFormat="1" ht="15" customHeight="1" x14ac:dyDescent="0.25">
      <c r="A4016" s="9" t="s">
        <v>7855</v>
      </c>
      <c r="C4016" s="9" t="str">
        <f>HYPERLINK("http://www.ncbi.nlm.nih.gov/protein/407262307","LOC101056061")</f>
        <v>LOC101056061</v>
      </c>
      <c r="D4016" s="10">
        <f t="shared" si="62"/>
        <v>5.7357768529546789</v>
      </c>
      <c r="F4016" s="8" t="str">
        <f>HYPERLINK("https://esbl.nhlbi.nih.gov/Databases/mpkFractions/proteomic_fractions_log_files/Yang_log_img/407262307.jpg","show blot")</f>
        <v>show blot</v>
      </c>
      <c r="H4016" s="8" t="str">
        <f>HYPERLINK("https://esbl.nhlbi.nih.gov/Databases/mpkFractions/proteomic_fractions_linear_files/Yang_linear_img/407262307.jpg","show blot")</f>
        <v>show blot</v>
      </c>
      <c r="J4016" s="5" t="s">
        <v>7856</v>
      </c>
      <c r="L4016" s="11">
        <v>5.7357768529546789</v>
      </c>
      <c r="N4016" s="12"/>
    </row>
    <row r="4017" spans="1:14" s="5" customFormat="1" ht="15" customHeight="1" x14ac:dyDescent="0.25">
      <c r="A4017" s="9" t="s">
        <v>7857</v>
      </c>
      <c r="C4017" s="9" t="str">
        <f>HYPERLINK("http://www.ncbi.nlm.nih.gov/protein/407263189","LOC101056102")</f>
        <v>LOC101056102</v>
      </c>
      <c r="D4017" s="10">
        <f t="shared" si="62"/>
        <v>4.5422440230070533</v>
      </c>
      <c r="F4017" s="8" t="str">
        <f>HYPERLINK("https://esbl.nhlbi.nih.gov/Databases/mpkFractions/proteomic_fractions_log_files/Yang_log_img/407263189.jpg","show blot")</f>
        <v>show blot</v>
      </c>
      <c r="H4017" s="8" t="str">
        <f>HYPERLINK("https://esbl.nhlbi.nih.gov/Databases/mpkFractions/proteomic_fractions_linear_files/Yang_linear_img/407263189.jpg","show blot")</f>
        <v>show blot</v>
      </c>
      <c r="J4017" s="5" t="s">
        <v>7858</v>
      </c>
      <c r="L4017" s="11">
        <v>4.5422440230070533</v>
      </c>
      <c r="N4017" s="12"/>
    </row>
    <row r="4018" spans="1:14" s="5" customFormat="1" ht="15" customHeight="1" x14ac:dyDescent="0.25">
      <c r="A4018" s="9" t="s">
        <v>7859</v>
      </c>
      <c r="C4018" s="9" t="str">
        <f>HYPERLINK("http://www.ncbi.nlm.nih.gov/protein/407261583","LOC101056128")</f>
        <v>LOC101056128</v>
      </c>
      <c r="D4018" s="10">
        <f t="shared" si="62"/>
        <v>4.2042643955081767</v>
      </c>
      <c r="F4018" s="8" t="str">
        <f>HYPERLINK("https://esbl.nhlbi.nih.gov/Databases/mpkFractions/proteomic_fractions_log_files/Yang_log_img/407261583.jpg","show blot")</f>
        <v>show blot</v>
      </c>
      <c r="H4018" s="8" t="str">
        <f>HYPERLINK("https://esbl.nhlbi.nih.gov/Databases/mpkFractions/proteomic_fractions_linear_files/Yang_linear_img/407261583.jpg","show blot")</f>
        <v>show blot</v>
      </c>
      <c r="J4018" s="5" t="s">
        <v>7860</v>
      </c>
      <c r="L4018" s="11">
        <v>4.2042643955081767</v>
      </c>
      <c r="N4018" s="12"/>
    </row>
    <row r="4019" spans="1:14" s="5" customFormat="1" ht="15" customHeight="1" x14ac:dyDescent="0.25">
      <c r="A4019" s="9" t="s">
        <v>7861</v>
      </c>
      <c r="C4019" s="9" t="str">
        <f>HYPERLINK("http://www.ncbi.nlm.nih.gov/protein/407262373","LOC101056140")</f>
        <v>LOC101056140</v>
      </c>
      <c r="D4019" s="10">
        <f t="shared" si="62"/>
        <v>6.3462856128936496</v>
      </c>
      <c r="F4019" s="8" t="str">
        <f>HYPERLINK("https://esbl.nhlbi.nih.gov/Databases/mpkFractions/proteomic_fractions_log_files/Yang_log_img/407262373.jpg","show blot")</f>
        <v>show blot</v>
      </c>
      <c r="H4019" s="8" t="str">
        <f>HYPERLINK("https://esbl.nhlbi.nih.gov/Databases/mpkFractions/proteomic_fractions_linear_files/Yang_linear_img/407262373.jpg","show blot")</f>
        <v>show blot</v>
      </c>
      <c r="J4019" s="5" t="s">
        <v>7862</v>
      </c>
      <c r="L4019" s="11">
        <v>6.3462856128936496</v>
      </c>
      <c r="N4019" s="12"/>
    </row>
    <row r="4020" spans="1:14" s="5" customFormat="1" ht="15" customHeight="1" x14ac:dyDescent="0.25">
      <c r="A4020" s="9" t="s">
        <v>7863</v>
      </c>
      <c r="C4020" s="9" t="str">
        <f>HYPERLINK("http://www.ncbi.nlm.nih.gov/protein/407264228","LOC101056140")</f>
        <v>LOC101056140</v>
      </c>
      <c r="D4020" s="10">
        <f t="shared" si="62"/>
        <v>6.3462856128936496</v>
      </c>
      <c r="F4020" s="8" t="str">
        <f>HYPERLINK("https://esbl.nhlbi.nih.gov/Databases/mpkFractions/proteomic_fractions_log_files/Yang_log_img/407264228.jpg","show blot")</f>
        <v>show blot</v>
      </c>
      <c r="H4020" s="8" t="str">
        <f>HYPERLINK("https://esbl.nhlbi.nih.gov/Databases/mpkFractions/proteomic_fractions_linear_files/Yang_linear_img/407264228.jpg","show blot")</f>
        <v>show blot</v>
      </c>
      <c r="J4020" s="5" t="s">
        <v>7864</v>
      </c>
      <c r="L4020" s="11">
        <v>6.3462856128936496</v>
      </c>
      <c r="N4020" s="12"/>
    </row>
    <row r="4021" spans="1:14" s="5" customFormat="1" ht="15" customHeight="1" x14ac:dyDescent="0.25">
      <c r="A4021" s="9" t="s">
        <v>7865</v>
      </c>
      <c r="C4021" s="9" t="str">
        <f>HYPERLINK("http://www.ncbi.nlm.nih.gov/protein/407261282","LOC101056154")</f>
        <v>LOC101056154</v>
      </c>
      <c r="D4021" s="10">
        <f t="shared" si="62"/>
        <v>5.6034260743149789</v>
      </c>
      <c r="F4021" s="8" t="str">
        <f>HYPERLINK("https://esbl.nhlbi.nih.gov/Databases/mpkFractions/proteomic_fractions_log_files/Yang_log_img/407261282.jpg","show blot")</f>
        <v>show blot</v>
      </c>
      <c r="H4021" s="8" t="str">
        <f>HYPERLINK("https://esbl.nhlbi.nih.gov/Databases/mpkFractions/proteomic_fractions_linear_files/Yang_linear_img/407261282.jpg","show blot")</f>
        <v>show blot</v>
      </c>
      <c r="J4021" s="5" t="s">
        <v>5527</v>
      </c>
      <c r="L4021" s="11">
        <v>5.6034260743149789</v>
      </c>
      <c r="N4021" s="12"/>
    </row>
    <row r="4022" spans="1:14" s="5" customFormat="1" ht="15" customHeight="1" x14ac:dyDescent="0.25">
      <c r="A4022" s="9" t="s">
        <v>7866</v>
      </c>
      <c r="C4022" s="9" t="str">
        <f>HYPERLINK("http://www.ncbi.nlm.nih.gov/protein/407263193","LOC101056154")</f>
        <v>LOC101056154</v>
      </c>
      <c r="D4022" s="10">
        <f t="shared" si="62"/>
        <v>5.6034260743149789</v>
      </c>
      <c r="F4022" s="8" t="str">
        <f>HYPERLINK("https://esbl.nhlbi.nih.gov/Databases/mpkFractions/proteomic_fractions_log_files/Yang_log_img/407263193.jpg","show blot")</f>
        <v>show blot</v>
      </c>
      <c r="H4022" s="8" t="str">
        <f>HYPERLINK("https://esbl.nhlbi.nih.gov/Databases/mpkFractions/proteomic_fractions_linear_files/Yang_linear_img/407263193.jpg","show blot")</f>
        <v>show blot</v>
      </c>
      <c r="J4022" s="5" t="s">
        <v>5527</v>
      </c>
      <c r="L4022" s="11">
        <v>5.6034260743149789</v>
      </c>
      <c r="N4022" s="12"/>
    </row>
    <row r="4023" spans="1:14" s="5" customFormat="1" ht="15" customHeight="1" x14ac:dyDescent="0.25">
      <c r="A4023" s="9" t="s">
        <v>7867</v>
      </c>
      <c r="C4023" s="9" t="str">
        <f>HYPERLINK("http://www.ncbi.nlm.nih.gov/protein/407263038","LOC101056241")</f>
        <v>LOC101056241</v>
      </c>
      <c r="D4023" s="10">
        <f t="shared" si="62"/>
        <v>4.02557729122673</v>
      </c>
      <c r="F4023" s="8" t="str">
        <f>HYPERLINK("https://esbl.nhlbi.nih.gov/Databases/mpkFractions/proteomic_fractions_log_files/Yang_log_img/407263038.jpg","show blot")</f>
        <v>show blot</v>
      </c>
      <c r="H4023" s="8" t="str">
        <f>HYPERLINK("https://esbl.nhlbi.nih.gov/Databases/mpkFractions/proteomic_fractions_linear_files/Yang_linear_img/407263038.jpg","show blot")</f>
        <v>show blot</v>
      </c>
      <c r="J4023" s="5" t="s">
        <v>7868</v>
      </c>
      <c r="L4023" s="11">
        <v>4.02557729122673</v>
      </c>
      <c r="N4023" s="12"/>
    </row>
    <row r="4024" spans="1:14" s="5" customFormat="1" ht="15" customHeight="1" x14ac:dyDescent="0.25">
      <c r="A4024" s="9" t="s">
        <v>7869</v>
      </c>
      <c r="C4024" s="9" t="str">
        <f>HYPERLINK("http://www.ncbi.nlm.nih.gov/protein/407261825","LOC101056244")</f>
        <v>LOC101056244</v>
      </c>
      <c r="D4024" s="10">
        <f t="shared" si="62"/>
        <v>3.915489056058671</v>
      </c>
      <c r="F4024" s="8" t="str">
        <f>HYPERLINK("https://esbl.nhlbi.nih.gov/Databases/mpkFractions/proteomic_fractions_log_files/Yang_log_img/407261825.jpg","show blot")</f>
        <v>show blot</v>
      </c>
      <c r="H4024" s="8" t="str">
        <f>HYPERLINK("https://esbl.nhlbi.nih.gov/Databases/mpkFractions/proteomic_fractions_linear_files/Yang_linear_img/407261825.jpg","show blot")</f>
        <v>show blot</v>
      </c>
      <c r="J4024" s="5" t="s">
        <v>7870</v>
      </c>
      <c r="L4024" s="11">
        <v>3.915489056058671</v>
      </c>
      <c r="N4024" s="12"/>
    </row>
    <row r="4025" spans="1:14" s="5" customFormat="1" ht="15" customHeight="1" x14ac:dyDescent="0.25">
      <c r="A4025" s="9" t="s">
        <v>7871</v>
      </c>
      <c r="C4025" s="9" t="str">
        <f>HYPERLINK("http://www.ncbi.nlm.nih.gov/protein/407261113","LOC101056341")</f>
        <v>LOC101056341</v>
      </c>
      <c r="D4025" s="10">
        <f t="shared" si="62"/>
        <v>7.6433626289633958</v>
      </c>
      <c r="F4025" s="8" t="str">
        <f>HYPERLINK("https://esbl.nhlbi.nih.gov/Databases/mpkFractions/proteomic_fractions_log_files/Yang_log_img/407261113.jpg","show blot")</f>
        <v>show blot</v>
      </c>
      <c r="H4025" s="8" t="str">
        <f>HYPERLINK("https://esbl.nhlbi.nih.gov/Databases/mpkFractions/proteomic_fractions_linear_files/Yang_linear_img/407261113.jpg","show blot")</f>
        <v>show blot</v>
      </c>
      <c r="J4025" s="5" t="s">
        <v>7872</v>
      </c>
      <c r="L4025" s="11">
        <v>7.6433626289633958</v>
      </c>
      <c r="N4025" s="12"/>
    </row>
    <row r="4026" spans="1:14" s="5" customFormat="1" ht="15" customHeight="1" x14ac:dyDescent="0.25">
      <c r="A4026" s="9" t="s">
        <v>7873</v>
      </c>
      <c r="C4026" s="9" t="str">
        <f>HYPERLINK("http://www.ncbi.nlm.nih.gov/protein/407262753","LOC101056348")</f>
        <v>LOC101056348</v>
      </c>
      <c r="D4026" s="10">
        <f t="shared" si="62"/>
        <v>4.8971038125250477</v>
      </c>
      <c r="F4026" s="8" t="str">
        <f>HYPERLINK("https://esbl.nhlbi.nih.gov/Databases/mpkFractions/proteomic_fractions_log_files/Yang_log_img/407262753.jpg","show blot")</f>
        <v>show blot</v>
      </c>
      <c r="H4026" s="8" t="str">
        <f>HYPERLINK("https://esbl.nhlbi.nih.gov/Databases/mpkFractions/proteomic_fractions_linear_files/Yang_linear_img/407262753.jpg","show blot")</f>
        <v>show blot</v>
      </c>
      <c r="J4026" s="5" t="s">
        <v>7874</v>
      </c>
      <c r="L4026" s="11">
        <v>4.8971038125250477</v>
      </c>
      <c r="N4026" s="12"/>
    </row>
    <row r="4027" spans="1:14" s="5" customFormat="1" ht="15" customHeight="1" x14ac:dyDescent="0.25">
      <c r="A4027" s="9" t="s">
        <v>7875</v>
      </c>
      <c r="C4027" s="9" t="str">
        <f>HYPERLINK("http://www.ncbi.nlm.nih.gov/protein/407261656","LOC101056352")</f>
        <v>LOC101056352</v>
      </c>
      <c r="D4027" s="10">
        <f t="shared" si="62"/>
        <v>5.771594092512065</v>
      </c>
      <c r="F4027" s="8" t="str">
        <f>HYPERLINK("https://esbl.nhlbi.nih.gov/Databases/mpkFractions/proteomic_fractions_log_files/Yang_log_img/407261656.jpg","show blot")</f>
        <v>show blot</v>
      </c>
      <c r="H4027" s="8" t="str">
        <f>HYPERLINK("https://esbl.nhlbi.nih.gov/Databases/mpkFractions/proteomic_fractions_linear_files/Yang_linear_img/407261656.jpg","show blot")</f>
        <v>show blot</v>
      </c>
      <c r="J4027" s="5" t="s">
        <v>7876</v>
      </c>
      <c r="L4027" s="11">
        <v>5.771594092512065</v>
      </c>
      <c r="N4027" s="12"/>
    </row>
    <row r="4028" spans="1:14" s="5" customFormat="1" ht="15" customHeight="1" x14ac:dyDescent="0.25">
      <c r="A4028" s="9" t="s">
        <v>7877</v>
      </c>
      <c r="C4028" s="9" t="str">
        <f>HYPERLINK("http://www.ncbi.nlm.nih.gov/protein/407262207","LOC101056365")</f>
        <v>LOC101056365</v>
      </c>
      <c r="D4028" s="10">
        <f t="shared" si="62"/>
        <v>6.3331088607243808</v>
      </c>
      <c r="F4028" s="8" t="str">
        <f>HYPERLINK("https://esbl.nhlbi.nih.gov/Databases/mpkFractions/proteomic_fractions_log_files/Yang_log_img/407262207.jpg","show blot")</f>
        <v>show blot</v>
      </c>
      <c r="H4028" s="8" t="str">
        <f>HYPERLINK("https://esbl.nhlbi.nih.gov/Databases/mpkFractions/proteomic_fractions_linear_files/Yang_linear_img/407262207.jpg","show blot")</f>
        <v>show blot</v>
      </c>
      <c r="J4028" s="5" t="s">
        <v>7878</v>
      </c>
      <c r="L4028" s="11">
        <v>6.3331088607243808</v>
      </c>
      <c r="N4028" s="12"/>
    </row>
    <row r="4029" spans="1:14" s="5" customFormat="1" ht="15" customHeight="1" x14ac:dyDescent="0.25">
      <c r="A4029" s="9" t="s">
        <v>7879</v>
      </c>
      <c r="C4029" s="9" t="str">
        <f>HYPERLINK("http://www.ncbi.nlm.nih.gov/protein/407262376","LOC101056370")</f>
        <v>LOC101056370</v>
      </c>
      <c r="D4029" s="10">
        <f t="shared" si="62"/>
        <v>6.5112744176893864</v>
      </c>
      <c r="F4029" s="8" t="str">
        <f>HYPERLINK("https://esbl.nhlbi.nih.gov/Databases/mpkFractions/proteomic_fractions_log_files/Yang_log_img/407262376.jpg","show blot")</f>
        <v>show blot</v>
      </c>
      <c r="H4029" s="8" t="str">
        <f>HYPERLINK("https://esbl.nhlbi.nih.gov/Databases/mpkFractions/proteomic_fractions_linear_files/Yang_linear_img/407262376.jpg","show blot")</f>
        <v>show blot</v>
      </c>
      <c r="J4029" s="5" t="s">
        <v>7880</v>
      </c>
      <c r="L4029" s="11">
        <v>6.5112744176893864</v>
      </c>
      <c r="N4029" s="12"/>
    </row>
    <row r="4030" spans="1:14" s="5" customFormat="1" ht="15" customHeight="1" x14ac:dyDescent="0.25">
      <c r="A4030" s="9" t="s">
        <v>7881</v>
      </c>
      <c r="C4030" s="9" t="str">
        <f>HYPERLINK("http://www.ncbi.nlm.nih.gov/protein/407261123","LOC101056383")</f>
        <v>LOC101056383</v>
      </c>
      <c r="D4030" s="10">
        <f t="shared" si="62"/>
        <v>4.1047585372743542</v>
      </c>
      <c r="F4030" s="8" t="str">
        <f>HYPERLINK("https://esbl.nhlbi.nih.gov/Databases/mpkFractions/proteomic_fractions_log_files/Yang_log_img/407261123.jpg","show blot")</f>
        <v>show blot</v>
      </c>
      <c r="H4030" s="8" t="str">
        <f>HYPERLINK("https://esbl.nhlbi.nih.gov/Databases/mpkFractions/proteomic_fractions_linear_files/Yang_linear_img/407261123.jpg","show blot")</f>
        <v>show blot</v>
      </c>
      <c r="J4030" s="5" t="s">
        <v>7868</v>
      </c>
      <c r="L4030" s="11">
        <v>4.1047585372743542</v>
      </c>
      <c r="N4030" s="12"/>
    </row>
    <row r="4031" spans="1:14" s="5" customFormat="1" ht="15" customHeight="1" x14ac:dyDescent="0.25">
      <c r="A4031" s="9" t="s">
        <v>7882</v>
      </c>
      <c r="C4031" s="9" t="str">
        <f>HYPERLINK("http://www.ncbi.nlm.nih.gov/protein/407261888","LOC101056386")</f>
        <v>LOC101056386</v>
      </c>
      <c r="D4031" s="10">
        <f t="shared" si="62"/>
        <v>6.9588950345639722</v>
      </c>
      <c r="F4031" s="8" t="str">
        <f>HYPERLINK("https://esbl.nhlbi.nih.gov/Databases/mpkFractions/proteomic_fractions_log_files/Yang_log_img/407261888.jpg","show blot")</f>
        <v>show blot</v>
      </c>
      <c r="H4031" s="8" t="str">
        <f>HYPERLINK("https://esbl.nhlbi.nih.gov/Databases/mpkFractions/proteomic_fractions_linear_files/Yang_linear_img/407261888.jpg","show blot")</f>
        <v>show blot</v>
      </c>
      <c r="J4031" s="5" t="s">
        <v>5623</v>
      </c>
      <c r="L4031" s="11">
        <v>6.9588950345639722</v>
      </c>
      <c r="N4031" s="12"/>
    </row>
    <row r="4032" spans="1:14" s="5" customFormat="1" ht="15" customHeight="1" x14ac:dyDescent="0.25">
      <c r="A4032" s="9" t="s">
        <v>7883</v>
      </c>
      <c r="C4032" s="9" t="str">
        <f>HYPERLINK("http://www.ncbi.nlm.nih.gov/protein/407260886","LOC101056391")</f>
        <v>LOC101056391</v>
      </c>
      <c r="D4032" s="10">
        <f t="shared" si="62"/>
        <v>4.5115838747926418</v>
      </c>
      <c r="F4032" s="8" t="str">
        <f>HYPERLINK("https://esbl.nhlbi.nih.gov/Databases/mpkFractions/proteomic_fractions_log_files/Yang_log_img/407260886.jpg","show blot")</f>
        <v>show blot</v>
      </c>
      <c r="H4032" s="8" t="str">
        <f>HYPERLINK("https://esbl.nhlbi.nih.gov/Databases/mpkFractions/proteomic_fractions_linear_files/Yang_linear_img/407260886.jpg","show blot")</f>
        <v>show blot</v>
      </c>
      <c r="J4032" s="5" t="s">
        <v>7884</v>
      </c>
      <c r="L4032" s="11">
        <v>4.5115838747926418</v>
      </c>
      <c r="N4032" s="12"/>
    </row>
    <row r="4033" spans="1:14" s="5" customFormat="1" ht="15" customHeight="1" x14ac:dyDescent="0.25">
      <c r="A4033" s="9" t="s">
        <v>7885</v>
      </c>
      <c r="C4033" s="9" t="str">
        <f>HYPERLINK("http://www.ncbi.nlm.nih.gov/protein/407261870;31543471","LOC101056392")</f>
        <v>LOC101056392</v>
      </c>
      <c r="D4033" s="10">
        <f t="shared" si="62"/>
        <v>2.6132650694913</v>
      </c>
      <c r="F4033" s="8" t="str">
        <f>HYPERLINK("https://esbl.nhlbi.nih.gov/Databases/mpkFractions/proteomic_fractions_log_files/Yang_log_img/407261870;31543471.jpg","show blot")</f>
        <v>show blot</v>
      </c>
      <c r="H4033" s="8" t="str">
        <f>HYPERLINK("https://esbl.nhlbi.nih.gov/Databases/mpkFractions/proteomic_fractions_linear_files/Yang_linear_img/407261870;31543471.jpg","show blot")</f>
        <v>show blot</v>
      </c>
      <c r="J4033" s="5" t="s">
        <v>7886</v>
      </c>
      <c r="L4033" s="11">
        <v>2.6132650694913</v>
      </c>
      <c r="N4033" s="12"/>
    </row>
    <row r="4034" spans="1:14" s="5" customFormat="1" ht="15" customHeight="1" x14ac:dyDescent="0.25">
      <c r="A4034" s="9" t="s">
        <v>7887</v>
      </c>
      <c r="C4034" s="9" t="str">
        <f>HYPERLINK("http://www.ncbi.nlm.nih.gov/protein/407262029","LOC101056437")</f>
        <v>LOC101056437</v>
      </c>
      <c r="D4034" s="10">
        <f t="shared" si="62"/>
        <v>5.3041802544086654</v>
      </c>
      <c r="F4034" s="8" t="str">
        <f>HYPERLINK("https://esbl.nhlbi.nih.gov/Databases/mpkFractions/proteomic_fractions_log_files/Yang_log_img/407262029.jpg","show blot")</f>
        <v>show blot</v>
      </c>
      <c r="H4034" s="8" t="str">
        <f>HYPERLINK("https://esbl.nhlbi.nih.gov/Databases/mpkFractions/proteomic_fractions_linear_files/Yang_linear_img/407262029.jpg","show blot")</f>
        <v>show blot</v>
      </c>
      <c r="J4034" s="5" t="s">
        <v>7888</v>
      </c>
      <c r="L4034" s="11">
        <v>5.3041802544086654</v>
      </c>
      <c r="N4034" s="12"/>
    </row>
    <row r="4035" spans="1:14" s="5" customFormat="1" ht="15" customHeight="1" x14ac:dyDescent="0.25">
      <c r="A4035" s="9" t="s">
        <v>7889</v>
      </c>
      <c r="C4035" s="9" t="str">
        <f>HYPERLINK("http://www.ncbi.nlm.nih.gov/protein/407262314","LOC101056444")</f>
        <v>LOC101056444</v>
      </c>
      <c r="D4035" s="10">
        <f t="shared" si="62"/>
        <v>7.2932320595680773</v>
      </c>
      <c r="F4035" s="8" t="str">
        <f>HYPERLINK("https://esbl.nhlbi.nih.gov/Databases/mpkFractions/proteomic_fractions_log_files/Yang_log_img/407262314.jpg","show blot")</f>
        <v>show blot</v>
      </c>
      <c r="H4035" s="8" t="str">
        <f>HYPERLINK("https://esbl.nhlbi.nih.gov/Databases/mpkFractions/proteomic_fractions_linear_files/Yang_linear_img/407262314.jpg","show blot")</f>
        <v>show blot</v>
      </c>
      <c r="J4035" s="5" t="s">
        <v>7890</v>
      </c>
      <c r="L4035" s="11">
        <v>7.2932320595680773</v>
      </c>
      <c r="N4035" s="12"/>
    </row>
    <row r="4036" spans="1:14" s="5" customFormat="1" ht="15" customHeight="1" x14ac:dyDescent="0.25">
      <c r="A4036" s="9" t="s">
        <v>7891</v>
      </c>
      <c r="C4036" s="9" t="str">
        <f>HYPERLINK("http://www.ncbi.nlm.nih.gov/protein/407262619","LOC101056446")</f>
        <v>LOC101056446</v>
      </c>
      <c r="D4036" s="10">
        <f t="shared" si="62"/>
        <v>4.3419777307299103</v>
      </c>
      <c r="F4036" s="8" t="str">
        <f>HYPERLINK("https://esbl.nhlbi.nih.gov/Databases/mpkFractions/proteomic_fractions_log_files/Yang_log_img/407262619.jpg","show blot")</f>
        <v>show blot</v>
      </c>
      <c r="H4036" s="8" t="str">
        <f>HYPERLINK("https://esbl.nhlbi.nih.gov/Databases/mpkFractions/proteomic_fractions_linear_files/Yang_linear_img/407262619.jpg","show blot")</f>
        <v>show blot</v>
      </c>
      <c r="J4036" s="5" t="s">
        <v>7892</v>
      </c>
      <c r="L4036" s="11">
        <v>4.3419777307299103</v>
      </c>
      <c r="N4036" s="12"/>
    </row>
    <row r="4037" spans="1:14" s="5" customFormat="1" ht="15" customHeight="1" x14ac:dyDescent="0.25">
      <c r="A4037" s="9" t="s">
        <v>7893</v>
      </c>
      <c r="C4037" s="9" t="str">
        <f>HYPERLINK("http://www.ncbi.nlm.nih.gov/protein/407262621","LOC101056446")</f>
        <v>LOC101056446</v>
      </c>
      <c r="D4037" s="10">
        <f t="shared" ref="D4037:D4100" si="63">L4037</f>
        <v>4.3419777307299103</v>
      </c>
      <c r="F4037" s="8" t="str">
        <f>HYPERLINK("https://esbl.nhlbi.nih.gov/Databases/mpkFractions/proteomic_fractions_log_files/Yang_log_img/407262621.jpg","show blot")</f>
        <v>show blot</v>
      </c>
      <c r="H4037" s="8" t="str">
        <f>HYPERLINK("https://esbl.nhlbi.nih.gov/Databases/mpkFractions/proteomic_fractions_linear_files/Yang_linear_img/407262621.jpg","show blot")</f>
        <v>show blot</v>
      </c>
      <c r="J4037" s="5" t="s">
        <v>7894</v>
      </c>
      <c r="L4037" s="11">
        <v>4.3419777307299103</v>
      </c>
      <c r="N4037" s="12"/>
    </row>
    <row r="4038" spans="1:14" s="5" customFormat="1" ht="15" customHeight="1" x14ac:dyDescent="0.25">
      <c r="A4038" s="9" t="s">
        <v>7895</v>
      </c>
      <c r="C4038" s="9" t="str">
        <f>HYPERLINK("http://www.ncbi.nlm.nih.gov/protein/407262603","LOC101056446")</f>
        <v>LOC101056446</v>
      </c>
      <c r="D4038" s="10">
        <f t="shared" si="63"/>
        <v>4.3419777307299103</v>
      </c>
      <c r="F4038" s="8" t="str">
        <f>HYPERLINK("https://esbl.nhlbi.nih.gov/Databases/mpkFractions/proteomic_fractions_log_files/Yang_log_img/407262603.jpg","show blot")</f>
        <v>show blot</v>
      </c>
      <c r="H4038" s="8" t="str">
        <f>HYPERLINK("https://esbl.nhlbi.nih.gov/Databases/mpkFractions/proteomic_fractions_linear_files/Yang_linear_img/407262603.jpg","show blot")</f>
        <v>show blot</v>
      </c>
      <c r="J4038" s="5" t="s">
        <v>7896</v>
      </c>
      <c r="L4038" s="11">
        <v>4.3419777307299103</v>
      </c>
      <c r="N4038" s="12"/>
    </row>
    <row r="4039" spans="1:14" s="5" customFormat="1" ht="15" customHeight="1" x14ac:dyDescent="0.25">
      <c r="A4039" s="9" t="s">
        <v>7897</v>
      </c>
      <c r="C4039" s="9" t="str">
        <f>HYPERLINK("http://www.ncbi.nlm.nih.gov/protein/407262605","LOC101056446")</f>
        <v>LOC101056446</v>
      </c>
      <c r="D4039" s="10">
        <f t="shared" si="63"/>
        <v>4.3419777307299103</v>
      </c>
      <c r="F4039" s="8" t="str">
        <f>HYPERLINK("https://esbl.nhlbi.nih.gov/Databases/mpkFractions/proteomic_fractions_log_files/Yang_log_img/407262605.jpg","show blot")</f>
        <v>show blot</v>
      </c>
      <c r="H4039" s="8" t="str">
        <f>HYPERLINK("https://esbl.nhlbi.nih.gov/Databases/mpkFractions/proteomic_fractions_linear_files/Yang_linear_img/407262605.jpg","show blot")</f>
        <v>show blot</v>
      </c>
      <c r="J4039" s="5" t="s">
        <v>7898</v>
      </c>
      <c r="L4039" s="11">
        <v>4.3419777307299103</v>
      </c>
      <c r="N4039" s="12"/>
    </row>
    <row r="4040" spans="1:14" s="5" customFormat="1" ht="15" customHeight="1" x14ac:dyDescent="0.25">
      <c r="A4040" s="9" t="s">
        <v>7899</v>
      </c>
      <c r="C4040" s="9" t="str">
        <f>HYPERLINK("http://www.ncbi.nlm.nih.gov/protein/407262607","LOC101056446")</f>
        <v>LOC101056446</v>
      </c>
      <c r="D4040" s="10">
        <f t="shared" si="63"/>
        <v>4.3419777307299103</v>
      </c>
      <c r="F4040" s="8" t="str">
        <f>HYPERLINK("https://esbl.nhlbi.nih.gov/Databases/mpkFractions/proteomic_fractions_log_files/Yang_log_img/407262607.jpg","show blot")</f>
        <v>show blot</v>
      </c>
      <c r="H4040" s="8" t="str">
        <f>HYPERLINK("https://esbl.nhlbi.nih.gov/Databases/mpkFractions/proteomic_fractions_linear_files/Yang_linear_img/407262607.jpg","show blot")</f>
        <v>show blot</v>
      </c>
      <c r="J4040" s="5" t="s">
        <v>7900</v>
      </c>
      <c r="L4040" s="11">
        <v>4.3419777307299103</v>
      </c>
      <c r="N4040" s="12"/>
    </row>
    <row r="4041" spans="1:14" s="5" customFormat="1" ht="15" customHeight="1" x14ac:dyDescent="0.25">
      <c r="A4041" s="9" t="s">
        <v>7901</v>
      </c>
      <c r="C4041" s="9" t="str">
        <f>HYPERLINK("http://www.ncbi.nlm.nih.gov/protein/407262609","LOC101056446")</f>
        <v>LOC101056446</v>
      </c>
      <c r="D4041" s="10">
        <f t="shared" si="63"/>
        <v>4.3419777307299103</v>
      </c>
      <c r="F4041" s="8" t="str">
        <f>HYPERLINK("https://esbl.nhlbi.nih.gov/Databases/mpkFractions/proteomic_fractions_log_files/Yang_log_img/407262609.jpg","show blot")</f>
        <v>show blot</v>
      </c>
      <c r="H4041" s="8" t="str">
        <f>HYPERLINK("https://esbl.nhlbi.nih.gov/Databases/mpkFractions/proteomic_fractions_linear_files/Yang_linear_img/407262609.jpg","show blot")</f>
        <v>show blot</v>
      </c>
      <c r="J4041" s="5" t="s">
        <v>7902</v>
      </c>
      <c r="L4041" s="11">
        <v>4.3419777307299103</v>
      </c>
      <c r="N4041" s="12"/>
    </row>
    <row r="4042" spans="1:14" s="5" customFormat="1" ht="15" customHeight="1" x14ac:dyDescent="0.25">
      <c r="A4042" s="9" t="s">
        <v>7903</v>
      </c>
      <c r="C4042" s="9" t="str">
        <f>HYPERLINK("http://www.ncbi.nlm.nih.gov/protein/407262611","LOC101056446")</f>
        <v>LOC101056446</v>
      </c>
      <c r="D4042" s="10">
        <f t="shared" si="63"/>
        <v>4.3419777307299103</v>
      </c>
      <c r="F4042" s="8" t="str">
        <f>HYPERLINK("https://esbl.nhlbi.nih.gov/Databases/mpkFractions/proteomic_fractions_log_files/Yang_log_img/407262611.jpg","show blot")</f>
        <v>show blot</v>
      </c>
      <c r="H4042" s="8" t="str">
        <f>HYPERLINK("https://esbl.nhlbi.nih.gov/Databases/mpkFractions/proteomic_fractions_linear_files/Yang_linear_img/407262611.jpg","show blot")</f>
        <v>show blot</v>
      </c>
      <c r="J4042" s="5" t="s">
        <v>7904</v>
      </c>
      <c r="L4042" s="11">
        <v>4.3419777307299103</v>
      </c>
      <c r="N4042" s="12"/>
    </row>
    <row r="4043" spans="1:14" s="5" customFormat="1" ht="15" customHeight="1" x14ac:dyDescent="0.25">
      <c r="A4043" s="9" t="s">
        <v>7905</v>
      </c>
      <c r="C4043" s="9" t="str">
        <f>HYPERLINK("http://www.ncbi.nlm.nih.gov/protein/407262613","LOC101056446")</f>
        <v>LOC101056446</v>
      </c>
      <c r="D4043" s="10">
        <f t="shared" si="63"/>
        <v>4.3419777307299103</v>
      </c>
      <c r="F4043" s="8" t="str">
        <f>HYPERLINK("https://esbl.nhlbi.nih.gov/Databases/mpkFractions/proteomic_fractions_log_files/Yang_log_img/407262613.jpg","show blot")</f>
        <v>show blot</v>
      </c>
      <c r="H4043" s="8" t="str">
        <f>HYPERLINK("https://esbl.nhlbi.nih.gov/Databases/mpkFractions/proteomic_fractions_linear_files/Yang_linear_img/407262613.jpg","show blot")</f>
        <v>show blot</v>
      </c>
      <c r="J4043" s="5" t="s">
        <v>7906</v>
      </c>
      <c r="L4043" s="11">
        <v>4.3419777307299103</v>
      </c>
      <c r="N4043" s="12"/>
    </row>
    <row r="4044" spans="1:14" s="5" customFormat="1" ht="15" customHeight="1" x14ac:dyDescent="0.25">
      <c r="A4044" s="9" t="s">
        <v>7907</v>
      </c>
      <c r="C4044" s="9" t="str">
        <f>HYPERLINK("http://www.ncbi.nlm.nih.gov/protein/407262615","LOC101056446")</f>
        <v>LOC101056446</v>
      </c>
      <c r="D4044" s="10">
        <f t="shared" si="63"/>
        <v>4.3419777307299103</v>
      </c>
      <c r="F4044" s="8" t="str">
        <f>HYPERLINK("https://esbl.nhlbi.nih.gov/Databases/mpkFractions/proteomic_fractions_log_files/Yang_log_img/407262615.jpg","show blot")</f>
        <v>show blot</v>
      </c>
      <c r="H4044" s="8" t="str">
        <f>HYPERLINK("https://esbl.nhlbi.nih.gov/Databases/mpkFractions/proteomic_fractions_linear_files/Yang_linear_img/407262615.jpg","show blot")</f>
        <v>show blot</v>
      </c>
      <c r="J4044" s="5" t="s">
        <v>7908</v>
      </c>
      <c r="L4044" s="11">
        <v>4.3419777307299103</v>
      </c>
      <c r="N4044" s="12"/>
    </row>
    <row r="4045" spans="1:14" s="5" customFormat="1" ht="15" customHeight="1" x14ac:dyDescent="0.25">
      <c r="A4045" s="9" t="s">
        <v>7909</v>
      </c>
      <c r="C4045" s="9" t="str">
        <f>HYPERLINK("http://www.ncbi.nlm.nih.gov/protein/407262617","LOC101056446")</f>
        <v>LOC101056446</v>
      </c>
      <c r="D4045" s="10">
        <f t="shared" si="63"/>
        <v>4.3419777307299103</v>
      </c>
      <c r="F4045" s="8" t="str">
        <f>HYPERLINK("https://esbl.nhlbi.nih.gov/Databases/mpkFractions/proteomic_fractions_log_files/Yang_log_img/407262617.jpg","show blot")</f>
        <v>show blot</v>
      </c>
      <c r="H4045" s="8" t="str">
        <f>HYPERLINK("https://esbl.nhlbi.nih.gov/Databases/mpkFractions/proteomic_fractions_linear_files/Yang_linear_img/407262617.jpg","show blot")</f>
        <v>show blot</v>
      </c>
      <c r="J4045" s="5" t="s">
        <v>7910</v>
      </c>
      <c r="L4045" s="11">
        <v>4.3419777307299103</v>
      </c>
      <c r="N4045" s="12"/>
    </row>
    <row r="4046" spans="1:14" s="5" customFormat="1" ht="15" customHeight="1" x14ac:dyDescent="0.25">
      <c r="A4046" s="9" t="s">
        <v>7911</v>
      </c>
      <c r="C4046" s="9" t="str">
        <f>HYPERLINK("http://www.ncbi.nlm.nih.gov/protein/407262576","LOC101056452")</f>
        <v>LOC101056452</v>
      </c>
      <c r="D4046" s="10">
        <f t="shared" si="63"/>
        <v>6.1234738088092513</v>
      </c>
      <c r="F4046" s="8" t="str">
        <f>HYPERLINK("https://esbl.nhlbi.nih.gov/Databases/mpkFractions/proteomic_fractions_log_files/Yang_log_img/407262576.jpg","show blot")</f>
        <v>show blot</v>
      </c>
      <c r="H4046" s="8" t="str">
        <f>HYPERLINK("https://esbl.nhlbi.nih.gov/Databases/mpkFractions/proteomic_fractions_linear_files/Yang_linear_img/407262576.jpg","show blot")</f>
        <v>show blot</v>
      </c>
      <c r="J4046" s="5" t="s">
        <v>7912</v>
      </c>
      <c r="L4046" s="11">
        <v>6.1234738088092513</v>
      </c>
      <c r="N4046" s="12"/>
    </row>
    <row r="4047" spans="1:14" s="5" customFormat="1" ht="15" customHeight="1" x14ac:dyDescent="0.25">
      <c r="A4047" s="9" t="s">
        <v>7913</v>
      </c>
      <c r="C4047" s="9" t="str">
        <f>HYPERLINK("http://www.ncbi.nlm.nih.gov/protein/407262333","LOC101056456")</f>
        <v>LOC101056456</v>
      </c>
      <c r="D4047" s="10">
        <f t="shared" si="63"/>
        <v>4.8436600622762898</v>
      </c>
      <c r="F4047" s="8" t="str">
        <f>HYPERLINK("https://esbl.nhlbi.nih.gov/Databases/mpkFractions/proteomic_fractions_log_files/Yang_log_img/407262333.jpg","show blot")</f>
        <v>show blot</v>
      </c>
      <c r="H4047" s="8" t="str">
        <f>HYPERLINK("https://esbl.nhlbi.nih.gov/Databases/mpkFractions/proteomic_fractions_linear_files/Yang_linear_img/407262333.jpg","show blot")</f>
        <v>show blot</v>
      </c>
      <c r="J4047" s="5" t="s">
        <v>7914</v>
      </c>
      <c r="L4047" s="11">
        <v>4.8436600622762898</v>
      </c>
      <c r="N4047" s="12"/>
    </row>
    <row r="4048" spans="1:14" s="5" customFormat="1" ht="15" customHeight="1" x14ac:dyDescent="0.25">
      <c r="A4048" s="9" t="s">
        <v>7915</v>
      </c>
      <c r="C4048" s="9" t="str">
        <f>HYPERLINK("http://www.ncbi.nlm.nih.gov/protein/407262335","LOC101056456")</f>
        <v>LOC101056456</v>
      </c>
      <c r="D4048" s="10">
        <f t="shared" si="63"/>
        <v>4.8436600622762898</v>
      </c>
      <c r="F4048" s="8" t="str">
        <f>HYPERLINK("https://esbl.nhlbi.nih.gov/Databases/mpkFractions/proteomic_fractions_log_files/Yang_log_img/407262335.jpg","show blot")</f>
        <v>show blot</v>
      </c>
      <c r="H4048" s="8" t="str">
        <f>HYPERLINK("https://esbl.nhlbi.nih.gov/Databases/mpkFractions/proteomic_fractions_linear_files/Yang_linear_img/407262335.jpg","show blot")</f>
        <v>show blot</v>
      </c>
      <c r="J4048" s="5" t="s">
        <v>7916</v>
      </c>
      <c r="L4048" s="11">
        <v>4.8436600622762898</v>
      </c>
      <c r="N4048" s="12"/>
    </row>
    <row r="4049" spans="1:14" s="5" customFormat="1" ht="15" customHeight="1" x14ac:dyDescent="0.25">
      <c r="A4049" s="9" t="s">
        <v>7917</v>
      </c>
      <c r="C4049" s="9" t="str">
        <f>HYPERLINK("http://www.ncbi.nlm.nih.gov/protein/407262339","LOC101056456")</f>
        <v>LOC101056456</v>
      </c>
      <c r="D4049" s="10">
        <f t="shared" si="63"/>
        <v>4.8436600622762898</v>
      </c>
      <c r="F4049" s="8" t="str">
        <f>HYPERLINK("https://esbl.nhlbi.nih.gov/Databases/mpkFractions/proteomic_fractions_log_files/Yang_log_img/407262339.jpg","show blot")</f>
        <v>show blot</v>
      </c>
      <c r="H4049" s="8" t="str">
        <f>HYPERLINK("https://esbl.nhlbi.nih.gov/Databases/mpkFractions/proteomic_fractions_linear_files/Yang_linear_img/407262339.jpg","show blot")</f>
        <v>show blot</v>
      </c>
      <c r="J4049" s="5" t="s">
        <v>7918</v>
      </c>
      <c r="L4049" s="11">
        <v>4.8436600622762898</v>
      </c>
      <c r="N4049" s="12"/>
    </row>
    <row r="4050" spans="1:14" s="5" customFormat="1" ht="15" customHeight="1" x14ac:dyDescent="0.25">
      <c r="A4050" s="9" t="s">
        <v>7919</v>
      </c>
      <c r="C4050" s="9" t="str">
        <f>HYPERLINK("http://www.ncbi.nlm.nih.gov/protein/407262341","LOC101056456")</f>
        <v>LOC101056456</v>
      </c>
      <c r="D4050" s="10">
        <f t="shared" si="63"/>
        <v>4.8436600622762898</v>
      </c>
      <c r="F4050" s="8" t="str">
        <f>HYPERLINK("https://esbl.nhlbi.nih.gov/Databases/mpkFractions/proteomic_fractions_log_files/Yang_log_img/407262341.jpg","show blot")</f>
        <v>show blot</v>
      </c>
      <c r="H4050" s="8" t="str">
        <f>HYPERLINK("https://esbl.nhlbi.nih.gov/Databases/mpkFractions/proteomic_fractions_linear_files/Yang_linear_img/407262341.jpg","show blot")</f>
        <v>show blot</v>
      </c>
      <c r="J4050" s="5" t="s">
        <v>7920</v>
      </c>
      <c r="L4050" s="11">
        <v>4.8436600622762898</v>
      </c>
      <c r="N4050" s="12"/>
    </row>
    <row r="4051" spans="1:14" s="5" customFormat="1" ht="15" customHeight="1" x14ac:dyDescent="0.25">
      <c r="A4051" s="9" t="s">
        <v>7921</v>
      </c>
      <c r="C4051" s="9" t="str">
        <f>HYPERLINK("http://www.ncbi.nlm.nih.gov/protein/407262343","LOC101056456")</f>
        <v>LOC101056456</v>
      </c>
      <c r="D4051" s="10">
        <f t="shared" si="63"/>
        <v>4.8436600622762898</v>
      </c>
      <c r="F4051" s="8" t="str">
        <f>HYPERLINK("https://esbl.nhlbi.nih.gov/Databases/mpkFractions/proteomic_fractions_log_files/Yang_log_img/407262343.jpg","show blot")</f>
        <v>show blot</v>
      </c>
      <c r="H4051" s="8" t="str">
        <f>HYPERLINK("https://esbl.nhlbi.nih.gov/Databases/mpkFractions/proteomic_fractions_linear_files/Yang_linear_img/407262343.jpg","show blot")</f>
        <v>show blot</v>
      </c>
      <c r="J4051" s="5" t="s">
        <v>7922</v>
      </c>
      <c r="L4051" s="11">
        <v>4.8436600622762898</v>
      </c>
      <c r="N4051" s="12"/>
    </row>
    <row r="4052" spans="1:14" s="5" customFormat="1" ht="15" customHeight="1" x14ac:dyDescent="0.25">
      <c r="A4052" s="9" t="s">
        <v>7923</v>
      </c>
      <c r="C4052" s="9" t="str">
        <f>HYPERLINK("http://www.ncbi.nlm.nih.gov/protein/407261812","LOC101056470")</f>
        <v>LOC101056470</v>
      </c>
      <c r="D4052" s="10">
        <f t="shared" si="63"/>
        <v>6.2701939107100966</v>
      </c>
      <c r="F4052" s="8" t="str">
        <f>HYPERLINK("https://esbl.nhlbi.nih.gov/Databases/mpkFractions/proteomic_fractions_log_files/Yang_log_img/407261812.jpg","show blot")</f>
        <v>show blot</v>
      </c>
      <c r="H4052" s="8" t="str">
        <f>HYPERLINK("https://esbl.nhlbi.nih.gov/Databases/mpkFractions/proteomic_fractions_linear_files/Yang_linear_img/407261812.jpg","show blot")</f>
        <v>show blot</v>
      </c>
      <c r="J4052" s="5" t="s">
        <v>7924</v>
      </c>
      <c r="L4052" s="11">
        <v>6.2701939107100966</v>
      </c>
      <c r="N4052" s="12"/>
    </row>
    <row r="4053" spans="1:14" s="5" customFormat="1" ht="15" customHeight="1" x14ac:dyDescent="0.25">
      <c r="A4053" s="9" t="s">
        <v>7925</v>
      </c>
      <c r="C4053" s="9" t="str">
        <f>HYPERLINK("http://www.ncbi.nlm.nih.gov/protein/407262623","LOC101056478")</f>
        <v>LOC101056478</v>
      </c>
      <c r="D4053" s="10">
        <f t="shared" si="63"/>
        <v>6.165591552372808</v>
      </c>
      <c r="F4053" s="8" t="str">
        <f>HYPERLINK("https://esbl.nhlbi.nih.gov/Databases/mpkFractions/proteomic_fractions_log_files/Yang_log_img/407262623.jpg","show blot")</f>
        <v>show blot</v>
      </c>
      <c r="H4053" s="8" t="str">
        <f>HYPERLINK("https://esbl.nhlbi.nih.gov/Databases/mpkFractions/proteomic_fractions_linear_files/Yang_linear_img/407262623.jpg","show blot")</f>
        <v>show blot</v>
      </c>
      <c r="J4053" s="5" t="s">
        <v>5631</v>
      </c>
      <c r="L4053" s="11">
        <v>6.165591552372808</v>
      </c>
      <c r="N4053" s="12"/>
    </row>
    <row r="4054" spans="1:14" s="5" customFormat="1" ht="15" customHeight="1" x14ac:dyDescent="0.25">
      <c r="A4054" s="9" t="s">
        <v>7926</v>
      </c>
      <c r="C4054" s="9" t="str">
        <f>HYPERLINK("http://www.ncbi.nlm.nih.gov/protein/407262528","LOC101056486")</f>
        <v>LOC101056486</v>
      </c>
      <c r="D4054" s="10">
        <f t="shared" si="63"/>
        <v>5.650770137642998</v>
      </c>
      <c r="F4054" s="8" t="str">
        <f>HYPERLINK("https://esbl.nhlbi.nih.gov/Databases/mpkFractions/proteomic_fractions_log_files/Yang_log_img/407262528.jpg","show blot")</f>
        <v>show blot</v>
      </c>
      <c r="H4054" s="8" t="str">
        <f>HYPERLINK("https://esbl.nhlbi.nih.gov/Databases/mpkFractions/proteomic_fractions_linear_files/Yang_linear_img/407262528.jpg","show blot")</f>
        <v>show blot</v>
      </c>
      <c r="J4054" s="5" t="s">
        <v>5619</v>
      </c>
      <c r="L4054" s="11">
        <v>5.650770137642998</v>
      </c>
      <c r="N4054" s="12"/>
    </row>
    <row r="4055" spans="1:14" s="5" customFormat="1" ht="15" customHeight="1" x14ac:dyDescent="0.25">
      <c r="A4055" s="9" t="s">
        <v>7927</v>
      </c>
      <c r="C4055" s="9" t="str">
        <f>HYPERLINK("http://www.ncbi.nlm.nih.gov/protein/407262506","LOC101056523")</f>
        <v>LOC101056523</v>
      </c>
      <c r="D4055" s="10">
        <f t="shared" si="63"/>
        <v>5.3206315862951552</v>
      </c>
      <c r="F4055" s="8" t="str">
        <f>HYPERLINK("https://esbl.nhlbi.nih.gov/Databases/mpkFractions/proteomic_fractions_log_files/Yang_log_img/407262506.jpg","show blot")</f>
        <v>show blot</v>
      </c>
      <c r="H4055" s="8" t="str">
        <f>HYPERLINK("https://esbl.nhlbi.nih.gov/Databases/mpkFractions/proteomic_fractions_linear_files/Yang_linear_img/407262506.jpg","show blot")</f>
        <v>show blot</v>
      </c>
      <c r="J4055" s="5" t="s">
        <v>7928</v>
      </c>
      <c r="L4055" s="11">
        <v>5.3206315862951552</v>
      </c>
      <c r="N4055" s="12"/>
    </row>
    <row r="4056" spans="1:14" s="5" customFormat="1" ht="15" customHeight="1" x14ac:dyDescent="0.25">
      <c r="A4056" s="9" t="s">
        <v>7929</v>
      </c>
      <c r="C4056" s="9" t="str">
        <f>HYPERLINK("http://www.ncbi.nlm.nih.gov/protein/407261989","LOC101056543")</f>
        <v>LOC101056543</v>
      </c>
      <c r="D4056" s="10">
        <f t="shared" si="63"/>
        <v>6.1100215903886932</v>
      </c>
      <c r="F4056" s="8" t="str">
        <f>HYPERLINK("https://esbl.nhlbi.nih.gov/Databases/mpkFractions/proteomic_fractions_log_files/Yang_log_img/407261989.jpg","show blot")</f>
        <v>show blot</v>
      </c>
      <c r="H4056" s="8" t="str">
        <f>HYPERLINK("https://esbl.nhlbi.nih.gov/Databases/mpkFractions/proteomic_fractions_linear_files/Yang_linear_img/407261989.jpg","show blot")</f>
        <v>show blot</v>
      </c>
      <c r="J4056" s="5" t="s">
        <v>5768</v>
      </c>
      <c r="L4056" s="11">
        <v>6.1100215903886932</v>
      </c>
      <c r="N4056" s="12"/>
    </row>
    <row r="4057" spans="1:14" s="5" customFormat="1" ht="15" customHeight="1" x14ac:dyDescent="0.25">
      <c r="A4057" s="9" t="s">
        <v>7930</v>
      </c>
      <c r="C4057" s="9" t="str">
        <f>HYPERLINK("http://www.ncbi.nlm.nih.gov/protein/407262193","LOC101056544")</f>
        <v>LOC101056544</v>
      </c>
      <c r="D4057" s="10">
        <f t="shared" si="63"/>
        <v>6.727183933323043</v>
      </c>
      <c r="F4057" s="8" t="str">
        <f>HYPERLINK("https://esbl.nhlbi.nih.gov/Databases/mpkFractions/proteomic_fractions_log_files/Yang_log_img/407262193.jpg","show blot")</f>
        <v>show blot</v>
      </c>
      <c r="H4057" s="8" t="str">
        <f>HYPERLINK("https://esbl.nhlbi.nih.gov/Databases/mpkFractions/proteomic_fractions_linear_files/Yang_linear_img/407262193.jpg","show blot")</f>
        <v>show blot</v>
      </c>
      <c r="J4057" s="5" t="s">
        <v>7931</v>
      </c>
      <c r="L4057" s="11">
        <v>6.727183933323043</v>
      </c>
      <c r="N4057" s="12"/>
    </row>
    <row r="4058" spans="1:14" s="5" customFormat="1" ht="15" customHeight="1" x14ac:dyDescent="0.25">
      <c r="A4058" s="9" t="s">
        <v>7932</v>
      </c>
      <c r="C4058" s="9" t="str">
        <f>HYPERLINK("http://www.ncbi.nlm.nih.gov/protein/407262152","LOC101056551")</f>
        <v>LOC101056551</v>
      </c>
      <c r="D4058" s="10">
        <f t="shared" si="63"/>
        <v>3.5471165272521539</v>
      </c>
      <c r="F4058" s="8" t="str">
        <f>HYPERLINK("https://esbl.nhlbi.nih.gov/Databases/mpkFractions/proteomic_fractions_log_files/Yang_log_img/407262152.jpg","show blot")</f>
        <v>show blot</v>
      </c>
      <c r="H4058" s="8" t="str">
        <f>HYPERLINK("https://esbl.nhlbi.nih.gov/Databases/mpkFractions/proteomic_fractions_linear_files/Yang_linear_img/407262152.jpg","show blot")</f>
        <v>show blot</v>
      </c>
      <c r="J4058" s="5" t="s">
        <v>7933</v>
      </c>
      <c r="L4058" s="11">
        <v>3.5471165272521539</v>
      </c>
      <c r="N4058" s="12"/>
    </row>
    <row r="4059" spans="1:14" s="5" customFormat="1" ht="15" customHeight="1" x14ac:dyDescent="0.25">
      <c r="A4059" s="9" t="s">
        <v>7934</v>
      </c>
      <c r="C4059" s="9" t="str">
        <f>HYPERLINK("http://www.ncbi.nlm.nih.gov/protein/407262277","LOC101056557")</f>
        <v>LOC101056557</v>
      </c>
      <c r="D4059" s="10">
        <f t="shared" si="63"/>
        <v>7.3011580398114742</v>
      </c>
      <c r="F4059" s="8" t="str">
        <f>HYPERLINK("https://esbl.nhlbi.nih.gov/Databases/mpkFractions/proteomic_fractions_log_files/Yang_log_img/407262277.jpg","show blot")</f>
        <v>show blot</v>
      </c>
      <c r="H4059" s="8" t="str">
        <f>HYPERLINK("https://esbl.nhlbi.nih.gov/Databases/mpkFractions/proteomic_fractions_linear_files/Yang_linear_img/407262277.jpg","show blot")</f>
        <v>show blot</v>
      </c>
      <c r="J4059" s="5" t="s">
        <v>7935</v>
      </c>
      <c r="L4059" s="11">
        <v>7.3011580398114742</v>
      </c>
      <c r="N4059" s="12"/>
    </row>
    <row r="4060" spans="1:14" s="5" customFormat="1" ht="15" customHeight="1" x14ac:dyDescent="0.25">
      <c r="A4060" s="9" t="s">
        <v>7936</v>
      </c>
      <c r="C4060" s="9" t="str">
        <f>HYPERLINK("http://www.ncbi.nlm.nih.gov/protein/407262168","LOC101056558")</f>
        <v>LOC101056558</v>
      </c>
      <c r="D4060" s="10">
        <f t="shared" si="63"/>
        <v>5.0656400642569483</v>
      </c>
      <c r="F4060" s="8" t="str">
        <f>HYPERLINK("https://esbl.nhlbi.nih.gov/Databases/mpkFractions/proteomic_fractions_log_files/Yang_log_img/407262168.jpg","show blot")</f>
        <v>show blot</v>
      </c>
      <c r="H4060" s="8" t="str">
        <f>HYPERLINK("https://esbl.nhlbi.nih.gov/Databases/mpkFractions/proteomic_fractions_linear_files/Yang_linear_img/407262168.jpg","show blot")</f>
        <v>show blot</v>
      </c>
      <c r="J4060" s="5" t="s">
        <v>7937</v>
      </c>
      <c r="L4060" s="11">
        <v>5.0656400642569483</v>
      </c>
      <c r="N4060" s="12"/>
    </row>
    <row r="4061" spans="1:14" s="5" customFormat="1" ht="15" customHeight="1" x14ac:dyDescent="0.25">
      <c r="A4061" s="9" t="s">
        <v>7938</v>
      </c>
      <c r="C4061" s="9" t="str">
        <f>HYPERLINK("http://www.ncbi.nlm.nih.gov/protein/407262168;238776830","LOC101056558")</f>
        <v>LOC101056558</v>
      </c>
      <c r="D4061" s="10">
        <f t="shared" si="63"/>
        <v>5.0656400642569483</v>
      </c>
      <c r="F4061" s="8" t="str">
        <f>HYPERLINK("https://esbl.nhlbi.nih.gov/Databases/mpkFractions/proteomic_fractions_log_files/Yang_log_img/407262168;238776830.jpg","show blot")</f>
        <v>show blot</v>
      </c>
      <c r="H4061" s="8" t="str">
        <f>HYPERLINK("https://esbl.nhlbi.nih.gov/Databases/mpkFractions/proteomic_fractions_linear_files/Yang_linear_img/407262168;238776830.jpg","show blot")</f>
        <v>show blot</v>
      </c>
      <c r="J4061" s="5" t="s">
        <v>7937</v>
      </c>
      <c r="L4061" s="11">
        <v>5.0656400642569483</v>
      </c>
      <c r="N4061" s="12"/>
    </row>
    <row r="4062" spans="1:14" s="5" customFormat="1" ht="15" customHeight="1" x14ac:dyDescent="0.25">
      <c r="A4062" s="9" t="s">
        <v>7939</v>
      </c>
      <c r="C4062" s="9" t="str">
        <f>HYPERLINK("http://www.ncbi.nlm.nih.gov/protein/407261780","LOC101056559")</f>
        <v>LOC101056559</v>
      </c>
      <c r="D4062" s="10">
        <f t="shared" si="63"/>
        <v>3.1519823954574742</v>
      </c>
      <c r="F4062" s="8" t="str">
        <f>HYPERLINK("https://esbl.nhlbi.nih.gov/Databases/mpkFractions/proteomic_fractions_log_files/Yang_log_img/407261780.jpg","show blot")</f>
        <v>show blot</v>
      </c>
      <c r="H4062" s="8" t="str">
        <f>HYPERLINK("https://esbl.nhlbi.nih.gov/Databases/mpkFractions/proteomic_fractions_linear_files/Yang_linear_img/407261780.jpg","show blot")</f>
        <v>show blot</v>
      </c>
      <c r="J4062" s="5" t="s">
        <v>7940</v>
      </c>
      <c r="L4062" s="11">
        <v>3.1519823954574742</v>
      </c>
      <c r="N4062" s="12"/>
    </row>
    <row r="4063" spans="1:14" s="5" customFormat="1" ht="15" customHeight="1" x14ac:dyDescent="0.25">
      <c r="A4063" s="9" t="s">
        <v>7941</v>
      </c>
      <c r="C4063" s="9" t="str">
        <f>HYPERLINK("http://www.ncbi.nlm.nih.gov/protein/407262460","LOC101056577")</f>
        <v>LOC101056577</v>
      </c>
      <c r="D4063" s="10">
        <f t="shared" si="63"/>
        <v>4.7509441677242013</v>
      </c>
      <c r="F4063" s="8" t="str">
        <f>HYPERLINK("https://esbl.nhlbi.nih.gov/Databases/mpkFractions/proteomic_fractions_log_files/Yang_log_img/407262460.jpg","show blot")</f>
        <v>show blot</v>
      </c>
      <c r="H4063" s="8" t="str">
        <f>HYPERLINK("https://esbl.nhlbi.nih.gov/Databases/mpkFractions/proteomic_fractions_linear_files/Yang_linear_img/407262460.jpg","show blot")</f>
        <v>show blot</v>
      </c>
      <c r="J4063" s="5" t="s">
        <v>7942</v>
      </c>
      <c r="L4063" s="11">
        <v>4.7509441677242013</v>
      </c>
      <c r="N4063" s="12"/>
    </row>
    <row r="4064" spans="1:14" s="5" customFormat="1" ht="15" customHeight="1" x14ac:dyDescent="0.25">
      <c r="A4064" s="9" t="s">
        <v>7943</v>
      </c>
      <c r="C4064" s="9" t="str">
        <f>HYPERLINK("http://www.ncbi.nlm.nih.gov/protein/407262586","LOC101056592")</f>
        <v>LOC101056592</v>
      </c>
      <c r="D4064" s="10">
        <f t="shared" si="63"/>
        <v>6.452008360046749</v>
      </c>
      <c r="F4064" s="8" t="str">
        <f>HYPERLINK("https://esbl.nhlbi.nih.gov/Databases/mpkFractions/proteomic_fractions_log_files/Yang_log_img/407262586.jpg","show blot")</f>
        <v>show blot</v>
      </c>
      <c r="H4064" s="8" t="str">
        <f>HYPERLINK("https://esbl.nhlbi.nih.gov/Databases/mpkFractions/proteomic_fractions_linear_files/Yang_linear_img/407262586.jpg","show blot")</f>
        <v>show blot</v>
      </c>
      <c r="J4064" s="5" t="s">
        <v>7944</v>
      </c>
      <c r="L4064" s="11">
        <v>6.452008360046749</v>
      </c>
      <c r="N4064" s="12"/>
    </row>
    <row r="4065" spans="1:14" s="5" customFormat="1" ht="15" customHeight="1" x14ac:dyDescent="0.25">
      <c r="A4065" s="9" t="s">
        <v>7945</v>
      </c>
      <c r="C4065" s="9" t="str">
        <f>HYPERLINK("http://www.ncbi.nlm.nih.gov/protein/407262172","LOC101056595")</f>
        <v>LOC101056595</v>
      </c>
      <c r="D4065" s="10">
        <f t="shared" si="63"/>
        <v>6.2952767583946843</v>
      </c>
      <c r="F4065" s="8" t="str">
        <f>HYPERLINK("https://esbl.nhlbi.nih.gov/Databases/mpkFractions/proteomic_fractions_log_files/Yang_log_img/407262172.jpg","show blot")</f>
        <v>show blot</v>
      </c>
      <c r="H4065" s="8" t="str">
        <f>HYPERLINK("https://esbl.nhlbi.nih.gov/Databases/mpkFractions/proteomic_fractions_linear_files/Yang_linear_img/407262172.jpg","show blot")</f>
        <v>show blot</v>
      </c>
      <c r="J4065" s="5" t="s">
        <v>7946</v>
      </c>
      <c r="L4065" s="11">
        <v>6.2952767583946843</v>
      </c>
      <c r="N4065" s="12"/>
    </row>
    <row r="4066" spans="1:14" s="5" customFormat="1" ht="15" customHeight="1" x14ac:dyDescent="0.25">
      <c r="A4066" s="9" t="s">
        <v>7947</v>
      </c>
      <c r="C4066" s="9" t="str">
        <f>HYPERLINK("http://www.ncbi.nlm.nih.gov/protein/407260973","LOC101056616")</f>
        <v>LOC101056616</v>
      </c>
      <c r="D4066" s="10">
        <f t="shared" si="63"/>
        <v>5.8186354405671121</v>
      </c>
      <c r="F4066" s="8" t="str">
        <f>HYPERLINK("https://esbl.nhlbi.nih.gov/Databases/mpkFractions/proteomic_fractions_log_files/Yang_log_img/407260973.jpg","show blot")</f>
        <v>show blot</v>
      </c>
      <c r="H4066" s="8" t="str">
        <f>HYPERLINK("https://esbl.nhlbi.nih.gov/Databases/mpkFractions/proteomic_fractions_linear_files/Yang_linear_img/407260973.jpg","show blot")</f>
        <v>show blot</v>
      </c>
      <c r="J4066" s="5" t="s">
        <v>5557</v>
      </c>
      <c r="L4066" s="11">
        <v>5.8186354405671121</v>
      </c>
      <c r="N4066" s="12"/>
    </row>
    <row r="4067" spans="1:14" s="5" customFormat="1" ht="15" customHeight="1" x14ac:dyDescent="0.25">
      <c r="A4067" s="9" t="s">
        <v>7948</v>
      </c>
      <c r="C4067" s="9" t="str">
        <f>HYPERLINK("http://www.ncbi.nlm.nih.gov/protein/407261696","LOC101056619")</f>
        <v>LOC101056619</v>
      </c>
      <c r="D4067" s="10">
        <f t="shared" si="63"/>
        <v>7.6758174672302886</v>
      </c>
      <c r="F4067" s="8" t="str">
        <f>HYPERLINK("https://esbl.nhlbi.nih.gov/Databases/mpkFractions/proteomic_fractions_log_files/Yang_log_img/407261696.jpg","show blot")</f>
        <v>show blot</v>
      </c>
      <c r="H4067" s="8" t="str">
        <f>HYPERLINK("https://esbl.nhlbi.nih.gov/Databases/mpkFractions/proteomic_fractions_linear_files/Yang_linear_img/407261696.jpg","show blot")</f>
        <v>show blot</v>
      </c>
      <c r="J4067" s="5" t="s">
        <v>7949</v>
      </c>
      <c r="L4067" s="11">
        <v>7.6758174672302886</v>
      </c>
      <c r="N4067" s="12"/>
    </row>
    <row r="4068" spans="1:14" s="5" customFormat="1" ht="15" customHeight="1" x14ac:dyDescent="0.25">
      <c r="A4068" s="9" t="s">
        <v>7950</v>
      </c>
      <c r="C4068" s="9" t="str">
        <f>HYPERLINK("http://www.ncbi.nlm.nih.gov/protein/407261700","LOC101056619")</f>
        <v>LOC101056619</v>
      </c>
      <c r="D4068" s="10">
        <f t="shared" si="63"/>
        <v>7.6758174672302886</v>
      </c>
      <c r="F4068" s="8" t="str">
        <f>HYPERLINK("https://esbl.nhlbi.nih.gov/Databases/mpkFractions/proteomic_fractions_log_files/Yang_log_img/407261700.jpg","show blot")</f>
        <v>show blot</v>
      </c>
      <c r="H4068" s="8" t="str">
        <f>HYPERLINK("https://esbl.nhlbi.nih.gov/Databases/mpkFractions/proteomic_fractions_linear_files/Yang_linear_img/407261700.jpg","show blot")</f>
        <v>show blot</v>
      </c>
      <c r="J4068" s="5" t="s">
        <v>7951</v>
      </c>
      <c r="L4068" s="11">
        <v>7.6758174672302886</v>
      </c>
      <c r="N4068" s="12"/>
    </row>
    <row r="4069" spans="1:14" s="5" customFormat="1" ht="15" customHeight="1" x14ac:dyDescent="0.25">
      <c r="A4069" s="9" t="s">
        <v>7952</v>
      </c>
      <c r="C4069" s="9" t="str">
        <f>HYPERLINK("http://www.ncbi.nlm.nih.gov/protein/407261702","LOC101056619")</f>
        <v>LOC101056619</v>
      </c>
      <c r="D4069" s="10">
        <f t="shared" si="63"/>
        <v>7.6758174672302886</v>
      </c>
      <c r="F4069" s="8" t="str">
        <f>HYPERLINK("https://esbl.nhlbi.nih.gov/Databases/mpkFractions/proteomic_fractions_log_files/Yang_log_img/407261702.jpg","show blot")</f>
        <v>show blot</v>
      </c>
      <c r="H4069" s="8" t="str">
        <f>HYPERLINK("https://esbl.nhlbi.nih.gov/Databases/mpkFractions/proteomic_fractions_linear_files/Yang_linear_img/407261702.jpg","show blot")</f>
        <v>show blot</v>
      </c>
      <c r="J4069" s="5" t="s">
        <v>7953</v>
      </c>
      <c r="L4069" s="11">
        <v>7.6758174672302886</v>
      </c>
      <c r="N4069" s="12"/>
    </row>
    <row r="4070" spans="1:14" s="5" customFormat="1" ht="15" customHeight="1" x14ac:dyDescent="0.25">
      <c r="A4070" s="9" t="s">
        <v>7954</v>
      </c>
      <c r="C4070" s="9" t="str">
        <f>HYPERLINK("http://www.ncbi.nlm.nih.gov/protein/407261716","LOC101056619")</f>
        <v>LOC101056619</v>
      </c>
      <c r="D4070" s="10">
        <f t="shared" si="63"/>
        <v>7.6758174672302886</v>
      </c>
      <c r="F4070" s="8" t="str">
        <f>HYPERLINK("https://esbl.nhlbi.nih.gov/Databases/mpkFractions/proteomic_fractions_log_files/Yang_log_img/407261716.jpg","show blot")</f>
        <v>show blot</v>
      </c>
      <c r="H4070" s="8" t="str">
        <f>HYPERLINK("https://esbl.nhlbi.nih.gov/Databases/mpkFractions/proteomic_fractions_linear_files/Yang_linear_img/407261716.jpg","show blot")</f>
        <v>show blot</v>
      </c>
      <c r="J4070" s="5" t="s">
        <v>7955</v>
      </c>
      <c r="L4070" s="11">
        <v>7.6758174672302886</v>
      </c>
      <c r="N4070" s="12"/>
    </row>
    <row r="4071" spans="1:14" s="5" customFormat="1" ht="15" customHeight="1" x14ac:dyDescent="0.25">
      <c r="A4071" s="9" t="s">
        <v>7956</v>
      </c>
      <c r="C4071" s="9" t="str">
        <f>HYPERLINK("http://www.ncbi.nlm.nih.gov/protein/407261718","LOC101056619")</f>
        <v>LOC101056619</v>
      </c>
      <c r="D4071" s="10">
        <f t="shared" si="63"/>
        <v>7.6758174672302886</v>
      </c>
      <c r="F4071" s="8" t="str">
        <f>HYPERLINK("https://esbl.nhlbi.nih.gov/Databases/mpkFractions/proteomic_fractions_log_files/Yang_log_img/407261718.jpg","show blot")</f>
        <v>show blot</v>
      </c>
      <c r="H4071" s="8" t="str">
        <f>HYPERLINK("https://esbl.nhlbi.nih.gov/Databases/mpkFractions/proteomic_fractions_linear_files/Yang_linear_img/407261718.jpg","show blot")</f>
        <v>show blot</v>
      </c>
      <c r="J4071" s="5" t="s">
        <v>7957</v>
      </c>
      <c r="L4071" s="11">
        <v>7.6758174672302886</v>
      </c>
      <c r="N4071" s="12"/>
    </row>
    <row r="4072" spans="1:14" s="5" customFormat="1" ht="15" customHeight="1" x14ac:dyDescent="0.25">
      <c r="A4072" s="9" t="s">
        <v>7958</v>
      </c>
      <c r="C4072" s="9" t="str">
        <f>HYPERLINK("http://www.ncbi.nlm.nih.gov/protein/407262235","LOC101056658")</f>
        <v>LOC101056658</v>
      </c>
      <c r="D4072" s="10">
        <f t="shared" si="63"/>
        <v>6.6963261554854272</v>
      </c>
      <c r="F4072" s="8" t="str">
        <f>HYPERLINK("https://esbl.nhlbi.nih.gov/Databases/mpkFractions/proteomic_fractions_log_files/Yang_log_img/407262235.jpg","show blot")</f>
        <v>show blot</v>
      </c>
      <c r="H4072" s="8" t="str">
        <f>HYPERLINK("https://esbl.nhlbi.nih.gov/Databases/mpkFractions/proteomic_fractions_linear_files/Yang_linear_img/407262235.jpg","show blot")</f>
        <v>show blot</v>
      </c>
      <c r="J4072" s="5" t="s">
        <v>7959</v>
      </c>
      <c r="L4072" s="11">
        <v>6.6963261554854272</v>
      </c>
      <c r="N4072" s="12"/>
    </row>
    <row r="4073" spans="1:14" s="5" customFormat="1" ht="15" customHeight="1" x14ac:dyDescent="0.25">
      <c r="A4073" s="9" t="s">
        <v>7960</v>
      </c>
      <c r="C4073" s="9" t="str">
        <f>HYPERLINK("http://www.ncbi.nlm.nih.gov/protein/407262590","LOC101056659")</f>
        <v>LOC101056659</v>
      </c>
      <c r="D4073" s="10">
        <f t="shared" si="63"/>
        <v>6.7176345643347712</v>
      </c>
      <c r="F4073" s="8" t="str">
        <f>HYPERLINK("https://esbl.nhlbi.nih.gov/Databases/mpkFractions/proteomic_fractions_log_files/Yang_log_img/407262590.jpg","show blot")</f>
        <v>show blot</v>
      </c>
      <c r="H4073" s="8" t="str">
        <f>HYPERLINK("https://esbl.nhlbi.nih.gov/Databases/mpkFractions/proteomic_fractions_linear_files/Yang_linear_img/407262590.jpg","show blot")</f>
        <v>show blot</v>
      </c>
      <c r="J4073" s="5" t="s">
        <v>5475</v>
      </c>
      <c r="L4073" s="11">
        <v>6.7176345643347712</v>
      </c>
      <c r="N4073" s="12"/>
    </row>
    <row r="4074" spans="1:14" s="5" customFormat="1" ht="15" customHeight="1" x14ac:dyDescent="0.25">
      <c r="A4074" s="9" t="s">
        <v>7961</v>
      </c>
      <c r="C4074" s="9" t="str">
        <f>HYPERLINK("http://www.ncbi.nlm.nih.gov/protein/407262435","LOC101056668")</f>
        <v>LOC101056668</v>
      </c>
      <c r="D4074" s="10">
        <f t="shared" si="63"/>
        <v>3.6696399371337591</v>
      </c>
      <c r="F4074" s="8" t="str">
        <f>HYPERLINK("https://esbl.nhlbi.nih.gov/Databases/mpkFractions/proteomic_fractions_log_files/Yang_log_img/407262435.jpg","show blot")</f>
        <v>show blot</v>
      </c>
      <c r="H4074" s="8" t="str">
        <f>HYPERLINK("https://esbl.nhlbi.nih.gov/Databases/mpkFractions/proteomic_fractions_linear_files/Yang_linear_img/407262435.jpg","show blot")</f>
        <v>show blot</v>
      </c>
      <c r="J4074" s="5" t="s">
        <v>7962</v>
      </c>
      <c r="L4074" s="11">
        <v>3.6696399371337591</v>
      </c>
      <c r="N4074" s="12"/>
    </row>
    <row r="4075" spans="1:14" s="5" customFormat="1" ht="15" customHeight="1" x14ac:dyDescent="0.25">
      <c r="A4075" s="9" t="s">
        <v>7963</v>
      </c>
      <c r="C4075" s="9" t="str">
        <f>HYPERLINK("http://www.ncbi.nlm.nih.gov/protein/407262493","LOC101056688")</f>
        <v>LOC101056688</v>
      </c>
      <c r="D4075" s="10">
        <f t="shared" si="63"/>
        <v>5.9779369360699937</v>
      </c>
      <c r="F4075" s="8" t="str">
        <f>HYPERLINK("https://esbl.nhlbi.nih.gov/Databases/mpkFractions/proteomic_fractions_log_files/Yang_log_img/407262493.jpg","show blot")</f>
        <v>show blot</v>
      </c>
      <c r="H4075" s="8" t="str">
        <f>HYPERLINK("https://esbl.nhlbi.nih.gov/Databases/mpkFractions/proteomic_fractions_linear_files/Yang_linear_img/407262493.jpg","show blot")</f>
        <v>show blot</v>
      </c>
      <c r="J4075" s="5" t="s">
        <v>7964</v>
      </c>
      <c r="L4075" s="11">
        <v>5.9779369360699937</v>
      </c>
      <c r="N4075" s="12"/>
    </row>
    <row r="4076" spans="1:14" s="5" customFormat="1" ht="15" customHeight="1" x14ac:dyDescent="0.25">
      <c r="A4076" s="9" t="s">
        <v>7965</v>
      </c>
      <c r="C4076" s="9" t="str">
        <f>HYPERLINK("http://www.ncbi.nlm.nih.gov/protein/407260978","LOC101056690")</f>
        <v>LOC101056690</v>
      </c>
      <c r="D4076" s="10">
        <f t="shared" si="63"/>
        <v>4.9971730864741897</v>
      </c>
      <c r="F4076" s="8" t="str">
        <f>HYPERLINK("https://esbl.nhlbi.nih.gov/Databases/mpkFractions/proteomic_fractions_log_files/Yang_log_img/407260978.jpg","show blot")</f>
        <v>show blot</v>
      </c>
      <c r="H4076" s="8" t="str">
        <f>HYPERLINK("https://esbl.nhlbi.nih.gov/Databases/mpkFractions/proteomic_fractions_linear_files/Yang_linear_img/407260978.jpg","show blot")</f>
        <v>show blot</v>
      </c>
      <c r="J4076" s="5" t="s">
        <v>7966</v>
      </c>
      <c r="L4076" s="11">
        <v>4.9971730864741897</v>
      </c>
      <c r="N4076" s="12"/>
    </row>
    <row r="4077" spans="1:14" s="5" customFormat="1" ht="15" customHeight="1" x14ac:dyDescent="0.25">
      <c r="A4077" s="9" t="s">
        <v>7967</v>
      </c>
      <c r="C4077" s="9" t="str">
        <f>HYPERLINK("http://www.ncbi.nlm.nih.gov/protein/407260980","LOC101056690")</f>
        <v>LOC101056690</v>
      </c>
      <c r="D4077" s="10">
        <f t="shared" si="63"/>
        <v>4.9971730864741897</v>
      </c>
      <c r="F4077" s="8" t="str">
        <f>HYPERLINK("https://esbl.nhlbi.nih.gov/Databases/mpkFractions/proteomic_fractions_log_files/Yang_log_img/407260980.jpg","show blot")</f>
        <v>show blot</v>
      </c>
      <c r="H4077" s="8" t="str">
        <f>HYPERLINK("https://esbl.nhlbi.nih.gov/Databases/mpkFractions/proteomic_fractions_linear_files/Yang_linear_img/407260980.jpg","show blot")</f>
        <v>show blot</v>
      </c>
      <c r="J4077" s="5" t="s">
        <v>7966</v>
      </c>
      <c r="L4077" s="11">
        <v>4.9971730864741897</v>
      </c>
      <c r="N4077" s="12"/>
    </row>
    <row r="4078" spans="1:14" s="5" customFormat="1" ht="15" customHeight="1" x14ac:dyDescent="0.25">
      <c r="A4078" s="9" t="s">
        <v>7968</v>
      </c>
      <c r="C4078" s="9" t="str">
        <f>HYPERLINK("http://www.ncbi.nlm.nih.gov/protein/407260982","LOC101056690")</f>
        <v>LOC101056690</v>
      </c>
      <c r="D4078" s="10">
        <f t="shared" si="63"/>
        <v>4.9971730864741897</v>
      </c>
      <c r="F4078" s="8" t="str">
        <f>HYPERLINK("https://esbl.nhlbi.nih.gov/Databases/mpkFractions/proteomic_fractions_log_files/Yang_log_img/407260982.jpg","show blot")</f>
        <v>show blot</v>
      </c>
      <c r="H4078" s="8" t="str">
        <f>HYPERLINK("https://esbl.nhlbi.nih.gov/Databases/mpkFractions/proteomic_fractions_linear_files/Yang_linear_img/407260982.jpg","show blot")</f>
        <v>show blot</v>
      </c>
      <c r="J4078" s="5" t="s">
        <v>7966</v>
      </c>
      <c r="L4078" s="11">
        <v>4.9971730864741897</v>
      </c>
      <c r="N4078" s="12"/>
    </row>
    <row r="4079" spans="1:14" s="5" customFormat="1" ht="15" customHeight="1" x14ac:dyDescent="0.25">
      <c r="A4079" s="9" t="s">
        <v>7969</v>
      </c>
      <c r="C4079" s="9" t="str">
        <f>HYPERLINK("http://www.ncbi.nlm.nih.gov/protein/407260984","LOC101056690")</f>
        <v>LOC101056690</v>
      </c>
      <c r="D4079" s="10">
        <f t="shared" si="63"/>
        <v>4.9971730864741897</v>
      </c>
      <c r="F4079" s="8" t="str">
        <f>HYPERLINK("https://esbl.nhlbi.nih.gov/Databases/mpkFractions/proteomic_fractions_log_files/Yang_log_img/407260984.jpg","show blot")</f>
        <v>show blot</v>
      </c>
      <c r="H4079" s="8" t="str">
        <f>HYPERLINK("https://esbl.nhlbi.nih.gov/Databases/mpkFractions/proteomic_fractions_linear_files/Yang_linear_img/407260984.jpg","show blot")</f>
        <v>show blot</v>
      </c>
      <c r="J4079" s="5" t="s">
        <v>7966</v>
      </c>
      <c r="L4079" s="11">
        <v>4.9971730864741897</v>
      </c>
      <c r="N4079" s="12"/>
    </row>
    <row r="4080" spans="1:14" s="5" customFormat="1" ht="15" customHeight="1" x14ac:dyDescent="0.25">
      <c r="A4080" s="9" t="s">
        <v>7970</v>
      </c>
      <c r="C4080" s="9" t="str">
        <f>HYPERLINK("http://www.ncbi.nlm.nih.gov/protein/377834539","LOC215866")</f>
        <v>LOC215866</v>
      </c>
      <c r="D4080" s="10">
        <f t="shared" si="63"/>
        <v>4.5526783277093106</v>
      </c>
      <c r="F4080" s="8" t="str">
        <f>HYPERLINK("https://esbl.nhlbi.nih.gov/Databases/mpkFractions/proteomic_fractions_log_files/Yang_log_img/377834539.jpg","show blot")</f>
        <v>show blot</v>
      </c>
      <c r="H4080" s="8" t="str">
        <f>HYPERLINK("https://esbl.nhlbi.nih.gov/Databases/mpkFractions/proteomic_fractions_linear_files/Yang_linear_img/377834539.jpg","show blot")</f>
        <v>show blot</v>
      </c>
      <c r="J4080" s="5" t="s">
        <v>5826</v>
      </c>
      <c r="L4080" s="11">
        <v>4.5526783277093106</v>
      </c>
      <c r="N4080" s="12"/>
    </row>
    <row r="4081" spans="1:14" s="5" customFormat="1" ht="15" customHeight="1" x14ac:dyDescent="0.25">
      <c r="A4081" s="9" t="s">
        <v>7971</v>
      </c>
      <c r="C4081" s="9" t="str">
        <f>HYPERLINK("http://www.ncbi.nlm.nih.gov/protein/407263623","LOC215866")</f>
        <v>LOC215866</v>
      </c>
      <c r="D4081" s="10">
        <f t="shared" si="63"/>
        <v>4.5526783277093106</v>
      </c>
      <c r="F4081" s="8" t="str">
        <f>HYPERLINK("https://esbl.nhlbi.nih.gov/Databases/mpkFractions/proteomic_fractions_log_files/Yang_log_img/407263623.jpg","show blot")</f>
        <v>show blot</v>
      </c>
      <c r="H4081" s="8" t="str">
        <f>HYPERLINK("https://esbl.nhlbi.nih.gov/Databases/mpkFractions/proteomic_fractions_linear_files/Yang_linear_img/407263623.jpg","show blot")</f>
        <v>show blot</v>
      </c>
      <c r="J4081" s="5" t="s">
        <v>5826</v>
      </c>
      <c r="L4081" s="11">
        <v>4.5526783277093106</v>
      </c>
      <c r="N4081" s="12"/>
    </row>
    <row r="4082" spans="1:14" s="5" customFormat="1" ht="15" customHeight="1" x14ac:dyDescent="0.25">
      <c r="A4082" s="9" t="s">
        <v>7972</v>
      </c>
      <c r="C4082" s="9" t="str">
        <f>HYPERLINK("http://www.ncbi.nlm.nih.gov/protein/82975294","LOC386400")</f>
        <v>LOC386400</v>
      </c>
      <c r="D4082" s="10">
        <f t="shared" si="63"/>
        <v>5.6990989264855028</v>
      </c>
      <c r="F4082" s="8" t="str">
        <f>HYPERLINK("https://esbl.nhlbi.nih.gov/Databases/mpkFractions/proteomic_fractions_log_files/Yang_log_img/82975294.jpg","show blot")</f>
        <v>show blot</v>
      </c>
      <c r="H4082" s="8" t="str">
        <f>HYPERLINK("https://esbl.nhlbi.nih.gov/Databases/mpkFractions/proteomic_fractions_linear_files/Yang_linear_img/82975294.jpg","show blot")</f>
        <v>show blot</v>
      </c>
      <c r="J4082" s="5" t="s">
        <v>7973</v>
      </c>
      <c r="L4082" s="11">
        <v>5.6990989264855028</v>
      </c>
      <c r="N4082" s="12"/>
    </row>
    <row r="4083" spans="1:14" s="5" customFormat="1" ht="15" customHeight="1" x14ac:dyDescent="0.25">
      <c r="A4083" s="9" t="s">
        <v>7974</v>
      </c>
      <c r="C4083" s="9" t="str">
        <f>HYPERLINK("http://www.ncbi.nlm.nih.gov/protein/407261848","LOC434624")</f>
        <v>LOC434624</v>
      </c>
      <c r="D4083" s="10">
        <f t="shared" si="63"/>
        <v>6.4102320785872022</v>
      </c>
      <c r="F4083" s="8" t="str">
        <f>HYPERLINK("https://esbl.nhlbi.nih.gov/Databases/mpkFractions/proteomic_fractions_log_files/Yang_log_img/407261848.jpg","show blot")</f>
        <v>show blot</v>
      </c>
      <c r="H4083" s="8" t="str">
        <f>HYPERLINK("https://esbl.nhlbi.nih.gov/Databases/mpkFractions/proteomic_fractions_linear_files/Yang_linear_img/407261848.jpg","show blot")</f>
        <v>show blot</v>
      </c>
      <c r="J4083" s="5" t="s">
        <v>5623</v>
      </c>
      <c r="L4083" s="11">
        <v>6.4102320785872022</v>
      </c>
      <c r="N4083" s="12"/>
    </row>
    <row r="4084" spans="1:14" s="5" customFormat="1" ht="15" customHeight="1" x14ac:dyDescent="0.25">
      <c r="A4084" s="9" t="s">
        <v>7975</v>
      </c>
      <c r="C4084" s="9" t="str">
        <f>HYPERLINK("http://www.ncbi.nlm.nih.gov/protein/377834670","LOC547349")</f>
        <v>LOC547349</v>
      </c>
      <c r="D4084" s="10">
        <f t="shared" si="63"/>
        <v>3.0806264869218061</v>
      </c>
      <c r="F4084" s="8" t="str">
        <f>HYPERLINK("https://esbl.nhlbi.nih.gov/Databases/mpkFractions/proteomic_fractions_log_files/Yang_log_img/377834670.jpg","show blot")</f>
        <v>show blot</v>
      </c>
      <c r="H4084" s="8" t="str">
        <f>HYPERLINK("https://esbl.nhlbi.nih.gov/Databases/mpkFractions/proteomic_fractions_linear_files/Yang_linear_img/377834670.jpg","show blot")</f>
        <v>show blot</v>
      </c>
      <c r="J4084" s="5" t="s">
        <v>7976</v>
      </c>
      <c r="L4084" s="11">
        <v>3.0806264869218061</v>
      </c>
      <c r="N4084" s="12"/>
    </row>
    <row r="4085" spans="1:14" s="5" customFormat="1" ht="15" customHeight="1" x14ac:dyDescent="0.25">
      <c r="A4085" s="9" t="s">
        <v>7977</v>
      </c>
      <c r="C4085" s="9" t="str">
        <f>HYPERLINK("http://www.ncbi.nlm.nih.gov/protein/68534959","LOC547349")</f>
        <v>LOC547349</v>
      </c>
      <c r="D4085" s="10">
        <f t="shared" si="63"/>
        <v>3.0806264869218061</v>
      </c>
      <c r="F4085" s="8" t="str">
        <f>HYPERLINK("https://esbl.nhlbi.nih.gov/Databases/mpkFractions/proteomic_fractions_log_files/Yang_log_img/68534959.jpg","show blot")</f>
        <v>show blot</v>
      </c>
      <c r="H4085" s="8" t="str">
        <f>HYPERLINK("https://esbl.nhlbi.nih.gov/Databases/mpkFractions/proteomic_fractions_linear_files/Yang_linear_img/68534959.jpg","show blot")</f>
        <v>show blot</v>
      </c>
      <c r="J4085" s="5" t="s">
        <v>7978</v>
      </c>
      <c r="L4085" s="11">
        <v>3.0806264869218061</v>
      </c>
      <c r="N4085" s="12"/>
    </row>
    <row r="4086" spans="1:14" s="5" customFormat="1" ht="15" customHeight="1" x14ac:dyDescent="0.25">
      <c r="A4086" s="9" t="s">
        <v>7979</v>
      </c>
      <c r="C4086" s="9" t="str">
        <f>HYPERLINK("http://www.ncbi.nlm.nih.gov/protein/407262567","LOC630855")</f>
        <v>LOC630855</v>
      </c>
      <c r="D4086" s="10">
        <f t="shared" si="63"/>
        <v>6.4648792943065816</v>
      </c>
      <c r="F4086" s="8" t="str">
        <f>HYPERLINK("https://esbl.nhlbi.nih.gov/Databases/mpkFractions/proteomic_fractions_log_files/Yang_log_img/407262567.jpg","show blot")</f>
        <v>show blot</v>
      </c>
      <c r="H4086" s="8" t="str">
        <f>HYPERLINK("https://esbl.nhlbi.nih.gov/Databases/mpkFractions/proteomic_fractions_linear_files/Yang_linear_img/407262567.jpg","show blot")</f>
        <v>show blot</v>
      </c>
      <c r="J4086" s="5" t="s">
        <v>7980</v>
      </c>
      <c r="L4086" s="11">
        <v>6.4648792943065816</v>
      </c>
      <c r="N4086" s="12"/>
    </row>
    <row r="4087" spans="1:14" s="5" customFormat="1" ht="15" customHeight="1" x14ac:dyDescent="0.25">
      <c r="A4087" s="9" t="s">
        <v>7981</v>
      </c>
      <c r="C4087" s="9" t="str">
        <f>HYPERLINK("http://www.ncbi.nlm.nih.gov/protein/82916992","LOC631033")</f>
        <v>LOC631033</v>
      </c>
      <c r="D4087" s="10">
        <f t="shared" si="63"/>
        <v>6.1965765687033842</v>
      </c>
      <c r="F4087" s="8" t="str">
        <f>HYPERLINK("https://esbl.nhlbi.nih.gov/Databases/mpkFractions/proteomic_fractions_log_files/Yang_log_img/82916992.jpg","show blot")</f>
        <v>show blot</v>
      </c>
      <c r="H4087" s="8" t="str">
        <f>HYPERLINK("https://esbl.nhlbi.nih.gov/Databases/mpkFractions/proteomic_fractions_linear_files/Yang_linear_img/82916992.jpg","show blot")</f>
        <v>show blot</v>
      </c>
      <c r="J4087" s="5" t="s">
        <v>7982</v>
      </c>
      <c r="L4087" s="11">
        <v>6.1965765687033842</v>
      </c>
      <c r="N4087" s="12"/>
    </row>
    <row r="4088" spans="1:14" s="5" customFormat="1" ht="15" customHeight="1" x14ac:dyDescent="0.25">
      <c r="A4088" s="9" t="s">
        <v>7983</v>
      </c>
      <c r="C4088" s="9" t="str">
        <f>HYPERLINK("http://www.ncbi.nlm.nih.gov/protein/82913708","LOC631040")</f>
        <v>LOC631040</v>
      </c>
      <c r="D4088" s="10">
        <f t="shared" si="63"/>
        <v>4.826852148956978</v>
      </c>
      <c r="F4088" s="8" t="str">
        <f>HYPERLINK("https://esbl.nhlbi.nih.gov/Databases/mpkFractions/proteomic_fractions_log_files/Yang_log_img/82913708.jpg","show blot")</f>
        <v>show blot</v>
      </c>
      <c r="H4088" s="8" t="str">
        <f>HYPERLINK("https://esbl.nhlbi.nih.gov/Databases/mpkFractions/proteomic_fractions_linear_files/Yang_linear_img/82913708.jpg","show blot")</f>
        <v>show blot</v>
      </c>
      <c r="J4088" s="5" t="s">
        <v>5792</v>
      </c>
      <c r="L4088" s="11">
        <v>4.826852148956978</v>
      </c>
      <c r="N4088" s="12"/>
    </row>
    <row r="4089" spans="1:14" s="5" customFormat="1" ht="15" customHeight="1" x14ac:dyDescent="0.25">
      <c r="A4089" s="9" t="s">
        <v>7984</v>
      </c>
      <c r="C4089" s="9" t="str">
        <f>HYPERLINK("http://www.ncbi.nlm.nih.gov/protein/407261777","LOC631286")</f>
        <v>LOC631286</v>
      </c>
      <c r="D4089" s="10">
        <f t="shared" si="63"/>
        <v>6.0650918703571639</v>
      </c>
      <c r="F4089" s="8" t="str">
        <f>HYPERLINK("https://esbl.nhlbi.nih.gov/Databases/mpkFractions/proteomic_fractions_log_files/Yang_log_img/407261777.jpg","show blot")</f>
        <v>show blot</v>
      </c>
      <c r="H4089" s="8" t="str">
        <f>HYPERLINK("https://esbl.nhlbi.nih.gov/Databases/mpkFractions/proteomic_fractions_linear_files/Yang_linear_img/407261777.jpg","show blot")</f>
        <v>show blot</v>
      </c>
      <c r="J4089" s="5" t="s">
        <v>7985</v>
      </c>
      <c r="L4089" s="11">
        <v>6.0650918703571639</v>
      </c>
      <c r="N4089" s="12"/>
    </row>
    <row r="4090" spans="1:14" s="5" customFormat="1" ht="15" customHeight="1" x14ac:dyDescent="0.25">
      <c r="A4090" s="9" t="s">
        <v>7986</v>
      </c>
      <c r="C4090" s="9" t="str">
        <f>HYPERLINK("http://www.ncbi.nlm.nih.gov/protein/82892305","LOC631287")</f>
        <v>LOC631287</v>
      </c>
      <c r="D4090" s="10">
        <f t="shared" si="63"/>
        <v>4.7880961391291894</v>
      </c>
      <c r="F4090" s="8" t="str">
        <f>HYPERLINK("https://esbl.nhlbi.nih.gov/Databases/mpkFractions/proteomic_fractions_log_files/Yang_log_img/82892305.jpg","show blot")</f>
        <v>show blot</v>
      </c>
      <c r="H4090" s="8" t="str">
        <f>HYPERLINK("https://esbl.nhlbi.nih.gov/Databases/mpkFractions/proteomic_fractions_linear_files/Yang_linear_img/82892305.jpg","show blot")</f>
        <v>show blot</v>
      </c>
      <c r="J4090" s="5" t="s">
        <v>5708</v>
      </c>
      <c r="L4090" s="11">
        <v>4.7880961391291894</v>
      </c>
      <c r="N4090" s="12"/>
    </row>
    <row r="4091" spans="1:14" s="5" customFormat="1" ht="15" customHeight="1" x14ac:dyDescent="0.25">
      <c r="A4091" s="9" t="s">
        <v>7987</v>
      </c>
      <c r="C4091" s="9" t="str">
        <f>HYPERLINK("http://www.ncbi.nlm.nih.gov/protein/82918783","LOC631966")</f>
        <v>LOC631966</v>
      </c>
      <c r="D4091" s="10">
        <f t="shared" si="63"/>
        <v>5.4394058693590983</v>
      </c>
      <c r="F4091" s="8" t="str">
        <f>HYPERLINK("https://esbl.nhlbi.nih.gov/Databases/mpkFractions/proteomic_fractions_log_files/Yang_log_img/82918783.jpg","show blot")</f>
        <v>show blot</v>
      </c>
      <c r="H4091" s="8" t="str">
        <f>HYPERLINK("https://esbl.nhlbi.nih.gov/Databases/mpkFractions/proteomic_fractions_linear_files/Yang_linear_img/82918783.jpg","show blot")</f>
        <v>show blot</v>
      </c>
      <c r="J4091" s="5" t="s">
        <v>5723</v>
      </c>
      <c r="L4091" s="11">
        <v>5.4394058693590983</v>
      </c>
      <c r="N4091" s="12"/>
    </row>
    <row r="4092" spans="1:14" s="5" customFormat="1" ht="15" customHeight="1" x14ac:dyDescent="0.25">
      <c r="A4092" s="9" t="s">
        <v>7988</v>
      </c>
      <c r="C4092" s="9" t="str">
        <f>HYPERLINK("http://www.ncbi.nlm.nih.gov/protein/149253567","LOC632465")</f>
        <v>LOC632465</v>
      </c>
      <c r="D4092" s="10">
        <f t="shared" si="63"/>
        <v>4.6672974326365742</v>
      </c>
      <c r="F4092" s="8" t="str">
        <f>HYPERLINK("https://esbl.nhlbi.nih.gov/Databases/mpkFractions/proteomic_fractions_log_files/Yang_log_img/149253567.jpg","show blot")</f>
        <v>show blot</v>
      </c>
      <c r="H4092" s="8" t="str">
        <f>HYPERLINK("https://esbl.nhlbi.nih.gov/Databases/mpkFractions/proteomic_fractions_linear_files/Yang_linear_img/149253567.jpg","show blot")</f>
        <v>show blot</v>
      </c>
      <c r="J4092" s="5" t="s">
        <v>7989</v>
      </c>
      <c r="L4092" s="11">
        <v>4.6672974326365742</v>
      </c>
      <c r="N4092" s="12"/>
    </row>
    <row r="4093" spans="1:14" s="5" customFormat="1" ht="15" customHeight="1" x14ac:dyDescent="0.25">
      <c r="A4093" s="9" t="s">
        <v>7990</v>
      </c>
      <c r="C4093" s="9" t="str">
        <f>HYPERLINK("http://www.ncbi.nlm.nih.gov/protein/82935644","LOC633406")</f>
        <v>LOC633406</v>
      </c>
      <c r="D4093" s="10">
        <f t="shared" si="63"/>
        <v>3.857079527867382</v>
      </c>
      <c r="F4093" s="8" t="str">
        <f>HYPERLINK("https://esbl.nhlbi.nih.gov/Databases/mpkFractions/proteomic_fractions_log_files/Yang_log_img/82935644.jpg","show blot")</f>
        <v>show blot</v>
      </c>
      <c r="H4093" s="8" t="str">
        <f>HYPERLINK("https://esbl.nhlbi.nih.gov/Databases/mpkFractions/proteomic_fractions_linear_files/Yang_linear_img/82935644.jpg","show blot")</f>
        <v>show blot</v>
      </c>
      <c r="J4093" s="5" t="s">
        <v>7991</v>
      </c>
      <c r="L4093" s="11">
        <v>3.857079527867382</v>
      </c>
      <c r="N4093" s="12"/>
    </row>
    <row r="4094" spans="1:14" s="5" customFormat="1" ht="15" customHeight="1" x14ac:dyDescent="0.25">
      <c r="A4094" s="9" t="s">
        <v>7992</v>
      </c>
      <c r="C4094" s="9" t="str">
        <f>HYPERLINK("http://www.ncbi.nlm.nih.gov/protein/83013315","LOC634339")</f>
        <v>LOC634339</v>
      </c>
      <c r="D4094" s="10">
        <f t="shared" si="63"/>
        <v>5.8873625647254562</v>
      </c>
      <c r="F4094" s="8" t="str">
        <f>HYPERLINK("https://esbl.nhlbi.nih.gov/Databases/mpkFractions/proteomic_fractions_log_files/Yang_log_img/83013315.jpg","show blot")</f>
        <v>show blot</v>
      </c>
      <c r="H4094" s="8" t="str">
        <f>HYPERLINK("https://esbl.nhlbi.nih.gov/Databases/mpkFractions/proteomic_fractions_linear_files/Yang_linear_img/83013315.jpg","show blot")</f>
        <v>show blot</v>
      </c>
      <c r="J4094" s="5" t="s">
        <v>5456</v>
      </c>
      <c r="L4094" s="11">
        <v>5.8873625647254562</v>
      </c>
      <c r="N4094" s="12"/>
    </row>
    <row r="4095" spans="1:14" s="5" customFormat="1" ht="15" customHeight="1" x14ac:dyDescent="0.25">
      <c r="A4095" s="9" t="s">
        <v>7993</v>
      </c>
      <c r="C4095" s="9" t="str">
        <f>HYPERLINK("http://www.ncbi.nlm.nih.gov/protein/82916356","LOC634555")</f>
        <v>LOC634555</v>
      </c>
      <c r="D4095" s="10">
        <f t="shared" si="63"/>
        <v>3.484740531755512</v>
      </c>
      <c r="F4095" s="8" t="str">
        <f>HYPERLINK("https://esbl.nhlbi.nih.gov/Databases/mpkFractions/proteomic_fractions_log_files/Yang_log_img/82916356.jpg","show blot")</f>
        <v>show blot</v>
      </c>
      <c r="H4095" s="8" t="str">
        <f>HYPERLINK("https://esbl.nhlbi.nih.gov/Databases/mpkFractions/proteomic_fractions_linear_files/Yang_linear_img/82916356.jpg","show blot")</f>
        <v>show blot</v>
      </c>
      <c r="J4095" s="5" t="s">
        <v>7994</v>
      </c>
      <c r="L4095" s="11">
        <v>3.484740531755512</v>
      </c>
      <c r="N4095" s="12"/>
    </row>
    <row r="4096" spans="1:14" s="5" customFormat="1" ht="15" customHeight="1" x14ac:dyDescent="0.25">
      <c r="A4096" s="9" t="s">
        <v>7995</v>
      </c>
      <c r="C4096" s="9" t="str">
        <f>HYPERLINK("http://www.ncbi.nlm.nih.gov/protein/82931574","LOC635999")</f>
        <v>LOC635999</v>
      </c>
      <c r="D4096" s="10">
        <f t="shared" si="63"/>
        <v>4.9881207268042251</v>
      </c>
      <c r="F4096" s="8" t="str">
        <f>HYPERLINK("https://esbl.nhlbi.nih.gov/Databases/mpkFractions/proteomic_fractions_log_files/Yang_log_img/82931574.jpg","show blot")</f>
        <v>show blot</v>
      </c>
      <c r="H4096" s="8" t="str">
        <f>HYPERLINK("https://esbl.nhlbi.nih.gov/Databases/mpkFractions/proteomic_fractions_linear_files/Yang_linear_img/82931574.jpg","show blot")</f>
        <v>show blot</v>
      </c>
      <c r="J4096" s="5" t="s">
        <v>5815</v>
      </c>
      <c r="L4096" s="11">
        <v>4.9881207268042251</v>
      </c>
      <c r="N4096" s="12"/>
    </row>
    <row r="4097" spans="1:14" s="5" customFormat="1" ht="15" customHeight="1" x14ac:dyDescent="0.25">
      <c r="A4097" s="9" t="s">
        <v>7996</v>
      </c>
      <c r="C4097" s="9" t="str">
        <f>HYPERLINK("http://www.ncbi.nlm.nih.gov/protein/82905443","LOC636901")</f>
        <v>LOC636901</v>
      </c>
      <c r="D4097" s="10">
        <f t="shared" si="63"/>
        <v>6.8105202291065607</v>
      </c>
      <c r="F4097" s="8" t="str">
        <f>HYPERLINK("https://esbl.nhlbi.nih.gov/Databases/mpkFractions/proteomic_fractions_log_files/Yang_log_img/82905443.jpg","show blot")</f>
        <v>show blot</v>
      </c>
      <c r="H4097" s="8" t="str">
        <f>HYPERLINK("https://esbl.nhlbi.nih.gov/Databases/mpkFractions/proteomic_fractions_linear_files/Yang_linear_img/82905443.jpg","show blot")</f>
        <v>show blot</v>
      </c>
      <c r="J4097" s="5" t="s">
        <v>7997</v>
      </c>
      <c r="L4097" s="11">
        <v>6.8105202291065607</v>
      </c>
      <c r="N4097" s="12"/>
    </row>
    <row r="4098" spans="1:14" s="5" customFormat="1" ht="15" customHeight="1" x14ac:dyDescent="0.25">
      <c r="A4098" s="9" t="s">
        <v>7998</v>
      </c>
      <c r="C4098" s="9" t="str">
        <f>HYPERLINK("http://www.ncbi.nlm.nih.gov/protein/82898629","LOC637553")</f>
        <v>LOC637553</v>
      </c>
      <c r="D4098" s="10">
        <f t="shared" si="63"/>
        <v>6.8629713902359786</v>
      </c>
      <c r="F4098" s="8" t="str">
        <f>HYPERLINK("https://esbl.nhlbi.nih.gov/Databases/mpkFractions/proteomic_fractions_log_files/Yang_log_img/82898629.jpg","show blot")</f>
        <v>show blot</v>
      </c>
      <c r="H4098" s="8" t="str">
        <f>HYPERLINK("https://esbl.nhlbi.nih.gov/Databases/mpkFractions/proteomic_fractions_linear_files/Yang_linear_img/82898629.jpg","show blot")</f>
        <v>show blot</v>
      </c>
      <c r="J4098" s="5" t="s">
        <v>5672</v>
      </c>
      <c r="L4098" s="11">
        <v>6.8629713902359786</v>
      </c>
      <c r="N4098" s="12"/>
    </row>
    <row r="4099" spans="1:14" s="5" customFormat="1" ht="15" customHeight="1" x14ac:dyDescent="0.25">
      <c r="A4099" s="9" t="s">
        <v>7999</v>
      </c>
      <c r="C4099" s="9" t="str">
        <f>HYPERLINK("http://www.ncbi.nlm.nih.gov/protein/83009766","LOC637657")</f>
        <v>LOC637657</v>
      </c>
      <c r="D4099" s="10">
        <f t="shared" si="63"/>
        <v>4.4823410192732496</v>
      </c>
      <c r="F4099" s="8" t="str">
        <f>HYPERLINK("https://esbl.nhlbi.nih.gov/Databases/mpkFractions/proteomic_fractions_log_files/Yang_log_img/83009766.jpg","show blot")</f>
        <v>show blot</v>
      </c>
      <c r="H4099" s="8" t="str">
        <f>HYPERLINK("https://esbl.nhlbi.nih.gov/Databases/mpkFractions/proteomic_fractions_linear_files/Yang_linear_img/83009766.jpg","show blot")</f>
        <v>show blot</v>
      </c>
      <c r="J4099" s="5" t="s">
        <v>8000</v>
      </c>
      <c r="L4099" s="11">
        <v>4.4823410192732496</v>
      </c>
      <c r="N4099" s="12"/>
    </row>
    <row r="4100" spans="1:14" s="5" customFormat="1" ht="15" customHeight="1" x14ac:dyDescent="0.25">
      <c r="A4100" s="9" t="s">
        <v>8001</v>
      </c>
      <c r="C4100" s="9" t="str">
        <f>HYPERLINK("http://www.ncbi.nlm.nih.gov/protein/83014391","LOC637733")</f>
        <v>LOC637733</v>
      </c>
      <c r="D4100" s="10">
        <f t="shared" si="63"/>
        <v>6.7091408463872826</v>
      </c>
      <c r="F4100" s="8" t="str">
        <f>HYPERLINK("https://esbl.nhlbi.nih.gov/Databases/mpkFractions/proteomic_fractions_log_files/Yang_log_img/83014391.jpg","show blot")</f>
        <v>show blot</v>
      </c>
      <c r="H4100" s="8" t="str">
        <f>HYPERLINK("https://esbl.nhlbi.nih.gov/Databases/mpkFractions/proteomic_fractions_linear_files/Yang_linear_img/83014391.jpg","show blot")</f>
        <v>show blot</v>
      </c>
      <c r="J4100" s="5" t="s">
        <v>5631</v>
      </c>
      <c r="L4100" s="11">
        <v>6.7091408463872826</v>
      </c>
      <c r="N4100" s="12"/>
    </row>
    <row r="4101" spans="1:14" s="5" customFormat="1" ht="15" customHeight="1" x14ac:dyDescent="0.25">
      <c r="A4101" s="9" t="s">
        <v>8002</v>
      </c>
      <c r="C4101" s="9" t="str">
        <f>HYPERLINK("http://www.ncbi.nlm.nih.gov/protein/309263460","LOC638236")</f>
        <v>LOC638236</v>
      </c>
      <c r="D4101" s="10">
        <f t="shared" ref="D4101:D4164" si="64">L4101</f>
        <v>6.6930173151134298</v>
      </c>
      <c r="F4101" s="8" t="str">
        <f>HYPERLINK("https://esbl.nhlbi.nih.gov/Databases/mpkFractions/proteomic_fractions_log_files/Yang_log_img/309263460.jpg","show blot")</f>
        <v>show blot</v>
      </c>
      <c r="H4101" s="8" t="str">
        <f>HYPERLINK("https://esbl.nhlbi.nih.gov/Databases/mpkFractions/proteomic_fractions_linear_files/Yang_linear_img/309263460.jpg","show blot")</f>
        <v>show blot</v>
      </c>
      <c r="J4101" s="5" t="s">
        <v>8003</v>
      </c>
      <c r="L4101" s="11">
        <v>6.6930173151134298</v>
      </c>
      <c r="N4101" s="12"/>
    </row>
    <row r="4102" spans="1:14" s="5" customFormat="1" ht="15" customHeight="1" x14ac:dyDescent="0.25">
      <c r="A4102" s="9" t="s">
        <v>8004</v>
      </c>
      <c r="C4102" s="9" t="str">
        <f>HYPERLINK("http://www.ncbi.nlm.nih.gov/protein/82898755","LOC638399")</f>
        <v>LOC638399</v>
      </c>
      <c r="D4102" s="10">
        <f t="shared" si="64"/>
        <v>6.6425347590981607</v>
      </c>
      <c r="F4102" s="8" t="str">
        <f>HYPERLINK("https://esbl.nhlbi.nih.gov/Databases/mpkFractions/proteomic_fractions_log_files/Yang_log_img/82898755.jpg","show blot")</f>
        <v>show blot</v>
      </c>
      <c r="H4102" s="8" t="str">
        <f>HYPERLINK("https://esbl.nhlbi.nih.gov/Databases/mpkFractions/proteomic_fractions_linear_files/Yang_linear_img/82898755.jpg","show blot")</f>
        <v>show blot</v>
      </c>
      <c r="J4102" s="5" t="s">
        <v>8005</v>
      </c>
      <c r="L4102" s="11">
        <v>6.6425347590981607</v>
      </c>
      <c r="N4102" s="12"/>
    </row>
    <row r="4103" spans="1:14" s="5" customFormat="1" ht="15" customHeight="1" x14ac:dyDescent="0.25">
      <c r="A4103" s="9" t="s">
        <v>8006</v>
      </c>
      <c r="C4103" s="9" t="str">
        <f>HYPERLINK("http://www.ncbi.nlm.nih.gov/protein/377833703","LOC639541")</f>
        <v>LOC639541</v>
      </c>
      <c r="D4103" s="10">
        <f t="shared" si="64"/>
        <v>4.9412564712023324</v>
      </c>
      <c r="F4103" s="8" t="str">
        <f>HYPERLINK("https://esbl.nhlbi.nih.gov/Databases/mpkFractions/proteomic_fractions_log_files/Yang_log_img/377833703.jpg","show blot")</f>
        <v>show blot</v>
      </c>
      <c r="H4103" s="8" t="str">
        <f>HYPERLINK("https://esbl.nhlbi.nih.gov/Databases/mpkFractions/proteomic_fractions_linear_files/Yang_linear_img/377833703.jpg","show blot")</f>
        <v>show blot</v>
      </c>
      <c r="J4103" s="5" t="s">
        <v>8007</v>
      </c>
      <c r="L4103" s="11">
        <v>4.9412564712023324</v>
      </c>
      <c r="N4103" s="12"/>
    </row>
    <row r="4104" spans="1:14" s="5" customFormat="1" ht="15" customHeight="1" x14ac:dyDescent="0.25">
      <c r="A4104" s="9" t="s">
        <v>8008</v>
      </c>
      <c r="C4104" s="9" t="str">
        <f>HYPERLINK("http://www.ncbi.nlm.nih.gov/protein/82885488","LOC639905")</f>
        <v>LOC639905</v>
      </c>
      <c r="D4104" s="10">
        <f t="shared" si="64"/>
        <v>4.471150281954638</v>
      </c>
      <c r="F4104" s="8" t="str">
        <f>HYPERLINK("https://esbl.nhlbi.nih.gov/Databases/mpkFractions/proteomic_fractions_log_files/Yang_log_img/82885488.jpg","show blot")</f>
        <v>show blot</v>
      </c>
      <c r="H4104" s="8" t="str">
        <f>HYPERLINK("https://esbl.nhlbi.nih.gov/Databases/mpkFractions/proteomic_fractions_linear_files/Yang_linear_img/82885488.jpg","show blot")</f>
        <v>show blot</v>
      </c>
      <c r="J4104" s="5" t="s">
        <v>8009</v>
      </c>
      <c r="L4104" s="11">
        <v>4.471150281954638</v>
      </c>
      <c r="N4104" s="12"/>
    </row>
    <row r="4105" spans="1:14" s="5" customFormat="1" ht="15" customHeight="1" x14ac:dyDescent="0.25">
      <c r="A4105" s="9" t="s">
        <v>8010</v>
      </c>
      <c r="C4105" s="9" t="str">
        <f>HYPERLINK("http://www.ncbi.nlm.nih.gov/protein/82942326","LOC639931")</f>
        <v>LOC639931</v>
      </c>
      <c r="D4105" s="10">
        <f t="shared" si="64"/>
        <v>4.6672974326365742</v>
      </c>
      <c r="F4105" s="8" t="str">
        <f>HYPERLINK("https://esbl.nhlbi.nih.gov/Databases/mpkFractions/proteomic_fractions_log_files/Yang_log_img/82942326.jpg","show blot")</f>
        <v>show blot</v>
      </c>
      <c r="H4105" s="8" t="str">
        <f>HYPERLINK("https://esbl.nhlbi.nih.gov/Databases/mpkFractions/proteomic_fractions_linear_files/Yang_linear_img/82942326.jpg","show blot")</f>
        <v>show blot</v>
      </c>
      <c r="J4105" s="5" t="s">
        <v>7989</v>
      </c>
      <c r="L4105" s="11">
        <v>4.6672974326365742</v>
      </c>
      <c r="N4105" s="12"/>
    </row>
    <row r="4106" spans="1:14" s="5" customFormat="1" ht="15" customHeight="1" x14ac:dyDescent="0.25">
      <c r="A4106" s="9" t="s">
        <v>8011</v>
      </c>
      <c r="C4106" s="9" t="str">
        <f>HYPERLINK("http://www.ncbi.nlm.nih.gov/protein/309264229","LOC640611")</f>
        <v>LOC640611</v>
      </c>
      <c r="D4106" s="10">
        <f t="shared" si="64"/>
        <v>5.6086139480231054</v>
      </c>
      <c r="F4106" s="8" t="str">
        <f>HYPERLINK("https://esbl.nhlbi.nih.gov/Databases/mpkFractions/proteomic_fractions_log_files/Yang_log_img/309264229.jpg","show blot")</f>
        <v>show blot</v>
      </c>
      <c r="H4106" s="8" t="str">
        <f>HYPERLINK("https://esbl.nhlbi.nih.gov/Databases/mpkFractions/proteomic_fractions_linear_files/Yang_linear_img/309264229.jpg","show blot")</f>
        <v>show blot</v>
      </c>
      <c r="J4106" s="5" t="s">
        <v>8012</v>
      </c>
      <c r="L4106" s="11">
        <v>5.6086139480231054</v>
      </c>
      <c r="N4106" s="12"/>
    </row>
    <row r="4107" spans="1:14" s="5" customFormat="1" ht="15" customHeight="1" x14ac:dyDescent="0.25">
      <c r="A4107" s="9" t="s">
        <v>8013</v>
      </c>
      <c r="C4107" s="9" t="str">
        <f>HYPERLINK("http://www.ncbi.nlm.nih.gov/protein/309267099","LOC640856")</f>
        <v>LOC640856</v>
      </c>
      <c r="D4107" s="10">
        <f t="shared" si="64"/>
        <v>5.0308620375027493</v>
      </c>
      <c r="F4107" s="8" t="str">
        <f>HYPERLINK("https://esbl.nhlbi.nih.gov/Databases/mpkFractions/proteomic_fractions_log_files/Yang_log_img/309267099.jpg","show blot")</f>
        <v>show blot</v>
      </c>
      <c r="H4107" s="8" t="str">
        <f>HYPERLINK("https://esbl.nhlbi.nih.gov/Databases/mpkFractions/proteomic_fractions_linear_files/Yang_linear_img/309267099.jpg","show blot")</f>
        <v>show blot</v>
      </c>
      <c r="J4107" s="5" t="s">
        <v>8014</v>
      </c>
      <c r="L4107" s="11">
        <v>5.0308620375027493</v>
      </c>
      <c r="N4107" s="12"/>
    </row>
    <row r="4108" spans="1:14" s="5" customFormat="1" ht="15" customHeight="1" x14ac:dyDescent="0.25">
      <c r="A4108" s="9" t="s">
        <v>8015</v>
      </c>
      <c r="C4108" s="9" t="str">
        <f>HYPERLINK("http://www.ncbi.nlm.nih.gov/protein/149274459","LOC668643")</f>
        <v>LOC668643</v>
      </c>
      <c r="D4108" s="10">
        <f t="shared" si="64"/>
        <v>2.6469709259832341</v>
      </c>
      <c r="F4108" s="8" t="str">
        <f>HYPERLINK("https://esbl.nhlbi.nih.gov/Databases/mpkFractions/proteomic_fractions_log_files/Yang_log_img/149274459.jpg","show blot")</f>
        <v>show blot</v>
      </c>
      <c r="H4108" s="8" t="str">
        <f>HYPERLINK("https://esbl.nhlbi.nih.gov/Databases/mpkFractions/proteomic_fractions_linear_files/Yang_linear_img/149274459.jpg","show blot")</f>
        <v>show blot</v>
      </c>
      <c r="J4108" s="5" t="s">
        <v>8016</v>
      </c>
      <c r="L4108" s="11">
        <v>2.6469709259832341</v>
      </c>
      <c r="N4108" s="12"/>
    </row>
    <row r="4109" spans="1:14" s="5" customFormat="1" ht="15" customHeight="1" x14ac:dyDescent="0.25">
      <c r="A4109" s="9" t="s">
        <v>8017</v>
      </c>
      <c r="C4109" s="9" t="str">
        <f>HYPERLINK("http://www.ncbi.nlm.nih.gov/protein/94394659","LOC674321")</f>
        <v>LOC674321</v>
      </c>
      <c r="D4109" s="10">
        <f t="shared" si="64"/>
        <v>4.5659947305987432</v>
      </c>
      <c r="F4109" s="8" t="str">
        <f>HYPERLINK("https://esbl.nhlbi.nih.gov/Databases/mpkFractions/proteomic_fractions_log_files/Yang_log_img/94394659.jpg","show blot")</f>
        <v>show blot</v>
      </c>
      <c r="H4109" s="8" t="str">
        <f>HYPERLINK("https://esbl.nhlbi.nih.gov/Databases/mpkFractions/proteomic_fractions_linear_files/Yang_linear_img/94394659.jpg","show blot")</f>
        <v>show blot</v>
      </c>
      <c r="J4109" s="5" t="s">
        <v>8018</v>
      </c>
      <c r="L4109" s="11">
        <v>4.5659947305987432</v>
      </c>
      <c r="N4109" s="12"/>
    </row>
    <row r="4110" spans="1:14" s="5" customFormat="1" ht="15" customHeight="1" x14ac:dyDescent="0.25">
      <c r="A4110" s="9" t="s">
        <v>8019</v>
      </c>
      <c r="C4110" s="9" t="str">
        <f>HYPERLINK("http://www.ncbi.nlm.nih.gov/protein/377833655","LOC674595")</f>
        <v>LOC674595</v>
      </c>
      <c r="D4110" s="10">
        <f t="shared" si="64"/>
        <v>5.6316686140527068</v>
      </c>
      <c r="F4110" s="8" t="str">
        <f>HYPERLINK("https://esbl.nhlbi.nih.gov/Databases/mpkFractions/proteomic_fractions_log_files/Yang_log_img/377833655.jpg","show blot")</f>
        <v>show blot</v>
      </c>
      <c r="H4110" s="8" t="str">
        <f>HYPERLINK("https://esbl.nhlbi.nih.gov/Databases/mpkFractions/proteomic_fractions_linear_files/Yang_linear_img/377833655.jpg","show blot")</f>
        <v>show blot</v>
      </c>
      <c r="J4110" s="5" t="s">
        <v>8020</v>
      </c>
      <c r="L4110" s="11">
        <v>5.6316686140527068</v>
      </c>
      <c r="N4110" s="12"/>
    </row>
    <row r="4111" spans="1:14" s="5" customFormat="1" ht="15" customHeight="1" x14ac:dyDescent="0.25">
      <c r="A4111" s="9" t="s">
        <v>8021</v>
      </c>
      <c r="C4111" s="9" t="str">
        <f>HYPERLINK("http://www.ncbi.nlm.nih.gov/protein/309263209","LOC674846")</f>
        <v>LOC674846</v>
      </c>
      <c r="D4111" s="10">
        <f t="shared" si="64"/>
        <v>3.924964138528229</v>
      </c>
      <c r="F4111" s="8" t="str">
        <f>HYPERLINK("https://esbl.nhlbi.nih.gov/Databases/mpkFractions/proteomic_fractions_log_files/Yang_log_img/309263209.jpg","show blot")</f>
        <v>show blot</v>
      </c>
      <c r="H4111" s="8" t="str">
        <f>HYPERLINK("https://esbl.nhlbi.nih.gov/Databases/mpkFractions/proteomic_fractions_linear_files/Yang_linear_img/309263209.jpg","show blot")</f>
        <v>show blot</v>
      </c>
      <c r="J4111" s="5" t="s">
        <v>8022</v>
      </c>
      <c r="L4111" s="11">
        <v>3.924964138528229</v>
      </c>
      <c r="N4111" s="12"/>
    </row>
    <row r="4112" spans="1:14" s="5" customFormat="1" ht="15" customHeight="1" x14ac:dyDescent="0.25">
      <c r="A4112" s="9" t="s">
        <v>8023</v>
      </c>
      <c r="C4112" s="9" t="str">
        <f>HYPERLINK("http://www.ncbi.nlm.nih.gov/protein/407262183","LOC675851")</f>
        <v>LOC675851</v>
      </c>
      <c r="D4112" s="10">
        <f t="shared" si="64"/>
        <v>5.4078074063421884</v>
      </c>
      <c r="F4112" s="8" t="str">
        <f>HYPERLINK("https://esbl.nhlbi.nih.gov/Databases/mpkFractions/proteomic_fractions_log_files/Yang_log_img/407262183.jpg","show blot")</f>
        <v>show blot</v>
      </c>
      <c r="H4112" s="8" t="str">
        <f>HYPERLINK("https://esbl.nhlbi.nih.gov/Databases/mpkFractions/proteomic_fractions_linear_files/Yang_linear_img/407262183.jpg","show blot")</f>
        <v>show blot</v>
      </c>
      <c r="J4112" s="5" t="s">
        <v>8024</v>
      </c>
      <c r="L4112" s="11">
        <v>5.4078074063421884</v>
      </c>
      <c r="N4112" s="12"/>
    </row>
    <row r="4113" spans="1:14" s="5" customFormat="1" ht="15" customHeight="1" x14ac:dyDescent="0.25">
      <c r="A4113" s="9" t="s">
        <v>8025</v>
      </c>
      <c r="C4113" s="9" t="str">
        <f>HYPERLINK("http://www.ncbi.nlm.nih.gov/protein/149267855","LOC677113")</f>
        <v>LOC677113</v>
      </c>
      <c r="D4113" s="10">
        <f t="shared" si="64"/>
        <v>6.4355018382896443</v>
      </c>
      <c r="F4113" s="8" t="str">
        <f>HYPERLINK("https://esbl.nhlbi.nih.gov/Databases/mpkFractions/proteomic_fractions_log_files/Yang_log_img/149267855.jpg","show blot")</f>
        <v>show blot</v>
      </c>
      <c r="H4113" s="8" t="str">
        <f>HYPERLINK("https://esbl.nhlbi.nih.gov/Databases/mpkFractions/proteomic_fractions_linear_files/Yang_linear_img/149267855.jpg","show blot")</f>
        <v>show blot</v>
      </c>
      <c r="J4113" s="5" t="s">
        <v>7878</v>
      </c>
      <c r="L4113" s="11">
        <v>6.4355018382896443</v>
      </c>
      <c r="N4113" s="12"/>
    </row>
    <row r="4114" spans="1:14" s="5" customFormat="1" ht="15" customHeight="1" x14ac:dyDescent="0.25">
      <c r="A4114" s="9" t="s">
        <v>8026</v>
      </c>
      <c r="C4114" s="9" t="str">
        <f>HYPERLINK("http://www.ncbi.nlm.nih.gov/protein/407262542","LOC677654")</f>
        <v>LOC677654</v>
      </c>
      <c r="D4114" s="10">
        <f t="shared" si="64"/>
        <v>6.6409587516890713</v>
      </c>
      <c r="F4114" s="8" t="str">
        <f>HYPERLINK("https://esbl.nhlbi.nih.gov/Databases/mpkFractions/proteomic_fractions_log_files/Yang_log_img/407262542.jpg","show blot")</f>
        <v>show blot</v>
      </c>
      <c r="H4114" s="8" t="str">
        <f>HYPERLINK("https://esbl.nhlbi.nih.gov/Databases/mpkFractions/proteomic_fractions_linear_files/Yang_linear_img/407262542.jpg","show blot")</f>
        <v>show blot</v>
      </c>
      <c r="J4114" s="5" t="s">
        <v>8027</v>
      </c>
      <c r="L4114" s="11">
        <v>6.6409587516890713</v>
      </c>
      <c r="N4114" s="12"/>
    </row>
    <row r="4115" spans="1:14" s="5" customFormat="1" ht="15" customHeight="1" x14ac:dyDescent="0.25">
      <c r="A4115" s="9" t="s">
        <v>8028</v>
      </c>
      <c r="C4115" s="9" t="str">
        <f>HYPERLINK("http://www.ncbi.nlm.nih.gov/protein/27754073","Loh12cr1")</f>
        <v>Loh12cr1</v>
      </c>
      <c r="D4115" s="10">
        <f t="shared" si="64"/>
        <v>4.0084799669778093</v>
      </c>
      <c r="F4115" s="8" t="str">
        <f>HYPERLINK("https://esbl.nhlbi.nih.gov/Databases/mpkFractions/proteomic_fractions_log_files/Yang_log_img/27754073.jpg","show blot")</f>
        <v>show blot</v>
      </c>
      <c r="H4115" s="8" t="str">
        <f>HYPERLINK("https://esbl.nhlbi.nih.gov/Databases/mpkFractions/proteomic_fractions_linear_files/Yang_linear_img/27754073.jpg","show blot")</f>
        <v>show blot</v>
      </c>
      <c r="J4115" s="5" t="s">
        <v>8029</v>
      </c>
      <c r="L4115" s="11">
        <v>4.0084799669778093</v>
      </c>
      <c r="N4115" s="12"/>
    </row>
    <row r="4116" spans="1:14" s="5" customFormat="1" ht="15" customHeight="1" x14ac:dyDescent="0.25">
      <c r="A4116" s="9" t="s">
        <v>8030</v>
      </c>
      <c r="C4116" s="9" t="str">
        <f>HYPERLINK("http://www.ncbi.nlm.nih.gov/protein/281427221","Loh12cr1")</f>
        <v>Loh12cr1</v>
      </c>
      <c r="D4116" s="10">
        <f t="shared" si="64"/>
        <v>4.0084799669778093</v>
      </c>
      <c r="F4116" s="8" t="str">
        <f>HYPERLINK("https://esbl.nhlbi.nih.gov/Databases/mpkFractions/proteomic_fractions_log_files/Yang_log_img/281427221.jpg","show blot")</f>
        <v>show blot</v>
      </c>
      <c r="H4116" s="8" t="str">
        <f>HYPERLINK("https://esbl.nhlbi.nih.gov/Databases/mpkFractions/proteomic_fractions_linear_files/Yang_linear_img/281427221.jpg","show blot")</f>
        <v>show blot</v>
      </c>
      <c r="J4116" s="5" t="s">
        <v>8031</v>
      </c>
      <c r="L4116" s="11">
        <v>4.0084799669778093</v>
      </c>
      <c r="N4116" s="12"/>
    </row>
    <row r="4117" spans="1:14" s="5" customFormat="1" ht="15" customHeight="1" x14ac:dyDescent="0.25">
      <c r="A4117" s="9" t="s">
        <v>8032</v>
      </c>
      <c r="C4117" s="9" t="str">
        <f>HYPERLINK("http://www.ncbi.nlm.nih.gov/protein/116089322","Lonp1")</f>
        <v>Lonp1</v>
      </c>
      <c r="D4117" s="10">
        <f t="shared" si="64"/>
        <v>5.4331980924126677</v>
      </c>
      <c r="F4117" s="8" t="str">
        <f>HYPERLINK("https://esbl.nhlbi.nih.gov/Databases/mpkFractions/proteomic_fractions_log_files/Yang_log_img/116089322.jpg","show blot")</f>
        <v>show blot</v>
      </c>
      <c r="H4117" s="8" t="str">
        <f>HYPERLINK("https://esbl.nhlbi.nih.gov/Databases/mpkFractions/proteomic_fractions_linear_files/Yang_linear_img/116089322.jpg","show blot")</f>
        <v>show blot</v>
      </c>
      <c r="J4117" s="5" t="s">
        <v>8033</v>
      </c>
      <c r="L4117" s="11">
        <v>5.4331980924126677</v>
      </c>
      <c r="N4117" s="12"/>
    </row>
    <row r="4118" spans="1:14" s="5" customFormat="1" ht="15" customHeight="1" x14ac:dyDescent="0.25">
      <c r="A4118" s="9" t="s">
        <v>8034</v>
      </c>
      <c r="C4118" s="9" t="str">
        <f>HYPERLINK("http://www.ncbi.nlm.nih.gov/protein/13385298","Lonp2")</f>
        <v>Lonp2</v>
      </c>
      <c r="D4118" s="10">
        <f t="shared" si="64"/>
        <v>4.4216714745781092</v>
      </c>
      <c r="F4118" s="8" t="str">
        <f>HYPERLINK("https://esbl.nhlbi.nih.gov/Databases/mpkFractions/proteomic_fractions_log_files/Yang_log_img/13385298.jpg","show blot")</f>
        <v>show blot</v>
      </c>
      <c r="H4118" s="8" t="str">
        <f>HYPERLINK("https://esbl.nhlbi.nih.gov/Databases/mpkFractions/proteomic_fractions_linear_files/Yang_linear_img/13385298.jpg","show blot")</f>
        <v>show blot</v>
      </c>
      <c r="J4118" s="5" t="s">
        <v>8035</v>
      </c>
      <c r="L4118" s="11">
        <v>4.4216714745781092</v>
      </c>
      <c r="N4118" s="12"/>
    </row>
    <row r="4119" spans="1:14" s="5" customFormat="1" ht="15" customHeight="1" x14ac:dyDescent="0.25">
      <c r="A4119" s="9" t="s">
        <v>8036</v>
      </c>
      <c r="C4119" s="9" t="str">
        <f>HYPERLINK("http://www.ncbi.nlm.nih.gov/protein/274319427","Lonp2")</f>
        <v>Lonp2</v>
      </c>
      <c r="D4119" s="10">
        <f t="shared" si="64"/>
        <v>4.4216714745781092</v>
      </c>
      <c r="F4119" s="8" t="str">
        <f>HYPERLINK("https://esbl.nhlbi.nih.gov/Databases/mpkFractions/proteomic_fractions_log_files/Yang_log_img/274319427.jpg","show blot")</f>
        <v>show blot</v>
      </c>
      <c r="H4119" s="8" t="str">
        <f>HYPERLINK("https://esbl.nhlbi.nih.gov/Databases/mpkFractions/proteomic_fractions_linear_files/Yang_linear_img/274319427.jpg","show blot")</f>
        <v>show blot</v>
      </c>
      <c r="J4119" s="5" t="s">
        <v>8037</v>
      </c>
      <c r="L4119" s="11">
        <v>4.4216714745781092</v>
      </c>
      <c r="N4119" s="12"/>
    </row>
    <row r="4120" spans="1:14" s="5" customFormat="1" ht="15" customHeight="1" x14ac:dyDescent="0.25">
      <c r="A4120" s="9" t="s">
        <v>8038</v>
      </c>
      <c r="C4120" s="9" t="str">
        <f>HYPERLINK("http://www.ncbi.nlm.nih.gov/protein/40254539","Lpar2")</f>
        <v>Lpar2</v>
      </c>
      <c r="D4120" s="10" t="str">
        <f t="shared" si="64"/>
        <v>-</v>
      </c>
      <c r="F4120" s="8" t="str">
        <f>HYPERLINK("https://esbl.nhlbi.nih.gov/Databases/mpkFractions/proteomic_fractions_log_files/Yang_log_img/40254539.jpg","show blot")</f>
        <v>show blot</v>
      </c>
      <c r="H4120" s="8" t="str">
        <f>HYPERLINK("https://esbl.nhlbi.nih.gov/Databases/mpkFractions/proteomic_fractions_linear_files/Yang_linear_img/40254539.jpg","show blot")</f>
        <v>show blot</v>
      </c>
      <c r="J4120" s="5" t="s">
        <v>8039</v>
      </c>
      <c r="L4120" s="13" t="s">
        <v>389</v>
      </c>
      <c r="N4120" s="12"/>
    </row>
    <row r="4121" spans="1:14" s="5" customFormat="1" ht="15" customHeight="1" x14ac:dyDescent="0.25">
      <c r="A4121" s="9" t="s">
        <v>8040</v>
      </c>
      <c r="C4121" s="9" t="str">
        <f>HYPERLINK("http://www.ncbi.nlm.nih.gov/protein/148747363","Lpcat1")</f>
        <v>Lpcat1</v>
      </c>
      <c r="D4121" s="10">
        <f t="shared" si="64"/>
        <v>4.1678644244394869</v>
      </c>
      <c r="F4121" s="8" t="str">
        <f>HYPERLINK("https://esbl.nhlbi.nih.gov/Databases/mpkFractions/proteomic_fractions_log_files/Yang_log_img/148747363.jpg","show blot")</f>
        <v>show blot</v>
      </c>
      <c r="H4121" s="8" t="str">
        <f>HYPERLINK("https://esbl.nhlbi.nih.gov/Databases/mpkFractions/proteomic_fractions_linear_files/Yang_linear_img/148747363.jpg","show blot")</f>
        <v>show blot</v>
      </c>
      <c r="J4121" s="5" t="s">
        <v>8041</v>
      </c>
      <c r="L4121" s="11">
        <v>4.1678644244394869</v>
      </c>
      <c r="N4121" s="12"/>
    </row>
    <row r="4122" spans="1:14" s="5" customFormat="1" ht="15" customHeight="1" x14ac:dyDescent="0.25">
      <c r="A4122" s="9" t="s">
        <v>8042</v>
      </c>
      <c r="C4122" s="9" t="str">
        <f>HYPERLINK("http://www.ncbi.nlm.nih.gov/protein/27370522","Lpcat2")</f>
        <v>Lpcat2</v>
      </c>
      <c r="D4122" s="10">
        <f t="shared" si="64"/>
        <v>3.2032407786492572</v>
      </c>
      <c r="F4122" s="8" t="str">
        <f>HYPERLINK("https://esbl.nhlbi.nih.gov/Databases/mpkFractions/proteomic_fractions_log_files/Yang_log_img/27370522.jpg","show blot")</f>
        <v>show blot</v>
      </c>
      <c r="H4122" s="8" t="str">
        <f>HYPERLINK("https://esbl.nhlbi.nih.gov/Databases/mpkFractions/proteomic_fractions_linear_files/Yang_linear_img/27370522.jpg","show blot")</f>
        <v>show blot</v>
      </c>
      <c r="J4122" s="5" t="s">
        <v>8043</v>
      </c>
      <c r="L4122" s="11">
        <v>3.2032407786492572</v>
      </c>
      <c r="N4122" s="12"/>
    </row>
    <row r="4123" spans="1:14" s="5" customFormat="1" ht="15" customHeight="1" x14ac:dyDescent="0.25">
      <c r="A4123" s="9" t="s">
        <v>8044</v>
      </c>
      <c r="C4123" s="9" t="str">
        <f>HYPERLINK("http://www.ncbi.nlm.nih.gov/protein/21699058","Lpcat3")</f>
        <v>Lpcat3</v>
      </c>
      <c r="D4123" s="10">
        <f t="shared" si="64"/>
        <v>3.4926146989370541</v>
      </c>
      <c r="F4123" s="8" t="str">
        <f>HYPERLINK("https://esbl.nhlbi.nih.gov/Databases/mpkFractions/proteomic_fractions_log_files/Yang_log_img/21699058.jpg","show blot")</f>
        <v>show blot</v>
      </c>
      <c r="H4123" s="8" t="str">
        <f>HYPERLINK("https://esbl.nhlbi.nih.gov/Databases/mpkFractions/proteomic_fractions_linear_files/Yang_linear_img/21699058.jpg","show blot")</f>
        <v>show blot</v>
      </c>
      <c r="J4123" s="5" t="s">
        <v>8045</v>
      </c>
      <c r="L4123" s="11">
        <v>3.4926146989370541</v>
      </c>
      <c r="N4123" s="12"/>
    </row>
    <row r="4124" spans="1:14" s="5" customFormat="1" ht="15" customHeight="1" x14ac:dyDescent="0.25">
      <c r="A4124" s="9" t="s">
        <v>8046</v>
      </c>
      <c r="C4124" s="9" t="str">
        <f>HYPERLINK("http://www.ncbi.nlm.nih.gov/protein/46402175","Lpcat4")</f>
        <v>Lpcat4</v>
      </c>
      <c r="D4124" s="10">
        <f t="shared" si="64"/>
        <v>2.8497964382861598</v>
      </c>
      <c r="F4124" s="8" t="str">
        <f>HYPERLINK("https://esbl.nhlbi.nih.gov/Databases/mpkFractions/proteomic_fractions_log_files/Yang_log_img/46402175.jpg","show blot")</f>
        <v>show blot</v>
      </c>
      <c r="H4124" s="8" t="str">
        <f>HYPERLINK("https://esbl.nhlbi.nih.gov/Databases/mpkFractions/proteomic_fractions_linear_files/Yang_linear_img/46402175.jpg","show blot")</f>
        <v>show blot</v>
      </c>
      <c r="J4124" s="5" t="s">
        <v>8047</v>
      </c>
      <c r="L4124" s="11">
        <v>2.8497964382861598</v>
      </c>
      <c r="N4124" s="12"/>
    </row>
    <row r="4125" spans="1:14" s="5" customFormat="1" ht="15" customHeight="1" x14ac:dyDescent="0.25">
      <c r="A4125" s="9" t="s">
        <v>8048</v>
      </c>
      <c r="C4125" s="9" t="str">
        <f>HYPERLINK("http://www.ncbi.nlm.nih.gov/protein/198386326","Lpgat1")</f>
        <v>Lpgat1</v>
      </c>
      <c r="D4125" s="10">
        <f t="shared" si="64"/>
        <v>3.5397204792373849</v>
      </c>
      <c r="F4125" s="8" t="str">
        <f>HYPERLINK("https://esbl.nhlbi.nih.gov/Databases/mpkFractions/proteomic_fractions_log_files/Yang_log_img/198386326.jpg","show blot")</f>
        <v>show blot</v>
      </c>
      <c r="H4125" s="8" t="str">
        <f>HYPERLINK("https://esbl.nhlbi.nih.gov/Databases/mpkFractions/proteomic_fractions_linear_files/Yang_linear_img/198386326.jpg","show blot")</f>
        <v>show blot</v>
      </c>
      <c r="J4125" s="5" t="s">
        <v>8049</v>
      </c>
      <c r="L4125" s="11">
        <v>3.5397204792373849</v>
      </c>
      <c r="N4125" s="12"/>
    </row>
    <row r="4126" spans="1:14" s="5" customFormat="1" ht="15" customHeight="1" x14ac:dyDescent="0.25">
      <c r="A4126" s="9" t="s">
        <v>8050</v>
      </c>
      <c r="C4126" s="9" t="str">
        <f>HYPERLINK("http://www.ncbi.nlm.nih.gov/protein/26986567","Lpgat1")</f>
        <v>Lpgat1</v>
      </c>
      <c r="D4126" s="10">
        <f t="shared" si="64"/>
        <v>3.5397204792373849</v>
      </c>
      <c r="F4126" s="8" t="str">
        <f>HYPERLINK("https://esbl.nhlbi.nih.gov/Databases/mpkFractions/proteomic_fractions_log_files/Yang_log_img/26986567.jpg","show blot")</f>
        <v>show blot</v>
      </c>
      <c r="H4126" s="8" t="str">
        <f>HYPERLINK("https://esbl.nhlbi.nih.gov/Databases/mpkFractions/proteomic_fractions_linear_files/Yang_linear_img/26986567.jpg","show blot")</f>
        <v>show blot</v>
      </c>
      <c r="J4126" s="5" t="s">
        <v>8051</v>
      </c>
      <c r="L4126" s="11">
        <v>3.5397204792373849</v>
      </c>
      <c r="N4126" s="12"/>
    </row>
    <row r="4127" spans="1:14" s="5" customFormat="1" ht="15" customHeight="1" x14ac:dyDescent="0.25">
      <c r="A4127" s="9" t="s">
        <v>8052</v>
      </c>
      <c r="C4127" s="9" t="str">
        <f>HYPERLINK("http://www.ncbi.nlm.nih.gov/protein/124486821","Lphn2")</f>
        <v>Lphn2</v>
      </c>
      <c r="D4127" s="10">
        <f t="shared" si="64"/>
        <v>3.2535260336828862</v>
      </c>
      <c r="F4127" s="8" t="str">
        <f>HYPERLINK("https://esbl.nhlbi.nih.gov/Databases/mpkFractions/proteomic_fractions_log_files/Yang_log_img/124486821.jpg","show blot")</f>
        <v>show blot</v>
      </c>
      <c r="H4127" s="8" t="str">
        <f>HYPERLINK("https://esbl.nhlbi.nih.gov/Databases/mpkFractions/proteomic_fractions_linear_files/Yang_linear_img/124486821.jpg","show blot")</f>
        <v>show blot</v>
      </c>
      <c r="J4127" s="5" t="s">
        <v>8053</v>
      </c>
      <c r="L4127" s="11">
        <v>3.2535260336828862</v>
      </c>
      <c r="N4127" s="12"/>
    </row>
    <row r="4128" spans="1:14" s="5" customFormat="1" ht="15" customHeight="1" x14ac:dyDescent="0.25">
      <c r="A4128" s="9" t="s">
        <v>8054</v>
      </c>
      <c r="C4128" s="9" t="str">
        <f>HYPERLINK("http://www.ncbi.nlm.nih.gov/protein/225543157","Lpp")</f>
        <v>Lpp</v>
      </c>
      <c r="D4128" s="10">
        <f t="shared" si="64"/>
        <v>5.1291885029311084</v>
      </c>
      <c r="F4128" s="8" t="str">
        <f>HYPERLINK("https://esbl.nhlbi.nih.gov/Databases/mpkFractions/proteomic_fractions_log_files/Yang_log_img/225543157.jpg","show blot")</f>
        <v>show blot</v>
      </c>
      <c r="H4128" s="8" t="str">
        <f>HYPERLINK("https://esbl.nhlbi.nih.gov/Databases/mpkFractions/proteomic_fractions_linear_files/Yang_linear_img/225543157.jpg","show blot")</f>
        <v>show blot</v>
      </c>
      <c r="J4128" s="5" t="s">
        <v>8055</v>
      </c>
      <c r="L4128" s="11">
        <v>5.1291885029311084</v>
      </c>
      <c r="N4128" s="12"/>
    </row>
    <row r="4129" spans="1:14" s="5" customFormat="1" ht="15" customHeight="1" x14ac:dyDescent="0.25">
      <c r="A4129" s="9" t="s">
        <v>8056</v>
      </c>
      <c r="C4129" s="9" t="str">
        <f>HYPERLINK("http://www.ncbi.nlm.nih.gov/protein/225543168","Lpp")</f>
        <v>Lpp</v>
      </c>
      <c r="D4129" s="10">
        <f t="shared" si="64"/>
        <v>5.1291885029311084</v>
      </c>
      <c r="F4129" s="8" t="str">
        <f>HYPERLINK("https://esbl.nhlbi.nih.gov/Databases/mpkFractions/proteomic_fractions_log_files/Yang_log_img/225543168.jpg","show blot")</f>
        <v>show blot</v>
      </c>
      <c r="H4129" s="8" t="str">
        <f>HYPERLINK("https://esbl.nhlbi.nih.gov/Databases/mpkFractions/proteomic_fractions_linear_files/Yang_linear_img/225543168.jpg","show blot")</f>
        <v>show blot</v>
      </c>
      <c r="J4129" s="5" t="s">
        <v>8057</v>
      </c>
      <c r="L4129" s="11">
        <v>5.1291885029311084</v>
      </c>
      <c r="N4129" s="12"/>
    </row>
    <row r="4130" spans="1:14" s="5" customFormat="1" ht="15" customHeight="1" x14ac:dyDescent="0.25">
      <c r="A4130" s="9" t="s">
        <v>8058</v>
      </c>
      <c r="C4130" s="9" t="str">
        <f>HYPERLINK("http://www.ncbi.nlm.nih.gov/protein/117956395","Lrba")</f>
        <v>Lrba</v>
      </c>
      <c r="D4130" s="10">
        <f t="shared" si="64"/>
        <v>5.9841098844329714</v>
      </c>
      <c r="F4130" s="8" t="str">
        <f>HYPERLINK("https://esbl.nhlbi.nih.gov/Databases/mpkFractions/proteomic_fractions_log_files/Yang_log_img/117956395.jpg","show blot")</f>
        <v>show blot</v>
      </c>
      <c r="H4130" s="8" t="str">
        <f>HYPERLINK("https://esbl.nhlbi.nih.gov/Databases/mpkFractions/proteomic_fractions_linear_files/Yang_linear_img/117956395.jpg","show blot")</f>
        <v>show blot</v>
      </c>
      <c r="J4130" s="5" t="s">
        <v>8059</v>
      </c>
      <c r="L4130" s="11">
        <v>5.9841098844329714</v>
      </c>
      <c r="N4130" s="12"/>
    </row>
    <row r="4131" spans="1:14" s="5" customFormat="1" ht="15" customHeight="1" x14ac:dyDescent="0.25">
      <c r="A4131" s="9" t="s">
        <v>8060</v>
      </c>
      <c r="C4131" s="9" t="str">
        <f>HYPERLINK("http://www.ncbi.nlm.nih.gov/protein/117956397","Lrba")</f>
        <v>Lrba</v>
      </c>
      <c r="D4131" s="10">
        <f t="shared" si="64"/>
        <v>5.9841098844329714</v>
      </c>
      <c r="F4131" s="8" t="str">
        <f>HYPERLINK("https://esbl.nhlbi.nih.gov/Databases/mpkFractions/proteomic_fractions_log_files/Yang_log_img/117956397.jpg","show blot")</f>
        <v>show blot</v>
      </c>
      <c r="H4131" s="8" t="str">
        <f>HYPERLINK("https://esbl.nhlbi.nih.gov/Databases/mpkFractions/proteomic_fractions_linear_files/Yang_linear_img/117956397.jpg","show blot")</f>
        <v>show blot</v>
      </c>
      <c r="J4131" s="5" t="s">
        <v>8061</v>
      </c>
      <c r="L4131" s="11">
        <v>5.9841098844329714</v>
      </c>
      <c r="N4131" s="12"/>
    </row>
    <row r="4132" spans="1:14" s="5" customFormat="1" ht="15" customHeight="1" x14ac:dyDescent="0.25">
      <c r="A4132" s="9" t="s">
        <v>8062</v>
      </c>
      <c r="C4132" s="9" t="str">
        <f>HYPERLINK("http://www.ncbi.nlm.nih.gov/protein/117956399","Lrba")</f>
        <v>Lrba</v>
      </c>
      <c r="D4132" s="10">
        <f t="shared" si="64"/>
        <v>5.9841098844329714</v>
      </c>
      <c r="F4132" s="8" t="str">
        <f>HYPERLINK("https://esbl.nhlbi.nih.gov/Databases/mpkFractions/proteomic_fractions_log_files/Yang_log_img/117956399.jpg","show blot")</f>
        <v>show blot</v>
      </c>
      <c r="H4132" s="8" t="str">
        <f>HYPERLINK("https://esbl.nhlbi.nih.gov/Databases/mpkFractions/proteomic_fractions_linear_files/Yang_linear_img/117956399.jpg","show blot")</f>
        <v>show blot</v>
      </c>
      <c r="J4132" s="5" t="s">
        <v>8063</v>
      </c>
      <c r="L4132" s="11">
        <v>5.9841098844329714</v>
      </c>
      <c r="N4132" s="12"/>
    </row>
    <row r="4133" spans="1:14" s="5" customFormat="1" ht="15" customHeight="1" x14ac:dyDescent="0.25">
      <c r="A4133" s="9" t="s">
        <v>8064</v>
      </c>
      <c r="C4133" s="9" t="str">
        <f>HYPERLINK("http://www.ncbi.nlm.nih.gov/protein/356460937","Lrch1")</f>
        <v>Lrch1</v>
      </c>
      <c r="D4133" s="10">
        <f t="shared" si="64"/>
        <v>2.4490112520321272</v>
      </c>
      <c r="F4133" s="8" t="str">
        <f>HYPERLINK("https://esbl.nhlbi.nih.gov/Databases/mpkFractions/proteomic_fractions_log_files/Yang_log_img/356460937.jpg","show blot")</f>
        <v>show blot</v>
      </c>
      <c r="H4133" s="8" t="str">
        <f>HYPERLINK("https://esbl.nhlbi.nih.gov/Databases/mpkFractions/proteomic_fractions_linear_files/Yang_linear_img/356460937.jpg","show blot")</f>
        <v>show blot</v>
      </c>
      <c r="J4133" s="5" t="s">
        <v>8065</v>
      </c>
      <c r="L4133" s="11">
        <v>2.4490112520321272</v>
      </c>
      <c r="N4133" s="12"/>
    </row>
    <row r="4134" spans="1:14" s="5" customFormat="1" ht="15" customHeight="1" x14ac:dyDescent="0.25">
      <c r="A4134" s="9" t="s">
        <v>8066</v>
      </c>
      <c r="C4134" s="9" t="str">
        <f>HYPERLINK("http://www.ncbi.nlm.nih.gov/protein/90991704","Lrch1")</f>
        <v>Lrch1</v>
      </c>
      <c r="D4134" s="10">
        <f t="shared" si="64"/>
        <v>2.4490112520321272</v>
      </c>
      <c r="F4134" s="8" t="str">
        <f>HYPERLINK("https://esbl.nhlbi.nih.gov/Databases/mpkFractions/proteomic_fractions_log_files/Yang_log_img/90991704.jpg","show blot")</f>
        <v>show blot</v>
      </c>
      <c r="H4134" s="8" t="str">
        <f>HYPERLINK("https://esbl.nhlbi.nih.gov/Databases/mpkFractions/proteomic_fractions_linear_files/Yang_linear_img/90991704.jpg","show blot")</f>
        <v>show blot</v>
      </c>
      <c r="J4134" s="5" t="s">
        <v>8067</v>
      </c>
      <c r="L4134" s="11">
        <v>2.4490112520321272</v>
      </c>
      <c r="N4134" s="12"/>
    </row>
    <row r="4135" spans="1:14" s="5" customFormat="1" ht="15" customHeight="1" x14ac:dyDescent="0.25">
      <c r="A4135" s="9" t="s">
        <v>8068</v>
      </c>
      <c r="C4135" s="9" t="str">
        <f>HYPERLINK("http://www.ncbi.nlm.nih.gov/protein/22122701","Lrch4")</f>
        <v>Lrch4</v>
      </c>
      <c r="D4135" s="10">
        <f t="shared" si="64"/>
        <v>1.4116197059632301</v>
      </c>
      <c r="F4135" s="8" t="str">
        <f>HYPERLINK("https://esbl.nhlbi.nih.gov/Databases/mpkFractions/proteomic_fractions_log_files/Yang_log_img/22122701.jpg","show blot")</f>
        <v>show blot</v>
      </c>
      <c r="H4135" s="8" t="str">
        <f>HYPERLINK("https://esbl.nhlbi.nih.gov/Databases/mpkFractions/proteomic_fractions_linear_files/Yang_linear_img/22122701.jpg","show blot")</f>
        <v>show blot</v>
      </c>
      <c r="J4135" s="5" t="s">
        <v>8069</v>
      </c>
      <c r="L4135" s="11">
        <v>1.4116197059632301</v>
      </c>
      <c r="N4135" s="12"/>
    </row>
    <row r="4136" spans="1:14" s="5" customFormat="1" ht="15" customHeight="1" x14ac:dyDescent="0.25">
      <c r="A4136" s="9" t="s">
        <v>8070</v>
      </c>
      <c r="C4136" s="9" t="str">
        <f>HYPERLINK("http://www.ncbi.nlm.nih.gov/protein/274325486","Lrch4")</f>
        <v>Lrch4</v>
      </c>
      <c r="D4136" s="10">
        <f t="shared" si="64"/>
        <v>1.4116197059632301</v>
      </c>
      <c r="F4136" s="8" t="str">
        <f>HYPERLINK("https://esbl.nhlbi.nih.gov/Databases/mpkFractions/proteomic_fractions_log_files/Yang_log_img/274325486.jpg","show blot")</f>
        <v>show blot</v>
      </c>
      <c r="H4136" s="8" t="str">
        <f>HYPERLINK("https://esbl.nhlbi.nih.gov/Databases/mpkFractions/proteomic_fractions_linear_files/Yang_linear_img/274325486.jpg","show blot")</f>
        <v>show blot</v>
      </c>
      <c r="J4136" s="5" t="s">
        <v>8071</v>
      </c>
      <c r="L4136" s="11">
        <v>1.4116197059632301</v>
      </c>
      <c r="N4136" s="12"/>
    </row>
    <row r="4137" spans="1:14" s="5" customFormat="1" ht="15" customHeight="1" x14ac:dyDescent="0.25">
      <c r="A4137" s="9" t="s">
        <v>8072</v>
      </c>
      <c r="C4137" s="9" t="str">
        <f>HYPERLINK("http://www.ncbi.nlm.nih.gov/protein/254588006","Lrguk")</f>
        <v>Lrguk</v>
      </c>
      <c r="D4137" s="10">
        <f t="shared" si="64"/>
        <v>4.5957446346693622</v>
      </c>
      <c r="F4137" s="8" t="str">
        <f>HYPERLINK("https://esbl.nhlbi.nih.gov/Databases/mpkFractions/proteomic_fractions_log_files/Yang_log_img/254588006.jpg","show blot")</f>
        <v>show blot</v>
      </c>
      <c r="H4137" s="8" t="str">
        <f>HYPERLINK("https://esbl.nhlbi.nih.gov/Databases/mpkFractions/proteomic_fractions_linear_files/Yang_linear_img/254588006.jpg","show blot")</f>
        <v>show blot</v>
      </c>
      <c r="J4137" s="5" t="s">
        <v>8073</v>
      </c>
      <c r="L4137" s="11">
        <v>4.5957446346693622</v>
      </c>
      <c r="N4137" s="12"/>
    </row>
    <row r="4138" spans="1:14" s="5" customFormat="1" ht="15" customHeight="1" x14ac:dyDescent="0.25">
      <c r="A4138" s="9" t="s">
        <v>8074</v>
      </c>
      <c r="C4138" s="9" t="str">
        <f>HYPERLINK("http://www.ncbi.nlm.nih.gov/protein/124494256","Lrp1")</f>
        <v>Lrp1</v>
      </c>
      <c r="D4138" s="10">
        <f t="shared" si="64"/>
        <v>3.8031849687029542</v>
      </c>
      <c r="F4138" s="8" t="str">
        <f>HYPERLINK("https://esbl.nhlbi.nih.gov/Databases/mpkFractions/proteomic_fractions_log_files/Yang_log_img/124494256.jpg","show blot")</f>
        <v>show blot</v>
      </c>
      <c r="H4138" s="8" t="str">
        <f>HYPERLINK("https://esbl.nhlbi.nih.gov/Databases/mpkFractions/proteomic_fractions_linear_files/Yang_linear_img/124494256.jpg","show blot")</f>
        <v>show blot</v>
      </c>
      <c r="J4138" s="5" t="s">
        <v>8075</v>
      </c>
      <c r="L4138" s="11">
        <v>3.8031849687029542</v>
      </c>
      <c r="N4138" s="12"/>
    </row>
    <row r="4139" spans="1:14" s="5" customFormat="1" ht="15" customHeight="1" x14ac:dyDescent="0.25">
      <c r="A4139" s="9" t="s">
        <v>8076</v>
      </c>
      <c r="C4139" s="9" t="str">
        <f>HYPERLINK("http://www.ncbi.nlm.nih.gov/protein/153792247","Lrp1b")</f>
        <v>Lrp1b</v>
      </c>
      <c r="D4139" s="10">
        <f t="shared" si="64"/>
        <v>1.704644046702698</v>
      </c>
      <c r="F4139" s="8" t="str">
        <f>HYPERLINK("https://esbl.nhlbi.nih.gov/Databases/mpkFractions/proteomic_fractions_log_files/Yang_log_img/153792247.jpg","show blot")</f>
        <v>show blot</v>
      </c>
      <c r="H4139" s="8" t="str">
        <f>HYPERLINK("https://esbl.nhlbi.nih.gov/Databases/mpkFractions/proteomic_fractions_linear_files/Yang_linear_img/153792247.jpg","show blot")</f>
        <v>show blot</v>
      </c>
      <c r="J4139" s="5" t="s">
        <v>8077</v>
      </c>
      <c r="L4139" s="11">
        <v>1.704644046702698</v>
      </c>
      <c r="N4139" s="12"/>
    </row>
    <row r="4140" spans="1:14" s="5" customFormat="1" ht="15" customHeight="1" x14ac:dyDescent="0.25">
      <c r="A4140" s="9" t="s">
        <v>8078</v>
      </c>
      <c r="C4140" s="9" t="str">
        <f>HYPERLINK("http://www.ncbi.nlm.nih.gov/protein/124487372","Lrp2")</f>
        <v>Lrp2</v>
      </c>
      <c r="D4140" s="10">
        <f t="shared" si="64"/>
        <v>4.5127901218249606</v>
      </c>
      <c r="F4140" s="8" t="str">
        <f>HYPERLINK("https://esbl.nhlbi.nih.gov/Databases/mpkFractions/proteomic_fractions_log_files/Yang_log_img/124487372.jpg","show blot")</f>
        <v>show blot</v>
      </c>
      <c r="H4140" s="8" t="str">
        <f>HYPERLINK("https://esbl.nhlbi.nih.gov/Databases/mpkFractions/proteomic_fractions_linear_files/Yang_linear_img/124487372.jpg","show blot")</f>
        <v>show blot</v>
      </c>
      <c r="J4140" s="5" t="s">
        <v>8079</v>
      </c>
      <c r="L4140" s="11">
        <v>4.5127901218249606</v>
      </c>
      <c r="N4140" s="12"/>
    </row>
    <row r="4141" spans="1:14" s="5" customFormat="1" ht="15" customHeight="1" x14ac:dyDescent="0.25">
      <c r="A4141" s="9" t="s">
        <v>8080</v>
      </c>
      <c r="C4141" s="9" t="str">
        <f>HYPERLINK("http://www.ncbi.nlm.nih.gov/protein/148727327","Lrp6")</f>
        <v>Lrp6</v>
      </c>
      <c r="D4141" s="10">
        <f t="shared" si="64"/>
        <v>3.0226345399441188</v>
      </c>
      <c r="F4141" s="8" t="str">
        <f>HYPERLINK("https://esbl.nhlbi.nih.gov/Databases/mpkFractions/proteomic_fractions_log_files/Yang_log_img/148727327.jpg","show blot")</f>
        <v>show blot</v>
      </c>
      <c r="H4141" s="8" t="str">
        <f>HYPERLINK("https://esbl.nhlbi.nih.gov/Databases/mpkFractions/proteomic_fractions_linear_files/Yang_linear_img/148727327.jpg","show blot")</f>
        <v>show blot</v>
      </c>
      <c r="J4141" s="5" t="s">
        <v>8081</v>
      </c>
      <c r="L4141" s="11">
        <v>3.0226345399441188</v>
      </c>
      <c r="N4141" s="12"/>
    </row>
    <row r="4142" spans="1:14" s="5" customFormat="1" ht="15" customHeight="1" x14ac:dyDescent="0.25">
      <c r="A4142" s="9" t="s">
        <v>8082</v>
      </c>
      <c r="C4142" s="9" t="str">
        <f>HYPERLINK("http://www.ncbi.nlm.nih.gov/protein/63999380","Lrpap1")</f>
        <v>Lrpap1</v>
      </c>
      <c r="D4142" s="10">
        <f t="shared" si="64"/>
        <v>4.8295459818164401</v>
      </c>
      <c r="F4142" s="8" t="str">
        <f>HYPERLINK("https://esbl.nhlbi.nih.gov/Databases/mpkFractions/proteomic_fractions_log_files/Yang_log_img/63999380.jpg","show blot")</f>
        <v>show blot</v>
      </c>
      <c r="H4142" s="8" t="str">
        <f>HYPERLINK("https://esbl.nhlbi.nih.gov/Databases/mpkFractions/proteomic_fractions_linear_files/Yang_linear_img/63999380.jpg","show blot")</f>
        <v>show blot</v>
      </c>
      <c r="J4142" s="5" t="s">
        <v>8083</v>
      </c>
      <c r="L4142" s="11">
        <v>4.8295459818164401</v>
      </c>
      <c r="N4142" s="12"/>
    </row>
    <row r="4143" spans="1:14" s="5" customFormat="1" ht="15" customHeight="1" x14ac:dyDescent="0.25">
      <c r="A4143" s="9" t="s">
        <v>8084</v>
      </c>
      <c r="C4143" s="9" t="str">
        <f>HYPERLINK("http://www.ncbi.nlm.nih.gov/protein/134031976","Lrpprc")</f>
        <v>Lrpprc</v>
      </c>
      <c r="D4143" s="10">
        <f t="shared" si="64"/>
        <v>5.4307518797496472</v>
      </c>
      <c r="F4143" s="8" t="str">
        <f>HYPERLINK("https://esbl.nhlbi.nih.gov/Databases/mpkFractions/proteomic_fractions_log_files/Yang_log_img/134031976.jpg","show blot")</f>
        <v>show blot</v>
      </c>
      <c r="H4143" s="8" t="str">
        <f>HYPERLINK("https://esbl.nhlbi.nih.gov/Databases/mpkFractions/proteomic_fractions_linear_files/Yang_linear_img/134031976.jpg","show blot")</f>
        <v>show blot</v>
      </c>
      <c r="J4143" s="5" t="s">
        <v>8085</v>
      </c>
      <c r="L4143" s="11">
        <v>5.4307518797496472</v>
      </c>
      <c r="N4143" s="12"/>
    </row>
    <row r="4144" spans="1:14" s="5" customFormat="1" ht="15" customHeight="1" x14ac:dyDescent="0.25">
      <c r="A4144" s="9" t="s">
        <v>8086</v>
      </c>
      <c r="C4144" s="9" t="str">
        <f>HYPERLINK("http://www.ncbi.nlm.nih.gov/protein/225690585","Lrrc1")</f>
        <v>Lrrc1</v>
      </c>
      <c r="D4144" s="10">
        <f t="shared" si="64"/>
        <v>5.0485362863005507</v>
      </c>
      <c r="F4144" s="8" t="str">
        <f>HYPERLINK("https://esbl.nhlbi.nih.gov/Databases/mpkFractions/proteomic_fractions_log_files/Yang_log_img/225690585.jpg","show blot")</f>
        <v>show blot</v>
      </c>
      <c r="H4144" s="8" t="str">
        <f>HYPERLINK("https://esbl.nhlbi.nih.gov/Databases/mpkFractions/proteomic_fractions_linear_files/Yang_linear_img/225690585.jpg","show blot")</f>
        <v>show blot</v>
      </c>
      <c r="J4144" s="5" t="s">
        <v>8087</v>
      </c>
      <c r="L4144" s="11">
        <v>5.0485362863005507</v>
      </c>
      <c r="N4144" s="12"/>
    </row>
    <row r="4145" spans="1:14" s="5" customFormat="1" ht="15" customHeight="1" x14ac:dyDescent="0.25">
      <c r="A4145" s="9" t="s">
        <v>8088</v>
      </c>
      <c r="C4145" s="9" t="str">
        <f>HYPERLINK("http://www.ncbi.nlm.nih.gov/protein/225690587","Lrrc1")</f>
        <v>Lrrc1</v>
      </c>
      <c r="D4145" s="10">
        <f t="shared" si="64"/>
        <v>5.0485362863005507</v>
      </c>
      <c r="F4145" s="8" t="str">
        <f>HYPERLINK("https://esbl.nhlbi.nih.gov/Databases/mpkFractions/proteomic_fractions_log_files/Yang_log_img/225690587.jpg","show blot")</f>
        <v>show blot</v>
      </c>
      <c r="H4145" s="8" t="str">
        <f>HYPERLINK("https://esbl.nhlbi.nih.gov/Databases/mpkFractions/proteomic_fractions_linear_files/Yang_linear_img/225690587.jpg","show blot")</f>
        <v>show blot</v>
      </c>
      <c r="J4145" s="5" t="s">
        <v>8089</v>
      </c>
      <c r="L4145" s="11">
        <v>5.0485362863005507</v>
      </c>
      <c r="N4145" s="12"/>
    </row>
    <row r="4146" spans="1:14" s="5" customFormat="1" ht="15" customHeight="1" x14ac:dyDescent="0.25">
      <c r="A4146" s="9" t="s">
        <v>8090</v>
      </c>
      <c r="C4146" s="9" t="str">
        <f>HYPERLINK("http://www.ncbi.nlm.nih.gov/protein/21703932","Lrrc14")</f>
        <v>Lrrc14</v>
      </c>
      <c r="D4146" s="10">
        <f t="shared" si="64"/>
        <v>3.3539722514864878</v>
      </c>
      <c r="F4146" s="8" t="str">
        <f>HYPERLINK("https://esbl.nhlbi.nih.gov/Databases/mpkFractions/proteomic_fractions_log_files/Yang_log_img/21703932.jpg","show blot")</f>
        <v>show blot</v>
      </c>
      <c r="H4146" s="8" t="str">
        <f>HYPERLINK("https://esbl.nhlbi.nih.gov/Databases/mpkFractions/proteomic_fractions_linear_files/Yang_linear_img/21703932.jpg","show blot")</f>
        <v>show blot</v>
      </c>
      <c r="J4146" s="5" t="s">
        <v>8091</v>
      </c>
      <c r="L4146" s="11">
        <v>3.3539722514864878</v>
      </c>
      <c r="N4146" s="12"/>
    </row>
    <row r="4147" spans="1:14" s="5" customFormat="1" ht="15" customHeight="1" x14ac:dyDescent="0.25">
      <c r="A4147" s="9" t="s">
        <v>8092</v>
      </c>
      <c r="C4147" s="9" t="str">
        <f>HYPERLINK("http://www.ncbi.nlm.nih.gov/protein/154146185","Lrrc16a")</f>
        <v>Lrrc16a</v>
      </c>
      <c r="D4147" s="10">
        <f t="shared" si="64"/>
        <v>4.8581492041630252</v>
      </c>
      <c r="F4147" s="8" t="str">
        <f>HYPERLINK("https://esbl.nhlbi.nih.gov/Databases/mpkFractions/proteomic_fractions_log_files/Yang_log_img/154146185.jpg","show blot")</f>
        <v>show blot</v>
      </c>
      <c r="H4147" s="8" t="str">
        <f>HYPERLINK("https://esbl.nhlbi.nih.gov/Databases/mpkFractions/proteomic_fractions_linear_files/Yang_linear_img/154146185.jpg","show blot")</f>
        <v>show blot</v>
      </c>
      <c r="J4147" s="5" t="s">
        <v>8093</v>
      </c>
      <c r="L4147" s="11">
        <v>4.8581492041630252</v>
      </c>
      <c r="N4147" s="12"/>
    </row>
    <row r="4148" spans="1:14" s="5" customFormat="1" ht="15" customHeight="1" x14ac:dyDescent="0.25">
      <c r="A4148" s="9" t="s">
        <v>8094</v>
      </c>
      <c r="C4148" s="9" t="str">
        <f>HYPERLINK("http://www.ncbi.nlm.nih.gov/protein/23956308","Lrrc20")</f>
        <v>Lrrc20</v>
      </c>
      <c r="D4148" s="10">
        <f t="shared" si="64"/>
        <v>5.2364713367402276</v>
      </c>
      <c r="F4148" s="8" t="str">
        <f>HYPERLINK("https://esbl.nhlbi.nih.gov/Databases/mpkFractions/proteomic_fractions_log_files/Yang_log_img/23956308.jpg","show blot")</f>
        <v>show blot</v>
      </c>
      <c r="H4148" s="8" t="str">
        <f>HYPERLINK("https://esbl.nhlbi.nih.gov/Databases/mpkFractions/proteomic_fractions_linear_files/Yang_linear_img/23956308.jpg","show blot")</f>
        <v>show blot</v>
      </c>
      <c r="J4148" s="5" t="s">
        <v>8095</v>
      </c>
      <c r="L4148" s="11">
        <v>5.2364713367402276</v>
      </c>
      <c r="N4148" s="12"/>
    </row>
    <row r="4149" spans="1:14" s="5" customFormat="1" ht="15" customHeight="1" x14ac:dyDescent="0.25">
      <c r="A4149" s="9" t="s">
        <v>8096</v>
      </c>
      <c r="C4149" s="9" t="str">
        <f>HYPERLINK("http://www.ncbi.nlm.nih.gov/protein/31541911","Lrrc40")</f>
        <v>Lrrc40</v>
      </c>
      <c r="D4149" s="10">
        <f t="shared" si="64"/>
        <v>4.7526027161142776</v>
      </c>
      <c r="F4149" s="8" t="str">
        <f>HYPERLINK("https://esbl.nhlbi.nih.gov/Databases/mpkFractions/proteomic_fractions_log_files/Yang_log_img/31541911.jpg","show blot")</f>
        <v>show blot</v>
      </c>
      <c r="H4149" s="8" t="str">
        <f>HYPERLINK("https://esbl.nhlbi.nih.gov/Databases/mpkFractions/proteomic_fractions_linear_files/Yang_linear_img/31541911.jpg","show blot")</f>
        <v>show blot</v>
      </c>
      <c r="J4149" s="5" t="s">
        <v>8097</v>
      </c>
      <c r="L4149" s="11">
        <v>4.7526027161142776</v>
      </c>
      <c r="N4149" s="12"/>
    </row>
    <row r="4150" spans="1:14" s="5" customFormat="1" ht="15" customHeight="1" x14ac:dyDescent="0.25">
      <c r="A4150" s="9" t="s">
        <v>8098</v>
      </c>
      <c r="C4150" s="9" t="str">
        <f>HYPERLINK("http://www.ncbi.nlm.nih.gov/protein/41152116","Lrrc47")</f>
        <v>Lrrc47</v>
      </c>
      <c r="D4150" s="10">
        <f t="shared" si="64"/>
        <v>5.6013258708605127</v>
      </c>
      <c r="F4150" s="8" t="str">
        <f>HYPERLINK("https://esbl.nhlbi.nih.gov/Databases/mpkFractions/proteomic_fractions_log_files/Yang_log_img/41152116.jpg","show blot")</f>
        <v>show blot</v>
      </c>
      <c r="H4150" s="8" t="str">
        <f>HYPERLINK("https://esbl.nhlbi.nih.gov/Databases/mpkFractions/proteomic_fractions_linear_files/Yang_linear_img/41152116.jpg","show blot")</f>
        <v>show blot</v>
      </c>
      <c r="J4150" s="5" t="s">
        <v>8099</v>
      </c>
      <c r="L4150" s="11">
        <v>5.6013258708605127</v>
      </c>
      <c r="N4150" s="12"/>
    </row>
    <row r="4151" spans="1:14" s="5" customFormat="1" ht="15" customHeight="1" x14ac:dyDescent="0.25">
      <c r="A4151" s="9" t="s">
        <v>8100</v>
      </c>
      <c r="C4151" s="9" t="str">
        <f>HYPERLINK("http://www.ncbi.nlm.nih.gov/protein/227430395","Lrrc57")</f>
        <v>Lrrc57</v>
      </c>
      <c r="D4151" s="10">
        <f t="shared" si="64"/>
        <v>4.645993384647797</v>
      </c>
      <c r="F4151" s="8" t="str">
        <f>HYPERLINK("https://esbl.nhlbi.nih.gov/Databases/mpkFractions/proteomic_fractions_log_files/Yang_log_img/227430395.jpg","show blot")</f>
        <v>show blot</v>
      </c>
      <c r="H4151" s="8" t="str">
        <f>HYPERLINK("https://esbl.nhlbi.nih.gov/Databases/mpkFractions/proteomic_fractions_linear_files/Yang_linear_img/227430395.jpg","show blot")</f>
        <v>show blot</v>
      </c>
      <c r="J4151" s="5" t="s">
        <v>8101</v>
      </c>
      <c r="L4151" s="11">
        <v>4.645993384647797</v>
      </c>
      <c r="N4151" s="12"/>
    </row>
    <row r="4152" spans="1:14" s="5" customFormat="1" ht="15" customHeight="1" x14ac:dyDescent="0.25">
      <c r="A4152" s="9" t="s">
        <v>8102</v>
      </c>
      <c r="C4152" s="9" t="str">
        <f>HYPERLINK("http://www.ncbi.nlm.nih.gov/protein/227430397","Lrrc57")</f>
        <v>Lrrc57</v>
      </c>
      <c r="D4152" s="10">
        <f t="shared" si="64"/>
        <v>4.645993384647797</v>
      </c>
      <c r="F4152" s="8" t="str">
        <f>HYPERLINK("https://esbl.nhlbi.nih.gov/Databases/mpkFractions/proteomic_fractions_log_files/Yang_log_img/227430397.jpg","show blot")</f>
        <v>show blot</v>
      </c>
      <c r="H4152" s="8" t="str">
        <f>HYPERLINK("https://esbl.nhlbi.nih.gov/Databases/mpkFractions/proteomic_fractions_linear_files/Yang_linear_img/227430397.jpg","show blot")</f>
        <v>show blot</v>
      </c>
      <c r="J4152" s="5" t="s">
        <v>8103</v>
      </c>
      <c r="L4152" s="11">
        <v>4.645993384647797</v>
      </c>
      <c r="N4152" s="12"/>
    </row>
    <row r="4153" spans="1:14" s="5" customFormat="1" ht="15" customHeight="1" x14ac:dyDescent="0.25">
      <c r="A4153" s="9" t="s">
        <v>8104</v>
      </c>
      <c r="C4153" s="9" t="str">
        <f>HYPERLINK("http://www.ncbi.nlm.nih.gov/protein/31981233","Lrrc57")</f>
        <v>Lrrc57</v>
      </c>
      <c r="D4153" s="10">
        <f t="shared" si="64"/>
        <v>4.645993384647797</v>
      </c>
      <c r="F4153" s="8" t="str">
        <f>HYPERLINK("https://esbl.nhlbi.nih.gov/Databases/mpkFractions/proteomic_fractions_log_files/Yang_log_img/31981233.jpg","show blot")</f>
        <v>show blot</v>
      </c>
      <c r="H4153" s="8" t="str">
        <f>HYPERLINK("https://esbl.nhlbi.nih.gov/Databases/mpkFractions/proteomic_fractions_linear_files/Yang_linear_img/31981233.jpg","show blot")</f>
        <v>show blot</v>
      </c>
      <c r="J4153" s="5" t="s">
        <v>8105</v>
      </c>
      <c r="L4153" s="11">
        <v>4.645993384647797</v>
      </c>
      <c r="N4153" s="12"/>
    </row>
    <row r="4154" spans="1:14" s="5" customFormat="1" ht="15" customHeight="1" x14ac:dyDescent="0.25">
      <c r="A4154" s="9" t="s">
        <v>8106</v>
      </c>
      <c r="C4154" s="9" t="str">
        <f>HYPERLINK("http://www.ncbi.nlm.nih.gov/protein/110347495","Lrrc58")</f>
        <v>Lrrc58</v>
      </c>
      <c r="D4154" s="10">
        <f t="shared" si="64"/>
        <v>4.8095381976071954</v>
      </c>
      <c r="F4154" s="8" t="str">
        <f>HYPERLINK("https://esbl.nhlbi.nih.gov/Databases/mpkFractions/proteomic_fractions_log_files/Yang_log_img/110347495.jpg","show blot")</f>
        <v>show blot</v>
      </c>
      <c r="H4154" s="8" t="str">
        <f>HYPERLINK("https://esbl.nhlbi.nih.gov/Databases/mpkFractions/proteomic_fractions_linear_files/Yang_linear_img/110347495.jpg","show blot")</f>
        <v>show blot</v>
      </c>
      <c r="J4154" s="5" t="s">
        <v>8107</v>
      </c>
      <c r="L4154" s="11">
        <v>4.8095381976071954</v>
      </c>
      <c r="N4154" s="12"/>
    </row>
    <row r="4155" spans="1:14" s="5" customFormat="1" ht="15" customHeight="1" x14ac:dyDescent="0.25">
      <c r="A4155" s="9" t="s">
        <v>8108</v>
      </c>
      <c r="C4155" s="9" t="str">
        <f>HYPERLINK("http://www.ncbi.nlm.nih.gov/protein/19527026","Lrrc59")</f>
        <v>Lrrc59</v>
      </c>
      <c r="D4155" s="10">
        <f t="shared" si="64"/>
        <v>5.7274697822846976</v>
      </c>
      <c r="F4155" s="8" t="str">
        <f>HYPERLINK("https://esbl.nhlbi.nih.gov/Databases/mpkFractions/proteomic_fractions_log_files/Yang_log_img/19527026.jpg","show blot")</f>
        <v>show blot</v>
      </c>
      <c r="H4155" s="8" t="str">
        <f>HYPERLINK("https://esbl.nhlbi.nih.gov/Databases/mpkFractions/proteomic_fractions_linear_files/Yang_linear_img/19527026.jpg","show blot")</f>
        <v>show blot</v>
      </c>
      <c r="J4155" s="5" t="s">
        <v>8109</v>
      </c>
      <c r="L4155" s="11">
        <v>5.7274697822846976</v>
      </c>
      <c r="N4155" s="12"/>
    </row>
    <row r="4156" spans="1:14" s="5" customFormat="1" ht="15" customHeight="1" x14ac:dyDescent="0.25">
      <c r="A4156" s="9" t="s">
        <v>8110</v>
      </c>
      <c r="C4156" s="9" t="str">
        <f>HYPERLINK("http://www.ncbi.nlm.nih.gov/protein/267844854","Lrrc63")</f>
        <v>Lrrc63</v>
      </c>
      <c r="D4156" s="10">
        <f t="shared" si="64"/>
        <v>4.8155403495835234</v>
      </c>
      <c r="F4156" s="8" t="str">
        <f>HYPERLINK("https://esbl.nhlbi.nih.gov/Databases/mpkFractions/proteomic_fractions_log_files/Yang_log_img/267844854.jpg","show blot")</f>
        <v>show blot</v>
      </c>
      <c r="H4156" s="8" t="str">
        <f>HYPERLINK("https://esbl.nhlbi.nih.gov/Databases/mpkFractions/proteomic_fractions_linear_files/Yang_linear_img/267844854.jpg","show blot")</f>
        <v>show blot</v>
      </c>
      <c r="J4156" s="5" t="s">
        <v>8111</v>
      </c>
      <c r="L4156" s="11">
        <v>4.8155403495835234</v>
      </c>
      <c r="N4156" s="12"/>
    </row>
    <row r="4157" spans="1:14" s="5" customFormat="1" ht="15" customHeight="1" x14ac:dyDescent="0.25">
      <c r="A4157" s="9" t="s">
        <v>8112</v>
      </c>
      <c r="C4157" s="9" t="str">
        <f>HYPERLINK("http://www.ncbi.nlm.nih.gov/protein/124486885","Lrrc7")</f>
        <v>Lrrc7</v>
      </c>
      <c r="D4157" s="10">
        <f t="shared" si="64"/>
        <v>1.921761629840635</v>
      </c>
      <c r="F4157" s="8" t="str">
        <f>HYPERLINK("https://esbl.nhlbi.nih.gov/Databases/mpkFractions/proteomic_fractions_log_files/Yang_log_img/124486885.jpg","show blot")</f>
        <v>show blot</v>
      </c>
      <c r="H4157" s="8" t="str">
        <f>HYPERLINK("https://esbl.nhlbi.nih.gov/Databases/mpkFractions/proteomic_fractions_linear_files/Yang_linear_img/124486885.jpg","show blot")</f>
        <v>show blot</v>
      </c>
      <c r="J4157" s="5" t="s">
        <v>8113</v>
      </c>
      <c r="L4157" s="11">
        <v>1.921761629840635</v>
      </c>
      <c r="N4157" s="12"/>
    </row>
    <row r="4158" spans="1:14" s="5" customFormat="1" ht="15" customHeight="1" x14ac:dyDescent="0.25">
      <c r="A4158" s="9" t="s">
        <v>8114</v>
      </c>
      <c r="C4158" s="9" t="str">
        <f>HYPERLINK("http://www.ncbi.nlm.nih.gov/protein/29244192","Lrrc8a")</f>
        <v>Lrrc8a</v>
      </c>
      <c r="D4158" s="10">
        <f t="shared" si="64"/>
        <v>2.6786249104064188</v>
      </c>
      <c r="F4158" s="8" t="str">
        <f>HYPERLINK("https://esbl.nhlbi.nih.gov/Databases/mpkFractions/proteomic_fractions_log_files/Yang_log_img/29244192.jpg","show blot")</f>
        <v>show blot</v>
      </c>
      <c r="H4158" s="8" t="str">
        <f>HYPERLINK("https://esbl.nhlbi.nih.gov/Databases/mpkFractions/proteomic_fractions_linear_files/Yang_linear_img/29244192.jpg","show blot")</f>
        <v>show blot</v>
      </c>
      <c r="J4158" s="5" t="s">
        <v>8115</v>
      </c>
      <c r="L4158" s="11">
        <v>2.6786249104064188</v>
      </c>
      <c r="N4158" s="12"/>
    </row>
    <row r="4159" spans="1:14" s="5" customFormat="1" ht="15" customHeight="1" x14ac:dyDescent="0.25">
      <c r="A4159" s="9" t="s">
        <v>8116</v>
      </c>
      <c r="C4159" s="9" t="str">
        <f>HYPERLINK("http://www.ncbi.nlm.nih.gov/protein/254675306","Lrrcc1")</f>
        <v>Lrrcc1</v>
      </c>
      <c r="D4159" s="10">
        <f t="shared" si="64"/>
        <v>2.1080647352687452</v>
      </c>
      <c r="F4159" s="8" t="str">
        <f>HYPERLINK("https://esbl.nhlbi.nih.gov/Databases/mpkFractions/proteomic_fractions_log_files/Yang_log_img/254675306.jpg","show blot")</f>
        <v>show blot</v>
      </c>
      <c r="H4159" s="8" t="str">
        <f>HYPERLINK("https://esbl.nhlbi.nih.gov/Databases/mpkFractions/proteomic_fractions_linear_files/Yang_linear_img/254675306.jpg","show blot")</f>
        <v>show blot</v>
      </c>
      <c r="J4159" s="5" t="s">
        <v>8117</v>
      </c>
      <c r="L4159" s="11">
        <v>2.1080647352687452</v>
      </c>
      <c r="N4159" s="12"/>
    </row>
    <row r="4160" spans="1:14" s="5" customFormat="1" ht="15" customHeight="1" x14ac:dyDescent="0.25">
      <c r="A4160" s="9" t="s">
        <v>8118</v>
      </c>
      <c r="C4160" s="9" t="str">
        <f>HYPERLINK("http://www.ncbi.nlm.nih.gov/protein/254675308","Lrrcc1")</f>
        <v>Lrrcc1</v>
      </c>
      <c r="D4160" s="10">
        <f t="shared" si="64"/>
        <v>2.1080647352687452</v>
      </c>
      <c r="F4160" s="8" t="str">
        <f>HYPERLINK("https://esbl.nhlbi.nih.gov/Databases/mpkFractions/proteomic_fractions_log_files/Yang_log_img/254675308.jpg","show blot")</f>
        <v>show blot</v>
      </c>
      <c r="H4160" s="8" t="str">
        <f>HYPERLINK("https://esbl.nhlbi.nih.gov/Databases/mpkFractions/proteomic_fractions_linear_files/Yang_linear_img/254675308.jpg","show blot")</f>
        <v>show blot</v>
      </c>
      <c r="J4160" s="5" t="s">
        <v>8119</v>
      </c>
      <c r="L4160" s="11">
        <v>2.1080647352687452</v>
      </c>
      <c r="N4160" s="12"/>
    </row>
    <row r="4161" spans="1:14" s="5" customFormat="1" ht="15" customHeight="1" x14ac:dyDescent="0.25">
      <c r="A4161" s="9" t="s">
        <v>8120</v>
      </c>
      <c r="C4161" s="9" t="str">
        <f>HYPERLINK("http://www.ncbi.nlm.nih.gov/protein/254675310","Lrrcc1")</f>
        <v>Lrrcc1</v>
      </c>
      <c r="D4161" s="10">
        <f t="shared" si="64"/>
        <v>2.1080647352687452</v>
      </c>
      <c r="F4161" s="8" t="str">
        <f>HYPERLINK("https://esbl.nhlbi.nih.gov/Databases/mpkFractions/proteomic_fractions_log_files/Yang_log_img/254675310.jpg","show blot")</f>
        <v>show blot</v>
      </c>
      <c r="H4161" s="8" t="str">
        <f>HYPERLINK("https://esbl.nhlbi.nih.gov/Databases/mpkFractions/proteomic_fractions_linear_files/Yang_linear_img/254675310.jpg","show blot")</f>
        <v>show blot</v>
      </c>
      <c r="J4161" s="5" t="s">
        <v>8121</v>
      </c>
      <c r="L4161" s="11">
        <v>2.1080647352687452</v>
      </c>
      <c r="N4161" s="12"/>
    </row>
    <row r="4162" spans="1:14" s="5" customFormat="1" ht="15" customHeight="1" x14ac:dyDescent="0.25">
      <c r="A4162" s="9" t="s">
        <v>8122</v>
      </c>
      <c r="C4162" s="9" t="str">
        <f>HYPERLINK("http://www.ncbi.nlm.nih.gov/protein/162417949","Lrrfip1")</f>
        <v>Lrrfip1</v>
      </c>
      <c r="D4162" s="10">
        <f t="shared" si="64"/>
        <v>5.7247198322024433</v>
      </c>
      <c r="F4162" s="8" t="str">
        <f>HYPERLINK("https://esbl.nhlbi.nih.gov/Databases/mpkFractions/proteomic_fractions_log_files/Yang_log_img/162417949.jpg","show blot")</f>
        <v>show blot</v>
      </c>
      <c r="H4162" s="8" t="str">
        <f>HYPERLINK("https://esbl.nhlbi.nih.gov/Databases/mpkFractions/proteomic_fractions_linear_files/Yang_linear_img/162417949.jpg","show blot")</f>
        <v>show blot</v>
      </c>
      <c r="J4162" s="5" t="s">
        <v>8123</v>
      </c>
      <c r="L4162" s="11">
        <v>5.7247198322024433</v>
      </c>
      <c r="N4162" s="12"/>
    </row>
    <row r="4163" spans="1:14" s="5" customFormat="1" ht="15" customHeight="1" x14ac:dyDescent="0.25">
      <c r="A4163" s="9" t="s">
        <v>8124</v>
      </c>
      <c r="C4163" s="9" t="str">
        <f>HYPERLINK("http://www.ncbi.nlm.nih.gov/protein/162417952","Lrrfip1")</f>
        <v>Lrrfip1</v>
      </c>
      <c r="D4163" s="10">
        <f t="shared" si="64"/>
        <v>5.7247198322024433</v>
      </c>
      <c r="F4163" s="8" t="str">
        <f>HYPERLINK("https://esbl.nhlbi.nih.gov/Databases/mpkFractions/proteomic_fractions_log_files/Yang_log_img/162417952.jpg","show blot")</f>
        <v>show blot</v>
      </c>
      <c r="H4163" s="8" t="str">
        <f>HYPERLINK("https://esbl.nhlbi.nih.gov/Databases/mpkFractions/proteomic_fractions_linear_files/Yang_linear_img/162417952.jpg","show blot")</f>
        <v>show blot</v>
      </c>
      <c r="J4163" s="5" t="s">
        <v>8125</v>
      </c>
      <c r="L4163" s="11">
        <v>5.7247198322024433</v>
      </c>
      <c r="N4163" s="12"/>
    </row>
    <row r="4164" spans="1:14" s="5" customFormat="1" ht="15" customHeight="1" x14ac:dyDescent="0.25">
      <c r="A4164" s="9" t="s">
        <v>8126</v>
      </c>
      <c r="C4164" s="9" t="str">
        <f>HYPERLINK("http://www.ncbi.nlm.nih.gov/protein/6678722","Lrrfip1")</f>
        <v>Lrrfip1</v>
      </c>
      <c r="D4164" s="10">
        <f t="shared" si="64"/>
        <v>5.7247198322024433</v>
      </c>
      <c r="F4164" s="8" t="str">
        <f>HYPERLINK("https://esbl.nhlbi.nih.gov/Databases/mpkFractions/proteomic_fractions_log_files/Yang_log_img/6678722.jpg","show blot")</f>
        <v>show blot</v>
      </c>
      <c r="H4164" s="8" t="str">
        <f>HYPERLINK("https://esbl.nhlbi.nih.gov/Databases/mpkFractions/proteomic_fractions_linear_files/Yang_linear_img/6678722.jpg","show blot")</f>
        <v>show blot</v>
      </c>
      <c r="J4164" s="5" t="s">
        <v>8127</v>
      </c>
      <c r="L4164" s="11">
        <v>5.7247198322024433</v>
      </c>
      <c r="N4164" s="12"/>
    </row>
    <row r="4165" spans="1:14" s="5" customFormat="1" ht="15" customHeight="1" x14ac:dyDescent="0.25">
      <c r="A4165" s="9" t="s">
        <v>8128</v>
      </c>
      <c r="C4165" s="9" t="str">
        <f>HYPERLINK("http://www.ncbi.nlm.nih.gov/protein/110625827","Lrrfip2")</f>
        <v>Lrrfip2</v>
      </c>
      <c r="D4165" s="10">
        <f t="shared" ref="D4165:D4228" si="65">L4165</f>
        <v>5.1685187777610961</v>
      </c>
      <c r="F4165" s="8" t="str">
        <f>HYPERLINK("https://esbl.nhlbi.nih.gov/Databases/mpkFractions/proteomic_fractions_log_files/Yang_log_img/110625827.jpg","show blot")</f>
        <v>show blot</v>
      </c>
      <c r="H4165" s="8" t="str">
        <f>HYPERLINK("https://esbl.nhlbi.nih.gov/Databases/mpkFractions/proteomic_fractions_linear_files/Yang_linear_img/110625827.jpg","show blot")</f>
        <v>show blot</v>
      </c>
      <c r="J4165" s="5" t="s">
        <v>8129</v>
      </c>
      <c r="L4165" s="11">
        <v>5.1685187777610961</v>
      </c>
      <c r="N4165" s="12"/>
    </row>
    <row r="4166" spans="1:14" s="5" customFormat="1" ht="15" customHeight="1" x14ac:dyDescent="0.25">
      <c r="A4166" s="9" t="s">
        <v>8130</v>
      </c>
      <c r="C4166" s="9" t="str">
        <f>HYPERLINK("http://www.ncbi.nlm.nih.gov/protein/258679524","Lrrfip2")</f>
        <v>Lrrfip2</v>
      </c>
      <c r="D4166" s="10">
        <f t="shared" si="65"/>
        <v>5.1685187777610961</v>
      </c>
      <c r="F4166" s="8" t="str">
        <f>HYPERLINK("https://esbl.nhlbi.nih.gov/Databases/mpkFractions/proteomic_fractions_log_files/Yang_log_img/258679524.jpg","show blot")</f>
        <v>show blot</v>
      </c>
      <c r="H4166" s="8" t="str">
        <f>HYPERLINK("https://esbl.nhlbi.nih.gov/Databases/mpkFractions/proteomic_fractions_linear_files/Yang_linear_img/258679524.jpg","show blot")</f>
        <v>show blot</v>
      </c>
      <c r="J4166" s="5" t="s">
        <v>8131</v>
      </c>
      <c r="L4166" s="11">
        <v>5.1685187777610961</v>
      </c>
      <c r="N4166" s="12"/>
    </row>
    <row r="4167" spans="1:14" s="5" customFormat="1" ht="15" customHeight="1" x14ac:dyDescent="0.25">
      <c r="A4167" s="9" t="s">
        <v>8132</v>
      </c>
      <c r="C4167" s="9" t="str">
        <f>HYPERLINK("http://www.ncbi.nlm.nih.gov/protein/56699427","Lrrk1")</f>
        <v>Lrrk1</v>
      </c>
      <c r="D4167" s="10">
        <f t="shared" si="65"/>
        <v>1.908161210812372</v>
      </c>
      <c r="F4167" s="8" t="str">
        <f>HYPERLINK("https://esbl.nhlbi.nih.gov/Databases/mpkFractions/proteomic_fractions_log_files/Yang_log_img/56699427.jpg","show blot")</f>
        <v>show blot</v>
      </c>
      <c r="H4167" s="8" t="str">
        <f>HYPERLINK("https://esbl.nhlbi.nih.gov/Databases/mpkFractions/proteomic_fractions_linear_files/Yang_linear_img/56699427.jpg","show blot")</f>
        <v>show blot</v>
      </c>
      <c r="J4167" s="5" t="s">
        <v>8133</v>
      </c>
      <c r="L4167" s="11">
        <v>1.908161210812372</v>
      </c>
      <c r="N4167" s="12"/>
    </row>
    <row r="4168" spans="1:14" s="5" customFormat="1" ht="15" customHeight="1" x14ac:dyDescent="0.25">
      <c r="A4168" s="9" t="s">
        <v>8134</v>
      </c>
      <c r="C4168" s="9" t="str">
        <f>HYPERLINK("http://www.ncbi.nlm.nih.gov/protein/146231954","Lrrk2")</f>
        <v>Lrrk2</v>
      </c>
      <c r="D4168" s="10">
        <f t="shared" si="65"/>
        <v>4.3882240006971571</v>
      </c>
      <c r="F4168" s="8" t="str">
        <f>HYPERLINK("https://esbl.nhlbi.nih.gov/Databases/mpkFractions/proteomic_fractions_log_files/Yang_log_img/146231954.jpg","show blot")</f>
        <v>show blot</v>
      </c>
      <c r="H4168" s="8" t="str">
        <f>HYPERLINK("https://esbl.nhlbi.nih.gov/Databases/mpkFractions/proteomic_fractions_linear_files/Yang_linear_img/146231954.jpg","show blot")</f>
        <v>show blot</v>
      </c>
      <c r="J4168" s="5" t="s">
        <v>8135</v>
      </c>
      <c r="L4168" s="11">
        <v>4.3882240006971571</v>
      </c>
      <c r="N4168" s="12"/>
    </row>
    <row r="4169" spans="1:14" s="5" customFormat="1" ht="15" customHeight="1" x14ac:dyDescent="0.25">
      <c r="A4169" s="9" t="s">
        <v>8136</v>
      </c>
      <c r="C4169" s="9" t="str">
        <f>HYPERLINK("http://www.ncbi.nlm.nih.gov/protein/110625667","Lsm1")</f>
        <v>Lsm1</v>
      </c>
      <c r="D4169" s="10">
        <f t="shared" si="65"/>
        <v>4.4684857748679176</v>
      </c>
      <c r="F4169" s="8" t="str">
        <f>HYPERLINK("https://esbl.nhlbi.nih.gov/Databases/mpkFractions/proteomic_fractions_log_files/Yang_log_img/110625667.jpg","show blot")</f>
        <v>show blot</v>
      </c>
      <c r="H4169" s="8" t="str">
        <f>HYPERLINK("https://esbl.nhlbi.nih.gov/Databases/mpkFractions/proteomic_fractions_linear_files/Yang_linear_img/110625667.jpg","show blot")</f>
        <v>show blot</v>
      </c>
      <c r="J4169" s="5" t="s">
        <v>8137</v>
      </c>
      <c r="L4169" s="11">
        <v>4.4684857748679176</v>
      </c>
      <c r="N4169" s="12"/>
    </row>
    <row r="4170" spans="1:14" s="5" customFormat="1" ht="15" customHeight="1" x14ac:dyDescent="0.25">
      <c r="A4170" s="9" t="s">
        <v>8138</v>
      </c>
      <c r="C4170" s="9" t="str">
        <f>HYPERLINK("http://www.ncbi.nlm.nih.gov/protein/20270251","Lsm10")</f>
        <v>Lsm10</v>
      </c>
      <c r="D4170" s="10">
        <f t="shared" si="65"/>
        <v>4.0702412903640113</v>
      </c>
      <c r="F4170" s="8" t="str">
        <f>HYPERLINK("https://esbl.nhlbi.nih.gov/Databases/mpkFractions/proteomic_fractions_log_files/Yang_log_img/20270251.jpg","show blot")</f>
        <v>show blot</v>
      </c>
      <c r="H4170" s="8" t="str">
        <f>HYPERLINK("https://esbl.nhlbi.nih.gov/Databases/mpkFractions/proteomic_fractions_linear_files/Yang_linear_img/20270251.jpg","show blot")</f>
        <v>show blot</v>
      </c>
      <c r="J4170" s="5" t="s">
        <v>8139</v>
      </c>
      <c r="L4170" s="11">
        <v>4.0702412903640113</v>
      </c>
      <c r="N4170" s="12"/>
    </row>
    <row r="4171" spans="1:14" s="5" customFormat="1" ht="15" customHeight="1" x14ac:dyDescent="0.25">
      <c r="A4171" s="9" t="s">
        <v>8140</v>
      </c>
      <c r="C4171" s="9" t="str">
        <f>HYPERLINK("http://www.ncbi.nlm.nih.gov/protein/31711990","Lsm12")</f>
        <v>Lsm12</v>
      </c>
      <c r="D4171" s="10">
        <f t="shared" si="65"/>
        <v>5.4585829620853596</v>
      </c>
      <c r="F4171" s="8" t="str">
        <f>HYPERLINK("https://esbl.nhlbi.nih.gov/Databases/mpkFractions/proteomic_fractions_log_files/Yang_log_img/31711990.jpg","show blot")</f>
        <v>show blot</v>
      </c>
      <c r="H4171" s="8" t="str">
        <f>HYPERLINK("https://esbl.nhlbi.nih.gov/Databases/mpkFractions/proteomic_fractions_linear_files/Yang_linear_img/31711990.jpg","show blot")</f>
        <v>show blot</v>
      </c>
      <c r="J4171" s="5" t="s">
        <v>8141</v>
      </c>
      <c r="L4171" s="11">
        <v>5.4585829620853596</v>
      </c>
      <c r="N4171" s="12"/>
    </row>
    <row r="4172" spans="1:14" s="5" customFormat="1" ht="15" customHeight="1" x14ac:dyDescent="0.25">
      <c r="A4172" s="9" t="s">
        <v>8142</v>
      </c>
      <c r="C4172" s="9" t="str">
        <f>HYPERLINK("http://www.ncbi.nlm.nih.gov/protein/23956156","Lsm14a")</f>
        <v>Lsm14a</v>
      </c>
      <c r="D4172" s="10">
        <f t="shared" si="65"/>
        <v>3.5953431883891658</v>
      </c>
      <c r="F4172" s="8" t="str">
        <f>HYPERLINK("https://esbl.nhlbi.nih.gov/Databases/mpkFractions/proteomic_fractions_log_files/Yang_log_img/23956156.jpg","show blot")</f>
        <v>show blot</v>
      </c>
      <c r="H4172" s="8" t="str">
        <f>HYPERLINK("https://esbl.nhlbi.nih.gov/Databases/mpkFractions/proteomic_fractions_linear_files/Yang_linear_img/23956156.jpg","show blot")</f>
        <v>show blot</v>
      </c>
      <c r="J4172" s="5" t="s">
        <v>8143</v>
      </c>
      <c r="L4172" s="11">
        <v>3.5953431883891658</v>
      </c>
      <c r="N4172" s="12"/>
    </row>
    <row r="4173" spans="1:14" s="5" customFormat="1" ht="15" customHeight="1" x14ac:dyDescent="0.25">
      <c r="A4173" s="9" t="s">
        <v>8144</v>
      </c>
      <c r="C4173" s="9" t="str">
        <f>HYPERLINK("http://www.ncbi.nlm.nih.gov/protein/148839333","Lsm14b")</f>
        <v>Lsm14b</v>
      </c>
      <c r="D4173" s="10">
        <f t="shared" si="65"/>
        <v>3.6050535207650038</v>
      </c>
      <c r="F4173" s="8" t="str">
        <f>HYPERLINK("https://esbl.nhlbi.nih.gov/Databases/mpkFractions/proteomic_fractions_log_files/Yang_log_img/148839333.jpg","show blot")</f>
        <v>show blot</v>
      </c>
      <c r="H4173" s="8" t="str">
        <f>HYPERLINK("https://esbl.nhlbi.nih.gov/Databases/mpkFractions/proteomic_fractions_linear_files/Yang_linear_img/148839333.jpg","show blot")</f>
        <v>show blot</v>
      </c>
      <c r="J4173" s="5" t="s">
        <v>8145</v>
      </c>
      <c r="L4173" s="11">
        <v>3.6050535207650038</v>
      </c>
      <c r="N4173" s="12"/>
    </row>
    <row r="4174" spans="1:14" s="5" customFormat="1" ht="15" customHeight="1" x14ac:dyDescent="0.25">
      <c r="A4174" s="9" t="s">
        <v>8146</v>
      </c>
      <c r="C4174" s="9" t="str">
        <f>HYPERLINK("http://www.ncbi.nlm.nih.gov/protein/324021707","Lsm2")</f>
        <v>Lsm2</v>
      </c>
      <c r="D4174" s="10">
        <f t="shared" si="65"/>
        <v>5.669278345939766</v>
      </c>
      <c r="F4174" s="8" t="str">
        <f>HYPERLINK("https://esbl.nhlbi.nih.gov/Databases/mpkFractions/proteomic_fractions_log_files/Yang_log_img/324021707.jpg","show blot")</f>
        <v>show blot</v>
      </c>
      <c r="H4174" s="8" t="str">
        <f>HYPERLINK("https://esbl.nhlbi.nih.gov/Databases/mpkFractions/proteomic_fractions_linear_files/Yang_linear_img/324021707.jpg","show blot")</f>
        <v>show blot</v>
      </c>
      <c r="J4174" s="5" t="s">
        <v>8147</v>
      </c>
      <c r="L4174" s="11">
        <v>5.669278345939766</v>
      </c>
      <c r="N4174" s="12"/>
    </row>
    <row r="4175" spans="1:14" s="5" customFormat="1" ht="15" customHeight="1" x14ac:dyDescent="0.25">
      <c r="A4175" s="9" t="s">
        <v>8148</v>
      </c>
      <c r="C4175" s="9" t="str">
        <f>HYPERLINK("http://www.ncbi.nlm.nih.gov/protein/13994221","Lsm2")</f>
        <v>Lsm2</v>
      </c>
      <c r="D4175" s="10">
        <f t="shared" si="65"/>
        <v>5.669278345939766</v>
      </c>
      <c r="F4175" s="8" t="str">
        <f>HYPERLINK("https://esbl.nhlbi.nih.gov/Databases/mpkFractions/proteomic_fractions_log_files/Yang_log_img/13994221.jpg","show blot")</f>
        <v>show blot</v>
      </c>
      <c r="H4175" s="8" t="str">
        <f>HYPERLINK("https://esbl.nhlbi.nih.gov/Databases/mpkFractions/proteomic_fractions_linear_files/Yang_linear_img/13994221.jpg","show blot")</f>
        <v>show blot</v>
      </c>
      <c r="J4175" s="5" t="s">
        <v>8149</v>
      </c>
      <c r="L4175" s="11">
        <v>5.669278345939766</v>
      </c>
      <c r="N4175" s="12"/>
    </row>
    <row r="4176" spans="1:14" s="5" customFormat="1" ht="15" customHeight="1" x14ac:dyDescent="0.25">
      <c r="A4176" s="9" t="s">
        <v>8150</v>
      </c>
      <c r="C4176" s="9" t="str">
        <f>HYPERLINK("http://www.ncbi.nlm.nih.gov/protein/158533995","Lsm2")</f>
        <v>Lsm2</v>
      </c>
      <c r="D4176" s="10">
        <f t="shared" si="65"/>
        <v>5.669278345939766</v>
      </c>
      <c r="F4176" s="8" t="str">
        <f>HYPERLINK("https://esbl.nhlbi.nih.gov/Databases/mpkFractions/proteomic_fractions_log_files/Yang_log_img/158533995.jpg","show blot")</f>
        <v>show blot</v>
      </c>
      <c r="H4176" s="8" t="str">
        <f>HYPERLINK("https://esbl.nhlbi.nih.gov/Databases/mpkFractions/proteomic_fractions_linear_files/Yang_linear_img/158533995.jpg","show blot")</f>
        <v>show blot</v>
      </c>
      <c r="J4176" s="5" t="s">
        <v>8151</v>
      </c>
      <c r="L4176" s="11">
        <v>5.669278345939766</v>
      </c>
      <c r="N4176" s="12"/>
    </row>
    <row r="4177" spans="1:14" s="5" customFormat="1" ht="15" customHeight="1" x14ac:dyDescent="0.25">
      <c r="A4177" s="9" t="s">
        <v>8152</v>
      </c>
      <c r="C4177" s="9" t="str">
        <f>HYPERLINK("http://www.ncbi.nlm.nih.gov/protein/324021709","Lsm2")</f>
        <v>Lsm2</v>
      </c>
      <c r="D4177" s="10">
        <f t="shared" si="65"/>
        <v>5.669278345939766</v>
      </c>
      <c r="F4177" s="8" t="str">
        <f>HYPERLINK("https://esbl.nhlbi.nih.gov/Databases/mpkFractions/proteomic_fractions_log_files/Yang_log_img/324021709.jpg","show blot")</f>
        <v>show blot</v>
      </c>
      <c r="H4177" s="8" t="str">
        <f>HYPERLINK("https://esbl.nhlbi.nih.gov/Databases/mpkFractions/proteomic_fractions_linear_files/Yang_linear_img/324021709.jpg","show blot")</f>
        <v>show blot</v>
      </c>
      <c r="J4177" s="5" t="s">
        <v>8153</v>
      </c>
      <c r="L4177" s="11">
        <v>5.669278345939766</v>
      </c>
      <c r="N4177" s="12"/>
    </row>
    <row r="4178" spans="1:14" s="5" customFormat="1" ht="15" customHeight="1" x14ac:dyDescent="0.25">
      <c r="A4178" s="9" t="s">
        <v>8154</v>
      </c>
      <c r="C4178" s="9" t="str">
        <f>HYPERLINK("http://www.ncbi.nlm.nih.gov/protein/13385806","Lsm3")</f>
        <v>Lsm3</v>
      </c>
      <c r="D4178" s="10">
        <f t="shared" si="65"/>
        <v>5.8926108521118454</v>
      </c>
      <c r="F4178" s="8" t="str">
        <f>HYPERLINK("https://esbl.nhlbi.nih.gov/Databases/mpkFractions/proteomic_fractions_log_files/Yang_log_img/13385806.jpg","show blot")</f>
        <v>show blot</v>
      </c>
      <c r="H4178" s="8" t="str">
        <f>HYPERLINK("https://esbl.nhlbi.nih.gov/Databases/mpkFractions/proteomic_fractions_linear_files/Yang_linear_img/13385806.jpg","show blot")</f>
        <v>show blot</v>
      </c>
      <c r="J4178" s="5" t="s">
        <v>8155</v>
      </c>
      <c r="L4178" s="11">
        <v>5.8926108521118454</v>
      </c>
      <c r="N4178" s="12"/>
    </row>
    <row r="4179" spans="1:14" s="5" customFormat="1" ht="15" customHeight="1" x14ac:dyDescent="0.25">
      <c r="A4179" s="9" t="s">
        <v>8156</v>
      </c>
      <c r="C4179" s="9" t="str">
        <f>HYPERLINK("http://www.ncbi.nlm.nih.gov/protein/159032056","Lsm4")</f>
        <v>Lsm4</v>
      </c>
      <c r="D4179" s="10">
        <f t="shared" si="65"/>
        <v>5.879591967885494</v>
      </c>
      <c r="F4179" s="8" t="str">
        <f>HYPERLINK("https://esbl.nhlbi.nih.gov/Databases/mpkFractions/proteomic_fractions_log_files/Yang_log_img/159032056.jpg","show blot")</f>
        <v>show blot</v>
      </c>
      <c r="H4179" s="8" t="str">
        <f>HYPERLINK("https://esbl.nhlbi.nih.gov/Databases/mpkFractions/proteomic_fractions_linear_files/Yang_linear_img/159032056.jpg","show blot")</f>
        <v>show blot</v>
      </c>
      <c r="J4179" s="5" t="s">
        <v>8157</v>
      </c>
      <c r="L4179" s="11">
        <v>5.879591967885494</v>
      </c>
      <c r="N4179" s="12"/>
    </row>
    <row r="4180" spans="1:14" s="5" customFormat="1" ht="15" customHeight="1" x14ac:dyDescent="0.25">
      <c r="A4180" s="9" t="s">
        <v>8158</v>
      </c>
      <c r="C4180" s="9" t="str">
        <f>HYPERLINK("http://www.ncbi.nlm.nih.gov/protein/113865835","Lsm6")</f>
        <v>Lsm6</v>
      </c>
      <c r="D4180" s="10">
        <f t="shared" si="65"/>
        <v>5.2873180636992378</v>
      </c>
      <c r="F4180" s="8" t="str">
        <f>HYPERLINK("https://esbl.nhlbi.nih.gov/Databases/mpkFractions/proteomic_fractions_log_files/Yang_log_img/113865835.jpg","show blot")</f>
        <v>show blot</v>
      </c>
      <c r="H4180" s="8" t="str">
        <f>HYPERLINK("https://esbl.nhlbi.nih.gov/Databases/mpkFractions/proteomic_fractions_linear_files/Yang_linear_img/113865835.jpg","show blot")</f>
        <v>show blot</v>
      </c>
      <c r="J4180" s="5" t="s">
        <v>8159</v>
      </c>
      <c r="L4180" s="11">
        <v>5.2873180636992378</v>
      </c>
      <c r="N4180" s="12"/>
    </row>
    <row r="4181" spans="1:14" s="5" customFormat="1" ht="15" customHeight="1" x14ac:dyDescent="0.25">
      <c r="A4181" s="9" t="s">
        <v>8160</v>
      </c>
      <c r="C4181" s="9" t="str">
        <f>HYPERLINK("http://www.ncbi.nlm.nih.gov/protein/300797601;113865835","Lsm6")</f>
        <v>Lsm6</v>
      </c>
      <c r="D4181" s="10">
        <f t="shared" si="65"/>
        <v>5.2873180636992378</v>
      </c>
      <c r="F4181" s="8" t="str">
        <f>HYPERLINK("https://esbl.nhlbi.nih.gov/Databases/mpkFractions/proteomic_fractions_log_files/Yang_log_img/300797601;113865835.jpg","show blot")</f>
        <v>show blot</v>
      </c>
      <c r="H4181" s="8" t="str">
        <f>HYPERLINK("https://esbl.nhlbi.nih.gov/Databases/mpkFractions/proteomic_fractions_linear_files/Yang_linear_img/300797601;113865835.jpg","show blot")</f>
        <v>show blot</v>
      </c>
      <c r="J4181" s="5" t="s">
        <v>8159</v>
      </c>
      <c r="L4181" s="11">
        <v>5.2873180636992378</v>
      </c>
      <c r="N4181" s="12"/>
    </row>
    <row r="4182" spans="1:14" s="5" customFormat="1" ht="15" customHeight="1" x14ac:dyDescent="0.25">
      <c r="A4182" s="9" t="s">
        <v>8161</v>
      </c>
      <c r="C4182" s="9" t="str">
        <f>HYPERLINK("http://www.ncbi.nlm.nih.gov/protein/13384714","Lsm7")</f>
        <v>Lsm7</v>
      </c>
      <c r="D4182" s="10">
        <f t="shared" si="65"/>
        <v>5.766490652993725</v>
      </c>
      <c r="F4182" s="8" t="str">
        <f>HYPERLINK("https://esbl.nhlbi.nih.gov/Databases/mpkFractions/proteomic_fractions_log_files/Yang_log_img/13384714.jpg","show blot")</f>
        <v>show blot</v>
      </c>
      <c r="H4182" s="8" t="str">
        <f>HYPERLINK("https://esbl.nhlbi.nih.gov/Databases/mpkFractions/proteomic_fractions_linear_files/Yang_linear_img/13384714.jpg","show blot")</f>
        <v>show blot</v>
      </c>
      <c r="J4182" s="5" t="s">
        <v>8162</v>
      </c>
      <c r="L4182" s="11">
        <v>5.766490652993725</v>
      </c>
      <c r="N4182" s="12"/>
    </row>
    <row r="4183" spans="1:14" s="5" customFormat="1" ht="15" customHeight="1" x14ac:dyDescent="0.25">
      <c r="A4183" s="9" t="s">
        <v>8163</v>
      </c>
      <c r="C4183" s="9" t="str">
        <f>HYPERLINK("http://www.ncbi.nlm.nih.gov/protein/58037525","Lsmd1")</f>
        <v>Lsmd1</v>
      </c>
      <c r="D4183" s="10">
        <f t="shared" si="65"/>
        <v>3.6814736459081918</v>
      </c>
      <c r="F4183" s="8" t="str">
        <f>HYPERLINK("https://esbl.nhlbi.nih.gov/Databases/mpkFractions/proteomic_fractions_log_files/Yang_log_img/58037525.jpg","show blot")</f>
        <v>show blot</v>
      </c>
      <c r="H4183" s="8" t="str">
        <f>HYPERLINK("https://esbl.nhlbi.nih.gov/Databases/mpkFractions/proteomic_fractions_linear_files/Yang_linear_img/58037525.jpg","show blot")</f>
        <v>show blot</v>
      </c>
      <c r="J4183" s="5" t="s">
        <v>8164</v>
      </c>
      <c r="L4183" s="11">
        <v>3.6814736459081918</v>
      </c>
      <c r="N4183" s="12"/>
    </row>
    <row r="4184" spans="1:14" s="5" customFormat="1" ht="15" customHeight="1" x14ac:dyDescent="0.25">
      <c r="A4184" s="9" t="s">
        <v>8165</v>
      </c>
      <c r="C4184" s="9" t="str">
        <f>HYPERLINK("http://www.ncbi.nlm.nih.gov/protein/255958261","Lsr")</f>
        <v>Lsr</v>
      </c>
      <c r="D4184" s="10">
        <f t="shared" si="65"/>
        <v>2.811652920930535</v>
      </c>
      <c r="F4184" s="8" t="str">
        <f>HYPERLINK("https://esbl.nhlbi.nih.gov/Databases/mpkFractions/proteomic_fractions_log_files/Yang_log_img/255958261.jpg","show blot")</f>
        <v>show blot</v>
      </c>
      <c r="H4184" s="8" t="str">
        <f>HYPERLINK("https://esbl.nhlbi.nih.gov/Databases/mpkFractions/proteomic_fractions_linear_files/Yang_linear_img/255958261.jpg","show blot")</f>
        <v>show blot</v>
      </c>
      <c r="J4184" s="5" t="s">
        <v>8166</v>
      </c>
      <c r="L4184" s="11">
        <v>2.811652920930535</v>
      </c>
      <c r="N4184" s="12"/>
    </row>
    <row r="4185" spans="1:14" s="5" customFormat="1" ht="15" customHeight="1" x14ac:dyDescent="0.25">
      <c r="A4185" s="9" t="s">
        <v>8167</v>
      </c>
      <c r="C4185" s="9" t="str">
        <f>HYPERLINK("http://www.ncbi.nlm.nih.gov/protein/255958263","Lsr")</f>
        <v>Lsr</v>
      </c>
      <c r="D4185" s="10">
        <f t="shared" si="65"/>
        <v>2.811652920930535</v>
      </c>
      <c r="F4185" s="8" t="str">
        <f>HYPERLINK("https://esbl.nhlbi.nih.gov/Databases/mpkFractions/proteomic_fractions_log_files/Yang_log_img/255958263.jpg","show blot")</f>
        <v>show blot</v>
      </c>
      <c r="H4185" s="8" t="str">
        <f>HYPERLINK("https://esbl.nhlbi.nih.gov/Databases/mpkFractions/proteomic_fractions_linear_files/Yang_linear_img/255958263.jpg","show blot")</f>
        <v>show blot</v>
      </c>
      <c r="J4185" s="5" t="s">
        <v>8168</v>
      </c>
      <c r="L4185" s="11">
        <v>2.811652920930535</v>
      </c>
      <c r="N4185" s="12"/>
    </row>
    <row r="4186" spans="1:14" s="5" customFormat="1" ht="15" customHeight="1" x14ac:dyDescent="0.25">
      <c r="A4186" s="9" t="s">
        <v>8169</v>
      </c>
      <c r="C4186" s="9" t="str">
        <f>HYPERLINK("http://www.ncbi.nlm.nih.gov/protein/30794490","Lsr")</f>
        <v>Lsr</v>
      </c>
      <c r="D4186" s="10">
        <f t="shared" si="65"/>
        <v>2.811652920930535</v>
      </c>
      <c r="F4186" s="8" t="str">
        <f>HYPERLINK("https://esbl.nhlbi.nih.gov/Databases/mpkFractions/proteomic_fractions_log_files/Yang_log_img/30794490.jpg","show blot")</f>
        <v>show blot</v>
      </c>
      <c r="H4186" s="8" t="str">
        <f>HYPERLINK("https://esbl.nhlbi.nih.gov/Databases/mpkFractions/proteomic_fractions_linear_files/Yang_linear_img/30794490.jpg","show blot")</f>
        <v>show blot</v>
      </c>
      <c r="J4186" s="5" t="s">
        <v>8170</v>
      </c>
      <c r="L4186" s="11">
        <v>2.811652920930535</v>
      </c>
      <c r="N4186" s="12"/>
    </row>
    <row r="4187" spans="1:14" s="5" customFormat="1" ht="15" customHeight="1" x14ac:dyDescent="0.25">
      <c r="A4187" s="9" t="s">
        <v>8171</v>
      </c>
      <c r="C4187" s="9" t="str">
        <f>HYPERLINK("http://www.ncbi.nlm.nih.gov/protein/22122469","Lss")</f>
        <v>Lss</v>
      </c>
      <c r="D4187" s="10">
        <f t="shared" si="65"/>
        <v>4.7792182100831431</v>
      </c>
      <c r="F4187" s="8" t="str">
        <f>HYPERLINK("https://esbl.nhlbi.nih.gov/Databases/mpkFractions/proteomic_fractions_log_files/Yang_log_img/22122469.jpg","show blot")</f>
        <v>show blot</v>
      </c>
      <c r="H4187" s="8" t="str">
        <f>HYPERLINK("https://esbl.nhlbi.nih.gov/Databases/mpkFractions/proteomic_fractions_linear_files/Yang_linear_img/22122469.jpg","show blot")</f>
        <v>show blot</v>
      </c>
      <c r="J4187" s="5" t="s">
        <v>8172</v>
      </c>
      <c r="L4187" s="11">
        <v>4.7792182100831431</v>
      </c>
      <c r="N4187" s="12"/>
    </row>
    <row r="4188" spans="1:14" s="5" customFormat="1" ht="15" customHeight="1" x14ac:dyDescent="0.25">
      <c r="A4188" s="9" t="s">
        <v>8173</v>
      </c>
      <c r="C4188" s="9" t="str">
        <f>HYPERLINK("http://www.ncbi.nlm.nih.gov/protein/116734870","Lta4h")</f>
        <v>Lta4h</v>
      </c>
      <c r="D4188" s="10">
        <f t="shared" si="65"/>
        <v>5.4745448964693342</v>
      </c>
      <c r="F4188" s="8" t="str">
        <f>HYPERLINK("https://esbl.nhlbi.nih.gov/Databases/mpkFractions/proteomic_fractions_log_files/Yang_log_img/116734870.jpg","show blot")</f>
        <v>show blot</v>
      </c>
      <c r="H4188" s="8" t="str">
        <f>HYPERLINK("https://esbl.nhlbi.nih.gov/Databases/mpkFractions/proteomic_fractions_linear_files/Yang_linear_img/116734870.jpg","show blot")</f>
        <v>show blot</v>
      </c>
      <c r="J4188" s="5" t="s">
        <v>8174</v>
      </c>
      <c r="L4188" s="11">
        <v>5.4745448964693342</v>
      </c>
      <c r="N4188" s="12"/>
    </row>
    <row r="4189" spans="1:14" s="5" customFormat="1" ht="15" customHeight="1" x14ac:dyDescent="0.25">
      <c r="A4189" s="9" t="s">
        <v>8175</v>
      </c>
      <c r="C4189" s="9" t="str">
        <f>HYPERLINK("http://www.ncbi.nlm.nih.gov/protein/124486727","Ltn1")</f>
        <v>Ltn1</v>
      </c>
      <c r="D4189" s="10">
        <f t="shared" si="65"/>
        <v>4.06775276029731</v>
      </c>
      <c r="F4189" s="8" t="str">
        <f>HYPERLINK("https://esbl.nhlbi.nih.gov/Databases/mpkFractions/proteomic_fractions_log_files/Yang_log_img/124486727.jpg","show blot")</f>
        <v>show blot</v>
      </c>
      <c r="H4189" s="8" t="str">
        <f>HYPERLINK("https://esbl.nhlbi.nih.gov/Databases/mpkFractions/proteomic_fractions_linear_files/Yang_linear_img/124486727.jpg","show blot")</f>
        <v>show blot</v>
      </c>
      <c r="J4189" s="5" t="s">
        <v>8176</v>
      </c>
      <c r="L4189" s="11">
        <v>4.06775276029731</v>
      </c>
      <c r="N4189" s="12"/>
    </row>
    <row r="4190" spans="1:14" s="5" customFormat="1" ht="15" customHeight="1" x14ac:dyDescent="0.25">
      <c r="A4190" s="9" t="s">
        <v>8177</v>
      </c>
      <c r="C4190" s="9" t="str">
        <f>HYPERLINK("http://www.ncbi.nlm.nih.gov/protein/31324539","Ltv1")</f>
        <v>Ltv1</v>
      </c>
      <c r="D4190" s="10">
        <f t="shared" si="65"/>
        <v>3.874093224492491</v>
      </c>
      <c r="F4190" s="8" t="str">
        <f>HYPERLINK("https://esbl.nhlbi.nih.gov/Databases/mpkFractions/proteomic_fractions_log_files/Yang_log_img/31324539.jpg","show blot")</f>
        <v>show blot</v>
      </c>
      <c r="H4190" s="8" t="str">
        <f>HYPERLINK("https://esbl.nhlbi.nih.gov/Databases/mpkFractions/proteomic_fractions_linear_files/Yang_linear_img/31324539.jpg","show blot")</f>
        <v>show blot</v>
      </c>
      <c r="J4190" s="5" t="s">
        <v>8178</v>
      </c>
      <c r="L4190" s="11">
        <v>3.874093224492491</v>
      </c>
      <c r="N4190" s="12"/>
    </row>
    <row r="4191" spans="1:14" s="5" customFormat="1" ht="15" customHeight="1" x14ac:dyDescent="0.25">
      <c r="A4191" s="9" t="s">
        <v>8179</v>
      </c>
      <c r="C4191" s="9" t="str">
        <f>HYPERLINK("http://www.ncbi.nlm.nih.gov/protein/114158677","Luc7l")</f>
        <v>Luc7l</v>
      </c>
      <c r="D4191" s="10">
        <f t="shared" si="65"/>
        <v>4.781619414715732</v>
      </c>
      <c r="F4191" s="8" t="str">
        <f>HYPERLINK("https://esbl.nhlbi.nih.gov/Databases/mpkFractions/proteomic_fractions_log_files/Yang_log_img/114158677.jpg","show blot")</f>
        <v>show blot</v>
      </c>
      <c r="H4191" s="8" t="str">
        <f>HYPERLINK("https://esbl.nhlbi.nih.gov/Databases/mpkFractions/proteomic_fractions_linear_files/Yang_linear_img/114158677.jpg","show blot")</f>
        <v>show blot</v>
      </c>
      <c r="J4191" s="5" t="s">
        <v>8180</v>
      </c>
      <c r="L4191" s="11">
        <v>4.781619414715732</v>
      </c>
      <c r="N4191" s="12"/>
    </row>
    <row r="4192" spans="1:14" s="5" customFormat="1" ht="15" customHeight="1" x14ac:dyDescent="0.25">
      <c r="A4192" s="9" t="s">
        <v>8181</v>
      </c>
      <c r="C4192" s="9" t="str">
        <f>HYPERLINK("http://www.ncbi.nlm.nih.gov/protein/21536228","Luc7l")</f>
        <v>Luc7l</v>
      </c>
      <c r="D4192" s="10">
        <f t="shared" si="65"/>
        <v>4.781619414715732</v>
      </c>
      <c r="F4192" s="8" t="str">
        <f>HYPERLINK("https://esbl.nhlbi.nih.gov/Databases/mpkFractions/proteomic_fractions_log_files/Yang_log_img/21536228.jpg","show blot")</f>
        <v>show blot</v>
      </c>
      <c r="H4192" s="8" t="str">
        <f>HYPERLINK("https://esbl.nhlbi.nih.gov/Databases/mpkFractions/proteomic_fractions_linear_files/Yang_linear_img/21536228.jpg","show blot")</f>
        <v>show blot</v>
      </c>
      <c r="J4192" s="5" t="s">
        <v>8182</v>
      </c>
      <c r="L4192" s="11">
        <v>4.781619414715732</v>
      </c>
      <c r="N4192" s="12"/>
    </row>
    <row r="4193" spans="1:14" s="5" customFormat="1" ht="15" customHeight="1" x14ac:dyDescent="0.25">
      <c r="A4193" s="9" t="s">
        <v>8183</v>
      </c>
      <c r="C4193" s="9" t="str">
        <f>HYPERLINK("http://www.ncbi.nlm.nih.gov/protein/283806681","Luc7l2")</f>
        <v>Luc7l2</v>
      </c>
      <c r="D4193" s="10">
        <f t="shared" si="65"/>
        <v>5.2219617989818676</v>
      </c>
      <c r="F4193" s="8" t="str">
        <f>HYPERLINK("https://esbl.nhlbi.nih.gov/Databases/mpkFractions/proteomic_fractions_log_files/Yang_log_img/283806681.jpg","show blot")</f>
        <v>show blot</v>
      </c>
      <c r="H4193" s="8" t="str">
        <f>HYPERLINK("https://esbl.nhlbi.nih.gov/Databases/mpkFractions/proteomic_fractions_linear_files/Yang_linear_img/283806681.jpg","show blot")</f>
        <v>show blot</v>
      </c>
      <c r="J4193" s="5" t="s">
        <v>8184</v>
      </c>
      <c r="L4193" s="11">
        <v>5.2219617989818676</v>
      </c>
      <c r="N4193" s="12"/>
    </row>
    <row r="4194" spans="1:14" s="5" customFormat="1" ht="15" customHeight="1" x14ac:dyDescent="0.25">
      <c r="A4194" s="9" t="s">
        <v>8185</v>
      </c>
      <c r="C4194" s="9" t="str">
        <f>HYPERLINK("http://www.ncbi.nlm.nih.gov/protein/283806683","Luc7l2")</f>
        <v>Luc7l2</v>
      </c>
      <c r="D4194" s="10">
        <f t="shared" si="65"/>
        <v>5.2219617989818676</v>
      </c>
      <c r="F4194" s="8" t="str">
        <f>HYPERLINK("https://esbl.nhlbi.nih.gov/Databases/mpkFractions/proteomic_fractions_log_files/Yang_log_img/283806683.jpg","show blot")</f>
        <v>show blot</v>
      </c>
      <c r="H4194" s="8" t="str">
        <f>HYPERLINK("https://esbl.nhlbi.nih.gov/Databases/mpkFractions/proteomic_fractions_linear_files/Yang_linear_img/283806683.jpg","show blot")</f>
        <v>show blot</v>
      </c>
      <c r="J4194" s="5" t="s">
        <v>8186</v>
      </c>
      <c r="L4194" s="11">
        <v>5.2219617989818676</v>
      </c>
      <c r="N4194" s="12"/>
    </row>
    <row r="4195" spans="1:14" s="5" customFormat="1" ht="15" customHeight="1" x14ac:dyDescent="0.25">
      <c r="A4195" s="9" t="s">
        <v>8187</v>
      </c>
      <c r="C4195" s="9" t="str">
        <f>HYPERLINK("http://www.ncbi.nlm.nih.gov/protein/283806685","Luc7l2")</f>
        <v>Luc7l2</v>
      </c>
      <c r="D4195" s="10">
        <f t="shared" si="65"/>
        <v>5.2219617989818676</v>
      </c>
      <c r="F4195" s="8" t="str">
        <f>HYPERLINK("https://esbl.nhlbi.nih.gov/Databases/mpkFractions/proteomic_fractions_log_files/Yang_log_img/283806685.jpg","show blot")</f>
        <v>show blot</v>
      </c>
      <c r="H4195" s="8" t="str">
        <f>HYPERLINK("https://esbl.nhlbi.nih.gov/Databases/mpkFractions/proteomic_fractions_linear_files/Yang_linear_img/283806685.jpg","show blot")</f>
        <v>show blot</v>
      </c>
      <c r="J4195" s="5" t="s">
        <v>8188</v>
      </c>
      <c r="L4195" s="11">
        <v>5.2219617989818676</v>
      </c>
      <c r="N4195" s="12"/>
    </row>
    <row r="4196" spans="1:14" s="5" customFormat="1" ht="15" customHeight="1" x14ac:dyDescent="0.25">
      <c r="A4196" s="9" t="s">
        <v>8189</v>
      </c>
      <c r="C4196" s="9" t="str">
        <f>HYPERLINK("http://www.ncbi.nlm.nih.gov/protein/23956166","Luc7l3")</f>
        <v>Luc7l3</v>
      </c>
      <c r="D4196" s="10">
        <f t="shared" si="65"/>
        <v>4.8892694429602921</v>
      </c>
      <c r="F4196" s="8" t="str">
        <f>HYPERLINK("https://esbl.nhlbi.nih.gov/Databases/mpkFractions/proteomic_fractions_log_files/Yang_log_img/23956166.jpg","show blot")</f>
        <v>show blot</v>
      </c>
      <c r="H4196" s="8" t="str">
        <f>HYPERLINK("https://esbl.nhlbi.nih.gov/Databases/mpkFractions/proteomic_fractions_linear_files/Yang_linear_img/23956166.jpg","show blot")</f>
        <v>show blot</v>
      </c>
      <c r="J4196" s="5" t="s">
        <v>8190</v>
      </c>
      <c r="L4196" s="11">
        <v>4.8892694429602921</v>
      </c>
      <c r="N4196" s="12"/>
    </row>
    <row r="4197" spans="1:14" s="5" customFormat="1" ht="15" customHeight="1" x14ac:dyDescent="0.25">
      <c r="A4197" s="9" t="s">
        <v>8191</v>
      </c>
      <c r="C4197" s="9" t="str">
        <f>HYPERLINK("http://www.ncbi.nlm.nih.gov/protein/119433663","Luzp1")</f>
        <v>Luzp1</v>
      </c>
      <c r="D4197" s="10">
        <f t="shared" si="65"/>
        <v>2.558532148987414</v>
      </c>
      <c r="F4197" s="8" t="str">
        <f>HYPERLINK("https://esbl.nhlbi.nih.gov/Databases/mpkFractions/proteomic_fractions_log_files/Yang_log_img/119433663.jpg","show blot")</f>
        <v>show blot</v>
      </c>
      <c r="H4197" s="8" t="str">
        <f>HYPERLINK("https://esbl.nhlbi.nih.gov/Databases/mpkFractions/proteomic_fractions_linear_files/Yang_linear_img/119433663.jpg","show blot")</f>
        <v>show blot</v>
      </c>
      <c r="J4197" s="5" t="s">
        <v>8192</v>
      </c>
      <c r="L4197" s="11">
        <v>2.558532148987414</v>
      </c>
      <c r="N4197" s="12"/>
    </row>
    <row r="4198" spans="1:14" s="5" customFormat="1" ht="15" customHeight="1" x14ac:dyDescent="0.25">
      <c r="A4198" s="9" t="s">
        <v>8193</v>
      </c>
      <c r="C4198" s="9" t="str">
        <f>HYPERLINK("http://www.ncbi.nlm.nih.gov/protein/31980632","Lxn")</f>
        <v>Lxn</v>
      </c>
      <c r="D4198" s="10">
        <f t="shared" si="65"/>
        <v>5.603243473261716</v>
      </c>
      <c r="F4198" s="8" t="str">
        <f>HYPERLINK("https://esbl.nhlbi.nih.gov/Databases/mpkFractions/proteomic_fractions_log_files/Yang_log_img/31980632.jpg","show blot")</f>
        <v>show blot</v>
      </c>
      <c r="H4198" s="8" t="str">
        <f>HYPERLINK("https://esbl.nhlbi.nih.gov/Databases/mpkFractions/proteomic_fractions_linear_files/Yang_linear_img/31980632.jpg","show blot")</f>
        <v>show blot</v>
      </c>
      <c r="J4198" s="5" t="s">
        <v>8194</v>
      </c>
      <c r="L4198" s="11">
        <v>5.603243473261716</v>
      </c>
      <c r="N4198" s="12"/>
    </row>
    <row r="4199" spans="1:14" s="5" customFormat="1" ht="15" customHeight="1" x14ac:dyDescent="0.25">
      <c r="A4199" s="9" t="s">
        <v>8195</v>
      </c>
      <c r="C4199" s="9" t="str">
        <f>HYPERLINK("http://www.ncbi.nlm.nih.gov/protein/255708401","Ly6e")</f>
        <v>Ly6e</v>
      </c>
      <c r="D4199" s="10">
        <f t="shared" si="65"/>
        <v>4.1700226623000116</v>
      </c>
      <c r="F4199" s="8" t="str">
        <f>HYPERLINK("https://esbl.nhlbi.nih.gov/Databases/mpkFractions/proteomic_fractions_log_files/Yang_log_img/255708401.jpg","show blot")</f>
        <v>show blot</v>
      </c>
      <c r="H4199" s="8" t="str">
        <f>HYPERLINK("https://esbl.nhlbi.nih.gov/Databases/mpkFractions/proteomic_fractions_linear_files/Yang_linear_img/255708401.jpg","show blot")</f>
        <v>show blot</v>
      </c>
      <c r="J4199" s="5" t="s">
        <v>8196</v>
      </c>
      <c r="L4199" s="11">
        <v>4.1700226623000116</v>
      </c>
      <c r="N4199" s="12"/>
    </row>
    <row r="4200" spans="1:14" s="5" customFormat="1" ht="15" customHeight="1" x14ac:dyDescent="0.25">
      <c r="A4200" s="9" t="s">
        <v>8197</v>
      </c>
      <c r="C4200" s="9" t="str">
        <f>HYPERLINK("http://www.ncbi.nlm.nih.gov/protein/148747179","Ly75")</f>
        <v>Ly75</v>
      </c>
      <c r="D4200" s="10">
        <f t="shared" si="65"/>
        <v>2.8139085546079379</v>
      </c>
      <c r="F4200" s="8" t="str">
        <f>HYPERLINK("https://esbl.nhlbi.nih.gov/Databases/mpkFractions/proteomic_fractions_log_files/Yang_log_img/148747179.jpg","show blot")</f>
        <v>show blot</v>
      </c>
      <c r="H4200" s="8" t="str">
        <f>HYPERLINK("https://esbl.nhlbi.nih.gov/Databases/mpkFractions/proteomic_fractions_linear_files/Yang_linear_img/148747179.jpg","show blot")</f>
        <v>show blot</v>
      </c>
      <c r="J4200" s="5" t="s">
        <v>8198</v>
      </c>
      <c r="L4200" s="11">
        <v>2.8139085546079379</v>
      </c>
      <c r="N4200" s="12"/>
    </row>
    <row r="4201" spans="1:14" s="5" customFormat="1" ht="15" customHeight="1" x14ac:dyDescent="0.25">
      <c r="A4201" s="9" t="s">
        <v>8199</v>
      </c>
      <c r="C4201" s="9" t="str">
        <f>HYPERLINK("http://www.ncbi.nlm.nih.gov/protein/188219567","Lyar")</f>
        <v>Lyar</v>
      </c>
      <c r="D4201" s="10">
        <f t="shared" si="65"/>
        <v>4.8614035602772887</v>
      </c>
      <c r="F4201" s="8" t="str">
        <f>HYPERLINK("https://esbl.nhlbi.nih.gov/Databases/mpkFractions/proteomic_fractions_log_files/Yang_log_img/188219567.jpg","show blot")</f>
        <v>show blot</v>
      </c>
      <c r="H4201" s="8" t="str">
        <f>HYPERLINK("https://esbl.nhlbi.nih.gov/Databases/mpkFractions/proteomic_fractions_linear_files/Yang_linear_img/188219567.jpg","show blot")</f>
        <v>show blot</v>
      </c>
      <c r="J4201" s="5" t="s">
        <v>8200</v>
      </c>
      <c r="L4201" s="11">
        <v>4.8614035602772887</v>
      </c>
      <c r="N4201" s="12"/>
    </row>
    <row r="4202" spans="1:14" s="5" customFormat="1" ht="15" customHeight="1" x14ac:dyDescent="0.25">
      <c r="A4202" s="9" t="s">
        <v>8201</v>
      </c>
      <c r="C4202" s="9" t="str">
        <f>HYPERLINK("http://www.ncbi.nlm.nih.gov/protein/161760634","Lyn")</f>
        <v>Lyn</v>
      </c>
      <c r="D4202" s="10">
        <f t="shared" si="65"/>
        <v>5.2741727992417298</v>
      </c>
      <c r="F4202" s="8" t="str">
        <f>HYPERLINK("https://esbl.nhlbi.nih.gov/Databases/mpkFractions/proteomic_fractions_log_files/Yang_log_img/161760634.jpg","show blot")</f>
        <v>show blot</v>
      </c>
      <c r="H4202" s="8" t="str">
        <f>HYPERLINK("https://esbl.nhlbi.nih.gov/Databases/mpkFractions/proteomic_fractions_linear_files/Yang_linear_img/161760634.jpg","show blot")</f>
        <v>show blot</v>
      </c>
      <c r="J4202" s="5" t="s">
        <v>8202</v>
      </c>
      <c r="L4202" s="11">
        <v>5.2741727992417298</v>
      </c>
      <c r="N4202" s="12"/>
    </row>
    <row r="4203" spans="1:14" s="5" customFormat="1" ht="15" customHeight="1" x14ac:dyDescent="0.25">
      <c r="A4203" s="9" t="s">
        <v>8203</v>
      </c>
      <c r="C4203" s="9" t="str">
        <f>HYPERLINK("http://www.ncbi.nlm.nih.gov/protein/161760636","Lyn")</f>
        <v>Lyn</v>
      </c>
      <c r="D4203" s="10">
        <f t="shared" si="65"/>
        <v>5.2741727992417298</v>
      </c>
      <c r="F4203" s="8" t="str">
        <f>HYPERLINK("https://esbl.nhlbi.nih.gov/Databases/mpkFractions/proteomic_fractions_log_files/Yang_log_img/161760636.jpg","show blot")</f>
        <v>show blot</v>
      </c>
      <c r="H4203" s="8" t="str">
        <f>HYPERLINK("https://esbl.nhlbi.nih.gov/Databases/mpkFractions/proteomic_fractions_linear_files/Yang_linear_img/161760636.jpg","show blot")</f>
        <v>show blot</v>
      </c>
      <c r="J4203" s="5" t="s">
        <v>8204</v>
      </c>
      <c r="L4203" s="11">
        <v>5.2741727992417298</v>
      </c>
      <c r="N4203" s="12"/>
    </row>
    <row r="4204" spans="1:14" s="5" customFormat="1" ht="15" customHeight="1" x14ac:dyDescent="0.25">
      <c r="A4204" s="9" t="s">
        <v>8205</v>
      </c>
      <c r="C4204" s="9" t="str">
        <f>HYPERLINK("http://www.ncbi.nlm.nih.gov/protein/6678760","Lypla1")</f>
        <v>Lypla1</v>
      </c>
      <c r="D4204" s="10">
        <f t="shared" si="65"/>
        <v>5.5796579717423613</v>
      </c>
      <c r="F4204" s="8" t="str">
        <f>HYPERLINK("https://esbl.nhlbi.nih.gov/Databases/mpkFractions/proteomic_fractions_log_files/Yang_log_img/6678760.jpg","show blot")</f>
        <v>show blot</v>
      </c>
      <c r="H4204" s="8" t="str">
        <f>HYPERLINK("https://esbl.nhlbi.nih.gov/Databases/mpkFractions/proteomic_fractions_linear_files/Yang_linear_img/6678760.jpg","show blot")</f>
        <v>show blot</v>
      </c>
      <c r="J4204" s="5" t="s">
        <v>8206</v>
      </c>
      <c r="L4204" s="11">
        <v>5.5796579717423613</v>
      </c>
      <c r="N4204" s="12"/>
    </row>
    <row r="4205" spans="1:14" s="5" customFormat="1" ht="15" customHeight="1" x14ac:dyDescent="0.25">
      <c r="A4205" s="9" t="s">
        <v>8207</v>
      </c>
      <c r="C4205" s="9" t="str">
        <f>HYPERLINK("http://www.ncbi.nlm.nih.gov/protein/7242156","Lypla2")</f>
        <v>Lypla2</v>
      </c>
      <c r="D4205" s="10">
        <f t="shared" si="65"/>
        <v>4.7878671751598869</v>
      </c>
      <c r="F4205" s="8" t="str">
        <f>HYPERLINK("https://esbl.nhlbi.nih.gov/Databases/mpkFractions/proteomic_fractions_log_files/Yang_log_img/7242156.jpg","show blot")</f>
        <v>show blot</v>
      </c>
      <c r="H4205" s="8" t="str">
        <f>HYPERLINK("https://esbl.nhlbi.nih.gov/Databases/mpkFractions/proteomic_fractions_linear_files/Yang_linear_img/7242156.jpg","show blot")</f>
        <v>show blot</v>
      </c>
      <c r="J4205" s="5" t="s">
        <v>8208</v>
      </c>
      <c r="L4205" s="11">
        <v>4.7878671751598869</v>
      </c>
      <c r="N4205" s="12"/>
    </row>
    <row r="4206" spans="1:14" s="5" customFormat="1" ht="15" customHeight="1" x14ac:dyDescent="0.25">
      <c r="A4206" s="9" t="s">
        <v>8209</v>
      </c>
      <c r="C4206" s="9" t="str">
        <f>HYPERLINK("http://www.ncbi.nlm.nih.gov/protein/227496223","Lyplal1")</f>
        <v>Lyplal1</v>
      </c>
      <c r="D4206" s="10">
        <f t="shared" si="65"/>
        <v>4.5478493234046669</v>
      </c>
      <c r="F4206" s="8" t="str">
        <f>HYPERLINK("https://esbl.nhlbi.nih.gov/Databases/mpkFractions/proteomic_fractions_log_files/Yang_log_img/227496223.jpg","show blot")</f>
        <v>show blot</v>
      </c>
      <c r="H4206" s="8" t="str">
        <f>HYPERLINK("https://esbl.nhlbi.nih.gov/Databases/mpkFractions/proteomic_fractions_linear_files/Yang_linear_img/227496223.jpg","show blot")</f>
        <v>show blot</v>
      </c>
      <c r="J4206" s="5" t="s">
        <v>8210</v>
      </c>
      <c r="L4206" s="11">
        <v>4.5478493234046669</v>
      </c>
      <c r="N4206" s="12"/>
    </row>
    <row r="4207" spans="1:14" s="5" customFormat="1" ht="15" customHeight="1" x14ac:dyDescent="0.25">
      <c r="A4207" s="9" t="s">
        <v>8211</v>
      </c>
      <c r="C4207" s="9" t="str">
        <f>HYPERLINK("http://www.ncbi.nlm.nih.gov/protein/41235733","Lyrm4")</f>
        <v>Lyrm4</v>
      </c>
      <c r="D4207" s="10">
        <f t="shared" si="65"/>
        <v>5.0431097494538042</v>
      </c>
      <c r="F4207" s="8" t="str">
        <f>HYPERLINK("https://esbl.nhlbi.nih.gov/Databases/mpkFractions/proteomic_fractions_log_files/Yang_log_img/41235733.jpg","show blot")</f>
        <v>show blot</v>
      </c>
      <c r="H4207" s="8" t="str">
        <f>HYPERLINK("https://esbl.nhlbi.nih.gov/Databases/mpkFractions/proteomic_fractions_linear_files/Yang_linear_img/41235733.jpg","show blot")</f>
        <v>show blot</v>
      </c>
      <c r="J4207" s="5" t="s">
        <v>8212</v>
      </c>
      <c r="L4207" s="11">
        <v>5.0431097494538042</v>
      </c>
      <c r="N4207" s="12"/>
    </row>
    <row r="4208" spans="1:14" s="5" customFormat="1" ht="15" customHeight="1" x14ac:dyDescent="0.25">
      <c r="A4208" s="9" t="s">
        <v>8213</v>
      </c>
      <c r="C4208" s="9" t="str">
        <f>HYPERLINK("http://www.ncbi.nlm.nih.gov/protein/19526856","Lyrm5")</f>
        <v>Lyrm5</v>
      </c>
      <c r="D4208" s="10">
        <f t="shared" si="65"/>
        <v>2.575821001102844</v>
      </c>
      <c r="F4208" s="8" t="str">
        <f>HYPERLINK("https://esbl.nhlbi.nih.gov/Databases/mpkFractions/proteomic_fractions_log_files/Yang_log_img/19526856.jpg","show blot")</f>
        <v>show blot</v>
      </c>
      <c r="H4208" s="8" t="str">
        <f>HYPERLINK("https://esbl.nhlbi.nih.gov/Databases/mpkFractions/proteomic_fractions_linear_files/Yang_linear_img/19526856.jpg","show blot")</f>
        <v>show blot</v>
      </c>
      <c r="J4208" s="5" t="s">
        <v>8214</v>
      </c>
      <c r="L4208" s="11">
        <v>2.575821001102844</v>
      </c>
      <c r="N4208" s="12"/>
    </row>
    <row r="4209" spans="1:14" s="5" customFormat="1" ht="15" customHeight="1" x14ac:dyDescent="0.25">
      <c r="A4209" s="9" t="s">
        <v>8215</v>
      </c>
      <c r="C4209" s="9" t="str">
        <f>HYPERLINK("http://www.ncbi.nlm.nih.gov/protein/111955376","Lyst")</f>
        <v>Lyst</v>
      </c>
      <c r="D4209" s="10">
        <f t="shared" si="65"/>
        <v>2.1357406195732112</v>
      </c>
      <c r="F4209" s="8" t="str">
        <f>HYPERLINK("https://esbl.nhlbi.nih.gov/Databases/mpkFractions/proteomic_fractions_log_files/Yang_log_img/111955376.jpg","show blot")</f>
        <v>show blot</v>
      </c>
      <c r="H4209" s="8" t="str">
        <f>HYPERLINK("https://esbl.nhlbi.nih.gov/Databases/mpkFractions/proteomic_fractions_linear_files/Yang_linear_img/111955376.jpg","show blot")</f>
        <v>show blot</v>
      </c>
      <c r="J4209" s="5" t="s">
        <v>8216</v>
      </c>
      <c r="L4209" s="11">
        <v>2.1357406195732112</v>
      </c>
      <c r="N4209" s="12"/>
    </row>
    <row r="4210" spans="1:14" s="5" customFormat="1" ht="15" customHeight="1" x14ac:dyDescent="0.25">
      <c r="A4210" s="9" t="s">
        <v>8217</v>
      </c>
      <c r="C4210" s="9" t="str">
        <f>HYPERLINK("http://www.ncbi.nlm.nih.gov/protein/27229082","Lzic")</f>
        <v>Lzic</v>
      </c>
      <c r="D4210" s="10">
        <f t="shared" si="65"/>
        <v>4.9152071847828127</v>
      </c>
      <c r="F4210" s="8" t="str">
        <f>HYPERLINK("https://esbl.nhlbi.nih.gov/Databases/mpkFractions/proteomic_fractions_log_files/Yang_log_img/27229082.jpg","show blot")</f>
        <v>show blot</v>
      </c>
      <c r="H4210" s="8" t="str">
        <f>HYPERLINK("https://esbl.nhlbi.nih.gov/Databases/mpkFractions/proteomic_fractions_linear_files/Yang_linear_img/27229082.jpg","show blot")</f>
        <v>show blot</v>
      </c>
      <c r="J4210" s="5" t="s">
        <v>8218</v>
      </c>
      <c r="L4210" s="11">
        <v>4.9152071847828127</v>
      </c>
      <c r="N4210" s="12"/>
    </row>
    <row r="4211" spans="1:14" s="5" customFormat="1" ht="15" customHeight="1" x14ac:dyDescent="0.25">
      <c r="A4211" s="9" t="s">
        <v>8219</v>
      </c>
      <c r="C4211" s="9" t="str">
        <f>HYPERLINK("http://www.ncbi.nlm.nih.gov/protein/15277319","Lztfl1")</f>
        <v>Lztfl1</v>
      </c>
      <c r="D4211" s="10">
        <f t="shared" si="65"/>
        <v>5.3074025571404881</v>
      </c>
      <c r="F4211" s="8" t="str">
        <f>HYPERLINK("https://esbl.nhlbi.nih.gov/Databases/mpkFractions/proteomic_fractions_log_files/Yang_log_img/15277319.jpg","show blot")</f>
        <v>show blot</v>
      </c>
      <c r="H4211" s="8" t="str">
        <f>HYPERLINK("https://esbl.nhlbi.nih.gov/Databases/mpkFractions/proteomic_fractions_linear_files/Yang_linear_img/15277319.jpg","show blot")</f>
        <v>show blot</v>
      </c>
      <c r="J4211" s="5" t="s">
        <v>8220</v>
      </c>
      <c r="L4211" s="11">
        <v>5.3074025571404881</v>
      </c>
      <c r="N4211" s="12"/>
    </row>
    <row r="4212" spans="1:14" s="5" customFormat="1" ht="15" customHeight="1" x14ac:dyDescent="0.25">
      <c r="A4212" s="9" t="s">
        <v>8221</v>
      </c>
      <c r="C4212" s="9" t="str">
        <f>HYPERLINK("http://www.ncbi.nlm.nih.gov/protein/27229001","Lztr1")</f>
        <v>Lztr1</v>
      </c>
      <c r="D4212" s="10">
        <f t="shared" si="65"/>
        <v>3.0820257702009282</v>
      </c>
      <c r="F4212" s="8" t="str">
        <f>HYPERLINK("https://esbl.nhlbi.nih.gov/Databases/mpkFractions/proteomic_fractions_log_files/Yang_log_img/27229001.jpg","show blot")</f>
        <v>show blot</v>
      </c>
      <c r="H4212" s="8" t="str">
        <f>HYPERLINK("https://esbl.nhlbi.nih.gov/Databases/mpkFractions/proteomic_fractions_linear_files/Yang_linear_img/27229001.jpg","show blot")</f>
        <v>show blot</v>
      </c>
      <c r="J4212" s="5" t="s">
        <v>8222</v>
      </c>
      <c r="L4212" s="11">
        <v>3.0820257702009282</v>
      </c>
      <c r="N4212" s="12"/>
    </row>
    <row r="4213" spans="1:14" s="5" customFormat="1" ht="15" customHeight="1" x14ac:dyDescent="0.25">
      <c r="A4213" s="9" t="s">
        <v>8223</v>
      </c>
      <c r="C4213" s="9" t="str">
        <f>HYPERLINK("http://www.ncbi.nlm.nih.gov/protein/14916479","M6pr")</f>
        <v>M6pr</v>
      </c>
      <c r="D4213" s="10">
        <f t="shared" si="65"/>
        <v>5.6417723732661313</v>
      </c>
      <c r="F4213" s="8" t="str">
        <f>HYPERLINK("https://esbl.nhlbi.nih.gov/Databases/mpkFractions/proteomic_fractions_log_files/Yang_log_img/14916479.jpg","show blot")</f>
        <v>show blot</v>
      </c>
      <c r="H4213" s="8" t="str">
        <f>HYPERLINK("https://esbl.nhlbi.nih.gov/Databases/mpkFractions/proteomic_fractions_linear_files/Yang_linear_img/14916479.jpg","show blot")</f>
        <v>show blot</v>
      </c>
      <c r="J4213" s="5" t="s">
        <v>8224</v>
      </c>
      <c r="L4213" s="11">
        <v>5.6417723732661313</v>
      </c>
      <c r="N4213" s="12"/>
    </row>
    <row r="4214" spans="1:14" s="5" customFormat="1" ht="15" customHeight="1" x14ac:dyDescent="0.25">
      <c r="A4214" s="9" t="s">
        <v>8225</v>
      </c>
      <c r="C4214" s="9" t="str">
        <f>HYPERLINK("http://www.ncbi.nlm.nih.gov/protein/253314482","Macc1")</f>
        <v>Macc1</v>
      </c>
      <c r="D4214" s="10">
        <f t="shared" si="65"/>
        <v>2.9776819592809138</v>
      </c>
      <c r="F4214" s="8" t="str">
        <f>HYPERLINK("https://esbl.nhlbi.nih.gov/Databases/mpkFractions/proteomic_fractions_log_files/Yang_log_img/253314482.jpg","show blot")</f>
        <v>show blot</v>
      </c>
      <c r="H4214" s="8" t="str">
        <f>HYPERLINK("https://esbl.nhlbi.nih.gov/Databases/mpkFractions/proteomic_fractions_linear_files/Yang_linear_img/253314482.jpg","show blot")</f>
        <v>show blot</v>
      </c>
      <c r="J4214" s="5" t="s">
        <v>8226</v>
      </c>
      <c r="L4214" s="11">
        <v>2.9776819592809138</v>
      </c>
      <c r="N4214" s="12"/>
    </row>
    <row r="4215" spans="1:14" s="5" customFormat="1" ht="15" customHeight="1" x14ac:dyDescent="0.25">
      <c r="A4215" s="9" t="s">
        <v>8227</v>
      </c>
      <c r="C4215" s="9" t="str">
        <f>HYPERLINK("http://www.ncbi.nlm.nih.gov/protein/312433955","Macf1")</f>
        <v>Macf1</v>
      </c>
      <c r="D4215" s="10">
        <f t="shared" si="65"/>
        <v>4.676440352776674</v>
      </c>
      <c r="F4215" s="8" t="str">
        <f>HYPERLINK("https://esbl.nhlbi.nih.gov/Databases/mpkFractions/proteomic_fractions_log_files/Yang_log_img/312433955.jpg","show blot")</f>
        <v>show blot</v>
      </c>
      <c r="H4215" s="8" t="str">
        <f>HYPERLINK("https://esbl.nhlbi.nih.gov/Databases/mpkFractions/proteomic_fractions_linear_files/Yang_linear_img/312433955.jpg","show blot")</f>
        <v>show blot</v>
      </c>
      <c r="J4215" s="5" t="s">
        <v>8228</v>
      </c>
      <c r="L4215" s="11">
        <v>4.676440352776674</v>
      </c>
      <c r="N4215" s="12"/>
    </row>
    <row r="4216" spans="1:14" s="5" customFormat="1" ht="15" customHeight="1" x14ac:dyDescent="0.25">
      <c r="A4216" s="9" t="s">
        <v>8229</v>
      </c>
      <c r="C4216" s="9" t="str">
        <f>HYPERLINK("http://www.ncbi.nlm.nih.gov/protein/312433957","Macf1")</f>
        <v>Macf1</v>
      </c>
      <c r="D4216" s="10">
        <f t="shared" si="65"/>
        <v>4.676440352776674</v>
      </c>
      <c r="F4216" s="8" t="str">
        <f>HYPERLINK("https://esbl.nhlbi.nih.gov/Databases/mpkFractions/proteomic_fractions_log_files/Yang_log_img/312433957.jpg","show blot")</f>
        <v>show blot</v>
      </c>
      <c r="H4216" s="8" t="str">
        <f>HYPERLINK("https://esbl.nhlbi.nih.gov/Databases/mpkFractions/proteomic_fractions_linear_files/Yang_linear_img/312433957.jpg","show blot")</f>
        <v>show blot</v>
      </c>
      <c r="J4216" s="5" t="s">
        <v>8230</v>
      </c>
      <c r="L4216" s="11">
        <v>4.676440352776674</v>
      </c>
      <c r="N4216" s="12"/>
    </row>
    <row r="4217" spans="1:14" s="5" customFormat="1" ht="15" customHeight="1" x14ac:dyDescent="0.25">
      <c r="A4217" s="9" t="s">
        <v>8231</v>
      </c>
      <c r="C4217" s="9" t="str">
        <f>HYPERLINK("http://www.ncbi.nlm.nih.gov/protein/170650601","Macrod1")</f>
        <v>Macrod1</v>
      </c>
      <c r="D4217" s="10">
        <f t="shared" si="65"/>
        <v>4.6788460941883194</v>
      </c>
      <c r="F4217" s="8" t="str">
        <f>HYPERLINK("https://esbl.nhlbi.nih.gov/Databases/mpkFractions/proteomic_fractions_log_files/Yang_log_img/170650601.jpg","show blot")</f>
        <v>show blot</v>
      </c>
      <c r="H4217" s="8" t="str">
        <f>HYPERLINK("https://esbl.nhlbi.nih.gov/Databases/mpkFractions/proteomic_fractions_linear_files/Yang_linear_img/170650601.jpg","show blot")</f>
        <v>show blot</v>
      </c>
      <c r="J4217" s="5" t="s">
        <v>8232</v>
      </c>
      <c r="L4217" s="11">
        <v>4.6788460941883194</v>
      </c>
      <c r="N4217" s="12"/>
    </row>
    <row r="4218" spans="1:14" s="5" customFormat="1" ht="15" customHeight="1" x14ac:dyDescent="0.25">
      <c r="A4218" s="9" t="s">
        <v>8233</v>
      </c>
      <c r="C4218" s="9" t="str">
        <f>HYPERLINK("http://www.ncbi.nlm.nih.gov/protein/88014564","Mad1l1")</f>
        <v>Mad1l1</v>
      </c>
      <c r="D4218" s="10">
        <f t="shared" si="65"/>
        <v>3.353337377934448</v>
      </c>
      <c r="F4218" s="8" t="str">
        <f>HYPERLINK("https://esbl.nhlbi.nih.gov/Databases/mpkFractions/proteomic_fractions_log_files/Yang_log_img/88014564.jpg","show blot")</f>
        <v>show blot</v>
      </c>
      <c r="H4218" s="8" t="str">
        <f>HYPERLINK("https://esbl.nhlbi.nih.gov/Databases/mpkFractions/proteomic_fractions_linear_files/Yang_linear_img/88014564.jpg","show blot")</f>
        <v>show blot</v>
      </c>
      <c r="J4218" s="5" t="s">
        <v>8234</v>
      </c>
      <c r="L4218" s="11">
        <v>3.353337377934448</v>
      </c>
      <c r="N4218" s="12"/>
    </row>
    <row r="4219" spans="1:14" s="5" customFormat="1" ht="15" customHeight="1" x14ac:dyDescent="0.25">
      <c r="A4219" s="9" t="s">
        <v>8235</v>
      </c>
      <c r="C4219" s="9" t="str">
        <f>HYPERLINK("http://www.ncbi.nlm.nih.gov/protein/31543218","Mad2l1")</f>
        <v>Mad2l1</v>
      </c>
      <c r="D4219" s="10">
        <f t="shared" si="65"/>
        <v>4.3186648478961969</v>
      </c>
      <c r="F4219" s="8" t="str">
        <f>HYPERLINK("https://esbl.nhlbi.nih.gov/Databases/mpkFractions/proteomic_fractions_log_files/Yang_log_img/31543218.jpg","show blot")</f>
        <v>show blot</v>
      </c>
      <c r="H4219" s="8" t="str">
        <f>HYPERLINK("https://esbl.nhlbi.nih.gov/Databases/mpkFractions/proteomic_fractions_linear_files/Yang_linear_img/31543218.jpg","show blot")</f>
        <v>show blot</v>
      </c>
      <c r="J4219" s="5" t="s">
        <v>8236</v>
      </c>
      <c r="L4219" s="11">
        <v>4.3186648478961969</v>
      </c>
      <c r="N4219" s="12"/>
    </row>
    <row r="4220" spans="1:14" s="5" customFormat="1" ht="15" customHeight="1" x14ac:dyDescent="0.25">
      <c r="A4220" s="9" t="s">
        <v>8237</v>
      </c>
      <c r="C4220" s="9" t="str">
        <f>HYPERLINK("http://www.ncbi.nlm.nih.gov/protein/120407043","Maea")</f>
        <v>Maea</v>
      </c>
      <c r="D4220" s="10">
        <f t="shared" si="65"/>
        <v>3.8934002979865179</v>
      </c>
      <c r="F4220" s="8" t="str">
        <f>HYPERLINK("https://esbl.nhlbi.nih.gov/Databases/mpkFractions/proteomic_fractions_log_files/Yang_log_img/120407043.jpg","show blot")</f>
        <v>show blot</v>
      </c>
      <c r="H4220" s="8" t="str">
        <f>HYPERLINK("https://esbl.nhlbi.nih.gov/Databases/mpkFractions/proteomic_fractions_linear_files/Yang_linear_img/120407043.jpg","show blot")</f>
        <v>show blot</v>
      </c>
      <c r="J4220" s="5" t="s">
        <v>8238</v>
      </c>
      <c r="L4220" s="11">
        <v>3.8934002979865179</v>
      </c>
      <c r="N4220" s="12"/>
    </row>
    <row r="4221" spans="1:14" s="5" customFormat="1" ht="15" customHeight="1" x14ac:dyDescent="0.25">
      <c r="A4221" s="9" t="s">
        <v>8239</v>
      </c>
      <c r="C4221" s="9" t="str">
        <f>HYPERLINK("http://www.ncbi.nlm.nih.gov/protein/148238102","Magea10")</f>
        <v>Magea10</v>
      </c>
      <c r="D4221" s="10">
        <f t="shared" si="65"/>
        <v>3.837290576584742</v>
      </c>
      <c r="F4221" s="8" t="str">
        <f>HYPERLINK("https://esbl.nhlbi.nih.gov/Databases/mpkFractions/proteomic_fractions_log_files/Yang_log_img/148238102.jpg","show blot")</f>
        <v>show blot</v>
      </c>
      <c r="H4221" s="8" t="str">
        <f>HYPERLINK("https://esbl.nhlbi.nih.gov/Databases/mpkFractions/proteomic_fractions_linear_files/Yang_linear_img/148238102.jpg","show blot")</f>
        <v>show blot</v>
      </c>
      <c r="J4221" s="5" t="s">
        <v>8240</v>
      </c>
      <c r="L4221" s="11">
        <v>3.837290576584742</v>
      </c>
      <c r="N4221" s="12"/>
    </row>
    <row r="4222" spans="1:14" s="5" customFormat="1" ht="15" customHeight="1" x14ac:dyDescent="0.25">
      <c r="A4222" s="9" t="s">
        <v>8241</v>
      </c>
      <c r="C4222" s="9" t="str">
        <f>HYPERLINK("http://www.ncbi.nlm.nih.gov/protein/9789935","Maged1")</f>
        <v>Maged1</v>
      </c>
      <c r="D4222" s="10">
        <f t="shared" si="65"/>
        <v>1.885619348072324</v>
      </c>
      <c r="F4222" s="8" t="str">
        <f>HYPERLINK("https://esbl.nhlbi.nih.gov/Databases/mpkFractions/proteomic_fractions_log_files/Yang_log_img/9789935.jpg","show blot")</f>
        <v>show blot</v>
      </c>
      <c r="H4222" s="8" t="str">
        <f>HYPERLINK("https://esbl.nhlbi.nih.gov/Databases/mpkFractions/proteomic_fractions_linear_files/Yang_linear_img/9789935.jpg","show blot")</f>
        <v>show blot</v>
      </c>
      <c r="J4222" s="5" t="s">
        <v>8242</v>
      </c>
      <c r="L4222" s="11">
        <v>1.885619348072324</v>
      </c>
      <c r="N4222" s="12"/>
    </row>
    <row r="4223" spans="1:14" s="5" customFormat="1" ht="15" customHeight="1" x14ac:dyDescent="0.25">
      <c r="A4223" s="9" t="s">
        <v>8243</v>
      </c>
      <c r="C4223" s="9" t="str">
        <f>HYPERLINK("http://www.ncbi.nlm.nih.gov/protein/407262474","Maged2")</f>
        <v>Maged2</v>
      </c>
      <c r="D4223" s="10">
        <f t="shared" si="65"/>
        <v>2.9474575144484851</v>
      </c>
      <c r="F4223" s="8" t="str">
        <f>HYPERLINK("https://esbl.nhlbi.nih.gov/Databases/mpkFractions/proteomic_fractions_log_files/Yang_log_img/407262474.jpg","show blot")</f>
        <v>show blot</v>
      </c>
      <c r="H4223" s="8" t="str">
        <f>HYPERLINK("https://esbl.nhlbi.nih.gov/Databases/mpkFractions/proteomic_fractions_linear_files/Yang_linear_img/407262474.jpg","show blot")</f>
        <v>show blot</v>
      </c>
      <c r="J4223" s="5" t="s">
        <v>8244</v>
      </c>
      <c r="L4223" s="11">
        <v>2.9474575144484851</v>
      </c>
      <c r="N4223" s="12"/>
    </row>
    <row r="4224" spans="1:14" s="5" customFormat="1" ht="15" customHeight="1" x14ac:dyDescent="0.25">
      <c r="A4224" s="9" t="s">
        <v>8245</v>
      </c>
      <c r="C4224" s="9" t="str">
        <f>HYPERLINK("http://www.ncbi.nlm.nih.gov/protein/13507638","Maged2")</f>
        <v>Maged2</v>
      </c>
      <c r="D4224" s="10">
        <f t="shared" si="65"/>
        <v>2.9474575144484851</v>
      </c>
      <c r="F4224" s="8" t="str">
        <f>HYPERLINK("https://esbl.nhlbi.nih.gov/Databases/mpkFractions/proteomic_fractions_log_files/Yang_log_img/13507638.jpg","show blot")</f>
        <v>show blot</v>
      </c>
      <c r="H4224" s="8" t="str">
        <f>HYPERLINK("https://esbl.nhlbi.nih.gov/Databases/mpkFractions/proteomic_fractions_linear_files/Yang_linear_img/13507638.jpg","show blot")</f>
        <v>show blot</v>
      </c>
      <c r="J4224" s="5" t="s">
        <v>8246</v>
      </c>
      <c r="L4224" s="11">
        <v>2.9474575144484851</v>
      </c>
      <c r="N4224" s="12"/>
    </row>
    <row r="4225" spans="1:14" s="5" customFormat="1" ht="15" customHeight="1" x14ac:dyDescent="0.25">
      <c r="A4225" s="9" t="s">
        <v>8247</v>
      </c>
      <c r="C4225" s="9" t="str">
        <f>HYPERLINK("http://www.ncbi.nlm.nih.gov/protein/134031962","Magi1")</f>
        <v>Magi1</v>
      </c>
      <c r="D4225" s="10">
        <f t="shared" si="65"/>
        <v>1.7119971177600151</v>
      </c>
      <c r="F4225" s="8" t="str">
        <f>HYPERLINK("https://esbl.nhlbi.nih.gov/Databases/mpkFractions/proteomic_fractions_log_files/Yang_log_img/134031962.jpg","show blot")</f>
        <v>show blot</v>
      </c>
      <c r="H4225" s="8" t="str">
        <f>HYPERLINK("https://esbl.nhlbi.nih.gov/Databases/mpkFractions/proteomic_fractions_linear_files/Yang_linear_img/134031962.jpg","show blot")</f>
        <v>show blot</v>
      </c>
      <c r="J4225" s="5" t="s">
        <v>8248</v>
      </c>
      <c r="L4225" s="11">
        <v>1.7119971177600151</v>
      </c>
      <c r="N4225" s="12"/>
    </row>
    <row r="4226" spans="1:14" s="5" customFormat="1" ht="15" customHeight="1" x14ac:dyDescent="0.25">
      <c r="A4226" s="9" t="s">
        <v>8249</v>
      </c>
      <c r="C4226" s="9" t="str">
        <f>HYPERLINK("http://www.ncbi.nlm.nih.gov/protein/134031999","Magi1")</f>
        <v>Magi1</v>
      </c>
      <c r="D4226" s="10">
        <f t="shared" si="65"/>
        <v>1.7119971177600151</v>
      </c>
      <c r="F4226" s="8" t="str">
        <f>HYPERLINK("https://esbl.nhlbi.nih.gov/Databases/mpkFractions/proteomic_fractions_log_files/Yang_log_img/134031999.jpg","show blot")</f>
        <v>show blot</v>
      </c>
      <c r="H4226" s="8" t="str">
        <f>HYPERLINK("https://esbl.nhlbi.nih.gov/Databases/mpkFractions/proteomic_fractions_linear_files/Yang_linear_img/134031999.jpg","show blot")</f>
        <v>show blot</v>
      </c>
      <c r="J4226" s="5" t="s">
        <v>8250</v>
      </c>
      <c r="L4226" s="11">
        <v>1.7119971177600151</v>
      </c>
      <c r="N4226" s="12"/>
    </row>
    <row r="4227" spans="1:14" s="5" customFormat="1" ht="15" customHeight="1" x14ac:dyDescent="0.25">
      <c r="A4227" s="9" t="s">
        <v>8251</v>
      </c>
      <c r="C4227" s="9" t="str">
        <f>HYPERLINK("http://www.ncbi.nlm.nih.gov/protein/34328051","Magi1")</f>
        <v>Magi1</v>
      </c>
      <c r="D4227" s="10">
        <f t="shared" si="65"/>
        <v>1.7119971177600151</v>
      </c>
      <c r="F4227" s="8" t="str">
        <f>HYPERLINK("https://esbl.nhlbi.nih.gov/Databases/mpkFractions/proteomic_fractions_log_files/Yang_log_img/34328051.jpg","show blot")</f>
        <v>show blot</v>
      </c>
      <c r="H4227" s="8" t="str">
        <f>HYPERLINK("https://esbl.nhlbi.nih.gov/Databases/mpkFractions/proteomic_fractions_linear_files/Yang_linear_img/34328051.jpg","show blot")</f>
        <v>show blot</v>
      </c>
      <c r="J4227" s="5" t="s">
        <v>8252</v>
      </c>
      <c r="L4227" s="11">
        <v>1.7119971177600151</v>
      </c>
      <c r="N4227" s="12"/>
    </row>
    <row r="4228" spans="1:14" s="5" customFormat="1" ht="15" customHeight="1" x14ac:dyDescent="0.25">
      <c r="A4228" s="9" t="s">
        <v>8253</v>
      </c>
      <c r="C4228" s="9" t="str">
        <f>HYPERLINK("http://www.ncbi.nlm.nih.gov/protein/71533173","Magi1")</f>
        <v>Magi1</v>
      </c>
      <c r="D4228" s="10">
        <f t="shared" si="65"/>
        <v>1.7119971177600151</v>
      </c>
      <c r="F4228" s="8" t="str">
        <f>HYPERLINK("https://esbl.nhlbi.nih.gov/Databases/mpkFractions/proteomic_fractions_log_files/Yang_log_img/71533173.jpg","show blot")</f>
        <v>show blot</v>
      </c>
      <c r="H4228" s="8" t="str">
        <f>HYPERLINK("https://esbl.nhlbi.nih.gov/Databases/mpkFractions/proteomic_fractions_linear_files/Yang_linear_img/71533173.jpg","show blot")</f>
        <v>show blot</v>
      </c>
      <c r="J4228" s="5" t="s">
        <v>8254</v>
      </c>
      <c r="L4228" s="11">
        <v>1.7119971177600151</v>
      </c>
      <c r="N4228" s="12"/>
    </row>
    <row r="4229" spans="1:14" s="5" customFormat="1" ht="15" customHeight="1" x14ac:dyDescent="0.25">
      <c r="A4229" s="9" t="s">
        <v>8255</v>
      </c>
      <c r="C4229" s="9" t="str">
        <f>HYPERLINK("http://www.ncbi.nlm.nih.gov/protein/19527074","Magi3")</f>
        <v>Magi3</v>
      </c>
      <c r="D4229" s="10">
        <f t="shared" ref="D4229:D4292" si="66">L4229</f>
        <v>3.090413948070831</v>
      </c>
      <c r="F4229" s="8" t="str">
        <f>HYPERLINK("https://esbl.nhlbi.nih.gov/Databases/mpkFractions/proteomic_fractions_log_files/Yang_log_img/19527074.jpg","show blot")</f>
        <v>show blot</v>
      </c>
      <c r="H4229" s="8" t="str">
        <f>HYPERLINK("https://esbl.nhlbi.nih.gov/Databases/mpkFractions/proteomic_fractions_linear_files/Yang_linear_img/19527074.jpg","show blot")</f>
        <v>show blot</v>
      </c>
      <c r="J4229" s="5" t="s">
        <v>8256</v>
      </c>
      <c r="L4229" s="11">
        <v>3.090413948070831</v>
      </c>
      <c r="N4229" s="12"/>
    </row>
    <row r="4230" spans="1:14" s="5" customFormat="1" ht="15" customHeight="1" x14ac:dyDescent="0.25">
      <c r="A4230" s="9" t="s">
        <v>8257</v>
      </c>
      <c r="C4230" s="9" t="str">
        <f>HYPERLINK("http://www.ncbi.nlm.nih.gov/protein/226823238","Magi3")</f>
        <v>Magi3</v>
      </c>
      <c r="D4230" s="10">
        <f t="shared" si="66"/>
        <v>3.090413948070831</v>
      </c>
      <c r="F4230" s="8" t="str">
        <f>HYPERLINK("https://esbl.nhlbi.nih.gov/Databases/mpkFractions/proteomic_fractions_log_files/Yang_log_img/226823238.jpg","show blot")</f>
        <v>show blot</v>
      </c>
      <c r="H4230" s="8" t="str">
        <f>HYPERLINK("https://esbl.nhlbi.nih.gov/Databases/mpkFractions/proteomic_fractions_linear_files/Yang_linear_img/226823238.jpg","show blot")</f>
        <v>show blot</v>
      </c>
      <c r="J4230" s="5" t="s">
        <v>8258</v>
      </c>
      <c r="L4230" s="11">
        <v>3.090413948070831</v>
      </c>
      <c r="N4230" s="12"/>
    </row>
    <row r="4231" spans="1:14" s="5" customFormat="1" ht="15" customHeight="1" x14ac:dyDescent="0.25">
      <c r="A4231" s="9" t="s">
        <v>8259</v>
      </c>
      <c r="C4231" s="9" t="str">
        <f>HYPERLINK("http://www.ncbi.nlm.nih.gov/protein/6754616","Magoh")</f>
        <v>Magoh</v>
      </c>
      <c r="D4231" s="10">
        <f t="shared" si="66"/>
        <v>6.0002841880786466</v>
      </c>
      <c r="F4231" s="8" t="str">
        <f>HYPERLINK("https://esbl.nhlbi.nih.gov/Databases/mpkFractions/proteomic_fractions_log_files/Yang_log_img/6754616.jpg","show blot")</f>
        <v>show blot</v>
      </c>
      <c r="H4231" s="8" t="str">
        <f>HYPERLINK("https://esbl.nhlbi.nih.gov/Databases/mpkFractions/proteomic_fractions_linear_files/Yang_linear_img/6754616.jpg","show blot")</f>
        <v>show blot</v>
      </c>
      <c r="J4231" s="5" t="s">
        <v>8260</v>
      </c>
      <c r="L4231" s="11">
        <v>6.0002841880786466</v>
      </c>
      <c r="N4231" s="12"/>
    </row>
    <row r="4232" spans="1:14" s="5" customFormat="1" ht="15" customHeight="1" x14ac:dyDescent="0.25">
      <c r="A4232" s="9" t="s">
        <v>8261</v>
      </c>
      <c r="C4232" s="9" t="str">
        <f>HYPERLINK("http://www.ncbi.nlm.nih.gov/protein/256985211","Magohb")</f>
        <v>Magohb</v>
      </c>
      <c r="D4232" s="10">
        <f t="shared" si="66"/>
        <v>6.000241199960052</v>
      </c>
      <c r="F4232" s="8" t="str">
        <f>HYPERLINK("https://esbl.nhlbi.nih.gov/Databases/mpkFractions/proteomic_fractions_log_files/Yang_log_img/256985211.jpg","show blot")</f>
        <v>show blot</v>
      </c>
      <c r="H4232" s="8" t="str">
        <f>HYPERLINK("https://esbl.nhlbi.nih.gov/Databases/mpkFractions/proteomic_fractions_linear_files/Yang_linear_img/256985211.jpg","show blot")</f>
        <v>show blot</v>
      </c>
      <c r="J4232" s="5" t="s">
        <v>8262</v>
      </c>
      <c r="L4232" s="11">
        <v>6.000241199960052</v>
      </c>
      <c r="N4232" s="12"/>
    </row>
    <row r="4233" spans="1:14" s="5" customFormat="1" ht="15" customHeight="1" x14ac:dyDescent="0.25">
      <c r="A4233" s="9" t="s">
        <v>8263</v>
      </c>
      <c r="C4233" s="9" t="str">
        <f>HYPERLINK("http://www.ncbi.nlm.nih.gov/protein/298676496","Magt1")</f>
        <v>Magt1</v>
      </c>
      <c r="D4233" s="10">
        <f t="shared" si="66"/>
        <v>3.809965510602817</v>
      </c>
      <c r="F4233" s="8" t="str">
        <f>HYPERLINK("https://esbl.nhlbi.nih.gov/Databases/mpkFractions/proteomic_fractions_log_files/Yang_log_img/298676496.jpg","show blot")</f>
        <v>show blot</v>
      </c>
      <c r="H4233" s="8" t="str">
        <f>HYPERLINK("https://esbl.nhlbi.nih.gov/Databases/mpkFractions/proteomic_fractions_linear_files/Yang_linear_img/298676496.jpg","show blot")</f>
        <v>show blot</v>
      </c>
      <c r="J4233" s="5" t="s">
        <v>8264</v>
      </c>
      <c r="L4233" s="11">
        <v>3.809965510602817</v>
      </c>
      <c r="N4233" s="12"/>
    </row>
    <row r="4234" spans="1:14" s="5" customFormat="1" ht="15" customHeight="1" x14ac:dyDescent="0.25">
      <c r="A4234" s="9" t="s">
        <v>8265</v>
      </c>
      <c r="C4234" s="9" t="str">
        <f>HYPERLINK("http://www.ncbi.nlm.nih.gov/protein/224809525","Mak")</f>
        <v>Mak</v>
      </c>
      <c r="D4234" s="10">
        <f t="shared" si="66"/>
        <v>5.1687224231526709</v>
      </c>
      <c r="F4234" s="8" t="str">
        <f>HYPERLINK("https://esbl.nhlbi.nih.gov/Databases/mpkFractions/proteomic_fractions_log_files/Yang_log_img/224809525.jpg","show blot")</f>
        <v>show blot</v>
      </c>
      <c r="H4234" s="8" t="str">
        <f>HYPERLINK("https://esbl.nhlbi.nih.gov/Databases/mpkFractions/proteomic_fractions_linear_files/Yang_linear_img/224809525.jpg","show blot")</f>
        <v>show blot</v>
      </c>
      <c r="J4234" s="5" t="s">
        <v>8266</v>
      </c>
      <c r="L4234" s="11">
        <v>5.1687224231526709</v>
      </c>
      <c r="N4234" s="12"/>
    </row>
    <row r="4235" spans="1:14" s="5" customFormat="1" ht="15" customHeight="1" x14ac:dyDescent="0.25">
      <c r="A4235" s="9" t="s">
        <v>8267</v>
      </c>
      <c r="C4235" s="9" t="str">
        <f>HYPERLINK("http://www.ncbi.nlm.nih.gov/protein/224809542","Mak")</f>
        <v>Mak</v>
      </c>
      <c r="D4235" s="10">
        <f t="shared" si="66"/>
        <v>5.1687224231526709</v>
      </c>
      <c r="F4235" s="8" t="str">
        <f>HYPERLINK("https://esbl.nhlbi.nih.gov/Databases/mpkFractions/proteomic_fractions_log_files/Yang_log_img/224809542.jpg","show blot")</f>
        <v>show blot</v>
      </c>
      <c r="H4235" s="8" t="str">
        <f>HYPERLINK("https://esbl.nhlbi.nih.gov/Databases/mpkFractions/proteomic_fractions_linear_files/Yang_linear_img/224809542.jpg","show blot")</f>
        <v>show blot</v>
      </c>
      <c r="J4235" s="5" t="s">
        <v>8268</v>
      </c>
      <c r="L4235" s="11">
        <v>5.1687224231526709</v>
      </c>
      <c r="N4235" s="12"/>
    </row>
    <row r="4236" spans="1:14" s="5" customFormat="1" ht="15" customHeight="1" x14ac:dyDescent="0.25">
      <c r="A4236" s="9" t="s">
        <v>8269</v>
      </c>
      <c r="C4236" s="9" t="str">
        <f>HYPERLINK("http://www.ncbi.nlm.nih.gov/protein/224809552","Mak")</f>
        <v>Mak</v>
      </c>
      <c r="D4236" s="10">
        <f t="shared" si="66"/>
        <v>5.1687224231526709</v>
      </c>
      <c r="F4236" s="8" t="str">
        <f>HYPERLINK("https://esbl.nhlbi.nih.gov/Databases/mpkFractions/proteomic_fractions_log_files/Yang_log_img/224809552.jpg","show blot")</f>
        <v>show blot</v>
      </c>
      <c r="H4236" s="8" t="str">
        <f>HYPERLINK("https://esbl.nhlbi.nih.gov/Databases/mpkFractions/proteomic_fractions_linear_files/Yang_linear_img/224809552.jpg","show blot")</f>
        <v>show blot</v>
      </c>
      <c r="J4236" s="5" t="s">
        <v>8270</v>
      </c>
      <c r="L4236" s="11">
        <v>5.1687224231526709</v>
      </c>
      <c r="N4236" s="12"/>
    </row>
    <row r="4237" spans="1:14" s="5" customFormat="1" ht="15" customHeight="1" x14ac:dyDescent="0.25">
      <c r="A4237" s="9" t="s">
        <v>8271</v>
      </c>
      <c r="C4237" s="9" t="str">
        <f>HYPERLINK("http://www.ncbi.nlm.nih.gov/protein/30725780","Mal2")</f>
        <v>Mal2</v>
      </c>
      <c r="D4237" s="10">
        <f t="shared" si="66"/>
        <v>6.9884885967634274</v>
      </c>
      <c r="F4237" s="8" t="str">
        <f>HYPERLINK("https://esbl.nhlbi.nih.gov/Databases/mpkFractions/proteomic_fractions_log_files/Yang_log_img/30725780.jpg","show blot")</f>
        <v>show blot</v>
      </c>
      <c r="H4237" s="8" t="str">
        <f>HYPERLINK("https://esbl.nhlbi.nih.gov/Databases/mpkFractions/proteomic_fractions_linear_files/Yang_linear_img/30725780.jpg","show blot")</f>
        <v>show blot</v>
      </c>
      <c r="J4237" s="5" t="s">
        <v>8272</v>
      </c>
      <c r="L4237" s="11">
        <v>6.9884885967634274</v>
      </c>
      <c r="N4237" s="12"/>
    </row>
    <row r="4238" spans="1:14" s="5" customFormat="1" ht="15" customHeight="1" x14ac:dyDescent="0.25">
      <c r="A4238" s="9" t="s">
        <v>8273</v>
      </c>
      <c r="C4238" s="9" t="str">
        <f>HYPERLINK("http://www.ncbi.nlm.nih.gov/protein/254939620","Malsu1")</f>
        <v>Malsu1</v>
      </c>
      <c r="D4238" s="10">
        <f t="shared" si="66"/>
        <v>3.1099778387137191</v>
      </c>
      <c r="F4238" s="8" t="str">
        <f>HYPERLINK("https://esbl.nhlbi.nih.gov/Databases/mpkFractions/proteomic_fractions_log_files/Yang_log_img/254939620.jpg","show blot")</f>
        <v>show blot</v>
      </c>
      <c r="H4238" s="8" t="str">
        <f>HYPERLINK("https://esbl.nhlbi.nih.gov/Databases/mpkFractions/proteomic_fractions_linear_files/Yang_linear_img/254939620.jpg","show blot")</f>
        <v>show blot</v>
      </c>
      <c r="J4238" s="5" t="s">
        <v>8274</v>
      </c>
      <c r="L4238" s="11">
        <v>3.1099778387137191</v>
      </c>
      <c r="N4238" s="12"/>
    </row>
    <row r="4239" spans="1:14" s="5" customFormat="1" ht="15" customHeight="1" x14ac:dyDescent="0.25">
      <c r="A4239" s="9" t="s">
        <v>8275</v>
      </c>
      <c r="C4239" s="9" t="str">
        <f>HYPERLINK("http://www.ncbi.nlm.nih.gov/protein/6754620","Man1a2")</f>
        <v>Man1a2</v>
      </c>
      <c r="D4239" s="10">
        <f t="shared" si="66"/>
        <v>2.8187517465437821</v>
      </c>
      <c r="F4239" s="8" t="str">
        <f>HYPERLINK("https://esbl.nhlbi.nih.gov/Databases/mpkFractions/proteomic_fractions_log_files/Yang_log_img/6754620.jpg","show blot")</f>
        <v>show blot</v>
      </c>
      <c r="H4239" s="8" t="str">
        <f>HYPERLINK("https://esbl.nhlbi.nih.gov/Databases/mpkFractions/proteomic_fractions_linear_files/Yang_linear_img/6754620.jpg","show blot")</f>
        <v>show blot</v>
      </c>
      <c r="J4239" s="5" t="s">
        <v>8276</v>
      </c>
      <c r="L4239" s="11">
        <v>2.8187517465437821</v>
      </c>
      <c r="N4239" s="12"/>
    </row>
    <row r="4240" spans="1:14" s="5" customFormat="1" ht="15" customHeight="1" x14ac:dyDescent="0.25">
      <c r="A4240" s="9" t="s">
        <v>8277</v>
      </c>
      <c r="C4240" s="9" t="str">
        <f>HYPERLINK("http://www.ncbi.nlm.nih.gov/protein/71534295","Man1b1")</f>
        <v>Man1b1</v>
      </c>
      <c r="D4240" s="10">
        <f t="shared" si="66"/>
        <v>2.3598553119303181</v>
      </c>
      <c r="F4240" s="8" t="str">
        <f>HYPERLINK("https://esbl.nhlbi.nih.gov/Databases/mpkFractions/proteomic_fractions_log_files/Yang_log_img/71534295.jpg","show blot")</f>
        <v>show blot</v>
      </c>
      <c r="H4240" s="8" t="str">
        <f>HYPERLINK("https://esbl.nhlbi.nih.gov/Databases/mpkFractions/proteomic_fractions_linear_files/Yang_linear_img/71534295.jpg","show blot")</f>
        <v>show blot</v>
      </c>
      <c r="J4240" s="5" t="s">
        <v>8278</v>
      </c>
      <c r="L4240" s="11">
        <v>2.3598553119303181</v>
      </c>
      <c r="N4240" s="12"/>
    </row>
    <row r="4241" spans="1:14" s="5" customFormat="1" ht="15" customHeight="1" x14ac:dyDescent="0.25">
      <c r="A4241" s="9" t="s">
        <v>8279</v>
      </c>
      <c r="C4241" s="9" t="str">
        <f>HYPERLINK("http://www.ncbi.nlm.nih.gov/protein/226246610","Man2a1")</f>
        <v>Man2a1</v>
      </c>
      <c r="D4241" s="10">
        <f t="shared" si="66"/>
        <v>3.4533579317505279</v>
      </c>
      <c r="F4241" s="8" t="str">
        <f>HYPERLINK("https://esbl.nhlbi.nih.gov/Databases/mpkFractions/proteomic_fractions_log_files/Yang_log_img/226246610.jpg","show blot")</f>
        <v>show blot</v>
      </c>
      <c r="H4241" s="8" t="str">
        <f>HYPERLINK("https://esbl.nhlbi.nih.gov/Databases/mpkFractions/proteomic_fractions_linear_files/Yang_linear_img/226246610.jpg","show blot")</f>
        <v>show blot</v>
      </c>
      <c r="J4241" s="5" t="s">
        <v>8280</v>
      </c>
      <c r="L4241" s="11">
        <v>3.4533579317505279</v>
      </c>
      <c r="N4241" s="12"/>
    </row>
    <row r="4242" spans="1:14" s="5" customFormat="1" ht="15" customHeight="1" x14ac:dyDescent="0.25">
      <c r="A4242" s="9" t="s">
        <v>8281</v>
      </c>
      <c r="C4242" s="9" t="str">
        <f>HYPERLINK("http://www.ncbi.nlm.nih.gov/protein/113195690","Man2b1")</f>
        <v>Man2b1</v>
      </c>
      <c r="D4242" s="10">
        <f t="shared" si="66"/>
        <v>4.3514866408204753</v>
      </c>
      <c r="F4242" s="8" t="str">
        <f>HYPERLINK("https://esbl.nhlbi.nih.gov/Databases/mpkFractions/proteomic_fractions_log_files/Yang_log_img/113195690.jpg","show blot")</f>
        <v>show blot</v>
      </c>
      <c r="H4242" s="8" t="str">
        <f>HYPERLINK("https://esbl.nhlbi.nih.gov/Databases/mpkFractions/proteomic_fractions_linear_files/Yang_linear_img/113195690.jpg","show blot")</f>
        <v>show blot</v>
      </c>
      <c r="J4242" s="5" t="s">
        <v>8282</v>
      </c>
      <c r="L4242" s="11">
        <v>4.3514866408204753</v>
      </c>
      <c r="N4242" s="12"/>
    </row>
    <row r="4243" spans="1:14" s="5" customFormat="1" ht="15" customHeight="1" x14ac:dyDescent="0.25">
      <c r="A4243" s="9" t="s">
        <v>8283</v>
      </c>
      <c r="C4243" s="9" t="str">
        <f>HYPERLINK("http://www.ncbi.nlm.nih.gov/protein/227330625","Man2b2")</f>
        <v>Man2b2</v>
      </c>
      <c r="D4243" s="10">
        <f t="shared" si="66"/>
        <v>4.5051252017136934</v>
      </c>
      <c r="F4243" s="8" t="str">
        <f>HYPERLINK("https://esbl.nhlbi.nih.gov/Databases/mpkFractions/proteomic_fractions_log_files/Yang_log_img/227330625.jpg","show blot")</f>
        <v>show blot</v>
      </c>
      <c r="H4243" s="8" t="str">
        <f>HYPERLINK("https://esbl.nhlbi.nih.gov/Databases/mpkFractions/proteomic_fractions_linear_files/Yang_linear_img/227330625.jpg","show blot")</f>
        <v>show blot</v>
      </c>
      <c r="J4243" s="5" t="s">
        <v>8284</v>
      </c>
      <c r="L4243" s="11">
        <v>4.5051252017136934</v>
      </c>
      <c r="N4243" s="12"/>
    </row>
    <row r="4244" spans="1:14" s="5" customFormat="1" ht="15" customHeight="1" x14ac:dyDescent="0.25">
      <c r="A4244" s="9" t="s">
        <v>8285</v>
      </c>
      <c r="C4244" s="9" t="str">
        <f>HYPERLINK("http://www.ncbi.nlm.nih.gov/protein/30794150","Man2c1")</f>
        <v>Man2c1</v>
      </c>
      <c r="D4244" s="10">
        <f t="shared" si="66"/>
        <v>4.6422256696055308</v>
      </c>
      <c r="F4244" s="8" t="str">
        <f>HYPERLINK("https://esbl.nhlbi.nih.gov/Databases/mpkFractions/proteomic_fractions_log_files/Yang_log_img/30794150.jpg","show blot")</f>
        <v>show blot</v>
      </c>
      <c r="H4244" s="8" t="str">
        <f>HYPERLINK("https://esbl.nhlbi.nih.gov/Databases/mpkFractions/proteomic_fractions_linear_files/Yang_linear_img/30794150.jpg","show blot")</f>
        <v>show blot</v>
      </c>
      <c r="J4244" s="5" t="s">
        <v>8286</v>
      </c>
      <c r="L4244" s="11">
        <v>4.6422256696055308</v>
      </c>
      <c r="N4244" s="12"/>
    </row>
    <row r="4245" spans="1:14" s="5" customFormat="1" ht="15" customHeight="1" x14ac:dyDescent="0.25">
      <c r="A4245" s="9" t="s">
        <v>8287</v>
      </c>
      <c r="C4245" s="9" t="str">
        <f>HYPERLINK("http://www.ncbi.nlm.nih.gov/protein/158533990","Manba")</f>
        <v>Manba</v>
      </c>
      <c r="D4245" s="10">
        <f t="shared" si="66"/>
        <v>5.3291814798930837</v>
      </c>
      <c r="F4245" s="8" t="str">
        <f>HYPERLINK("https://esbl.nhlbi.nih.gov/Databases/mpkFractions/proteomic_fractions_log_files/Yang_log_img/158533990.jpg","show blot")</f>
        <v>show blot</v>
      </c>
      <c r="H4245" s="8" t="str">
        <f>HYPERLINK("https://esbl.nhlbi.nih.gov/Databases/mpkFractions/proteomic_fractions_linear_files/Yang_linear_img/158533990.jpg","show blot")</f>
        <v>show blot</v>
      </c>
      <c r="J4245" s="5" t="s">
        <v>8288</v>
      </c>
      <c r="L4245" s="11">
        <v>5.3291814798930837</v>
      </c>
      <c r="N4245" s="12"/>
    </row>
    <row r="4246" spans="1:14" s="5" customFormat="1" ht="15" customHeight="1" x14ac:dyDescent="0.25">
      <c r="A4246" s="9" t="s">
        <v>8289</v>
      </c>
      <c r="C4246" s="9" t="str">
        <f>HYPERLINK("http://www.ncbi.nlm.nih.gov/protein/254540070","Manbal")</f>
        <v>Manbal</v>
      </c>
      <c r="D4246" s="10">
        <f t="shared" si="66"/>
        <v>4.4882175906976114</v>
      </c>
      <c r="F4246" s="8" t="str">
        <f>HYPERLINK("https://esbl.nhlbi.nih.gov/Databases/mpkFractions/proteomic_fractions_log_files/Yang_log_img/254540070.jpg","show blot")</f>
        <v>show blot</v>
      </c>
      <c r="H4246" s="8" t="str">
        <f>HYPERLINK("https://esbl.nhlbi.nih.gov/Databases/mpkFractions/proteomic_fractions_linear_files/Yang_linear_img/254540070.jpg","show blot")</f>
        <v>show blot</v>
      </c>
      <c r="J4246" s="5" t="s">
        <v>8290</v>
      </c>
      <c r="L4246" s="11">
        <v>4.4882175906976114</v>
      </c>
      <c r="N4246" s="12"/>
    </row>
    <row r="4247" spans="1:14" s="5" customFormat="1" ht="15" customHeight="1" x14ac:dyDescent="0.25">
      <c r="A4247" s="9" t="s">
        <v>8291</v>
      </c>
      <c r="C4247" s="9" t="str">
        <f>HYPERLINK("http://www.ncbi.nlm.nih.gov/protein/110625813","Manf")</f>
        <v>Manf</v>
      </c>
      <c r="D4247" s="10">
        <f t="shared" si="66"/>
        <v>4.8237569322826754</v>
      </c>
      <c r="F4247" s="8" t="str">
        <f>HYPERLINK("https://esbl.nhlbi.nih.gov/Databases/mpkFractions/proteomic_fractions_log_files/Yang_log_img/110625813.jpg","show blot")</f>
        <v>show blot</v>
      </c>
      <c r="H4247" s="8" t="str">
        <f>HYPERLINK("https://esbl.nhlbi.nih.gov/Databases/mpkFractions/proteomic_fractions_linear_files/Yang_linear_img/110625813.jpg","show blot")</f>
        <v>show blot</v>
      </c>
      <c r="J4247" s="5" t="s">
        <v>8292</v>
      </c>
      <c r="L4247" s="11">
        <v>4.8237569322826754</v>
      </c>
      <c r="N4247" s="12"/>
    </row>
    <row r="4248" spans="1:14" s="5" customFormat="1" ht="15" customHeight="1" x14ac:dyDescent="0.25">
      <c r="A4248" s="9" t="s">
        <v>8293</v>
      </c>
      <c r="C4248" s="9" t="str">
        <f>HYPERLINK("http://www.ncbi.nlm.nih.gov/protein/255759902","Maoa")</f>
        <v>Maoa</v>
      </c>
      <c r="D4248" s="10">
        <f t="shared" si="66"/>
        <v>4.2945620184459701</v>
      </c>
      <c r="F4248" s="8" t="str">
        <f>HYPERLINK("https://esbl.nhlbi.nih.gov/Databases/mpkFractions/proteomic_fractions_log_files/Yang_log_img/255759902.jpg","show blot")</f>
        <v>show blot</v>
      </c>
      <c r="H4248" s="8" t="str">
        <f>HYPERLINK("https://esbl.nhlbi.nih.gov/Databases/mpkFractions/proteomic_fractions_linear_files/Yang_linear_img/255759902.jpg","show blot")</f>
        <v>show blot</v>
      </c>
      <c r="J4248" s="5" t="s">
        <v>8294</v>
      </c>
      <c r="L4248" s="11">
        <v>4.2945620184459701</v>
      </c>
      <c r="N4248" s="12"/>
    </row>
    <row r="4249" spans="1:14" s="5" customFormat="1" ht="15" customHeight="1" x14ac:dyDescent="0.25">
      <c r="A4249" s="9" t="s">
        <v>8295</v>
      </c>
      <c r="C4249" s="9" t="str">
        <f>HYPERLINK("http://www.ncbi.nlm.nih.gov/protein/124244033","Map1a")</f>
        <v>Map1a</v>
      </c>
      <c r="D4249" s="10">
        <f t="shared" si="66"/>
        <v>3.012174514995988</v>
      </c>
      <c r="F4249" s="8" t="str">
        <f>HYPERLINK("https://esbl.nhlbi.nih.gov/Databases/mpkFractions/proteomic_fractions_log_files/Yang_log_img/124244033.jpg","show blot")</f>
        <v>show blot</v>
      </c>
      <c r="H4249" s="8" t="str">
        <f>HYPERLINK("https://esbl.nhlbi.nih.gov/Databases/mpkFractions/proteomic_fractions_linear_files/Yang_linear_img/124244033.jpg","show blot")</f>
        <v>show blot</v>
      </c>
      <c r="J4249" s="5" t="s">
        <v>8296</v>
      </c>
      <c r="L4249" s="11">
        <v>3.012174514995988</v>
      </c>
      <c r="N4249" s="12"/>
    </row>
    <row r="4250" spans="1:14" s="5" customFormat="1" ht="15" customHeight="1" x14ac:dyDescent="0.25">
      <c r="A4250" s="9" t="s">
        <v>8297</v>
      </c>
      <c r="C4250" s="9" t="str">
        <f>HYPERLINK("http://www.ncbi.nlm.nih.gov/protein/291045426","Map1a")</f>
        <v>Map1a</v>
      </c>
      <c r="D4250" s="10">
        <f t="shared" si="66"/>
        <v>3.012174514995988</v>
      </c>
      <c r="F4250" s="8" t="str">
        <f>HYPERLINK("https://esbl.nhlbi.nih.gov/Databases/mpkFractions/proteomic_fractions_log_files/Yang_log_img/291045426.jpg","show blot")</f>
        <v>show blot</v>
      </c>
      <c r="H4250" s="8" t="str">
        <f>HYPERLINK("https://esbl.nhlbi.nih.gov/Databases/mpkFractions/proteomic_fractions_linear_files/Yang_linear_img/291045426.jpg","show blot")</f>
        <v>show blot</v>
      </c>
      <c r="J4250" s="5" t="s">
        <v>8298</v>
      </c>
      <c r="L4250" s="11">
        <v>3.012174514995988</v>
      </c>
      <c r="N4250" s="12"/>
    </row>
    <row r="4251" spans="1:14" s="5" customFormat="1" ht="15" customHeight="1" x14ac:dyDescent="0.25">
      <c r="A4251" s="9" t="s">
        <v>8299</v>
      </c>
      <c r="C4251" s="9" t="str">
        <f>HYPERLINK("http://www.ncbi.nlm.nih.gov/protein/171543853","Map1b")</f>
        <v>Map1b</v>
      </c>
      <c r="D4251" s="10">
        <f t="shared" si="66"/>
        <v>3.3328088053592499</v>
      </c>
      <c r="F4251" s="8" t="str">
        <f>HYPERLINK("https://esbl.nhlbi.nih.gov/Databases/mpkFractions/proteomic_fractions_log_files/Yang_log_img/171543853.jpg","show blot")</f>
        <v>show blot</v>
      </c>
      <c r="H4251" s="8" t="str">
        <f>HYPERLINK("https://esbl.nhlbi.nih.gov/Databases/mpkFractions/proteomic_fractions_linear_files/Yang_linear_img/171543853.jpg","show blot")</f>
        <v>show blot</v>
      </c>
      <c r="J4251" s="5" t="s">
        <v>8300</v>
      </c>
      <c r="L4251" s="11">
        <v>3.3328088053592499</v>
      </c>
      <c r="N4251" s="12"/>
    </row>
    <row r="4252" spans="1:14" s="5" customFormat="1" ht="15" customHeight="1" x14ac:dyDescent="0.25">
      <c r="A4252" s="9" t="s">
        <v>8301</v>
      </c>
      <c r="C4252" s="9" t="str">
        <f>HYPERLINK("http://www.ncbi.nlm.nih.gov/protein/23956148","Map1lc3a")</f>
        <v>Map1lc3a</v>
      </c>
      <c r="D4252" s="10">
        <f t="shared" si="66"/>
        <v>5.23269833417082</v>
      </c>
      <c r="F4252" s="8" t="str">
        <f>HYPERLINK("https://esbl.nhlbi.nih.gov/Databases/mpkFractions/proteomic_fractions_log_files/Yang_log_img/23956148.jpg","show blot")</f>
        <v>show blot</v>
      </c>
      <c r="H4252" s="8" t="str">
        <f>HYPERLINK("https://esbl.nhlbi.nih.gov/Databases/mpkFractions/proteomic_fractions_linear_files/Yang_linear_img/23956148.jpg","show blot")</f>
        <v>show blot</v>
      </c>
      <c r="J4252" s="5" t="s">
        <v>8302</v>
      </c>
      <c r="L4252" s="11">
        <v>5.23269833417082</v>
      </c>
      <c r="N4252" s="12"/>
    </row>
    <row r="4253" spans="1:14" s="5" customFormat="1" ht="15" customHeight="1" x14ac:dyDescent="0.25">
      <c r="A4253" s="9" t="s">
        <v>8303</v>
      </c>
      <c r="C4253" s="9" t="str">
        <f>HYPERLINK("http://www.ncbi.nlm.nih.gov/protein/13385664","Map1lc3b")</f>
        <v>Map1lc3b</v>
      </c>
      <c r="D4253" s="10">
        <f t="shared" si="66"/>
        <v>5.2480135717419847</v>
      </c>
      <c r="F4253" s="8" t="str">
        <f>HYPERLINK("https://esbl.nhlbi.nih.gov/Databases/mpkFractions/proteomic_fractions_log_files/Yang_log_img/13385664.jpg","show blot")</f>
        <v>show blot</v>
      </c>
      <c r="H4253" s="8" t="str">
        <f>HYPERLINK("https://esbl.nhlbi.nih.gov/Databases/mpkFractions/proteomic_fractions_linear_files/Yang_linear_img/13385664.jpg","show blot")</f>
        <v>show blot</v>
      </c>
      <c r="J4253" s="5" t="s">
        <v>8304</v>
      </c>
      <c r="L4253" s="11">
        <v>5.2480135717419847</v>
      </c>
      <c r="N4253" s="12"/>
    </row>
    <row r="4254" spans="1:14" s="5" customFormat="1" ht="15" customHeight="1" x14ac:dyDescent="0.25">
      <c r="A4254" s="9" t="s">
        <v>8305</v>
      </c>
      <c r="C4254" s="9" t="str">
        <f>HYPERLINK("http://www.ncbi.nlm.nih.gov/protein/162287131","Map1s")</f>
        <v>Map1s</v>
      </c>
      <c r="D4254" s="10">
        <f t="shared" si="66"/>
        <v>3.8855257615390948</v>
      </c>
      <c r="F4254" s="8" t="str">
        <f>HYPERLINK("https://esbl.nhlbi.nih.gov/Databases/mpkFractions/proteomic_fractions_log_files/Yang_log_img/162287131.jpg","show blot")</f>
        <v>show blot</v>
      </c>
      <c r="H4254" s="8" t="str">
        <f>HYPERLINK("https://esbl.nhlbi.nih.gov/Databases/mpkFractions/proteomic_fractions_linear_files/Yang_linear_img/162287131.jpg","show blot")</f>
        <v>show blot</v>
      </c>
      <c r="J4254" s="5" t="s">
        <v>8306</v>
      </c>
      <c r="L4254" s="11">
        <v>3.8855257615390948</v>
      </c>
      <c r="N4254" s="12"/>
    </row>
    <row r="4255" spans="1:14" s="5" customFormat="1" ht="15" customHeight="1" x14ac:dyDescent="0.25">
      <c r="A4255" s="9" t="s">
        <v>8307</v>
      </c>
      <c r="C4255" s="9" t="str">
        <f>HYPERLINK("http://www.ncbi.nlm.nih.gov/protein/68341935","Map2")</f>
        <v>Map2</v>
      </c>
      <c r="D4255" s="10">
        <f t="shared" si="66"/>
        <v>4.306206483906406</v>
      </c>
      <c r="F4255" s="8" t="str">
        <f>HYPERLINK("https://esbl.nhlbi.nih.gov/Databases/mpkFractions/proteomic_fractions_log_files/Yang_log_img/68341935.jpg","show blot")</f>
        <v>show blot</v>
      </c>
      <c r="H4255" s="8" t="str">
        <f>HYPERLINK("https://esbl.nhlbi.nih.gov/Databases/mpkFractions/proteomic_fractions_linear_files/Yang_linear_img/68341935.jpg","show blot")</f>
        <v>show blot</v>
      </c>
      <c r="J4255" s="5" t="s">
        <v>8308</v>
      </c>
      <c r="L4255" s="11">
        <v>4.306206483906406</v>
      </c>
      <c r="N4255" s="12"/>
    </row>
    <row r="4256" spans="1:14" s="5" customFormat="1" ht="15" customHeight="1" x14ac:dyDescent="0.25">
      <c r="A4256" s="9" t="s">
        <v>8309</v>
      </c>
      <c r="C4256" s="9" t="str">
        <f>HYPERLINK("http://www.ncbi.nlm.nih.gov/protein/90186270","Map2")</f>
        <v>Map2</v>
      </c>
      <c r="D4256" s="10">
        <f t="shared" si="66"/>
        <v>4.306206483906406</v>
      </c>
      <c r="F4256" s="8" t="str">
        <f>HYPERLINK("https://esbl.nhlbi.nih.gov/Databases/mpkFractions/proteomic_fractions_log_files/Yang_log_img/90186270.jpg","show blot")</f>
        <v>show blot</v>
      </c>
      <c r="H4256" s="8" t="str">
        <f>HYPERLINK("https://esbl.nhlbi.nih.gov/Databases/mpkFractions/proteomic_fractions_linear_files/Yang_linear_img/90186270.jpg","show blot")</f>
        <v>show blot</v>
      </c>
      <c r="J4256" s="5" t="s">
        <v>8310</v>
      </c>
      <c r="L4256" s="11">
        <v>4.306206483906406</v>
      </c>
      <c r="N4256" s="12"/>
    </row>
    <row r="4257" spans="1:14" s="5" customFormat="1" ht="15" customHeight="1" x14ac:dyDescent="0.25">
      <c r="A4257" s="9" t="s">
        <v>8311</v>
      </c>
      <c r="C4257" s="9" t="str">
        <f>HYPERLINK("http://www.ncbi.nlm.nih.gov/protein/6678794","Map2k1")</f>
        <v>Map2k1</v>
      </c>
      <c r="D4257" s="10">
        <f t="shared" si="66"/>
        <v>5.634419670799149</v>
      </c>
      <c r="F4257" s="8" t="str">
        <f>HYPERLINK("https://esbl.nhlbi.nih.gov/Databases/mpkFractions/proteomic_fractions_log_files/Yang_log_img/6678794.jpg","show blot")</f>
        <v>show blot</v>
      </c>
      <c r="H4257" s="8" t="str">
        <f>HYPERLINK("https://esbl.nhlbi.nih.gov/Databases/mpkFractions/proteomic_fractions_linear_files/Yang_linear_img/6678794.jpg","show blot")</f>
        <v>show blot</v>
      </c>
      <c r="J4257" s="5" t="s">
        <v>8312</v>
      </c>
      <c r="L4257" s="11">
        <v>5.634419670799149</v>
      </c>
      <c r="N4257" s="12"/>
    </row>
    <row r="4258" spans="1:14" s="5" customFormat="1" ht="15" customHeight="1" x14ac:dyDescent="0.25">
      <c r="A4258" s="9" t="s">
        <v>8313</v>
      </c>
      <c r="C4258" s="9" t="str">
        <f>HYPERLINK("http://www.ncbi.nlm.nih.gov/protein/31560267","Map2k2")</f>
        <v>Map2k2</v>
      </c>
      <c r="D4258" s="10">
        <f t="shared" si="66"/>
        <v>5.611689038658433</v>
      </c>
      <c r="F4258" s="8" t="str">
        <f>HYPERLINK("https://esbl.nhlbi.nih.gov/Databases/mpkFractions/proteomic_fractions_log_files/Yang_log_img/31560267.jpg","show blot")</f>
        <v>show blot</v>
      </c>
      <c r="H4258" s="8" t="str">
        <f>HYPERLINK("https://esbl.nhlbi.nih.gov/Databases/mpkFractions/proteomic_fractions_linear_files/Yang_linear_img/31560267.jpg","show blot")</f>
        <v>show blot</v>
      </c>
      <c r="J4258" s="5" t="s">
        <v>8314</v>
      </c>
      <c r="L4258" s="11">
        <v>5.611689038658433</v>
      </c>
      <c r="N4258" s="12"/>
    </row>
    <row r="4259" spans="1:14" s="5" customFormat="1" ht="15" customHeight="1" x14ac:dyDescent="0.25">
      <c r="A4259" s="9" t="s">
        <v>8315</v>
      </c>
      <c r="C4259" s="9" t="str">
        <f>HYPERLINK("http://www.ncbi.nlm.nih.gov/protein/22094081","Map2k3")</f>
        <v>Map2k3</v>
      </c>
      <c r="D4259" s="10">
        <f t="shared" si="66"/>
        <v>4.1969461125435554</v>
      </c>
      <c r="F4259" s="8" t="str">
        <f>HYPERLINK("https://esbl.nhlbi.nih.gov/Databases/mpkFractions/proteomic_fractions_log_files/Yang_log_img/22094081.jpg","show blot")</f>
        <v>show blot</v>
      </c>
      <c r="H4259" s="8" t="str">
        <f>HYPERLINK("https://esbl.nhlbi.nih.gov/Databases/mpkFractions/proteomic_fractions_linear_files/Yang_linear_img/22094081.jpg","show blot")</f>
        <v>show blot</v>
      </c>
      <c r="J4259" s="5" t="s">
        <v>8316</v>
      </c>
      <c r="L4259" s="11">
        <v>4.1969461125435554</v>
      </c>
      <c r="N4259" s="12"/>
    </row>
    <row r="4260" spans="1:14" s="5" customFormat="1" ht="15" customHeight="1" x14ac:dyDescent="0.25">
      <c r="A4260" s="9" t="s">
        <v>8317</v>
      </c>
      <c r="C4260" s="9" t="str">
        <f>HYPERLINK("http://www.ncbi.nlm.nih.gov/protein/22095023","Map2k4")</f>
        <v>Map2k4</v>
      </c>
      <c r="D4260" s="10">
        <f t="shared" si="66"/>
        <v>4.9450488870573661</v>
      </c>
      <c r="F4260" s="8" t="str">
        <f>HYPERLINK("https://esbl.nhlbi.nih.gov/Databases/mpkFractions/proteomic_fractions_log_files/Yang_log_img/22095023.jpg","show blot")</f>
        <v>show blot</v>
      </c>
      <c r="H4260" s="8" t="str">
        <f>HYPERLINK("https://esbl.nhlbi.nih.gov/Databases/mpkFractions/proteomic_fractions_linear_files/Yang_linear_img/22095023.jpg","show blot")</f>
        <v>show blot</v>
      </c>
      <c r="J4260" s="5" t="s">
        <v>8318</v>
      </c>
      <c r="L4260" s="11">
        <v>4.9450488870573661</v>
      </c>
      <c r="N4260" s="12"/>
    </row>
    <row r="4261" spans="1:14" s="5" customFormat="1" ht="15" customHeight="1" x14ac:dyDescent="0.25">
      <c r="A4261" s="9" t="s">
        <v>8319</v>
      </c>
      <c r="C4261" s="9" t="str">
        <f>HYPERLINK("http://www.ncbi.nlm.nih.gov/protein/110347549","Map2k7")</f>
        <v>Map2k7</v>
      </c>
      <c r="D4261" s="10">
        <f t="shared" si="66"/>
        <v>1.3939744950789199</v>
      </c>
      <c r="F4261" s="8" t="str">
        <f>HYPERLINK("https://esbl.nhlbi.nih.gov/Databases/mpkFractions/proteomic_fractions_log_files/Yang_log_img/110347549.jpg","show blot")</f>
        <v>show blot</v>
      </c>
      <c r="H4261" s="8" t="str">
        <f>HYPERLINK("https://esbl.nhlbi.nih.gov/Databases/mpkFractions/proteomic_fractions_linear_files/Yang_linear_img/110347549.jpg","show blot")</f>
        <v>show blot</v>
      </c>
      <c r="J4261" s="5" t="s">
        <v>8320</v>
      </c>
      <c r="L4261" s="11">
        <v>1.3939744950789199</v>
      </c>
      <c r="N4261" s="12"/>
    </row>
    <row r="4262" spans="1:14" s="5" customFormat="1" ht="15" customHeight="1" x14ac:dyDescent="0.25">
      <c r="A4262" s="9" t="s">
        <v>8321</v>
      </c>
      <c r="C4262" s="9" t="str">
        <f>HYPERLINK("http://www.ncbi.nlm.nih.gov/protein/110347551","Map2k7")</f>
        <v>Map2k7</v>
      </c>
      <c r="D4262" s="10">
        <f t="shared" si="66"/>
        <v>1.3939744950789199</v>
      </c>
      <c r="F4262" s="8" t="str">
        <f>HYPERLINK("https://esbl.nhlbi.nih.gov/Databases/mpkFractions/proteomic_fractions_log_files/Yang_log_img/110347551.jpg","show blot")</f>
        <v>show blot</v>
      </c>
      <c r="H4262" s="8" t="str">
        <f>HYPERLINK("https://esbl.nhlbi.nih.gov/Databases/mpkFractions/proteomic_fractions_linear_files/Yang_linear_img/110347551.jpg","show blot")</f>
        <v>show blot</v>
      </c>
      <c r="J4262" s="5" t="s">
        <v>8322</v>
      </c>
      <c r="L4262" s="11">
        <v>1.3939744950789199</v>
      </c>
      <c r="N4262" s="12"/>
    </row>
    <row r="4263" spans="1:14" s="5" customFormat="1" ht="15" customHeight="1" x14ac:dyDescent="0.25">
      <c r="A4263" s="9" t="s">
        <v>8323</v>
      </c>
      <c r="C4263" s="9" t="str">
        <f>HYPERLINK("http://www.ncbi.nlm.nih.gov/protein/255918231","Map2k7")</f>
        <v>Map2k7</v>
      </c>
      <c r="D4263" s="10">
        <f t="shared" si="66"/>
        <v>1.3939744950789199</v>
      </c>
      <c r="F4263" s="8" t="str">
        <f>HYPERLINK("https://esbl.nhlbi.nih.gov/Databases/mpkFractions/proteomic_fractions_log_files/Yang_log_img/255918231.jpg","show blot")</f>
        <v>show blot</v>
      </c>
      <c r="H4263" s="8" t="str">
        <f>HYPERLINK("https://esbl.nhlbi.nih.gov/Databases/mpkFractions/proteomic_fractions_linear_files/Yang_linear_img/255918231.jpg","show blot")</f>
        <v>show blot</v>
      </c>
      <c r="J4263" s="5" t="s">
        <v>8324</v>
      </c>
      <c r="L4263" s="11">
        <v>1.3939744950789199</v>
      </c>
      <c r="N4263" s="12"/>
    </row>
    <row r="4264" spans="1:14" s="5" customFormat="1" ht="15" customHeight="1" x14ac:dyDescent="0.25">
      <c r="A4264" s="9" t="s">
        <v>8325</v>
      </c>
      <c r="C4264" s="9" t="str">
        <f>HYPERLINK("http://www.ncbi.nlm.nih.gov/protein/124486847","Map3k10")</f>
        <v>Map3k10</v>
      </c>
      <c r="D4264" s="10">
        <f t="shared" si="66"/>
        <v>3.4309309719145831</v>
      </c>
      <c r="F4264" s="8" t="str">
        <f>HYPERLINK("https://esbl.nhlbi.nih.gov/Databases/mpkFractions/proteomic_fractions_log_files/Yang_log_img/124486847.jpg","show blot")</f>
        <v>show blot</v>
      </c>
      <c r="H4264" s="8" t="str">
        <f>HYPERLINK("https://esbl.nhlbi.nih.gov/Databases/mpkFractions/proteomic_fractions_linear_files/Yang_linear_img/124486847.jpg","show blot")</f>
        <v>show blot</v>
      </c>
      <c r="J4264" s="5" t="s">
        <v>8326</v>
      </c>
      <c r="L4264" s="11">
        <v>3.4309309719145831</v>
      </c>
      <c r="N4264" s="12"/>
    </row>
    <row r="4265" spans="1:14" s="5" customFormat="1" ht="15" customHeight="1" x14ac:dyDescent="0.25">
      <c r="A4265" s="9" t="s">
        <v>8327</v>
      </c>
      <c r="C4265" s="9" t="str">
        <f>HYPERLINK("http://www.ncbi.nlm.nih.gov/protein/31543234","Map3k11")</f>
        <v>Map3k11</v>
      </c>
      <c r="D4265" s="10">
        <f t="shared" si="66"/>
        <v>3.4752852480658198</v>
      </c>
      <c r="F4265" s="8" t="str">
        <f>HYPERLINK("https://esbl.nhlbi.nih.gov/Databases/mpkFractions/proteomic_fractions_log_files/Yang_log_img/31543234.jpg","show blot")</f>
        <v>show blot</v>
      </c>
      <c r="H4265" s="8" t="str">
        <f>HYPERLINK("https://esbl.nhlbi.nih.gov/Databases/mpkFractions/proteomic_fractions_linear_files/Yang_linear_img/31543234.jpg","show blot")</f>
        <v>show blot</v>
      </c>
      <c r="J4265" s="5" t="s">
        <v>8328</v>
      </c>
      <c r="L4265" s="11">
        <v>3.4752852480658198</v>
      </c>
      <c r="N4265" s="12"/>
    </row>
    <row r="4266" spans="1:14" s="5" customFormat="1" ht="15" customHeight="1" x14ac:dyDescent="0.25">
      <c r="A4266" s="9" t="s">
        <v>8329</v>
      </c>
      <c r="C4266" s="9" t="str">
        <f>HYPERLINK("http://www.ncbi.nlm.nih.gov/protein/8393835","Map3k14")</f>
        <v>Map3k14</v>
      </c>
      <c r="D4266" s="10">
        <f t="shared" si="66"/>
        <v>0.62001935928888408</v>
      </c>
      <c r="F4266" s="8" t="str">
        <f>HYPERLINK("https://esbl.nhlbi.nih.gov/Databases/mpkFractions/proteomic_fractions_log_files/Yang_log_img/8393835.jpg","show blot")</f>
        <v>show blot</v>
      </c>
      <c r="H4266" s="8" t="str">
        <f>HYPERLINK("https://esbl.nhlbi.nih.gov/Databases/mpkFractions/proteomic_fractions_linear_files/Yang_linear_img/8393835.jpg","show blot")</f>
        <v>show blot</v>
      </c>
      <c r="J4266" s="5" t="s">
        <v>8330</v>
      </c>
      <c r="L4266" s="11">
        <v>0.62001935928888408</v>
      </c>
      <c r="N4266" s="12"/>
    </row>
    <row r="4267" spans="1:14" s="5" customFormat="1" ht="15" customHeight="1" x14ac:dyDescent="0.25">
      <c r="A4267" s="9" t="s">
        <v>8331</v>
      </c>
      <c r="C4267" s="9" t="str">
        <f>HYPERLINK("http://www.ncbi.nlm.nih.gov/protein/282847404","Map3k15")</f>
        <v>Map3k15</v>
      </c>
      <c r="D4267" s="10">
        <f t="shared" si="66"/>
        <v>2.8089643298640712</v>
      </c>
      <c r="F4267" s="8" t="str">
        <f>HYPERLINK("https://esbl.nhlbi.nih.gov/Databases/mpkFractions/proteomic_fractions_log_files/Yang_log_img/282847404.jpg","show blot")</f>
        <v>show blot</v>
      </c>
      <c r="H4267" s="8" t="str">
        <f>HYPERLINK("https://esbl.nhlbi.nih.gov/Databases/mpkFractions/proteomic_fractions_linear_files/Yang_linear_img/282847404.jpg","show blot")</f>
        <v>show blot</v>
      </c>
      <c r="J4267" s="5" t="s">
        <v>8332</v>
      </c>
      <c r="L4267" s="11">
        <v>2.8089643298640712</v>
      </c>
      <c r="N4267" s="12"/>
    </row>
    <row r="4268" spans="1:14" s="5" customFormat="1" ht="15" customHeight="1" x14ac:dyDescent="0.25">
      <c r="A4268" s="9" t="s">
        <v>8333</v>
      </c>
      <c r="C4268" s="9" t="str">
        <f>HYPERLINK("http://www.ncbi.nlm.nih.gov/protein/89257354","Map3k2")</f>
        <v>Map3k2</v>
      </c>
      <c r="D4268" s="10">
        <f t="shared" si="66"/>
        <v>3.2460865315881731</v>
      </c>
      <c r="F4268" s="8" t="str">
        <f>HYPERLINK("https://esbl.nhlbi.nih.gov/Databases/mpkFractions/proteomic_fractions_log_files/Yang_log_img/89257354.jpg","show blot")</f>
        <v>show blot</v>
      </c>
      <c r="H4268" s="8" t="str">
        <f>HYPERLINK("https://esbl.nhlbi.nih.gov/Databases/mpkFractions/proteomic_fractions_linear_files/Yang_linear_img/89257354.jpg","show blot")</f>
        <v>show blot</v>
      </c>
      <c r="J4268" s="5" t="s">
        <v>8334</v>
      </c>
      <c r="L4268" s="11">
        <v>3.2460865315881731</v>
      </c>
      <c r="N4268" s="12"/>
    </row>
    <row r="4269" spans="1:14" s="5" customFormat="1" ht="15" customHeight="1" x14ac:dyDescent="0.25">
      <c r="A4269" s="9" t="s">
        <v>8335</v>
      </c>
      <c r="C4269" s="9" t="str">
        <f>HYPERLINK("http://www.ncbi.nlm.nih.gov/protein/33468949","Map3k3")</f>
        <v>Map3k3</v>
      </c>
      <c r="D4269" s="10">
        <f t="shared" si="66"/>
        <v>4.2303620736488803</v>
      </c>
      <c r="F4269" s="8" t="str">
        <f>HYPERLINK("https://esbl.nhlbi.nih.gov/Databases/mpkFractions/proteomic_fractions_log_files/Yang_log_img/33468949.jpg","show blot")</f>
        <v>show blot</v>
      </c>
      <c r="H4269" s="8" t="str">
        <f>HYPERLINK("https://esbl.nhlbi.nih.gov/Databases/mpkFractions/proteomic_fractions_linear_files/Yang_linear_img/33468949.jpg","show blot")</f>
        <v>show blot</v>
      </c>
      <c r="J4269" s="5" t="s">
        <v>8336</v>
      </c>
      <c r="L4269" s="11">
        <v>4.2303620736488803</v>
      </c>
      <c r="N4269" s="12"/>
    </row>
    <row r="4270" spans="1:14" s="5" customFormat="1" ht="15" customHeight="1" x14ac:dyDescent="0.25">
      <c r="A4270" s="9" t="s">
        <v>8337</v>
      </c>
      <c r="C4270" s="9" t="str">
        <f>HYPERLINK("http://www.ncbi.nlm.nih.gov/protein/93102421","Map3k4")</f>
        <v>Map3k4</v>
      </c>
      <c r="D4270" s="10">
        <f t="shared" si="66"/>
        <v>1.669973241836566</v>
      </c>
      <c r="F4270" s="8" t="str">
        <f>HYPERLINK("https://esbl.nhlbi.nih.gov/Databases/mpkFractions/proteomic_fractions_log_files/Yang_log_img/93102421.jpg","show blot")</f>
        <v>show blot</v>
      </c>
      <c r="H4270" s="8" t="str">
        <f>HYPERLINK("https://esbl.nhlbi.nih.gov/Databases/mpkFractions/proteomic_fractions_linear_files/Yang_linear_img/93102421.jpg","show blot")</f>
        <v>show blot</v>
      </c>
      <c r="J4270" s="5" t="s">
        <v>8338</v>
      </c>
      <c r="L4270" s="11">
        <v>1.669973241836566</v>
      </c>
      <c r="N4270" s="12"/>
    </row>
    <row r="4271" spans="1:14" s="5" customFormat="1" ht="15" customHeight="1" x14ac:dyDescent="0.25">
      <c r="A4271" s="9" t="s">
        <v>8339</v>
      </c>
      <c r="C4271" s="9" t="str">
        <f>HYPERLINK("http://www.ncbi.nlm.nih.gov/protein/171846249","Map3k5")</f>
        <v>Map3k5</v>
      </c>
      <c r="D4271" s="10">
        <f t="shared" si="66"/>
        <v>3.9396823906355838</v>
      </c>
      <c r="F4271" s="8" t="str">
        <f>HYPERLINK("https://esbl.nhlbi.nih.gov/Databases/mpkFractions/proteomic_fractions_log_files/Yang_log_img/171846249.jpg","show blot")</f>
        <v>show blot</v>
      </c>
      <c r="H4271" s="8" t="str">
        <f>HYPERLINK("https://esbl.nhlbi.nih.gov/Databases/mpkFractions/proteomic_fractions_linear_files/Yang_linear_img/171846249.jpg","show blot")</f>
        <v>show blot</v>
      </c>
      <c r="J4271" s="5" t="s">
        <v>8340</v>
      </c>
      <c r="L4271" s="11">
        <v>3.9396823906355838</v>
      </c>
      <c r="N4271" s="12"/>
    </row>
    <row r="4272" spans="1:14" s="5" customFormat="1" ht="15" customHeight="1" x14ac:dyDescent="0.25">
      <c r="A4272" s="9" t="s">
        <v>8341</v>
      </c>
      <c r="C4272" s="9" t="str">
        <f>HYPERLINK("http://www.ncbi.nlm.nih.gov/protein/291575174","Map3k9")</f>
        <v>Map3k9</v>
      </c>
      <c r="D4272" s="10">
        <f t="shared" si="66"/>
        <v>3.6112592839135189</v>
      </c>
      <c r="F4272" s="8" t="str">
        <f>HYPERLINK("https://esbl.nhlbi.nih.gov/Databases/mpkFractions/proteomic_fractions_log_files/Yang_log_img/291575174.jpg","show blot")</f>
        <v>show blot</v>
      </c>
      <c r="H4272" s="8" t="str">
        <f>HYPERLINK("https://esbl.nhlbi.nih.gov/Databases/mpkFractions/proteomic_fractions_linear_files/Yang_linear_img/291575174.jpg","show blot")</f>
        <v>show blot</v>
      </c>
      <c r="J4272" s="5" t="s">
        <v>8342</v>
      </c>
      <c r="L4272" s="11">
        <v>3.6112592839135189</v>
      </c>
      <c r="N4272" s="12"/>
    </row>
    <row r="4273" spans="1:14" s="5" customFormat="1" ht="15" customHeight="1" x14ac:dyDescent="0.25">
      <c r="A4273" s="9" t="s">
        <v>8343</v>
      </c>
      <c r="C4273" s="9" t="str">
        <f>HYPERLINK("http://www.ncbi.nlm.nih.gov/protein/52421792","Map3k9")</f>
        <v>Map3k9</v>
      </c>
      <c r="D4273" s="10">
        <f t="shared" si="66"/>
        <v>3.6112592839135189</v>
      </c>
      <c r="F4273" s="8" t="str">
        <f>HYPERLINK("https://esbl.nhlbi.nih.gov/Databases/mpkFractions/proteomic_fractions_log_files/Yang_log_img/52421792.jpg","show blot")</f>
        <v>show blot</v>
      </c>
      <c r="H4273" s="8" t="str">
        <f>HYPERLINK("https://esbl.nhlbi.nih.gov/Databases/mpkFractions/proteomic_fractions_linear_files/Yang_linear_img/52421792.jpg","show blot")</f>
        <v>show blot</v>
      </c>
      <c r="J4273" s="5" t="s">
        <v>8344</v>
      </c>
      <c r="L4273" s="11">
        <v>3.6112592839135189</v>
      </c>
      <c r="N4273" s="12"/>
    </row>
    <row r="4274" spans="1:14" s="5" customFormat="1" ht="15" customHeight="1" x14ac:dyDescent="0.25">
      <c r="A4274" s="9" t="s">
        <v>8345</v>
      </c>
      <c r="C4274" s="9" t="str">
        <f>HYPERLINK("http://www.ncbi.nlm.nih.gov/protein/328927080","Map4")</f>
        <v>Map4</v>
      </c>
      <c r="D4274" s="10">
        <f t="shared" si="66"/>
        <v>6.3629504015767289</v>
      </c>
      <c r="F4274" s="8" t="str">
        <f>HYPERLINK("https://esbl.nhlbi.nih.gov/Databases/mpkFractions/proteomic_fractions_log_files/Yang_log_img/328927080.jpg","show blot")</f>
        <v>show blot</v>
      </c>
      <c r="H4274" s="8" t="str">
        <f>HYPERLINK("https://esbl.nhlbi.nih.gov/Databases/mpkFractions/proteomic_fractions_linear_files/Yang_linear_img/328927080.jpg","show blot")</f>
        <v>show blot</v>
      </c>
      <c r="J4274" s="5" t="s">
        <v>8346</v>
      </c>
      <c r="L4274" s="11">
        <v>6.3629504015767289</v>
      </c>
      <c r="N4274" s="12"/>
    </row>
    <row r="4275" spans="1:14" s="5" customFormat="1" ht="15" customHeight="1" x14ac:dyDescent="0.25">
      <c r="A4275" s="9" t="s">
        <v>8347</v>
      </c>
      <c r="C4275" s="9" t="str">
        <f>HYPERLINK("http://www.ncbi.nlm.nih.gov/protein/328927083","Map4")</f>
        <v>Map4</v>
      </c>
      <c r="D4275" s="10">
        <f t="shared" si="66"/>
        <v>6.3629504015767289</v>
      </c>
      <c r="F4275" s="8" t="str">
        <f>HYPERLINK("https://esbl.nhlbi.nih.gov/Databases/mpkFractions/proteomic_fractions_log_files/Yang_log_img/328927083.jpg","show blot")</f>
        <v>show blot</v>
      </c>
      <c r="H4275" s="8" t="str">
        <f>HYPERLINK("https://esbl.nhlbi.nih.gov/Databases/mpkFractions/proteomic_fractions_linear_files/Yang_linear_img/328927083.jpg","show blot")</f>
        <v>show blot</v>
      </c>
      <c r="J4275" s="5" t="s">
        <v>8348</v>
      </c>
      <c r="L4275" s="11">
        <v>6.3629504015767289</v>
      </c>
      <c r="N4275" s="12"/>
    </row>
    <row r="4276" spans="1:14" s="5" customFormat="1" ht="15" customHeight="1" x14ac:dyDescent="0.25">
      <c r="A4276" s="9" t="s">
        <v>8349</v>
      </c>
      <c r="C4276" s="9" t="str">
        <f>HYPERLINK("http://www.ncbi.nlm.nih.gov/protein/148747189","Map4")</f>
        <v>Map4</v>
      </c>
      <c r="D4276" s="10">
        <f t="shared" si="66"/>
        <v>6.3629504015767289</v>
      </c>
      <c r="F4276" s="8" t="str">
        <f>HYPERLINK("https://esbl.nhlbi.nih.gov/Databases/mpkFractions/proteomic_fractions_log_files/Yang_log_img/148747189.jpg","show blot")</f>
        <v>show blot</v>
      </c>
      <c r="H4276" s="8" t="str">
        <f>HYPERLINK("https://esbl.nhlbi.nih.gov/Databases/mpkFractions/proteomic_fractions_linear_files/Yang_linear_img/148747189.jpg","show blot")</f>
        <v>show blot</v>
      </c>
      <c r="J4276" s="5" t="s">
        <v>8350</v>
      </c>
      <c r="L4276" s="11">
        <v>6.3629504015767289</v>
      </c>
      <c r="N4276" s="12"/>
    </row>
    <row r="4277" spans="1:14" s="5" customFormat="1" ht="15" customHeight="1" x14ac:dyDescent="0.25">
      <c r="A4277" s="9" t="s">
        <v>8351</v>
      </c>
      <c r="C4277" s="9" t="str">
        <f>HYPERLINK("http://www.ncbi.nlm.nih.gov/protein/328927075","Map4")</f>
        <v>Map4</v>
      </c>
      <c r="D4277" s="10">
        <f t="shared" si="66"/>
        <v>6.3629504015767289</v>
      </c>
      <c r="F4277" s="8" t="str">
        <f>HYPERLINK("https://esbl.nhlbi.nih.gov/Databases/mpkFractions/proteomic_fractions_log_files/Yang_log_img/328927075.jpg","show blot")</f>
        <v>show blot</v>
      </c>
      <c r="H4277" s="8" t="str">
        <f>HYPERLINK("https://esbl.nhlbi.nih.gov/Databases/mpkFractions/proteomic_fractions_linear_files/Yang_linear_img/328927075.jpg","show blot")</f>
        <v>show blot</v>
      </c>
      <c r="J4277" s="5" t="s">
        <v>8352</v>
      </c>
      <c r="L4277" s="11">
        <v>6.3629504015767289</v>
      </c>
      <c r="N4277" s="12"/>
    </row>
    <row r="4278" spans="1:14" s="5" customFormat="1" ht="15" customHeight="1" x14ac:dyDescent="0.25">
      <c r="A4278" s="9" t="s">
        <v>8353</v>
      </c>
      <c r="C4278" s="9" t="str">
        <f>HYPERLINK("http://www.ncbi.nlm.nih.gov/protein/6678800","Map4k2")</f>
        <v>Map4k2</v>
      </c>
      <c r="D4278" s="10">
        <f t="shared" si="66"/>
        <v>3.4056326121303879</v>
      </c>
      <c r="F4278" s="8" t="str">
        <f>HYPERLINK("https://esbl.nhlbi.nih.gov/Databases/mpkFractions/proteomic_fractions_log_files/Yang_log_img/6678800.jpg","show blot")</f>
        <v>show blot</v>
      </c>
      <c r="H4278" s="8" t="str">
        <f>HYPERLINK("https://esbl.nhlbi.nih.gov/Databases/mpkFractions/proteomic_fractions_linear_files/Yang_linear_img/6678800.jpg","show blot")</f>
        <v>show blot</v>
      </c>
      <c r="J4278" s="5" t="s">
        <v>8354</v>
      </c>
      <c r="L4278" s="11">
        <v>3.4056326121303879</v>
      </c>
      <c r="N4278" s="12"/>
    </row>
    <row r="4279" spans="1:14" s="5" customFormat="1" ht="15" customHeight="1" x14ac:dyDescent="0.25">
      <c r="A4279" s="9" t="s">
        <v>8355</v>
      </c>
      <c r="C4279" s="9" t="str">
        <f>HYPERLINK("http://www.ncbi.nlm.nih.gov/protein/124486875","Map4k3")</f>
        <v>Map4k3</v>
      </c>
      <c r="D4279" s="10">
        <f t="shared" si="66"/>
        <v>1.699075623540873</v>
      </c>
      <c r="F4279" s="8" t="str">
        <f>HYPERLINK("https://esbl.nhlbi.nih.gov/Databases/mpkFractions/proteomic_fractions_log_files/Yang_log_img/124486875.jpg","show blot")</f>
        <v>show blot</v>
      </c>
      <c r="H4279" s="8" t="str">
        <f>HYPERLINK("https://esbl.nhlbi.nih.gov/Databases/mpkFractions/proteomic_fractions_linear_files/Yang_linear_img/124486875.jpg","show blot")</f>
        <v>show blot</v>
      </c>
      <c r="J4279" s="5" t="s">
        <v>8356</v>
      </c>
      <c r="L4279" s="11">
        <v>1.699075623540873</v>
      </c>
      <c r="N4279" s="12"/>
    </row>
    <row r="4280" spans="1:14" s="5" customFormat="1" ht="15" customHeight="1" x14ac:dyDescent="0.25">
      <c r="A4280" s="9" t="s">
        <v>8357</v>
      </c>
      <c r="C4280" s="9" t="str">
        <f>HYPERLINK("http://www.ncbi.nlm.nih.gov/protein/145279237","Map4k4")</f>
        <v>Map4k4</v>
      </c>
      <c r="D4280" s="10">
        <f t="shared" si="66"/>
        <v>2.566574113806281</v>
      </c>
      <c r="F4280" s="8" t="str">
        <f>HYPERLINK("https://esbl.nhlbi.nih.gov/Databases/mpkFractions/proteomic_fractions_log_files/Yang_log_img/145279237.jpg","show blot")</f>
        <v>show blot</v>
      </c>
      <c r="H4280" s="8" t="str">
        <f>HYPERLINK("https://esbl.nhlbi.nih.gov/Databases/mpkFractions/proteomic_fractions_linear_files/Yang_linear_img/145279237.jpg","show blot")</f>
        <v>show blot</v>
      </c>
      <c r="J4280" s="5" t="s">
        <v>8358</v>
      </c>
      <c r="L4280" s="11">
        <v>2.566574113806281</v>
      </c>
      <c r="N4280" s="12"/>
    </row>
    <row r="4281" spans="1:14" s="5" customFormat="1" ht="15" customHeight="1" x14ac:dyDescent="0.25">
      <c r="A4281" s="9" t="s">
        <v>8359</v>
      </c>
      <c r="C4281" s="9" t="str">
        <f>HYPERLINK("http://www.ncbi.nlm.nih.gov/protein/356582264","Map4k4")</f>
        <v>Map4k4</v>
      </c>
      <c r="D4281" s="10">
        <f t="shared" si="66"/>
        <v>2.566574113806281</v>
      </c>
      <c r="F4281" s="8" t="str">
        <f>HYPERLINK("https://esbl.nhlbi.nih.gov/Databases/mpkFractions/proteomic_fractions_log_files/Yang_log_img/356582264.jpg","show blot")</f>
        <v>show blot</v>
      </c>
      <c r="H4281" s="8" t="str">
        <f>HYPERLINK("https://esbl.nhlbi.nih.gov/Databases/mpkFractions/proteomic_fractions_linear_files/Yang_linear_img/356582264.jpg","show blot")</f>
        <v>show blot</v>
      </c>
      <c r="J4281" s="5" t="s">
        <v>8360</v>
      </c>
      <c r="L4281" s="11">
        <v>2.566574113806281</v>
      </c>
      <c r="N4281" s="12"/>
    </row>
    <row r="4282" spans="1:14" s="5" customFormat="1" ht="15" customHeight="1" x14ac:dyDescent="0.25">
      <c r="A4282" s="9" t="s">
        <v>8361</v>
      </c>
      <c r="C4282" s="9" t="str">
        <f>HYPERLINK("http://www.ncbi.nlm.nih.gov/protein/356582266","Map4k4")</f>
        <v>Map4k4</v>
      </c>
      <c r="D4282" s="10">
        <f t="shared" si="66"/>
        <v>2.566574113806281</v>
      </c>
      <c r="F4282" s="8" t="str">
        <f>HYPERLINK("https://esbl.nhlbi.nih.gov/Databases/mpkFractions/proteomic_fractions_log_files/Yang_log_img/356582266.jpg","show blot")</f>
        <v>show blot</v>
      </c>
      <c r="H4282" s="8" t="str">
        <f>HYPERLINK("https://esbl.nhlbi.nih.gov/Databases/mpkFractions/proteomic_fractions_linear_files/Yang_linear_img/356582266.jpg","show blot")</f>
        <v>show blot</v>
      </c>
      <c r="J4282" s="5" t="s">
        <v>8362</v>
      </c>
      <c r="L4282" s="11">
        <v>2.566574113806281</v>
      </c>
      <c r="N4282" s="12"/>
    </row>
    <row r="4283" spans="1:14" s="5" customFormat="1" ht="15" customHeight="1" x14ac:dyDescent="0.25">
      <c r="A4283" s="9" t="s">
        <v>8363</v>
      </c>
      <c r="C4283" s="9" t="str">
        <f>HYPERLINK("http://www.ncbi.nlm.nih.gov/protein/356582268","Map4k4")</f>
        <v>Map4k4</v>
      </c>
      <c r="D4283" s="10">
        <f t="shared" si="66"/>
        <v>2.566574113806281</v>
      </c>
      <c r="F4283" s="8" t="str">
        <f>HYPERLINK("https://esbl.nhlbi.nih.gov/Databases/mpkFractions/proteomic_fractions_log_files/Yang_log_img/356582268.jpg","show blot")</f>
        <v>show blot</v>
      </c>
      <c r="H4283" s="8" t="str">
        <f>HYPERLINK("https://esbl.nhlbi.nih.gov/Databases/mpkFractions/proteomic_fractions_linear_files/Yang_linear_img/356582268.jpg","show blot")</f>
        <v>show blot</v>
      </c>
      <c r="J4283" s="5" t="s">
        <v>8364</v>
      </c>
      <c r="L4283" s="11">
        <v>2.566574113806281</v>
      </c>
      <c r="N4283" s="12"/>
    </row>
    <row r="4284" spans="1:14" s="5" customFormat="1" ht="15" customHeight="1" x14ac:dyDescent="0.25">
      <c r="A4284" s="9" t="s">
        <v>8365</v>
      </c>
      <c r="C4284" s="9" t="str">
        <f>HYPERLINK("http://www.ncbi.nlm.nih.gov/protein/77736537","Map4k5")</f>
        <v>Map4k5</v>
      </c>
      <c r="D4284" s="10">
        <f t="shared" si="66"/>
        <v>4.6170127916114314</v>
      </c>
      <c r="F4284" s="8" t="str">
        <f>HYPERLINK("https://esbl.nhlbi.nih.gov/Databases/mpkFractions/proteomic_fractions_log_files/Yang_log_img/77736537.jpg","show blot")</f>
        <v>show blot</v>
      </c>
      <c r="H4284" s="8" t="str">
        <f>HYPERLINK("https://esbl.nhlbi.nih.gov/Databases/mpkFractions/proteomic_fractions_linear_files/Yang_linear_img/77736537.jpg","show blot")</f>
        <v>show blot</v>
      </c>
      <c r="J4284" s="5" t="s">
        <v>8366</v>
      </c>
      <c r="L4284" s="11">
        <v>4.6170127916114314</v>
      </c>
      <c r="N4284" s="12"/>
    </row>
    <row r="4285" spans="1:14" s="5" customFormat="1" ht="15" customHeight="1" x14ac:dyDescent="0.25">
      <c r="A4285" s="9" t="s">
        <v>8367</v>
      </c>
      <c r="C4285" s="9" t="str">
        <f>HYPERLINK("http://www.ncbi.nlm.nih.gov/protein/113204613","Map6")</f>
        <v>Map6</v>
      </c>
      <c r="D4285" s="10">
        <f t="shared" si="66"/>
        <v>2.995837395991984</v>
      </c>
      <c r="F4285" s="8" t="str">
        <f>HYPERLINK("https://esbl.nhlbi.nih.gov/Databases/mpkFractions/proteomic_fractions_log_files/Yang_log_img/113204613.jpg","show blot")</f>
        <v>show blot</v>
      </c>
      <c r="H4285" s="8" t="str">
        <f>HYPERLINK("https://esbl.nhlbi.nih.gov/Databases/mpkFractions/proteomic_fractions_linear_files/Yang_linear_img/113204613.jpg","show blot")</f>
        <v>show blot</v>
      </c>
      <c r="J4285" s="5" t="s">
        <v>8368</v>
      </c>
      <c r="L4285" s="11">
        <v>2.995837395991984</v>
      </c>
      <c r="N4285" s="12"/>
    </row>
    <row r="4286" spans="1:14" s="5" customFormat="1" ht="15" customHeight="1" x14ac:dyDescent="0.25">
      <c r="A4286" s="9" t="s">
        <v>8369</v>
      </c>
      <c r="C4286" s="9" t="str">
        <f>HYPERLINK("http://www.ncbi.nlm.nih.gov/protein/114520592","Map6")</f>
        <v>Map6</v>
      </c>
      <c r="D4286" s="10">
        <f t="shared" si="66"/>
        <v>2.995837395991984</v>
      </c>
      <c r="F4286" s="8" t="str">
        <f>HYPERLINK("https://esbl.nhlbi.nih.gov/Databases/mpkFractions/proteomic_fractions_log_files/Yang_log_img/114520592.jpg","show blot")</f>
        <v>show blot</v>
      </c>
      <c r="H4286" s="8" t="str">
        <f>HYPERLINK("https://esbl.nhlbi.nih.gov/Databases/mpkFractions/proteomic_fractions_linear_files/Yang_linear_img/114520592.jpg","show blot")</f>
        <v>show blot</v>
      </c>
      <c r="J4286" s="5" t="s">
        <v>8370</v>
      </c>
      <c r="L4286" s="11">
        <v>2.995837395991984</v>
      </c>
      <c r="N4286" s="12"/>
    </row>
    <row r="4287" spans="1:14" s="5" customFormat="1" ht="15" customHeight="1" x14ac:dyDescent="0.25">
      <c r="A4287" s="9" t="s">
        <v>8371</v>
      </c>
      <c r="C4287" s="9" t="str">
        <f>HYPERLINK("http://www.ncbi.nlm.nih.gov/protein/114520594","Map6")</f>
        <v>Map6</v>
      </c>
      <c r="D4287" s="10">
        <f t="shared" si="66"/>
        <v>2.995837395991984</v>
      </c>
      <c r="F4287" s="8" t="str">
        <f>HYPERLINK("https://esbl.nhlbi.nih.gov/Databases/mpkFractions/proteomic_fractions_log_files/Yang_log_img/114520594.jpg","show blot")</f>
        <v>show blot</v>
      </c>
      <c r="H4287" s="8" t="str">
        <f>HYPERLINK("https://esbl.nhlbi.nih.gov/Databases/mpkFractions/proteomic_fractions_linear_files/Yang_linear_img/114520594.jpg","show blot")</f>
        <v>show blot</v>
      </c>
      <c r="J4287" s="5" t="s">
        <v>8372</v>
      </c>
      <c r="L4287" s="11">
        <v>2.995837395991984</v>
      </c>
      <c r="N4287" s="12"/>
    </row>
    <row r="4288" spans="1:14" s="5" customFormat="1" ht="15" customHeight="1" x14ac:dyDescent="0.25">
      <c r="A4288" s="9" t="s">
        <v>8373</v>
      </c>
      <c r="C4288" s="9" t="str">
        <f>HYPERLINK("http://www.ncbi.nlm.nih.gov/protein/310772196","Map7")</f>
        <v>Map7</v>
      </c>
      <c r="D4288" s="10">
        <f t="shared" si="66"/>
        <v>3.5374205971238339</v>
      </c>
      <c r="F4288" s="8" t="str">
        <f>HYPERLINK("https://esbl.nhlbi.nih.gov/Databases/mpkFractions/proteomic_fractions_log_files/Yang_log_img/310772196.jpg","show blot")</f>
        <v>show blot</v>
      </c>
      <c r="H4288" s="8" t="str">
        <f>HYPERLINK("https://esbl.nhlbi.nih.gov/Databases/mpkFractions/proteomic_fractions_linear_files/Yang_linear_img/310772196.jpg","show blot")</f>
        <v>show blot</v>
      </c>
      <c r="J4288" s="5" t="s">
        <v>8374</v>
      </c>
      <c r="L4288" s="11">
        <v>3.5374205971238339</v>
      </c>
      <c r="N4288" s="12"/>
    </row>
    <row r="4289" spans="1:14" s="5" customFormat="1" ht="15" customHeight="1" x14ac:dyDescent="0.25">
      <c r="A4289" s="9" t="s">
        <v>8375</v>
      </c>
      <c r="C4289" s="9" t="str">
        <f>HYPERLINK("http://www.ncbi.nlm.nih.gov/protein/159110787","Map7")</f>
        <v>Map7</v>
      </c>
      <c r="D4289" s="10">
        <f t="shared" si="66"/>
        <v>3.5374205971238339</v>
      </c>
      <c r="F4289" s="8" t="str">
        <f>HYPERLINK("https://esbl.nhlbi.nih.gov/Databases/mpkFractions/proteomic_fractions_log_files/Yang_log_img/159110787.jpg","show blot")</f>
        <v>show blot</v>
      </c>
      <c r="H4289" s="8" t="str">
        <f>HYPERLINK("https://esbl.nhlbi.nih.gov/Databases/mpkFractions/proteomic_fractions_linear_files/Yang_linear_img/159110787.jpg","show blot")</f>
        <v>show blot</v>
      </c>
      <c r="J4289" s="5" t="s">
        <v>8376</v>
      </c>
      <c r="L4289" s="11">
        <v>3.5374205971238339</v>
      </c>
      <c r="N4289" s="12"/>
    </row>
    <row r="4290" spans="1:14" s="5" customFormat="1" ht="15" customHeight="1" x14ac:dyDescent="0.25">
      <c r="A4290" s="9" t="s">
        <v>8377</v>
      </c>
      <c r="C4290" s="9" t="str">
        <f>HYPERLINK("http://www.ncbi.nlm.nih.gov/protein/225543273","Map7d1")</f>
        <v>Map7d1</v>
      </c>
      <c r="D4290" s="10">
        <f t="shared" si="66"/>
        <v>2.3369740400975441</v>
      </c>
      <c r="F4290" s="8" t="str">
        <f>HYPERLINK("https://esbl.nhlbi.nih.gov/Databases/mpkFractions/proteomic_fractions_log_files/Yang_log_img/225543273.jpg","show blot")</f>
        <v>show blot</v>
      </c>
      <c r="H4290" s="8" t="str">
        <f>HYPERLINK("https://esbl.nhlbi.nih.gov/Databases/mpkFractions/proteomic_fractions_linear_files/Yang_linear_img/225543273.jpg","show blot")</f>
        <v>show blot</v>
      </c>
      <c r="J4290" s="5" t="s">
        <v>8378</v>
      </c>
      <c r="L4290" s="11">
        <v>2.3369740400975441</v>
      </c>
      <c r="N4290" s="12"/>
    </row>
    <row r="4291" spans="1:14" s="5" customFormat="1" ht="15" customHeight="1" x14ac:dyDescent="0.25">
      <c r="A4291" s="9" t="s">
        <v>8379</v>
      </c>
      <c r="C4291" s="9" t="str">
        <f>HYPERLINK("http://www.ncbi.nlm.nih.gov/protein/225543276","Map7d1")</f>
        <v>Map7d1</v>
      </c>
      <c r="D4291" s="10">
        <f t="shared" si="66"/>
        <v>2.3369740400975441</v>
      </c>
      <c r="F4291" s="8" t="str">
        <f>HYPERLINK("https://esbl.nhlbi.nih.gov/Databases/mpkFractions/proteomic_fractions_log_files/Yang_log_img/225543276.jpg","show blot")</f>
        <v>show blot</v>
      </c>
      <c r="H4291" s="8" t="str">
        <f>HYPERLINK("https://esbl.nhlbi.nih.gov/Databases/mpkFractions/proteomic_fractions_linear_files/Yang_linear_img/225543276.jpg","show blot")</f>
        <v>show blot</v>
      </c>
      <c r="J4291" s="5" t="s">
        <v>8380</v>
      </c>
      <c r="L4291" s="11">
        <v>2.3369740400975441</v>
      </c>
      <c r="N4291" s="12"/>
    </row>
    <row r="4292" spans="1:14" s="5" customFormat="1" ht="15" customHeight="1" x14ac:dyDescent="0.25">
      <c r="A4292" s="9" t="s">
        <v>8381</v>
      </c>
      <c r="C4292" s="9" t="str">
        <f>HYPERLINK("http://www.ncbi.nlm.nih.gov/protein/124486997","Map9")</f>
        <v>Map9</v>
      </c>
      <c r="D4292" s="10">
        <f t="shared" si="66"/>
        <v>2.507338238163868</v>
      </c>
      <c r="F4292" s="8" t="str">
        <f>HYPERLINK("https://esbl.nhlbi.nih.gov/Databases/mpkFractions/proteomic_fractions_log_files/Yang_log_img/124486997.jpg","show blot")</f>
        <v>show blot</v>
      </c>
      <c r="H4292" s="8" t="str">
        <f>HYPERLINK("https://esbl.nhlbi.nih.gov/Databases/mpkFractions/proteomic_fractions_linear_files/Yang_linear_img/124486997.jpg","show blot")</f>
        <v>show blot</v>
      </c>
      <c r="J4292" s="5" t="s">
        <v>8382</v>
      </c>
      <c r="L4292" s="11">
        <v>2.507338238163868</v>
      </c>
      <c r="N4292" s="12"/>
    </row>
    <row r="4293" spans="1:14" s="5" customFormat="1" ht="15" customHeight="1" x14ac:dyDescent="0.25">
      <c r="A4293" s="9" t="s">
        <v>8383</v>
      </c>
      <c r="C4293" s="9" t="str">
        <f>HYPERLINK("http://www.ncbi.nlm.nih.gov/protein/6754632","Mapk1")</f>
        <v>Mapk1</v>
      </c>
      <c r="D4293" s="10">
        <f t="shared" ref="D4293:D4356" si="67">L4293</f>
        <v>6.3816054991070761</v>
      </c>
      <c r="F4293" s="8" t="str">
        <f>HYPERLINK("https://esbl.nhlbi.nih.gov/Databases/mpkFractions/proteomic_fractions_log_files/Yang_log_img/6754632.jpg","show blot")</f>
        <v>show blot</v>
      </c>
      <c r="H4293" s="8" t="str">
        <f>HYPERLINK("https://esbl.nhlbi.nih.gov/Databases/mpkFractions/proteomic_fractions_linear_files/Yang_linear_img/6754632.jpg","show blot")</f>
        <v>show blot</v>
      </c>
      <c r="J4293" s="5" t="s">
        <v>8384</v>
      </c>
      <c r="L4293" s="11">
        <v>6.3816054991070761</v>
      </c>
      <c r="N4293" s="12"/>
    </row>
    <row r="4294" spans="1:14" s="5" customFormat="1" ht="15" customHeight="1" x14ac:dyDescent="0.25">
      <c r="A4294" s="9" t="s">
        <v>8385</v>
      </c>
      <c r="C4294" s="9" t="str">
        <f>HYPERLINK("http://www.ncbi.nlm.nih.gov/protein/125858479","Mapk10")</f>
        <v>Mapk10</v>
      </c>
      <c r="D4294" s="10">
        <f t="shared" si="67"/>
        <v>5.3906731449960974</v>
      </c>
      <c r="F4294" s="8" t="str">
        <f>HYPERLINK("https://esbl.nhlbi.nih.gov/Databases/mpkFractions/proteomic_fractions_log_files/Yang_log_img/125858479.jpg","show blot")</f>
        <v>show blot</v>
      </c>
      <c r="H4294" s="8" t="str">
        <f>HYPERLINK("https://esbl.nhlbi.nih.gov/Databases/mpkFractions/proteomic_fractions_linear_files/Yang_linear_img/125858479.jpg","show blot")</f>
        <v>show blot</v>
      </c>
      <c r="J4294" s="5" t="s">
        <v>8386</v>
      </c>
      <c r="L4294" s="11">
        <v>5.3906731449960974</v>
      </c>
      <c r="N4294" s="12"/>
    </row>
    <row r="4295" spans="1:14" s="5" customFormat="1" ht="15" customHeight="1" x14ac:dyDescent="0.25">
      <c r="A4295" s="9" t="s">
        <v>8387</v>
      </c>
      <c r="C4295" s="9" t="str">
        <f>HYPERLINK("http://www.ncbi.nlm.nih.gov/protein/125858511","Mapk10")</f>
        <v>Mapk10</v>
      </c>
      <c r="D4295" s="10">
        <f t="shared" si="67"/>
        <v>5.3906731449960974</v>
      </c>
      <c r="F4295" s="8" t="str">
        <f>HYPERLINK("https://esbl.nhlbi.nih.gov/Databases/mpkFractions/proteomic_fractions_log_files/Yang_log_img/125858511.jpg","show blot")</f>
        <v>show blot</v>
      </c>
      <c r="H4295" s="8" t="str">
        <f>HYPERLINK("https://esbl.nhlbi.nih.gov/Databases/mpkFractions/proteomic_fractions_linear_files/Yang_linear_img/125858511.jpg","show blot")</f>
        <v>show blot</v>
      </c>
      <c r="J4295" s="5" t="s">
        <v>8388</v>
      </c>
      <c r="L4295" s="11">
        <v>5.3906731449960974</v>
      </c>
      <c r="N4295" s="12"/>
    </row>
    <row r="4296" spans="1:14" s="5" customFormat="1" ht="15" customHeight="1" x14ac:dyDescent="0.25">
      <c r="A4296" s="9" t="s">
        <v>8389</v>
      </c>
      <c r="C4296" s="9" t="str">
        <f>HYPERLINK("http://www.ncbi.nlm.nih.gov/protein/168693637","Mapk11")</f>
        <v>Mapk11</v>
      </c>
      <c r="D4296" s="10">
        <f t="shared" si="67"/>
        <v>5.4569656598657916</v>
      </c>
      <c r="F4296" s="8" t="str">
        <f>HYPERLINK("https://esbl.nhlbi.nih.gov/Databases/mpkFractions/proteomic_fractions_log_files/Yang_log_img/168693637.jpg","show blot")</f>
        <v>show blot</v>
      </c>
      <c r="H4296" s="8" t="str">
        <f>HYPERLINK("https://esbl.nhlbi.nih.gov/Databases/mpkFractions/proteomic_fractions_linear_files/Yang_linear_img/168693637.jpg","show blot")</f>
        <v>show blot</v>
      </c>
      <c r="J4296" s="5" t="s">
        <v>8390</v>
      </c>
      <c r="L4296" s="11">
        <v>5.4569656598657916</v>
      </c>
      <c r="N4296" s="12"/>
    </row>
    <row r="4297" spans="1:14" s="5" customFormat="1" ht="15" customHeight="1" x14ac:dyDescent="0.25">
      <c r="A4297" s="9" t="s">
        <v>8391</v>
      </c>
      <c r="C4297" s="9" t="str">
        <f>HYPERLINK("http://www.ncbi.nlm.nih.gov/protein/7305253","Mapk12")</f>
        <v>Mapk12</v>
      </c>
      <c r="D4297" s="10">
        <f t="shared" si="67"/>
        <v>5.6795635142787857</v>
      </c>
      <c r="F4297" s="8" t="str">
        <f>HYPERLINK("https://esbl.nhlbi.nih.gov/Databases/mpkFractions/proteomic_fractions_log_files/Yang_log_img/7305253.jpg","show blot")</f>
        <v>show blot</v>
      </c>
      <c r="H4297" s="8" t="str">
        <f>HYPERLINK("https://esbl.nhlbi.nih.gov/Databases/mpkFractions/proteomic_fractions_linear_files/Yang_linear_img/7305253.jpg","show blot")</f>
        <v>show blot</v>
      </c>
      <c r="J4297" s="5" t="s">
        <v>8392</v>
      </c>
      <c r="L4297" s="11">
        <v>5.6795635142787857</v>
      </c>
      <c r="N4297" s="12"/>
    </row>
    <row r="4298" spans="1:14" s="5" customFormat="1" ht="15" customHeight="1" x14ac:dyDescent="0.25">
      <c r="A4298" s="9" t="s">
        <v>8393</v>
      </c>
      <c r="C4298" s="9" t="str">
        <f>HYPERLINK("http://www.ncbi.nlm.nih.gov/protein/226246627","Mapk13")</f>
        <v>Mapk13</v>
      </c>
      <c r="D4298" s="10">
        <f t="shared" si="67"/>
        <v>5.5660011008228008</v>
      </c>
      <c r="F4298" s="8" t="str">
        <f>HYPERLINK("https://esbl.nhlbi.nih.gov/Databases/mpkFractions/proteomic_fractions_log_files/Yang_log_img/226246627.jpg","show blot")</f>
        <v>show blot</v>
      </c>
      <c r="H4298" s="8" t="str">
        <f>HYPERLINK("https://esbl.nhlbi.nih.gov/Databases/mpkFractions/proteomic_fractions_linear_files/Yang_linear_img/226246627.jpg","show blot")</f>
        <v>show blot</v>
      </c>
      <c r="J4298" s="5" t="s">
        <v>8394</v>
      </c>
      <c r="L4298" s="11">
        <v>5.5660011008228008</v>
      </c>
      <c r="N4298" s="12"/>
    </row>
    <row r="4299" spans="1:14" s="5" customFormat="1" ht="15" customHeight="1" x14ac:dyDescent="0.25">
      <c r="A4299" s="9" t="s">
        <v>8395</v>
      </c>
      <c r="C4299" s="9" t="str">
        <f>HYPERLINK("http://www.ncbi.nlm.nih.gov/protein/10092590","Mapk14")</f>
        <v>Mapk14</v>
      </c>
      <c r="D4299" s="10">
        <f t="shared" si="67"/>
        <v>5.8098012752758574</v>
      </c>
      <c r="F4299" s="8" t="str">
        <f>HYPERLINK("https://esbl.nhlbi.nih.gov/Databases/mpkFractions/proteomic_fractions_log_files/Yang_log_img/10092590.jpg","show blot")</f>
        <v>show blot</v>
      </c>
      <c r="H4299" s="8" t="str">
        <f>HYPERLINK("https://esbl.nhlbi.nih.gov/Databases/mpkFractions/proteomic_fractions_linear_files/Yang_linear_img/10092590.jpg","show blot")</f>
        <v>show blot</v>
      </c>
      <c r="J4299" s="5" t="s">
        <v>8396</v>
      </c>
      <c r="L4299" s="11">
        <v>5.8098012752758574</v>
      </c>
      <c r="N4299" s="12"/>
    </row>
    <row r="4300" spans="1:14" s="5" customFormat="1" ht="15" customHeight="1" x14ac:dyDescent="0.25">
      <c r="A4300" s="9" t="s">
        <v>8397</v>
      </c>
      <c r="C4300" s="9" t="str">
        <f>HYPERLINK("http://www.ncbi.nlm.nih.gov/protein/270341370","Mapk14")</f>
        <v>Mapk14</v>
      </c>
      <c r="D4300" s="10">
        <f t="shared" si="67"/>
        <v>5.8098012752758574</v>
      </c>
      <c r="F4300" s="8" t="str">
        <f>HYPERLINK("https://esbl.nhlbi.nih.gov/Databases/mpkFractions/proteomic_fractions_log_files/Yang_log_img/270341370.jpg","show blot")</f>
        <v>show blot</v>
      </c>
      <c r="H4300" s="8" t="str">
        <f>HYPERLINK("https://esbl.nhlbi.nih.gov/Databases/mpkFractions/proteomic_fractions_linear_files/Yang_linear_img/270341370.jpg","show blot")</f>
        <v>show blot</v>
      </c>
      <c r="J4300" s="5" t="s">
        <v>8398</v>
      </c>
      <c r="L4300" s="11">
        <v>5.8098012752758574</v>
      </c>
      <c r="N4300" s="12"/>
    </row>
    <row r="4301" spans="1:14" s="5" customFormat="1" ht="15" customHeight="1" x14ac:dyDescent="0.25">
      <c r="A4301" s="9" t="s">
        <v>8399</v>
      </c>
      <c r="C4301" s="9" t="str">
        <f>HYPERLINK("http://www.ncbi.nlm.nih.gov/protein/270341386","Mapk14")</f>
        <v>Mapk14</v>
      </c>
      <c r="D4301" s="10">
        <f t="shared" si="67"/>
        <v>5.8098012752758574</v>
      </c>
      <c r="F4301" s="8" t="str">
        <f>HYPERLINK("https://esbl.nhlbi.nih.gov/Databases/mpkFractions/proteomic_fractions_log_files/Yang_log_img/270341386.jpg","show blot")</f>
        <v>show blot</v>
      </c>
      <c r="H4301" s="8" t="str">
        <f>HYPERLINK("https://esbl.nhlbi.nih.gov/Databases/mpkFractions/proteomic_fractions_linear_files/Yang_linear_img/270341386.jpg","show blot")</f>
        <v>show blot</v>
      </c>
      <c r="J4301" s="5" t="s">
        <v>8400</v>
      </c>
      <c r="L4301" s="11">
        <v>5.8098012752758574</v>
      </c>
      <c r="N4301" s="12"/>
    </row>
    <row r="4302" spans="1:14" s="5" customFormat="1" ht="15" customHeight="1" x14ac:dyDescent="0.25">
      <c r="A4302" s="9" t="s">
        <v>8401</v>
      </c>
      <c r="C4302" s="9" t="str">
        <f>HYPERLINK("http://www.ncbi.nlm.nih.gov/protein/29244575","Mapk15")</f>
        <v>Mapk15</v>
      </c>
      <c r="D4302" s="10">
        <f t="shared" si="67"/>
        <v>5.5934045396915311</v>
      </c>
      <c r="F4302" s="8" t="str">
        <f>HYPERLINK("https://esbl.nhlbi.nih.gov/Databases/mpkFractions/proteomic_fractions_log_files/Yang_log_img/29244575.jpg","show blot")</f>
        <v>show blot</v>
      </c>
      <c r="H4302" s="8" t="str">
        <f>HYPERLINK("https://esbl.nhlbi.nih.gov/Databases/mpkFractions/proteomic_fractions_linear_files/Yang_linear_img/29244575.jpg","show blot")</f>
        <v>show blot</v>
      </c>
      <c r="J4302" s="5" t="s">
        <v>8402</v>
      </c>
      <c r="L4302" s="11">
        <v>5.5934045396915311</v>
      </c>
      <c r="N4302" s="12"/>
    </row>
    <row r="4303" spans="1:14" s="5" customFormat="1" ht="15" customHeight="1" x14ac:dyDescent="0.25">
      <c r="A4303" s="9" t="s">
        <v>8403</v>
      </c>
      <c r="C4303" s="9" t="str">
        <f>HYPERLINK("http://www.ncbi.nlm.nih.gov/protein/21489933","Mapk3")</f>
        <v>Mapk3</v>
      </c>
      <c r="D4303" s="10">
        <f t="shared" si="67"/>
        <v>6.3256992947577526</v>
      </c>
      <c r="F4303" s="8" t="str">
        <f>HYPERLINK("https://esbl.nhlbi.nih.gov/Databases/mpkFractions/proteomic_fractions_log_files/Yang_log_img/21489933.jpg","show blot")</f>
        <v>show blot</v>
      </c>
      <c r="H4303" s="8" t="str">
        <f>HYPERLINK("https://esbl.nhlbi.nih.gov/Databases/mpkFractions/proteomic_fractions_linear_files/Yang_linear_img/21489933.jpg","show blot")</f>
        <v>show blot</v>
      </c>
      <c r="J4303" s="5" t="s">
        <v>8404</v>
      </c>
      <c r="L4303" s="11">
        <v>6.3256992947577526</v>
      </c>
      <c r="N4303" s="12"/>
    </row>
    <row r="4304" spans="1:14" s="5" customFormat="1" ht="15" customHeight="1" x14ac:dyDescent="0.25">
      <c r="A4304" s="9" t="s">
        <v>8405</v>
      </c>
      <c r="C4304" s="9" t="str">
        <f>HYPERLINK("http://www.ncbi.nlm.nih.gov/protein/89337268","Mapk4")</f>
        <v>Mapk4</v>
      </c>
      <c r="D4304" s="10">
        <f t="shared" si="67"/>
        <v>3.9707851410101611</v>
      </c>
      <c r="F4304" s="8" t="str">
        <f>HYPERLINK("https://esbl.nhlbi.nih.gov/Databases/mpkFractions/proteomic_fractions_log_files/Yang_log_img/89337268.jpg","show blot")</f>
        <v>show blot</v>
      </c>
      <c r="H4304" s="8" t="str">
        <f>HYPERLINK("https://esbl.nhlbi.nih.gov/Databases/mpkFractions/proteomic_fractions_linear_files/Yang_linear_img/89337268.jpg","show blot")</f>
        <v>show blot</v>
      </c>
      <c r="J4304" s="5" t="s">
        <v>8406</v>
      </c>
      <c r="L4304" s="11">
        <v>3.9707851410101611</v>
      </c>
      <c r="N4304" s="12"/>
    </row>
    <row r="4305" spans="1:14" s="5" customFormat="1" ht="15" customHeight="1" x14ac:dyDescent="0.25">
      <c r="A4305" s="9" t="s">
        <v>8407</v>
      </c>
      <c r="C4305" s="9" t="str">
        <f>HYPERLINK("http://www.ncbi.nlm.nih.gov/protein/76573879","Mapk6")</f>
        <v>Mapk6</v>
      </c>
      <c r="D4305" s="10">
        <f t="shared" si="67"/>
        <v>3.8698846452693001</v>
      </c>
      <c r="F4305" s="8" t="str">
        <f>HYPERLINK("https://esbl.nhlbi.nih.gov/Databases/mpkFractions/proteomic_fractions_log_files/Yang_log_img/76573879.jpg","show blot")</f>
        <v>show blot</v>
      </c>
      <c r="H4305" s="8" t="str">
        <f>HYPERLINK("https://esbl.nhlbi.nih.gov/Databases/mpkFractions/proteomic_fractions_linear_files/Yang_linear_img/76573879.jpg","show blot")</f>
        <v>show blot</v>
      </c>
      <c r="J4305" s="5" t="s">
        <v>8408</v>
      </c>
      <c r="L4305" s="11">
        <v>3.8698846452693001</v>
      </c>
      <c r="N4305" s="12"/>
    </row>
    <row r="4306" spans="1:14" s="5" customFormat="1" ht="15" customHeight="1" x14ac:dyDescent="0.25">
      <c r="A4306" s="9" t="s">
        <v>8409</v>
      </c>
      <c r="C4306" s="9" t="str">
        <f>HYPERLINK("http://www.ncbi.nlm.nih.gov/protein/6754634","Mapk7")</f>
        <v>Mapk7</v>
      </c>
      <c r="D4306" s="10">
        <f t="shared" si="67"/>
        <v>3.3072645484497341</v>
      </c>
      <c r="F4306" s="8" t="str">
        <f>HYPERLINK("https://esbl.nhlbi.nih.gov/Databases/mpkFractions/proteomic_fractions_log_files/Yang_log_img/6754634.jpg","show blot")</f>
        <v>show blot</v>
      </c>
      <c r="H4306" s="8" t="str">
        <f>HYPERLINK("https://esbl.nhlbi.nih.gov/Databases/mpkFractions/proteomic_fractions_linear_files/Yang_linear_img/6754634.jpg","show blot")</f>
        <v>show blot</v>
      </c>
      <c r="J4306" s="5" t="s">
        <v>8410</v>
      </c>
      <c r="L4306" s="11">
        <v>3.3072645484497341</v>
      </c>
      <c r="N4306" s="12"/>
    </row>
    <row r="4307" spans="1:14" s="5" customFormat="1" ht="15" customHeight="1" x14ac:dyDescent="0.25">
      <c r="A4307" s="9" t="s">
        <v>8411</v>
      </c>
      <c r="C4307" s="9" t="str">
        <f>HYPERLINK("http://www.ncbi.nlm.nih.gov/protein/7710060","Mapk8")</f>
        <v>Mapk8</v>
      </c>
      <c r="D4307" s="10">
        <f t="shared" si="67"/>
        <v>5.4262968400993401</v>
      </c>
      <c r="F4307" s="8" t="str">
        <f>HYPERLINK("https://esbl.nhlbi.nih.gov/Databases/mpkFractions/proteomic_fractions_log_files/Yang_log_img/7710060.jpg","show blot")</f>
        <v>show blot</v>
      </c>
      <c r="H4307" s="8" t="str">
        <f>HYPERLINK("https://esbl.nhlbi.nih.gov/Databases/mpkFractions/proteomic_fractions_linear_files/Yang_linear_img/7710060.jpg","show blot")</f>
        <v>show blot</v>
      </c>
      <c r="J4307" s="5" t="s">
        <v>8412</v>
      </c>
      <c r="L4307" s="11">
        <v>5.4262968400993401</v>
      </c>
      <c r="N4307" s="12"/>
    </row>
    <row r="4308" spans="1:14" s="5" customFormat="1" ht="15" customHeight="1" x14ac:dyDescent="0.25">
      <c r="A4308" s="9" t="s">
        <v>8413</v>
      </c>
      <c r="C4308" s="9" t="str">
        <f>HYPERLINK("http://www.ncbi.nlm.nih.gov/protein/254540192","Mapk8ip3")</f>
        <v>Mapk8ip3</v>
      </c>
      <c r="D4308" s="10">
        <f t="shared" si="67"/>
        <v>3.9080729696710219</v>
      </c>
      <c r="F4308" s="8" t="str">
        <f>HYPERLINK("https://esbl.nhlbi.nih.gov/Databases/mpkFractions/proteomic_fractions_log_files/Yang_log_img/254540192.jpg","show blot")</f>
        <v>show blot</v>
      </c>
      <c r="H4308" s="8" t="str">
        <f>HYPERLINK("https://esbl.nhlbi.nih.gov/Databases/mpkFractions/proteomic_fractions_linear_files/Yang_linear_img/254540192.jpg","show blot")</f>
        <v>show blot</v>
      </c>
      <c r="J4308" s="5" t="s">
        <v>8414</v>
      </c>
      <c r="L4308" s="11">
        <v>3.9080729696710219</v>
      </c>
      <c r="N4308" s="12"/>
    </row>
    <row r="4309" spans="1:14" s="5" customFormat="1" ht="15" customHeight="1" x14ac:dyDescent="0.25">
      <c r="A4309" s="9" t="s">
        <v>8415</v>
      </c>
      <c r="C4309" s="9" t="str">
        <f>HYPERLINK("http://www.ncbi.nlm.nih.gov/protein/254540198","Mapk8ip3")</f>
        <v>Mapk8ip3</v>
      </c>
      <c r="D4309" s="10">
        <f t="shared" si="67"/>
        <v>3.9080729696710219</v>
      </c>
      <c r="F4309" s="8" t="str">
        <f>HYPERLINK("https://esbl.nhlbi.nih.gov/Databases/mpkFractions/proteomic_fractions_log_files/Yang_log_img/254540198.jpg","show blot")</f>
        <v>show blot</v>
      </c>
      <c r="H4309" s="8" t="str">
        <f>HYPERLINK("https://esbl.nhlbi.nih.gov/Databases/mpkFractions/proteomic_fractions_linear_files/Yang_linear_img/254540198.jpg","show blot")</f>
        <v>show blot</v>
      </c>
      <c r="J4309" s="5" t="s">
        <v>8416</v>
      </c>
      <c r="L4309" s="11">
        <v>3.9080729696710219</v>
      </c>
      <c r="N4309" s="12"/>
    </row>
    <row r="4310" spans="1:14" s="5" customFormat="1" ht="15" customHeight="1" x14ac:dyDescent="0.25">
      <c r="A4310" s="9" t="s">
        <v>8417</v>
      </c>
      <c r="C4310" s="9" t="str">
        <f>HYPERLINK("http://www.ncbi.nlm.nih.gov/protein/254540200","Mapk8ip3")</f>
        <v>Mapk8ip3</v>
      </c>
      <c r="D4310" s="10">
        <f t="shared" si="67"/>
        <v>3.9080729696710219</v>
      </c>
      <c r="F4310" s="8" t="str">
        <f>HYPERLINK("https://esbl.nhlbi.nih.gov/Databases/mpkFractions/proteomic_fractions_log_files/Yang_log_img/254540200.jpg","show blot")</f>
        <v>show blot</v>
      </c>
      <c r="H4310" s="8" t="str">
        <f>HYPERLINK("https://esbl.nhlbi.nih.gov/Databases/mpkFractions/proteomic_fractions_linear_files/Yang_linear_img/254540200.jpg","show blot")</f>
        <v>show blot</v>
      </c>
      <c r="J4310" s="5" t="s">
        <v>8418</v>
      </c>
      <c r="L4310" s="11">
        <v>3.9080729696710219</v>
      </c>
      <c r="N4310" s="12"/>
    </row>
    <row r="4311" spans="1:14" s="5" customFormat="1" ht="15" customHeight="1" x14ac:dyDescent="0.25">
      <c r="A4311" s="9" t="s">
        <v>8419</v>
      </c>
      <c r="C4311" s="9" t="str">
        <f>HYPERLINK("http://www.ncbi.nlm.nih.gov/protein/254540202","Mapk8ip3")</f>
        <v>Mapk8ip3</v>
      </c>
      <c r="D4311" s="10">
        <f t="shared" si="67"/>
        <v>3.9080729696710219</v>
      </c>
      <c r="F4311" s="8" t="str">
        <f>HYPERLINK("https://esbl.nhlbi.nih.gov/Databases/mpkFractions/proteomic_fractions_log_files/Yang_log_img/254540202.jpg","show blot")</f>
        <v>show blot</v>
      </c>
      <c r="H4311" s="8" t="str">
        <f>HYPERLINK("https://esbl.nhlbi.nih.gov/Databases/mpkFractions/proteomic_fractions_linear_files/Yang_linear_img/254540202.jpg","show blot")</f>
        <v>show blot</v>
      </c>
      <c r="J4311" s="5" t="s">
        <v>8420</v>
      </c>
      <c r="L4311" s="11">
        <v>3.9080729696710219</v>
      </c>
      <c r="N4311" s="12"/>
    </row>
    <row r="4312" spans="1:14" s="5" customFormat="1" ht="15" customHeight="1" x14ac:dyDescent="0.25">
      <c r="A4312" s="9" t="s">
        <v>8421</v>
      </c>
      <c r="C4312" s="9" t="str">
        <f>HYPERLINK("http://www.ncbi.nlm.nih.gov/protein/254540204","Mapk8ip3")</f>
        <v>Mapk8ip3</v>
      </c>
      <c r="D4312" s="10">
        <f t="shared" si="67"/>
        <v>3.9080729696710219</v>
      </c>
      <c r="F4312" s="8" t="str">
        <f>HYPERLINK("https://esbl.nhlbi.nih.gov/Databases/mpkFractions/proteomic_fractions_log_files/Yang_log_img/254540204.jpg","show blot")</f>
        <v>show blot</v>
      </c>
      <c r="H4312" s="8" t="str">
        <f>HYPERLINK("https://esbl.nhlbi.nih.gov/Databases/mpkFractions/proteomic_fractions_linear_files/Yang_linear_img/254540204.jpg","show blot")</f>
        <v>show blot</v>
      </c>
      <c r="J4312" s="5" t="s">
        <v>8422</v>
      </c>
      <c r="L4312" s="11">
        <v>3.9080729696710219</v>
      </c>
      <c r="N4312" s="12"/>
    </row>
    <row r="4313" spans="1:14" s="5" customFormat="1" ht="15" customHeight="1" x14ac:dyDescent="0.25">
      <c r="A4313" s="9" t="s">
        <v>8423</v>
      </c>
      <c r="C4313" s="9" t="str">
        <f>HYPERLINK("http://www.ncbi.nlm.nih.gov/protein/254540206","Mapk8ip3")</f>
        <v>Mapk8ip3</v>
      </c>
      <c r="D4313" s="10">
        <f t="shared" si="67"/>
        <v>3.9080729696710219</v>
      </c>
      <c r="F4313" s="8" t="str">
        <f>HYPERLINK("https://esbl.nhlbi.nih.gov/Databases/mpkFractions/proteomic_fractions_log_files/Yang_log_img/254540206.jpg","show blot")</f>
        <v>show blot</v>
      </c>
      <c r="H4313" s="8" t="str">
        <f>HYPERLINK("https://esbl.nhlbi.nih.gov/Databases/mpkFractions/proteomic_fractions_linear_files/Yang_linear_img/254540206.jpg","show blot")</f>
        <v>show blot</v>
      </c>
      <c r="J4313" s="5" t="s">
        <v>8424</v>
      </c>
      <c r="L4313" s="11">
        <v>3.9080729696710219</v>
      </c>
      <c r="N4313" s="12"/>
    </row>
    <row r="4314" spans="1:14" s="5" customFormat="1" ht="15" customHeight="1" x14ac:dyDescent="0.25">
      <c r="A4314" s="9" t="s">
        <v>8425</v>
      </c>
      <c r="C4314" s="9" t="str">
        <f>HYPERLINK("http://www.ncbi.nlm.nih.gov/protein/254540212","Mapk8ip3")</f>
        <v>Mapk8ip3</v>
      </c>
      <c r="D4314" s="10">
        <f t="shared" si="67"/>
        <v>3.9080729696710219</v>
      </c>
      <c r="F4314" s="8" t="str">
        <f>HYPERLINK("https://esbl.nhlbi.nih.gov/Databases/mpkFractions/proteomic_fractions_log_files/Yang_log_img/254540212.jpg","show blot")</f>
        <v>show blot</v>
      </c>
      <c r="H4314" s="8" t="str">
        <f>HYPERLINK("https://esbl.nhlbi.nih.gov/Databases/mpkFractions/proteomic_fractions_linear_files/Yang_linear_img/254540212.jpg","show blot")</f>
        <v>show blot</v>
      </c>
      <c r="J4314" s="5" t="s">
        <v>8426</v>
      </c>
      <c r="L4314" s="11">
        <v>3.9080729696710219</v>
      </c>
      <c r="N4314" s="12"/>
    </row>
    <row r="4315" spans="1:14" s="5" customFormat="1" ht="15" customHeight="1" x14ac:dyDescent="0.25">
      <c r="A4315" s="9" t="s">
        <v>8427</v>
      </c>
      <c r="C4315" s="9" t="str">
        <f>HYPERLINK("http://www.ncbi.nlm.nih.gov/protein/254750709","Mapk9")</f>
        <v>Mapk9</v>
      </c>
      <c r="D4315" s="10">
        <f t="shared" si="67"/>
        <v>5.4352188442172116</v>
      </c>
      <c r="F4315" s="8" t="str">
        <f>HYPERLINK("https://esbl.nhlbi.nih.gov/Databases/mpkFractions/proteomic_fractions_log_files/Yang_log_img/254750709.jpg","show blot")</f>
        <v>show blot</v>
      </c>
      <c r="H4315" s="8" t="str">
        <f>HYPERLINK("https://esbl.nhlbi.nih.gov/Databases/mpkFractions/proteomic_fractions_linear_files/Yang_linear_img/254750709.jpg","show blot")</f>
        <v>show blot</v>
      </c>
      <c r="J4315" s="5" t="s">
        <v>8428</v>
      </c>
      <c r="L4315" s="11">
        <v>5.4352188442172116</v>
      </c>
      <c r="N4315" s="12"/>
    </row>
    <row r="4316" spans="1:14" s="5" customFormat="1" ht="15" customHeight="1" x14ac:dyDescent="0.25">
      <c r="A4316" s="9" t="s">
        <v>8429</v>
      </c>
      <c r="C4316" s="9" t="str">
        <f>HYPERLINK("http://www.ncbi.nlm.nih.gov/protein/254750733","Mapk9")</f>
        <v>Mapk9</v>
      </c>
      <c r="D4316" s="10">
        <f t="shared" si="67"/>
        <v>5.4352188442172116</v>
      </c>
      <c r="F4316" s="8" t="str">
        <f>HYPERLINK("https://esbl.nhlbi.nih.gov/Databases/mpkFractions/proteomic_fractions_log_files/Yang_log_img/254750733.jpg","show blot")</f>
        <v>show blot</v>
      </c>
      <c r="H4316" s="8" t="str">
        <f>HYPERLINK("https://esbl.nhlbi.nih.gov/Databases/mpkFractions/proteomic_fractions_linear_files/Yang_linear_img/254750733.jpg","show blot")</f>
        <v>show blot</v>
      </c>
      <c r="J4316" s="5" t="s">
        <v>8430</v>
      </c>
      <c r="L4316" s="11">
        <v>5.4352188442172116</v>
      </c>
      <c r="N4316" s="12"/>
    </row>
    <row r="4317" spans="1:14" s="5" customFormat="1" ht="15" customHeight="1" x14ac:dyDescent="0.25">
      <c r="A4317" s="9" t="s">
        <v>8431</v>
      </c>
      <c r="C4317" s="9" t="str">
        <f>HYPERLINK("http://www.ncbi.nlm.nih.gov/protein/254750739","Mapk9")</f>
        <v>Mapk9</v>
      </c>
      <c r="D4317" s="10">
        <f t="shared" si="67"/>
        <v>5.4352188442172116</v>
      </c>
      <c r="F4317" s="8" t="str">
        <f>HYPERLINK("https://esbl.nhlbi.nih.gov/Databases/mpkFractions/proteomic_fractions_log_files/Yang_log_img/254750739.jpg","show blot")</f>
        <v>show blot</v>
      </c>
      <c r="H4317" s="8" t="str">
        <f>HYPERLINK("https://esbl.nhlbi.nih.gov/Databases/mpkFractions/proteomic_fractions_linear_files/Yang_linear_img/254750739.jpg","show blot")</f>
        <v>show blot</v>
      </c>
      <c r="J4317" s="5" t="s">
        <v>8432</v>
      </c>
      <c r="L4317" s="11">
        <v>5.4352188442172116</v>
      </c>
      <c r="N4317" s="12"/>
    </row>
    <row r="4318" spans="1:14" s="5" customFormat="1" ht="15" customHeight="1" x14ac:dyDescent="0.25">
      <c r="A4318" s="9" t="s">
        <v>8433</v>
      </c>
      <c r="C4318" s="9" t="str">
        <f>HYPERLINK("http://www.ncbi.nlm.nih.gov/protein/8393749","Mapk9")</f>
        <v>Mapk9</v>
      </c>
      <c r="D4318" s="10">
        <f t="shared" si="67"/>
        <v>5.4352188442172116</v>
      </c>
      <c r="F4318" s="8" t="str">
        <f>HYPERLINK("https://esbl.nhlbi.nih.gov/Databases/mpkFractions/proteomic_fractions_log_files/Yang_log_img/8393749.jpg","show blot")</f>
        <v>show blot</v>
      </c>
      <c r="H4318" s="8" t="str">
        <f>HYPERLINK("https://esbl.nhlbi.nih.gov/Databases/mpkFractions/proteomic_fractions_linear_files/Yang_linear_img/8393749.jpg","show blot")</f>
        <v>show blot</v>
      </c>
      <c r="J4318" s="5" t="s">
        <v>8434</v>
      </c>
      <c r="L4318" s="11">
        <v>5.4352188442172116</v>
      </c>
      <c r="N4318" s="12"/>
    </row>
    <row r="4319" spans="1:14" s="5" customFormat="1" ht="15" customHeight="1" x14ac:dyDescent="0.25">
      <c r="A4319" s="9" t="s">
        <v>8435</v>
      </c>
      <c r="C4319" s="9" t="str">
        <f>HYPERLINK("http://www.ncbi.nlm.nih.gov/protein/28893485","Mapkap1")</f>
        <v>Mapkap1</v>
      </c>
      <c r="D4319" s="10">
        <f t="shared" si="67"/>
        <v>4.0779012449185208</v>
      </c>
      <c r="F4319" s="8" t="str">
        <f>HYPERLINK("https://esbl.nhlbi.nih.gov/Databases/mpkFractions/proteomic_fractions_log_files/Yang_log_img/28893485.jpg","show blot")</f>
        <v>show blot</v>
      </c>
      <c r="H4319" s="8" t="str">
        <f>HYPERLINK("https://esbl.nhlbi.nih.gov/Databases/mpkFractions/proteomic_fractions_linear_files/Yang_linear_img/28893485.jpg","show blot")</f>
        <v>show blot</v>
      </c>
      <c r="J4319" s="5" t="s">
        <v>8436</v>
      </c>
      <c r="L4319" s="11">
        <v>4.0779012449185208</v>
      </c>
      <c r="N4319" s="12"/>
    </row>
    <row r="4320" spans="1:14" s="5" customFormat="1" ht="15" customHeight="1" x14ac:dyDescent="0.25">
      <c r="A4320" s="9" t="s">
        <v>8437</v>
      </c>
      <c r="C4320" s="9" t="str">
        <f>HYPERLINK("http://www.ncbi.nlm.nih.gov/protein/45544580","Mapkapk2")</f>
        <v>Mapkapk2</v>
      </c>
      <c r="D4320" s="10">
        <f t="shared" si="67"/>
        <v>4.4898290321432839</v>
      </c>
      <c r="F4320" s="8" t="str">
        <f>HYPERLINK("https://esbl.nhlbi.nih.gov/Databases/mpkFractions/proteomic_fractions_log_files/Yang_log_img/45544580.jpg","show blot")</f>
        <v>show blot</v>
      </c>
      <c r="H4320" s="8" t="str">
        <f>HYPERLINK("https://esbl.nhlbi.nih.gov/Databases/mpkFractions/proteomic_fractions_linear_files/Yang_linear_img/45544580.jpg","show blot")</f>
        <v>show blot</v>
      </c>
      <c r="J4320" s="5" t="s">
        <v>8438</v>
      </c>
      <c r="L4320" s="11">
        <v>4.4898290321432839</v>
      </c>
      <c r="N4320" s="12"/>
    </row>
    <row r="4321" spans="1:14" s="5" customFormat="1" ht="15" customHeight="1" x14ac:dyDescent="0.25">
      <c r="A4321" s="9" t="s">
        <v>8439</v>
      </c>
      <c r="C4321" s="9" t="str">
        <f>HYPERLINK("http://www.ncbi.nlm.nih.gov/protein/31542089","Mapkapk3")</f>
        <v>Mapkapk3</v>
      </c>
      <c r="D4321" s="10">
        <f t="shared" si="67"/>
        <v>4.5988297915229532</v>
      </c>
      <c r="F4321" s="8" t="str">
        <f>HYPERLINK("https://esbl.nhlbi.nih.gov/Databases/mpkFractions/proteomic_fractions_log_files/Yang_log_img/31542089.jpg","show blot")</f>
        <v>show blot</v>
      </c>
      <c r="H4321" s="8" t="str">
        <f>HYPERLINK("https://esbl.nhlbi.nih.gov/Databases/mpkFractions/proteomic_fractions_linear_files/Yang_linear_img/31542089.jpg","show blot")</f>
        <v>show blot</v>
      </c>
      <c r="J4321" s="5" t="s">
        <v>8440</v>
      </c>
      <c r="L4321" s="11">
        <v>4.5988297915229532</v>
      </c>
      <c r="N4321" s="12"/>
    </row>
    <row r="4322" spans="1:14" s="5" customFormat="1" ht="15" customHeight="1" x14ac:dyDescent="0.25">
      <c r="A4322" s="9" t="s">
        <v>8441</v>
      </c>
      <c r="C4322" s="9" t="str">
        <f>HYPERLINK("http://www.ncbi.nlm.nih.gov/protein/6754636","Mapkapk5")</f>
        <v>Mapkapk5</v>
      </c>
      <c r="D4322" s="10">
        <f t="shared" si="67"/>
        <v>3.983514787743367</v>
      </c>
      <c r="F4322" s="8" t="str">
        <f>HYPERLINK("https://esbl.nhlbi.nih.gov/Databases/mpkFractions/proteomic_fractions_log_files/Yang_log_img/6754636.jpg","show blot")</f>
        <v>show blot</v>
      </c>
      <c r="H4322" s="8" t="str">
        <f>HYPERLINK("https://esbl.nhlbi.nih.gov/Databases/mpkFractions/proteomic_fractions_linear_files/Yang_linear_img/6754636.jpg","show blot")</f>
        <v>show blot</v>
      </c>
      <c r="J4322" s="5" t="s">
        <v>8442</v>
      </c>
      <c r="L4322" s="11">
        <v>3.983514787743367</v>
      </c>
      <c r="N4322" s="12"/>
    </row>
    <row r="4323" spans="1:14" s="5" customFormat="1" ht="15" customHeight="1" x14ac:dyDescent="0.25">
      <c r="A4323" s="9" t="s">
        <v>8443</v>
      </c>
      <c r="C4323" s="9" t="str">
        <f>HYPERLINK("http://www.ncbi.nlm.nih.gov/protein/7106301","Mapre1")</f>
        <v>Mapre1</v>
      </c>
      <c r="D4323" s="10">
        <f t="shared" si="67"/>
        <v>5.8402370983388421</v>
      </c>
      <c r="F4323" s="8" t="str">
        <f>HYPERLINK("https://esbl.nhlbi.nih.gov/Databases/mpkFractions/proteomic_fractions_log_files/Yang_log_img/7106301.jpg","show blot")</f>
        <v>show blot</v>
      </c>
      <c r="H4323" s="8" t="str">
        <f>HYPERLINK("https://esbl.nhlbi.nih.gov/Databases/mpkFractions/proteomic_fractions_linear_files/Yang_linear_img/7106301.jpg","show blot")</f>
        <v>show blot</v>
      </c>
      <c r="J4323" s="5" t="s">
        <v>8444</v>
      </c>
      <c r="L4323" s="11">
        <v>5.8402370983388421</v>
      </c>
      <c r="N4323" s="12"/>
    </row>
    <row r="4324" spans="1:14" s="5" customFormat="1" ht="15" customHeight="1" x14ac:dyDescent="0.25">
      <c r="A4324" s="9" t="s">
        <v>8445</v>
      </c>
      <c r="C4324" s="9" t="str">
        <f>HYPERLINK("http://www.ncbi.nlm.nih.gov/protein/253314540","Mapre2")</f>
        <v>Mapre2</v>
      </c>
      <c r="D4324" s="10">
        <f t="shared" si="67"/>
        <v>3.7884077870318649</v>
      </c>
      <c r="F4324" s="8" t="str">
        <f>HYPERLINK("https://esbl.nhlbi.nih.gov/Databases/mpkFractions/proteomic_fractions_log_files/Yang_log_img/253314540.jpg","show blot")</f>
        <v>show blot</v>
      </c>
      <c r="H4324" s="8" t="str">
        <f>HYPERLINK("https://esbl.nhlbi.nih.gov/Databases/mpkFractions/proteomic_fractions_linear_files/Yang_linear_img/253314540.jpg","show blot")</f>
        <v>show blot</v>
      </c>
      <c r="J4324" s="5" t="s">
        <v>8446</v>
      </c>
      <c r="L4324" s="11">
        <v>3.7884077870318649</v>
      </c>
      <c r="N4324" s="12"/>
    </row>
    <row r="4325" spans="1:14" s="5" customFormat="1" ht="15" customHeight="1" x14ac:dyDescent="0.25">
      <c r="A4325" s="9" t="s">
        <v>8447</v>
      </c>
      <c r="C4325" s="9" t="str">
        <f>HYPERLINK("http://www.ncbi.nlm.nih.gov/protein/253314542","Mapre2")</f>
        <v>Mapre2</v>
      </c>
      <c r="D4325" s="10">
        <f t="shared" si="67"/>
        <v>3.7884077870318649</v>
      </c>
      <c r="F4325" s="8" t="str">
        <f>HYPERLINK("https://esbl.nhlbi.nih.gov/Databases/mpkFractions/proteomic_fractions_log_files/Yang_log_img/253314542.jpg","show blot")</f>
        <v>show blot</v>
      </c>
      <c r="H4325" s="8" t="str">
        <f>HYPERLINK("https://esbl.nhlbi.nih.gov/Databases/mpkFractions/proteomic_fractions_linear_files/Yang_linear_img/253314542.jpg","show blot")</f>
        <v>show blot</v>
      </c>
      <c r="J4325" s="5" t="s">
        <v>8448</v>
      </c>
      <c r="L4325" s="11">
        <v>3.7884077870318649</v>
      </c>
      <c r="N4325" s="12"/>
    </row>
    <row r="4326" spans="1:14" s="5" customFormat="1" ht="15" customHeight="1" x14ac:dyDescent="0.25">
      <c r="A4326" s="9" t="s">
        <v>8449</v>
      </c>
      <c r="C4326" s="9" t="str">
        <f>HYPERLINK("http://www.ncbi.nlm.nih.gov/protein/253314544","Mapre2")</f>
        <v>Mapre2</v>
      </c>
      <c r="D4326" s="10">
        <f t="shared" si="67"/>
        <v>3.7884077870318649</v>
      </c>
      <c r="F4326" s="8" t="str">
        <f>HYPERLINK("https://esbl.nhlbi.nih.gov/Databases/mpkFractions/proteomic_fractions_log_files/Yang_log_img/253314544.jpg","show blot")</f>
        <v>show blot</v>
      </c>
      <c r="H4326" s="8" t="str">
        <f>HYPERLINK("https://esbl.nhlbi.nih.gov/Databases/mpkFractions/proteomic_fractions_linear_files/Yang_linear_img/253314544.jpg","show blot")</f>
        <v>show blot</v>
      </c>
      <c r="J4326" s="5" t="s">
        <v>8450</v>
      </c>
      <c r="L4326" s="11">
        <v>3.7884077870318649</v>
      </c>
      <c r="N4326" s="12"/>
    </row>
    <row r="4327" spans="1:14" s="5" customFormat="1" ht="15" customHeight="1" x14ac:dyDescent="0.25">
      <c r="A4327" s="9" t="s">
        <v>8451</v>
      </c>
      <c r="C4327" s="9" t="str">
        <f>HYPERLINK("http://www.ncbi.nlm.nih.gov/protein/39930509","Mapre3")</f>
        <v>Mapre3</v>
      </c>
      <c r="D4327" s="10">
        <f t="shared" si="67"/>
        <v>4.9141228216805413</v>
      </c>
      <c r="F4327" s="8" t="str">
        <f>HYPERLINK("https://esbl.nhlbi.nih.gov/Databases/mpkFractions/proteomic_fractions_log_files/Yang_log_img/39930509.jpg","show blot")</f>
        <v>show blot</v>
      </c>
      <c r="H4327" s="8" t="str">
        <f>HYPERLINK("https://esbl.nhlbi.nih.gov/Databases/mpkFractions/proteomic_fractions_linear_files/Yang_linear_img/39930509.jpg","show blot")</f>
        <v>show blot</v>
      </c>
      <c r="J4327" s="5" t="s">
        <v>8452</v>
      </c>
      <c r="L4327" s="11">
        <v>4.9141228216805413</v>
      </c>
      <c r="N4327" s="12"/>
    </row>
    <row r="4328" spans="1:14" s="5" customFormat="1" ht="15" customHeight="1" x14ac:dyDescent="0.25">
      <c r="A4328" s="9" t="s">
        <v>8453</v>
      </c>
      <c r="C4328" s="9" t="str">
        <f>HYPERLINK("http://www.ncbi.nlm.nih.gov/protein/19526848","Marc2")</f>
        <v>Marc2</v>
      </c>
      <c r="D4328" s="10">
        <f t="shared" si="67"/>
        <v>5.3187546348746837</v>
      </c>
      <c r="F4328" s="8" t="str">
        <f>HYPERLINK("https://esbl.nhlbi.nih.gov/Databases/mpkFractions/proteomic_fractions_log_files/Yang_log_img/19526848.jpg","show blot")</f>
        <v>show blot</v>
      </c>
      <c r="H4328" s="8" t="str">
        <f>HYPERLINK("https://esbl.nhlbi.nih.gov/Databases/mpkFractions/proteomic_fractions_linear_files/Yang_linear_img/19526848.jpg","show blot")</f>
        <v>show blot</v>
      </c>
      <c r="J4328" s="5" t="s">
        <v>8454</v>
      </c>
      <c r="L4328" s="11">
        <v>5.3187546348746837</v>
      </c>
      <c r="N4328" s="12"/>
    </row>
    <row r="4329" spans="1:14" s="5" customFormat="1" ht="15" customHeight="1" x14ac:dyDescent="0.25">
      <c r="A4329" s="9" t="s">
        <v>8455</v>
      </c>
      <c r="C4329" s="9" t="str">
        <f>HYPERLINK("http://www.ncbi.nlm.nih.gov/protein/256773297","March5")</f>
        <v>March5</v>
      </c>
      <c r="D4329" s="10">
        <f t="shared" si="67"/>
        <v>4.7247102678555031</v>
      </c>
      <c r="F4329" s="8" t="str">
        <f>HYPERLINK("https://esbl.nhlbi.nih.gov/Databases/mpkFractions/proteomic_fractions_log_files/Yang_log_img/256773297.jpg","show blot")</f>
        <v>show blot</v>
      </c>
      <c r="H4329" s="8" t="str">
        <f>HYPERLINK("https://esbl.nhlbi.nih.gov/Databases/mpkFractions/proteomic_fractions_linear_files/Yang_linear_img/256773297.jpg","show blot")</f>
        <v>show blot</v>
      </c>
      <c r="J4329" s="5" t="s">
        <v>8456</v>
      </c>
      <c r="L4329" s="11">
        <v>4.7247102678555031</v>
      </c>
      <c r="N4329" s="12"/>
    </row>
    <row r="4330" spans="1:14" s="5" customFormat="1" ht="15" customHeight="1" x14ac:dyDescent="0.25">
      <c r="A4330" s="9" t="s">
        <v>8457</v>
      </c>
      <c r="C4330" s="9" t="str">
        <f>HYPERLINK("http://www.ncbi.nlm.nih.gov/protein/256773301","March5")</f>
        <v>March5</v>
      </c>
      <c r="D4330" s="10">
        <f t="shared" si="67"/>
        <v>4.7247102678555031</v>
      </c>
      <c r="F4330" s="8" t="str">
        <f>HYPERLINK("https://esbl.nhlbi.nih.gov/Databases/mpkFractions/proteomic_fractions_log_files/Yang_log_img/256773301.jpg","show blot")</f>
        <v>show blot</v>
      </c>
      <c r="H4330" s="8" t="str">
        <f>HYPERLINK("https://esbl.nhlbi.nih.gov/Databases/mpkFractions/proteomic_fractions_linear_files/Yang_linear_img/256773301.jpg","show blot")</f>
        <v>show blot</v>
      </c>
      <c r="J4330" s="5" t="s">
        <v>8458</v>
      </c>
      <c r="L4330" s="11">
        <v>4.7247102678555031</v>
      </c>
      <c r="N4330" s="12"/>
    </row>
    <row r="4331" spans="1:14" s="5" customFormat="1" ht="15" customHeight="1" x14ac:dyDescent="0.25">
      <c r="A4331" s="9" t="s">
        <v>8459</v>
      </c>
      <c r="C4331" s="9" t="str">
        <f>HYPERLINK("http://www.ncbi.nlm.nih.gov/protein/256773303","March5")</f>
        <v>March5</v>
      </c>
      <c r="D4331" s="10">
        <f t="shared" si="67"/>
        <v>4.7247102678555031</v>
      </c>
      <c r="F4331" s="8" t="str">
        <f>HYPERLINK("https://esbl.nhlbi.nih.gov/Databases/mpkFractions/proteomic_fractions_log_files/Yang_log_img/256773303.jpg","show blot")</f>
        <v>show blot</v>
      </c>
      <c r="H4331" s="8" t="str">
        <f>HYPERLINK("https://esbl.nhlbi.nih.gov/Databases/mpkFractions/proteomic_fractions_linear_files/Yang_linear_img/256773303.jpg","show blot")</f>
        <v>show blot</v>
      </c>
      <c r="J4331" s="5" t="s">
        <v>8460</v>
      </c>
      <c r="L4331" s="11">
        <v>4.7247102678555031</v>
      </c>
      <c r="N4331" s="12"/>
    </row>
    <row r="4332" spans="1:14" s="5" customFormat="1" ht="15" customHeight="1" x14ac:dyDescent="0.25">
      <c r="A4332" s="9" t="s">
        <v>8461</v>
      </c>
      <c r="C4332" s="9" t="str">
        <f>HYPERLINK("http://www.ncbi.nlm.nih.gov/protein/6678768","Marcks")</f>
        <v>Marcks</v>
      </c>
      <c r="D4332" s="10">
        <f t="shared" si="67"/>
        <v>5.7639436272797298</v>
      </c>
      <c r="F4332" s="8" t="str">
        <f>HYPERLINK("https://esbl.nhlbi.nih.gov/Databases/mpkFractions/proteomic_fractions_log_files/Yang_log_img/6678768.jpg","show blot")</f>
        <v>show blot</v>
      </c>
      <c r="H4332" s="8" t="str">
        <f>HYPERLINK("https://esbl.nhlbi.nih.gov/Databases/mpkFractions/proteomic_fractions_linear_files/Yang_linear_img/6678768.jpg","show blot")</f>
        <v>show blot</v>
      </c>
      <c r="J4332" s="5" t="s">
        <v>8462</v>
      </c>
      <c r="L4332" s="11">
        <v>5.7639436272797298</v>
      </c>
      <c r="N4332" s="12"/>
    </row>
    <row r="4333" spans="1:14" s="5" customFormat="1" ht="15" customHeight="1" x14ac:dyDescent="0.25">
      <c r="A4333" s="9" t="s">
        <v>8463</v>
      </c>
      <c r="C4333" s="9" t="str">
        <f>HYPERLINK("http://www.ncbi.nlm.nih.gov/protein/6754706","Marcksl1")</f>
        <v>Marcksl1</v>
      </c>
      <c r="D4333" s="10">
        <f t="shared" si="67"/>
        <v>5.5134671550880077</v>
      </c>
      <c r="F4333" s="8" t="str">
        <f>HYPERLINK("https://esbl.nhlbi.nih.gov/Databases/mpkFractions/proteomic_fractions_log_files/Yang_log_img/6754706.jpg","show blot")</f>
        <v>show blot</v>
      </c>
      <c r="H4333" s="8" t="str">
        <f>HYPERLINK("https://esbl.nhlbi.nih.gov/Databases/mpkFractions/proteomic_fractions_linear_files/Yang_linear_img/6754706.jpg","show blot")</f>
        <v>show blot</v>
      </c>
      <c r="J4333" s="5" t="s">
        <v>8464</v>
      </c>
      <c r="L4333" s="11">
        <v>5.5134671550880077</v>
      </c>
      <c r="N4333" s="12"/>
    </row>
    <row r="4334" spans="1:14" s="5" customFormat="1" ht="15" customHeight="1" x14ac:dyDescent="0.25">
      <c r="A4334" s="9" t="s">
        <v>8465</v>
      </c>
      <c r="C4334" s="9" t="str">
        <f>HYPERLINK("http://www.ncbi.nlm.nih.gov/protein/124487213","Marf1")</f>
        <v>Marf1</v>
      </c>
      <c r="D4334" s="10">
        <f t="shared" si="67"/>
        <v>4.1948432608954862</v>
      </c>
      <c r="F4334" s="8" t="str">
        <f>HYPERLINK("https://esbl.nhlbi.nih.gov/Databases/mpkFractions/proteomic_fractions_log_files/Yang_log_img/124487213.jpg","show blot")</f>
        <v>show blot</v>
      </c>
      <c r="H4334" s="8" t="str">
        <f>HYPERLINK("https://esbl.nhlbi.nih.gov/Databases/mpkFractions/proteomic_fractions_linear_files/Yang_linear_img/124487213.jpg","show blot")</f>
        <v>show blot</v>
      </c>
      <c r="J4334" s="5" t="s">
        <v>8466</v>
      </c>
      <c r="L4334" s="11">
        <v>4.1948432608954862</v>
      </c>
      <c r="N4334" s="12"/>
    </row>
    <row r="4335" spans="1:14" s="5" customFormat="1" ht="15" customHeight="1" x14ac:dyDescent="0.25">
      <c r="A4335" s="9" t="s">
        <v>8467</v>
      </c>
      <c r="C4335" s="9" t="str">
        <f>HYPERLINK("http://www.ncbi.nlm.nih.gov/protein/224922757","Mark1")</f>
        <v>Mark1</v>
      </c>
      <c r="D4335" s="10">
        <f t="shared" si="67"/>
        <v>4.3491998913780199</v>
      </c>
      <c r="F4335" s="8" t="str">
        <f>HYPERLINK("https://esbl.nhlbi.nih.gov/Databases/mpkFractions/proteomic_fractions_log_files/Yang_log_img/224922757.jpg","show blot")</f>
        <v>show blot</v>
      </c>
      <c r="H4335" s="8" t="str">
        <f>HYPERLINK("https://esbl.nhlbi.nih.gov/Databases/mpkFractions/proteomic_fractions_linear_files/Yang_linear_img/224922757.jpg","show blot")</f>
        <v>show blot</v>
      </c>
      <c r="J4335" s="5" t="s">
        <v>8468</v>
      </c>
      <c r="L4335" s="11">
        <v>4.3491998913780199</v>
      </c>
      <c r="N4335" s="12"/>
    </row>
    <row r="4336" spans="1:14" s="5" customFormat="1" ht="15" customHeight="1" x14ac:dyDescent="0.25">
      <c r="A4336" s="9" t="s">
        <v>8469</v>
      </c>
      <c r="C4336" s="9" t="str">
        <f>HYPERLINK("http://www.ncbi.nlm.nih.gov/protein/122937355","Mark2")</f>
        <v>Mark2</v>
      </c>
      <c r="D4336" s="10">
        <f t="shared" si="67"/>
        <v>5.1294137351463203</v>
      </c>
      <c r="F4336" s="8" t="str">
        <f>HYPERLINK("https://esbl.nhlbi.nih.gov/Databases/mpkFractions/proteomic_fractions_log_files/Yang_log_img/122937355.jpg","show blot")</f>
        <v>show blot</v>
      </c>
      <c r="H4336" s="8" t="str">
        <f>HYPERLINK("https://esbl.nhlbi.nih.gov/Databases/mpkFractions/proteomic_fractions_linear_files/Yang_linear_img/122937355.jpg","show blot")</f>
        <v>show blot</v>
      </c>
      <c r="J4336" s="5" t="s">
        <v>8470</v>
      </c>
      <c r="L4336" s="11">
        <v>5.1294137351463203</v>
      </c>
      <c r="N4336" s="12"/>
    </row>
    <row r="4337" spans="1:14" s="5" customFormat="1" ht="15" customHeight="1" x14ac:dyDescent="0.25">
      <c r="A4337" s="9" t="s">
        <v>8471</v>
      </c>
      <c r="C4337" s="9" t="str">
        <f>HYPERLINK("http://www.ncbi.nlm.nih.gov/protein/122937357","Mark2")</f>
        <v>Mark2</v>
      </c>
      <c r="D4337" s="10">
        <f t="shared" si="67"/>
        <v>5.1294137351463203</v>
      </c>
      <c r="F4337" s="8" t="str">
        <f>HYPERLINK("https://esbl.nhlbi.nih.gov/Databases/mpkFractions/proteomic_fractions_log_files/Yang_log_img/122937357.jpg","show blot")</f>
        <v>show blot</v>
      </c>
      <c r="H4337" s="8" t="str">
        <f>HYPERLINK("https://esbl.nhlbi.nih.gov/Databases/mpkFractions/proteomic_fractions_linear_files/Yang_linear_img/122937357.jpg","show blot")</f>
        <v>show blot</v>
      </c>
      <c r="J4337" s="5" t="s">
        <v>8472</v>
      </c>
      <c r="L4337" s="11">
        <v>5.1294137351463203</v>
      </c>
      <c r="N4337" s="12"/>
    </row>
    <row r="4338" spans="1:14" s="5" customFormat="1" ht="15" customHeight="1" x14ac:dyDescent="0.25">
      <c r="A4338" s="9" t="s">
        <v>8473</v>
      </c>
      <c r="C4338" s="9" t="str">
        <f>HYPERLINK("http://www.ncbi.nlm.nih.gov/protein/122937359","Mark2")</f>
        <v>Mark2</v>
      </c>
      <c r="D4338" s="10">
        <f t="shared" si="67"/>
        <v>5.1294137351463203</v>
      </c>
      <c r="F4338" s="8" t="str">
        <f>HYPERLINK("https://esbl.nhlbi.nih.gov/Databases/mpkFractions/proteomic_fractions_log_files/Yang_log_img/122937359.jpg","show blot")</f>
        <v>show blot</v>
      </c>
      <c r="H4338" s="8" t="str">
        <f>HYPERLINK("https://esbl.nhlbi.nih.gov/Databases/mpkFractions/proteomic_fractions_linear_files/Yang_linear_img/122937359.jpg","show blot")</f>
        <v>show blot</v>
      </c>
      <c r="J4338" s="5" t="s">
        <v>8474</v>
      </c>
      <c r="L4338" s="11">
        <v>5.1294137351463203</v>
      </c>
      <c r="N4338" s="12"/>
    </row>
    <row r="4339" spans="1:14" s="5" customFormat="1" ht="15" customHeight="1" x14ac:dyDescent="0.25">
      <c r="A4339" s="9" t="s">
        <v>8475</v>
      </c>
      <c r="C4339" s="9" t="str">
        <f>HYPERLINK("http://www.ncbi.nlm.nih.gov/protein/122937363","Mark2")</f>
        <v>Mark2</v>
      </c>
      <c r="D4339" s="10">
        <f t="shared" si="67"/>
        <v>5.1294137351463203</v>
      </c>
      <c r="F4339" s="8" t="str">
        <f>HYPERLINK("https://esbl.nhlbi.nih.gov/Databases/mpkFractions/proteomic_fractions_log_files/Yang_log_img/122937363.jpg","show blot")</f>
        <v>show blot</v>
      </c>
      <c r="H4339" s="8" t="str">
        <f>HYPERLINK("https://esbl.nhlbi.nih.gov/Databases/mpkFractions/proteomic_fractions_linear_files/Yang_linear_img/122937363.jpg","show blot")</f>
        <v>show blot</v>
      </c>
      <c r="J4339" s="5" t="s">
        <v>8476</v>
      </c>
      <c r="L4339" s="11">
        <v>5.1294137351463203</v>
      </c>
      <c r="N4339" s="12"/>
    </row>
    <row r="4340" spans="1:14" s="5" customFormat="1" ht="15" customHeight="1" x14ac:dyDescent="0.25">
      <c r="A4340" s="9" t="s">
        <v>8477</v>
      </c>
      <c r="C4340" s="9" t="str">
        <f>HYPERLINK("http://www.ncbi.nlm.nih.gov/protein/251823810","Mark3")</f>
        <v>Mark3</v>
      </c>
      <c r="D4340" s="10">
        <f t="shared" si="67"/>
        <v>4.6280422900083522</v>
      </c>
      <c r="F4340" s="8" t="str">
        <f>HYPERLINK("https://esbl.nhlbi.nih.gov/Databases/mpkFractions/proteomic_fractions_log_files/Yang_log_img/251823810.jpg","show blot")</f>
        <v>show blot</v>
      </c>
      <c r="H4340" s="8" t="str">
        <f>HYPERLINK("https://esbl.nhlbi.nih.gov/Databases/mpkFractions/proteomic_fractions_linear_files/Yang_linear_img/251823810.jpg","show blot")</f>
        <v>show blot</v>
      </c>
      <c r="J4340" s="5" t="s">
        <v>8478</v>
      </c>
      <c r="L4340" s="11">
        <v>4.6280422900083522</v>
      </c>
      <c r="N4340" s="12"/>
    </row>
    <row r="4341" spans="1:14" s="5" customFormat="1" ht="15" customHeight="1" x14ac:dyDescent="0.25">
      <c r="A4341" s="9" t="s">
        <v>8479</v>
      </c>
      <c r="C4341" s="9" t="str">
        <f>HYPERLINK("http://www.ncbi.nlm.nih.gov/protein/251823812","Mark3")</f>
        <v>Mark3</v>
      </c>
      <c r="D4341" s="10">
        <f t="shared" si="67"/>
        <v>4.6280422900083522</v>
      </c>
      <c r="F4341" s="8" t="str">
        <f>HYPERLINK("https://esbl.nhlbi.nih.gov/Databases/mpkFractions/proteomic_fractions_log_files/Yang_log_img/251823812.jpg","show blot")</f>
        <v>show blot</v>
      </c>
      <c r="H4341" s="8" t="str">
        <f>HYPERLINK("https://esbl.nhlbi.nih.gov/Databases/mpkFractions/proteomic_fractions_linear_files/Yang_linear_img/251823812.jpg","show blot")</f>
        <v>show blot</v>
      </c>
      <c r="J4341" s="5" t="s">
        <v>8480</v>
      </c>
      <c r="L4341" s="11">
        <v>4.6280422900083522</v>
      </c>
      <c r="N4341" s="12"/>
    </row>
    <row r="4342" spans="1:14" s="5" customFormat="1" ht="15" customHeight="1" x14ac:dyDescent="0.25">
      <c r="A4342" s="9" t="s">
        <v>8481</v>
      </c>
      <c r="C4342" s="9" t="str">
        <f>HYPERLINK("http://www.ncbi.nlm.nih.gov/protein/26986591","Mark4")</f>
        <v>Mark4</v>
      </c>
      <c r="D4342" s="10">
        <f t="shared" si="67"/>
        <v>4.0831936221294463</v>
      </c>
      <c r="F4342" s="8" t="str">
        <f>HYPERLINK("https://esbl.nhlbi.nih.gov/Databases/mpkFractions/proteomic_fractions_log_files/Yang_log_img/26986591.jpg","show blot")</f>
        <v>show blot</v>
      </c>
      <c r="H4342" s="8" t="str">
        <f>HYPERLINK("https://esbl.nhlbi.nih.gov/Databases/mpkFractions/proteomic_fractions_linear_files/Yang_linear_img/26986591.jpg","show blot")</f>
        <v>show blot</v>
      </c>
      <c r="J4342" s="5" t="s">
        <v>8482</v>
      </c>
      <c r="L4342" s="11">
        <v>4.0831936221294463</v>
      </c>
      <c r="N4342" s="12"/>
    </row>
    <row r="4343" spans="1:14" s="5" customFormat="1" ht="15" customHeight="1" x14ac:dyDescent="0.25">
      <c r="A4343" s="9" t="s">
        <v>8483</v>
      </c>
      <c r="C4343" s="9" t="str">
        <f>HYPERLINK("http://www.ncbi.nlm.nih.gov/protein/284172357","Mars")</f>
        <v>Mars</v>
      </c>
      <c r="D4343" s="10">
        <f t="shared" si="67"/>
        <v>5.7927725944644672</v>
      </c>
      <c r="F4343" s="8" t="str">
        <f>HYPERLINK("https://esbl.nhlbi.nih.gov/Databases/mpkFractions/proteomic_fractions_log_files/Yang_log_img/284172357.jpg","show blot")</f>
        <v>show blot</v>
      </c>
      <c r="H4343" s="8" t="str">
        <f>HYPERLINK("https://esbl.nhlbi.nih.gov/Databases/mpkFractions/proteomic_fractions_linear_files/Yang_linear_img/284172357.jpg","show blot")</f>
        <v>show blot</v>
      </c>
      <c r="J4343" s="5" t="s">
        <v>8484</v>
      </c>
      <c r="L4343" s="11">
        <v>5.7927725944644672</v>
      </c>
      <c r="N4343" s="12"/>
    </row>
    <row r="4344" spans="1:14" s="5" customFormat="1" ht="15" customHeight="1" x14ac:dyDescent="0.25">
      <c r="A4344" s="9" t="s">
        <v>8485</v>
      </c>
      <c r="C4344" s="9" t="str">
        <f>HYPERLINK("http://www.ncbi.nlm.nih.gov/protein/51491852","Mars")</f>
        <v>Mars</v>
      </c>
      <c r="D4344" s="10">
        <f t="shared" si="67"/>
        <v>5.7927725944644672</v>
      </c>
      <c r="F4344" s="8" t="str">
        <f>HYPERLINK("https://esbl.nhlbi.nih.gov/Databases/mpkFractions/proteomic_fractions_log_files/Yang_log_img/51491852.jpg","show blot")</f>
        <v>show blot</v>
      </c>
      <c r="H4344" s="8" t="str">
        <f>HYPERLINK("https://esbl.nhlbi.nih.gov/Databases/mpkFractions/proteomic_fractions_linear_files/Yang_linear_img/51491852.jpg","show blot")</f>
        <v>show blot</v>
      </c>
      <c r="J4344" s="5" t="s">
        <v>8486</v>
      </c>
      <c r="L4344" s="11">
        <v>5.7927725944644672</v>
      </c>
      <c r="N4344" s="12"/>
    </row>
    <row r="4345" spans="1:14" s="5" customFormat="1" ht="15" customHeight="1" x14ac:dyDescent="0.25">
      <c r="A4345" s="9" t="s">
        <v>8487</v>
      </c>
      <c r="C4345" s="9" t="str">
        <f>HYPERLINK("http://www.ncbi.nlm.nih.gov/protein/30425166","Mars2")</f>
        <v>Mars2</v>
      </c>
      <c r="D4345" s="10">
        <f t="shared" si="67"/>
        <v>3.259146454946519</v>
      </c>
      <c r="F4345" s="8" t="str">
        <f>HYPERLINK("https://esbl.nhlbi.nih.gov/Databases/mpkFractions/proteomic_fractions_log_files/Yang_log_img/30425166.jpg","show blot")</f>
        <v>show blot</v>
      </c>
      <c r="H4345" s="8" t="str">
        <f>HYPERLINK("https://esbl.nhlbi.nih.gov/Databases/mpkFractions/proteomic_fractions_linear_files/Yang_linear_img/30425166.jpg","show blot")</f>
        <v>show blot</v>
      </c>
      <c r="J4345" s="5" t="s">
        <v>8488</v>
      </c>
      <c r="L4345" s="11">
        <v>3.259146454946519</v>
      </c>
      <c r="N4345" s="12"/>
    </row>
    <row r="4346" spans="1:14" s="5" customFormat="1" ht="15" customHeight="1" x14ac:dyDescent="0.25">
      <c r="A4346" s="9" t="s">
        <v>8489</v>
      </c>
      <c r="C4346" s="9" t="str">
        <f>HYPERLINK("http://www.ncbi.nlm.nih.gov/protein/21704144","Mat2a")</f>
        <v>Mat2a</v>
      </c>
      <c r="D4346" s="10">
        <f t="shared" si="67"/>
        <v>5.7989699943412933</v>
      </c>
      <c r="F4346" s="8" t="str">
        <f>HYPERLINK("https://esbl.nhlbi.nih.gov/Databases/mpkFractions/proteomic_fractions_log_files/Yang_log_img/21704144.jpg","show blot")</f>
        <v>show blot</v>
      </c>
      <c r="H4346" s="8" t="str">
        <f>HYPERLINK("https://esbl.nhlbi.nih.gov/Databases/mpkFractions/proteomic_fractions_linear_files/Yang_linear_img/21704144.jpg","show blot")</f>
        <v>show blot</v>
      </c>
      <c r="J4346" s="5" t="s">
        <v>8490</v>
      </c>
      <c r="L4346" s="11">
        <v>5.7989699943412933</v>
      </c>
      <c r="N4346" s="12"/>
    </row>
    <row r="4347" spans="1:14" s="5" customFormat="1" ht="15" customHeight="1" x14ac:dyDescent="0.25">
      <c r="A4347" s="9" t="s">
        <v>8491</v>
      </c>
      <c r="C4347" s="9" t="str">
        <f>HYPERLINK("http://www.ncbi.nlm.nih.gov/protein/19527234","Mat2b")</f>
        <v>Mat2b</v>
      </c>
      <c r="D4347" s="10">
        <f t="shared" si="67"/>
        <v>5.8089019340954531</v>
      </c>
      <c r="F4347" s="8" t="str">
        <f>HYPERLINK("https://esbl.nhlbi.nih.gov/Databases/mpkFractions/proteomic_fractions_log_files/Yang_log_img/19527234.jpg","show blot")</f>
        <v>show blot</v>
      </c>
      <c r="H4347" s="8" t="str">
        <f>HYPERLINK("https://esbl.nhlbi.nih.gov/Databases/mpkFractions/proteomic_fractions_linear_files/Yang_linear_img/19527234.jpg","show blot")</f>
        <v>show blot</v>
      </c>
      <c r="J4347" s="5" t="s">
        <v>8492</v>
      </c>
      <c r="L4347" s="11">
        <v>5.8089019340954531</v>
      </c>
      <c r="N4347" s="12"/>
    </row>
    <row r="4348" spans="1:14" s="5" customFormat="1" ht="15" customHeight="1" x14ac:dyDescent="0.25">
      <c r="A4348" s="9" t="s">
        <v>8493</v>
      </c>
      <c r="C4348" s="9" t="str">
        <f>HYPERLINK("http://www.ncbi.nlm.nih.gov/protein/313482787","Mat2b")</f>
        <v>Mat2b</v>
      </c>
      <c r="D4348" s="10">
        <f t="shared" si="67"/>
        <v>5.8089019340954531</v>
      </c>
      <c r="F4348" s="8" t="str">
        <f>HYPERLINK("https://esbl.nhlbi.nih.gov/Databases/mpkFractions/proteomic_fractions_log_files/Yang_log_img/313482787.jpg","show blot")</f>
        <v>show blot</v>
      </c>
      <c r="H4348" s="8" t="str">
        <f>HYPERLINK("https://esbl.nhlbi.nih.gov/Databases/mpkFractions/proteomic_fractions_linear_files/Yang_linear_img/313482787.jpg","show blot")</f>
        <v>show blot</v>
      </c>
      <c r="J4348" s="5" t="s">
        <v>8494</v>
      </c>
      <c r="L4348" s="11">
        <v>5.8089019340954531</v>
      </c>
      <c r="N4348" s="12"/>
    </row>
    <row r="4349" spans="1:14" s="5" customFormat="1" ht="15" customHeight="1" x14ac:dyDescent="0.25">
      <c r="A4349" s="9" t="s">
        <v>8495</v>
      </c>
      <c r="C4349" s="9" t="str">
        <f>HYPERLINK("http://www.ncbi.nlm.nih.gov/protein/6754646","Matk")</f>
        <v>Matk</v>
      </c>
      <c r="D4349" s="10">
        <f t="shared" si="67"/>
        <v>2.798482409371573</v>
      </c>
      <c r="F4349" s="8" t="str">
        <f>HYPERLINK("https://esbl.nhlbi.nih.gov/Databases/mpkFractions/proteomic_fractions_log_files/Yang_log_img/6754646.jpg","show blot")</f>
        <v>show blot</v>
      </c>
      <c r="H4349" s="8" t="str">
        <f>HYPERLINK("https://esbl.nhlbi.nih.gov/Databases/mpkFractions/proteomic_fractions_linear_files/Yang_linear_img/6754646.jpg","show blot")</f>
        <v>show blot</v>
      </c>
      <c r="J4349" s="5" t="s">
        <v>8496</v>
      </c>
      <c r="L4349" s="11">
        <v>2.798482409371573</v>
      </c>
      <c r="N4349" s="12"/>
    </row>
    <row r="4350" spans="1:14" s="5" customFormat="1" ht="15" customHeight="1" x14ac:dyDescent="0.25">
      <c r="A4350" s="9" t="s">
        <v>8497</v>
      </c>
      <c r="C4350" s="9" t="str">
        <f>HYPERLINK("http://www.ncbi.nlm.nih.gov/protein/25141233","Matr3")</f>
        <v>Matr3</v>
      </c>
      <c r="D4350" s="10">
        <f t="shared" si="67"/>
        <v>5.4137373307404388</v>
      </c>
      <c r="F4350" s="8" t="str">
        <f>HYPERLINK("https://esbl.nhlbi.nih.gov/Databases/mpkFractions/proteomic_fractions_log_files/Yang_log_img/25141233.jpg","show blot")</f>
        <v>show blot</v>
      </c>
      <c r="H4350" s="8" t="str">
        <f>HYPERLINK("https://esbl.nhlbi.nih.gov/Databases/mpkFractions/proteomic_fractions_linear_files/Yang_linear_img/25141233.jpg","show blot")</f>
        <v>show blot</v>
      </c>
      <c r="J4350" s="5" t="s">
        <v>8498</v>
      </c>
      <c r="L4350" s="11">
        <v>5.4137373307404388</v>
      </c>
      <c r="N4350" s="12"/>
    </row>
    <row r="4351" spans="1:14" s="5" customFormat="1" ht="15" customHeight="1" x14ac:dyDescent="0.25">
      <c r="A4351" s="9" t="s">
        <v>8499</v>
      </c>
      <c r="C4351" s="9" t="str">
        <f>HYPERLINK("http://www.ncbi.nlm.nih.gov/protein/269308211","Mau2")</f>
        <v>Mau2</v>
      </c>
      <c r="D4351" s="10">
        <f t="shared" si="67"/>
        <v>2.230782011883087</v>
      </c>
      <c r="F4351" s="8" t="str">
        <f>HYPERLINK("https://esbl.nhlbi.nih.gov/Databases/mpkFractions/proteomic_fractions_log_files/Yang_log_img/269308211.jpg","show blot")</f>
        <v>show blot</v>
      </c>
      <c r="H4351" s="8" t="str">
        <f>HYPERLINK("https://esbl.nhlbi.nih.gov/Databases/mpkFractions/proteomic_fractions_linear_files/Yang_linear_img/269308211.jpg","show blot")</f>
        <v>show blot</v>
      </c>
      <c r="J4351" s="5" t="s">
        <v>8500</v>
      </c>
      <c r="L4351" s="11">
        <v>2.230782011883087</v>
      </c>
      <c r="N4351" s="12"/>
    </row>
    <row r="4352" spans="1:14" s="5" customFormat="1" ht="15" customHeight="1" x14ac:dyDescent="0.25">
      <c r="A4352" s="9" t="s">
        <v>8501</v>
      </c>
      <c r="C4352" s="9" t="str">
        <f>HYPERLINK("http://www.ncbi.nlm.nih.gov/protein/269308215","Mau2")</f>
        <v>Mau2</v>
      </c>
      <c r="D4352" s="10">
        <f t="shared" si="67"/>
        <v>2.230782011883087</v>
      </c>
      <c r="F4352" s="8" t="str">
        <f>HYPERLINK("https://esbl.nhlbi.nih.gov/Databases/mpkFractions/proteomic_fractions_log_files/Yang_log_img/269308215.jpg","show blot")</f>
        <v>show blot</v>
      </c>
      <c r="H4352" s="8" t="str">
        <f>HYPERLINK("https://esbl.nhlbi.nih.gov/Databases/mpkFractions/proteomic_fractions_linear_files/Yang_linear_img/269308215.jpg","show blot")</f>
        <v>show blot</v>
      </c>
      <c r="J4352" s="5" t="s">
        <v>8502</v>
      </c>
      <c r="L4352" s="11">
        <v>2.230782011883087</v>
      </c>
      <c r="N4352" s="12"/>
    </row>
    <row r="4353" spans="1:14" s="5" customFormat="1" ht="15" customHeight="1" x14ac:dyDescent="0.25">
      <c r="A4353" s="9" t="s">
        <v>8503</v>
      </c>
      <c r="C4353" s="9" t="str">
        <f>HYPERLINK("http://www.ncbi.nlm.nih.gov/protein/21450263","Mavs")</f>
        <v>Mavs</v>
      </c>
      <c r="D4353" s="10">
        <f t="shared" si="67"/>
        <v>4.6649476154440821</v>
      </c>
      <c r="F4353" s="8" t="str">
        <f>HYPERLINK("https://esbl.nhlbi.nih.gov/Databases/mpkFractions/proteomic_fractions_log_files/Yang_log_img/21450263.jpg","show blot")</f>
        <v>show blot</v>
      </c>
      <c r="H4353" s="8" t="str">
        <f>HYPERLINK("https://esbl.nhlbi.nih.gov/Databases/mpkFractions/proteomic_fractions_linear_files/Yang_linear_img/21450263.jpg","show blot")</f>
        <v>show blot</v>
      </c>
      <c r="J4353" s="5" t="s">
        <v>8504</v>
      </c>
      <c r="L4353" s="11">
        <v>4.6649476154440821</v>
      </c>
      <c r="N4353" s="12"/>
    </row>
    <row r="4354" spans="1:14" s="5" customFormat="1" ht="15" customHeight="1" x14ac:dyDescent="0.25">
      <c r="A4354" s="9" t="s">
        <v>8505</v>
      </c>
      <c r="C4354" s="9" t="str">
        <f>HYPERLINK("http://www.ncbi.nlm.nih.gov/protein/329755284","Mavs")</f>
        <v>Mavs</v>
      </c>
      <c r="D4354" s="10">
        <f t="shared" si="67"/>
        <v>4.6649476154440821</v>
      </c>
      <c r="F4354" s="8" t="str">
        <f>HYPERLINK("https://esbl.nhlbi.nih.gov/Databases/mpkFractions/proteomic_fractions_log_files/Yang_log_img/329755284.jpg","show blot")</f>
        <v>show blot</v>
      </c>
      <c r="H4354" s="8" t="str">
        <f>HYPERLINK("https://esbl.nhlbi.nih.gov/Databases/mpkFractions/proteomic_fractions_linear_files/Yang_linear_img/329755284.jpg","show blot")</f>
        <v>show blot</v>
      </c>
      <c r="J4354" s="5" t="s">
        <v>8506</v>
      </c>
      <c r="L4354" s="11">
        <v>4.6649476154440821</v>
      </c>
      <c r="N4354" s="12"/>
    </row>
    <row r="4355" spans="1:14" s="5" customFormat="1" ht="15" customHeight="1" x14ac:dyDescent="0.25">
      <c r="A4355" s="9" t="s">
        <v>8507</v>
      </c>
      <c r="C4355" s="9" t="str">
        <f>HYPERLINK("http://www.ncbi.nlm.nih.gov/protein/226051832","Max")</f>
        <v>Max</v>
      </c>
      <c r="D4355" s="10">
        <f t="shared" si="67"/>
        <v>4.2550413742410997</v>
      </c>
      <c r="F4355" s="8" t="str">
        <f>HYPERLINK("https://esbl.nhlbi.nih.gov/Databases/mpkFractions/proteomic_fractions_log_files/Yang_log_img/226051832.jpg","show blot")</f>
        <v>show blot</v>
      </c>
      <c r="H4355" s="8" t="str">
        <f>HYPERLINK("https://esbl.nhlbi.nih.gov/Databases/mpkFractions/proteomic_fractions_linear_files/Yang_linear_img/226051832.jpg","show blot")</f>
        <v>show blot</v>
      </c>
      <c r="J4355" s="5" t="s">
        <v>8508</v>
      </c>
      <c r="L4355" s="11">
        <v>4.2550413742410997</v>
      </c>
      <c r="N4355" s="12"/>
    </row>
    <row r="4356" spans="1:14" s="5" customFormat="1" ht="15" customHeight="1" x14ac:dyDescent="0.25">
      <c r="A4356" s="9" t="s">
        <v>8509</v>
      </c>
      <c r="C4356" s="9" t="str">
        <f>HYPERLINK("http://www.ncbi.nlm.nih.gov/protein/226051848","Max")</f>
        <v>Max</v>
      </c>
      <c r="D4356" s="10">
        <f t="shared" si="67"/>
        <v>4.2550413742410997</v>
      </c>
      <c r="F4356" s="8" t="str">
        <f>HYPERLINK("https://esbl.nhlbi.nih.gov/Databases/mpkFractions/proteomic_fractions_log_files/Yang_log_img/226051848.jpg","show blot")</f>
        <v>show blot</v>
      </c>
      <c r="H4356" s="8" t="str">
        <f>HYPERLINK("https://esbl.nhlbi.nih.gov/Databases/mpkFractions/proteomic_fractions_linear_files/Yang_linear_img/226051848.jpg","show blot")</f>
        <v>show blot</v>
      </c>
      <c r="J4356" s="5" t="s">
        <v>8510</v>
      </c>
      <c r="L4356" s="11">
        <v>4.2550413742410997</v>
      </c>
      <c r="N4356" s="12"/>
    </row>
    <row r="4357" spans="1:14" s="5" customFormat="1" ht="15" customHeight="1" x14ac:dyDescent="0.25">
      <c r="A4357" s="9" t="s">
        <v>8511</v>
      </c>
      <c r="C4357" s="9" t="str">
        <f>HYPERLINK("http://www.ncbi.nlm.nih.gov/protein/116812912","Mb21d1")</f>
        <v>Mb21d1</v>
      </c>
      <c r="D4357" s="10">
        <f t="shared" ref="D4357:D4420" si="68">L4357</f>
        <v>3.552752860480314</v>
      </c>
      <c r="F4357" s="8" t="str">
        <f>HYPERLINK("https://esbl.nhlbi.nih.gov/Databases/mpkFractions/proteomic_fractions_log_files/Yang_log_img/116812912.jpg","show blot")</f>
        <v>show blot</v>
      </c>
      <c r="H4357" s="8" t="str">
        <f>HYPERLINK("https://esbl.nhlbi.nih.gov/Databases/mpkFractions/proteomic_fractions_linear_files/Yang_linear_img/116812912.jpg","show blot")</f>
        <v>show blot</v>
      </c>
      <c r="J4357" s="5" t="s">
        <v>8512</v>
      </c>
      <c r="L4357" s="11">
        <v>3.552752860480314</v>
      </c>
      <c r="N4357" s="12"/>
    </row>
    <row r="4358" spans="1:14" s="5" customFormat="1" ht="15" customHeight="1" x14ac:dyDescent="0.25">
      <c r="A4358" s="9" t="s">
        <v>8513</v>
      </c>
      <c r="C4358" s="9" t="str">
        <f>HYPERLINK("http://www.ncbi.nlm.nih.gov/protein/7305261","Mbd3")</f>
        <v>Mbd3</v>
      </c>
      <c r="D4358" s="10">
        <f t="shared" si="68"/>
        <v>4.3899219259046536</v>
      </c>
      <c r="F4358" s="8" t="str">
        <f>HYPERLINK("https://esbl.nhlbi.nih.gov/Databases/mpkFractions/proteomic_fractions_log_files/Yang_log_img/7305261.jpg","show blot")</f>
        <v>show blot</v>
      </c>
      <c r="H4358" s="8" t="str">
        <f>HYPERLINK("https://esbl.nhlbi.nih.gov/Databases/mpkFractions/proteomic_fractions_linear_files/Yang_linear_img/7305261.jpg","show blot")</f>
        <v>show blot</v>
      </c>
      <c r="J4358" s="5" t="s">
        <v>8514</v>
      </c>
      <c r="L4358" s="11">
        <v>4.3899219259046536</v>
      </c>
      <c r="N4358" s="12"/>
    </row>
    <row r="4359" spans="1:14" s="5" customFormat="1" ht="15" customHeight="1" x14ac:dyDescent="0.25">
      <c r="A4359" s="9" t="s">
        <v>8515</v>
      </c>
      <c r="C4359" s="9" t="str">
        <f>HYPERLINK("http://www.ncbi.nlm.nih.gov/protein/29244490","Mblac1")</f>
        <v>Mblac1</v>
      </c>
      <c r="D4359" s="10">
        <f t="shared" si="68"/>
        <v>4.8446136023604396</v>
      </c>
      <c r="F4359" s="8" t="str">
        <f>HYPERLINK("https://esbl.nhlbi.nih.gov/Databases/mpkFractions/proteomic_fractions_log_files/Yang_log_img/29244490.jpg","show blot")</f>
        <v>show blot</v>
      </c>
      <c r="H4359" s="8" t="str">
        <f>HYPERLINK("https://esbl.nhlbi.nih.gov/Databases/mpkFractions/proteomic_fractions_linear_files/Yang_linear_img/29244490.jpg","show blot")</f>
        <v>show blot</v>
      </c>
      <c r="J4359" s="5" t="s">
        <v>8516</v>
      </c>
      <c r="L4359" s="11">
        <v>4.8446136023604396</v>
      </c>
      <c r="N4359" s="12"/>
    </row>
    <row r="4360" spans="1:14" s="5" customFormat="1" ht="15" customHeight="1" x14ac:dyDescent="0.25">
      <c r="A4360" s="9" t="s">
        <v>8517</v>
      </c>
      <c r="C4360" s="9" t="str">
        <f>HYPERLINK("http://www.ncbi.nlm.nih.gov/protein/358679352","Mbnl1")</f>
        <v>Mbnl1</v>
      </c>
      <c r="D4360" s="10">
        <f t="shared" si="68"/>
        <v>3.4773911376859088</v>
      </c>
      <c r="F4360" s="8" t="str">
        <f>HYPERLINK("https://esbl.nhlbi.nih.gov/Databases/mpkFractions/proteomic_fractions_log_files/Yang_log_img/358679352.jpg","show blot")</f>
        <v>show blot</v>
      </c>
      <c r="H4360" s="8" t="str">
        <f>HYPERLINK("https://esbl.nhlbi.nih.gov/Databases/mpkFractions/proteomic_fractions_linear_files/Yang_linear_img/358679352.jpg","show blot")</f>
        <v>show blot</v>
      </c>
      <c r="J4360" s="5" t="s">
        <v>8518</v>
      </c>
      <c r="L4360" s="11">
        <v>3.4773911376859088</v>
      </c>
      <c r="N4360" s="12"/>
    </row>
    <row r="4361" spans="1:14" s="5" customFormat="1" ht="15" customHeight="1" x14ac:dyDescent="0.25">
      <c r="A4361" s="9" t="s">
        <v>8519</v>
      </c>
      <c r="C4361" s="9" t="str">
        <f>HYPERLINK("http://www.ncbi.nlm.nih.gov/protein/46411182","Mbnl1")</f>
        <v>Mbnl1</v>
      </c>
      <c r="D4361" s="10">
        <f t="shared" si="68"/>
        <v>3.4773911376859088</v>
      </c>
      <c r="F4361" s="8" t="str">
        <f>HYPERLINK("https://esbl.nhlbi.nih.gov/Databases/mpkFractions/proteomic_fractions_log_files/Yang_log_img/46411182.jpg","show blot")</f>
        <v>show blot</v>
      </c>
      <c r="H4361" s="8" t="str">
        <f>HYPERLINK("https://esbl.nhlbi.nih.gov/Databases/mpkFractions/proteomic_fractions_linear_files/Yang_linear_img/46411182.jpg","show blot")</f>
        <v>show blot</v>
      </c>
      <c r="J4361" s="5" t="s">
        <v>8520</v>
      </c>
      <c r="L4361" s="11">
        <v>3.4773911376859088</v>
      </c>
      <c r="N4361" s="12"/>
    </row>
    <row r="4362" spans="1:14" s="5" customFormat="1" ht="15" customHeight="1" x14ac:dyDescent="0.25">
      <c r="A4362" s="9" t="s">
        <v>8521</v>
      </c>
      <c r="C4362" s="9" t="str">
        <f>HYPERLINK("http://www.ncbi.nlm.nih.gov/protein/30425032","Mbnl2")</f>
        <v>Mbnl2</v>
      </c>
      <c r="D4362" s="10">
        <f t="shared" si="68"/>
        <v>3.6335827285658802</v>
      </c>
      <c r="F4362" s="8" t="str">
        <f>HYPERLINK("https://esbl.nhlbi.nih.gov/Databases/mpkFractions/proteomic_fractions_log_files/Yang_log_img/30425032.jpg","show blot")</f>
        <v>show blot</v>
      </c>
      <c r="H4362" s="8" t="str">
        <f>HYPERLINK("https://esbl.nhlbi.nih.gov/Databases/mpkFractions/proteomic_fractions_linear_files/Yang_linear_img/30425032.jpg","show blot")</f>
        <v>show blot</v>
      </c>
      <c r="J4362" s="5" t="s">
        <v>8522</v>
      </c>
      <c r="L4362" s="11">
        <v>3.6335827285658802</v>
      </c>
      <c r="N4362" s="12"/>
    </row>
    <row r="4363" spans="1:14" s="5" customFormat="1" ht="15" customHeight="1" x14ac:dyDescent="0.25">
      <c r="A4363" s="9" t="s">
        <v>8523</v>
      </c>
      <c r="C4363" s="9" t="str">
        <f>HYPERLINK("http://www.ncbi.nlm.nih.gov/protein/46411185","Mbnl2")</f>
        <v>Mbnl2</v>
      </c>
      <c r="D4363" s="10">
        <f t="shared" si="68"/>
        <v>3.6335827285658802</v>
      </c>
      <c r="F4363" s="8" t="str">
        <f>HYPERLINK("https://esbl.nhlbi.nih.gov/Databases/mpkFractions/proteomic_fractions_log_files/Yang_log_img/46411185.jpg","show blot")</f>
        <v>show blot</v>
      </c>
      <c r="H4363" s="8" t="str">
        <f>HYPERLINK("https://esbl.nhlbi.nih.gov/Databases/mpkFractions/proteomic_fractions_linear_files/Yang_linear_img/46411185.jpg","show blot")</f>
        <v>show blot</v>
      </c>
      <c r="J4363" s="5" t="s">
        <v>8524</v>
      </c>
      <c r="L4363" s="11">
        <v>3.6335827285658802</v>
      </c>
      <c r="N4363" s="12"/>
    </row>
    <row r="4364" spans="1:14" s="5" customFormat="1" ht="15" customHeight="1" x14ac:dyDescent="0.25">
      <c r="A4364" s="9" t="s">
        <v>8525</v>
      </c>
      <c r="C4364" s="9" t="str">
        <f>HYPERLINK("http://www.ncbi.nlm.nih.gov/protein/19527398","Mbnl3")</f>
        <v>Mbnl3</v>
      </c>
      <c r="D4364" s="10">
        <f t="shared" si="68"/>
        <v>3.138251476140522</v>
      </c>
      <c r="F4364" s="8" t="str">
        <f>HYPERLINK("https://esbl.nhlbi.nih.gov/Databases/mpkFractions/proteomic_fractions_log_files/Yang_log_img/19527398.jpg","show blot")</f>
        <v>show blot</v>
      </c>
      <c r="H4364" s="8" t="str">
        <f>HYPERLINK("https://esbl.nhlbi.nih.gov/Databases/mpkFractions/proteomic_fractions_linear_files/Yang_linear_img/19527398.jpg","show blot")</f>
        <v>show blot</v>
      </c>
      <c r="J4364" s="5" t="s">
        <v>8526</v>
      </c>
      <c r="L4364" s="11">
        <v>3.138251476140522</v>
      </c>
      <c r="N4364" s="12"/>
    </row>
    <row r="4365" spans="1:14" s="5" customFormat="1" ht="15" customHeight="1" x14ac:dyDescent="0.25">
      <c r="A4365" s="9" t="s">
        <v>8527</v>
      </c>
      <c r="C4365" s="9" t="str">
        <f>HYPERLINK("http://www.ncbi.nlm.nih.gov/protein/23956314","Mboat1")</f>
        <v>Mboat1</v>
      </c>
      <c r="D4365" s="10">
        <f t="shared" si="68"/>
        <v>1.4293484729236621</v>
      </c>
      <c r="F4365" s="8" t="str">
        <f>HYPERLINK("https://esbl.nhlbi.nih.gov/Databases/mpkFractions/proteomic_fractions_log_files/Yang_log_img/23956314.jpg","show blot")</f>
        <v>show blot</v>
      </c>
      <c r="H4365" s="8" t="str">
        <f>HYPERLINK("https://esbl.nhlbi.nih.gov/Databases/mpkFractions/proteomic_fractions_linear_files/Yang_linear_img/23956314.jpg","show blot")</f>
        <v>show blot</v>
      </c>
      <c r="J4365" s="5" t="s">
        <v>8528</v>
      </c>
      <c r="L4365" s="11">
        <v>1.4293484729236621</v>
      </c>
      <c r="N4365" s="12"/>
    </row>
    <row r="4366" spans="1:14" s="5" customFormat="1" ht="15" customHeight="1" x14ac:dyDescent="0.25">
      <c r="A4366" s="9" t="s">
        <v>8529</v>
      </c>
      <c r="C4366" s="9" t="str">
        <f>HYPERLINK("http://www.ncbi.nlm.nih.gov/protein/31542014","Mboat7")</f>
        <v>Mboat7</v>
      </c>
      <c r="D4366" s="10">
        <f t="shared" si="68"/>
        <v>3.486637564579449</v>
      </c>
      <c r="F4366" s="8" t="str">
        <f>HYPERLINK("https://esbl.nhlbi.nih.gov/Databases/mpkFractions/proteomic_fractions_log_files/Yang_log_img/31542014.jpg","show blot")</f>
        <v>show blot</v>
      </c>
      <c r="H4366" s="8" t="str">
        <f>HYPERLINK("https://esbl.nhlbi.nih.gov/Databases/mpkFractions/proteomic_fractions_linear_files/Yang_linear_img/31542014.jpg","show blot")</f>
        <v>show blot</v>
      </c>
      <c r="J4366" s="5" t="s">
        <v>8530</v>
      </c>
      <c r="L4366" s="11">
        <v>3.486637564579449</v>
      </c>
      <c r="N4366" s="12"/>
    </row>
    <row r="4367" spans="1:14" s="5" customFormat="1" ht="15" customHeight="1" x14ac:dyDescent="0.25">
      <c r="A4367" s="9" t="s">
        <v>8531</v>
      </c>
      <c r="C4367" s="9" t="str">
        <f>HYPERLINK("http://www.ncbi.nlm.nih.gov/protein/71725343","Mcat")</f>
        <v>Mcat</v>
      </c>
      <c r="D4367" s="10">
        <f t="shared" si="68"/>
        <v>2.0096072935961562</v>
      </c>
      <c r="F4367" s="8" t="str">
        <f>HYPERLINK("https://esbl.nhlbi.nih.gov/Databases/mpkFractions/proteomic_fractions_log_files/Yang_log_img/71725343.jpg","show blot")</f>
        <v>show blot</v>
      </c>
      <c r="H4367" s="8" t="str">
        <f>HYPERLINK("https://esbl.nhlbi.nih.gov/Databases/mpkFractions/proteomic_fractions_linear_files/Yang_linear_img/71725343.jpg","show blot")</f>
        <v>show blot</v>
      </c>
      <c r="J4367" s="5" t="s">
        <v>8532</v>
      </c>
      <c r="L4367" s="11">
        <v>2.0096072935961562</v>
      </c>
      <c r="N4367" s="12"/>
    </row>
    <row r="4368" spans="1:14" s="5" customFormat="1" ht="15" customHeight="1" x14ac:dyDescent="0.25">
      <c r="A4368" s="9" t="s">
        <v>8533</v>
      </c>
      <c r="C4368" s="9" t="str">
        <f>HYPERLINK("http://www.ncbi.nlm.nih.gov/protein/186700620","Mccc1")</f>
        <v>Mccc1</v>
      </c>
      <c r="D4368" s="10">
        <f t="shared" si="68"/>
        <v>4.6719197602419849</v>
      </c>
      <c r="F4368" s="8" t="str">
        <f>HYPERLINK("https://esbl.nhlbi.nih.gov/Databases/mpkFractions/proteomic_fractions_log_files/Yang_log_img/186700620.jpg","show blot")</f>
        <v>show blot</v>
      </c>
      <c r="H4368" s="8" t="str">
        <f>HYPERLINK("https://esbl.nhlbi.nih.gov/Databases/mpkFractions/proteomic_fractions_linear_files/Yang_linear_img/186700620.jpg","show blot")</f>
        <v>show blot</v>
      </c>
      <c r="J4368" s="5" t="s">
        <v>8534</v>
      </c>
      <c r="L4368" s="11">
        <v>4.6719197602419849</v>
      </c>
      <c r="N4368" s="12"/>
    </row>
    <row r="4369" spans="1:14" s="5" customFormat="1" ht="15" customHeight="1" x14ac:dyDescent="0.25">
      <c r="A4369" s="9" t="s">
        <v>8535</v>
      </c>
      <c r="C4369" s="9" t="str">
        <f>HYPERLINK("http://www.ncbi.nlm.nih.gov/protein/73622267","Mccc2")</f>
        <v>Mccc2</v>
      </c>
      <c r="D4369" s="10">
        <f t="shared" si="68"/>
        <v>4.506723105411659</v>
      </c>
      <c r="F4369" s="8" t="str">
        <f>HYPERLINK("https://esbl.nhlbi.nih.gov/Databases/mpkFractions/proteomic_fractions_log_files/Yang_log_img/73622267.jpg","show blot")</f>
        <v>show blot</v>
      </c>
      <c r="H4369" s="8" t="str">
        <f>HYPERLINK("https://esbl.nhlbi.nih.gov/Databases/mpkFractions/proteomic_fractions_linear_files/Yang_linear_img/73622267.jpg","show blot")</f>
        <v>show blot</v>
      </c>
      <c r="J4369" s="5" t="s">
        <v>8536</v>
      </c>
      <c r="L4369" s="11">
        <v>4.506723105411659</v>
      </c>
      <c r="N4369" s="12"/>
    </row>
    <row r="4370" spans="1:14" s="5" customFormat="1" ht="15" customHeight="1" x14ac:dyDescent="0.25">
      <c r="A4370" s="9" t="s">
        <v>8537</v>
      </c>
      <c r="C4370" s="9" t="str">
        <f>HYPERLINK("http://www.ncbi.nlm.nih.gov/protein/165972319","Mcf2")</f>
        <v>Mcf2</v>
      </c>
      <c r="D4370" s="10">
        <f t="shared" si="68"/>
        <v>5.4263598381832017</v>
      </c>
      <c r="F4370" s="8" t="str">
        <f>HYPERLINK("https://esbl.nhlbi.nih.gov/Databases/mpkFractions/proteomic_fractions_log_files/Yang_log_img/165972319.jpg","show blot")</f>
        <v>show blot</v>
      </c>
      <c r="H4370" s="8" t="str">
        <f>HYPERLINK("https://esbl.nhlbi.nih.gov/Databases/mpkFractions/proteomic_fractions_linear_files/Yang_linear_img/165972319.jpg","show blot")</f>
        <v>show blot</v>
      </c>
      <c r="J4370" s="5" t="s">
        <v>8538</v>
      </c>
      <c r="L4370" s="11">
        <v>5.4263598381832017</v>
      </c>
      <c r="N4370" s="12"/>
    </row>
    <row r="4371" spans="1:14" s="5" customFormat="1" ht="15" customHeight="1" x14ac:dyDescent="0.25">
      <c r="A4371" s="9" t="s">
        <v>8539</v>
      </c>
      <c r="C4371" s="9" t="str">
        <f>HYPERLINK("http://www.ncbi.nlm.nih.gov/protein/21314834","Mcfd2")</f>
        <v>Mcfd2</v>
      </c>
      <c r="D4371" s="10">
        <f t="shared" si="68"/>
        <v>4.1679773568217788</v>
      </c>
      <c r="F4371" s="8" t="str">
        <f>HYPERLINK("https://esbl.nhlbi.nih.gov/Databases/mpkFractions/proteomic_fractions_log_files/Yang_log_img/21314834.jpg","show blot")</f>
        <v>show blot</v>
      </c>
      <c r="H4371" s="8" t="str">
        <f>HYPERLINK("https://esbl.nhlbi.nih.gov/Databases/mpkFractions/proteomic_fractions_linear_files/Yang_linear_img/21314834.jpg","show blot")</f>
        <v>show blot</v>
      </c>
      <c r="J4371" s="5" t="s">
        <v>8540</v>
      </c>
      <c r="L4371" s="11">
        <v>4.1679773568217788</v>
      </c>
      <c r="N4371" s="12"/>
    </row>
    <row r="4372" spans="1:14" s="5" customFormat="1" ht="15" customHeight="1" x14ac:dyDescent="0.25">
      <c r="A4372" s="9" t="s">
        <v>8541</v>
      </c>
      <c r="C4372" s="9" t="str">
        <f>HYPERLINK("http://www.ncbi.nlm.nih.gov/protein/309262615","Mcg1038069")</f>
        <v>Mcg1038069</v>
      </c>
      <c r="D4372" s="10">
        <f t="shared" si="68"/>
        <v>6.3895434211213562</v>
      </c>
      <c r="F4372" s="8" t="str">
        <f>HYPERLINK("https://esbl.nhlbi.nih.gov/Databases/mpkFractions/proteomic_fractions_log_files/Yang_log_img/309262615.jpg","show blot")</f>
        <v>show blot</v>
      </c>
      <c r="H4372" s="8" t="str">
        <f>HYPERLINK("https://esbl.nhlbi.nih.gov/Databases/mpkFractions/proteomic_fractions_linear_files/Yang_linear_img/309262615.jpg","show blot")</f>
        <v>show blot</v>
      </c>
      <c r="J4372" s="5" t="s">
        <v>8542</v>
      </c>
      <c r="L4372" s="11">
        <v>6.3895434211213562</v>
      </c>
      <c r="N4372" s="12"/>
    </row>
    <row r="4373" spans="1:14" s="5" customFormat="1" ht="15" customHeight="1" x14ac:dyDescent="0.25">
      <c r="A4373" s="9" t="s">
        <v>8543</v>
      </c>
      <c r="C4373" s="9" t="str">
        <f>HYPERLINK("http://www.ncbi.nlm.nih.gov/protein/6678824","Mcl1")</f>
        <v>Mcl1</v>
      </c>
      <c r="D4373" s="10">
        <f t="shared" si="68"/>
        <v>3.9667354912729689</v>
      </c>
      <c r="F4373" s="8" t="str">
        <f>HYPERLINK("https://esbl.nhlbi.nih.gov/Databases/mpkFractions/proteomic_fractions_log_files/Yang_log_img/6678824.jpg","show blot")</f>
        <v>show blot</v>
      </c>
      <c r="H4373" s="8" t="str">
        <f>HYPERLINK("https://esbl.nhlbi.nih.gov/Databases/mpkFractions/proteomic_fractions_linear_files/Yang_linear_img/6678824.jpg","show blot")</f>
        <v>show blot</v>
      </c>
      <c r="J4373" s="5" t="s">
        <v>8544</v>
      </c>
      <c r="L4373" s="11">
        <v>3.9667354912729689</v>
      </c>
      <c r="N4373" s="12"/>
    </row>
    <row r="4374" spans="1:14" s="5" customFormat="1" ht="15" customHeight="1" x14ac:dyDescent="0.25">
      <c r="A4374" s="9" t="s">
        <v>8545</v>
      </c>
      <c r="C4374" s="9" t="str">
        <f>HYPERLINK("http://www.ncbi.nlm.nih.gov/protein/172088119","Mcm2")</f>
        <v>Mcm2</v>
      </c>
      <c r="D4374" s="10">
        <f t="shared" si="68"/>
        <v>6.4066654504009852</v>
      </c>
      <c r="F4374" s="8" t="str">
        <f>HYPERLINK("https://esbl.nhlbi.nih.gov/Databases/mpkFractions/proteomic_fractions_log_files/Yang_log_img/172088119.jpg","show blot")</f>
        <v>show blot</v>
      </c>
      <c r="H4374" s="8" t="str">
        <f>HYPERLINK("https://esbl.nhlbi.nih.gov/Databases/mpkFractions/proteomic_fractions_linear_files/Yang_linear_img/172088119.jpg","show blot")</f>
        <v>show blot</v>
      </c>
      <c r="J4374" s="5" t="s">
        <v>8546</v>
      </c>
      <c r="L4374" s="11">
        <v>6.4066654504009852</v>
      </c>
      <c r="N4374" s="12"/>
    </row>
    <row r="4375" spans="1:14" s="5" customFormat="1" ht="15" customHeight="1" x14ac:dyDescent="0.25">
      <c r="A4375" s="9" t="s">
        <v>8547</v>
      </c>
      <c r="C4375" s="9" t="str">
        <f>HYPERLINK("http://www.ncbi.nlm.nih.gov/protein/33859484","Mcm3")</f>
        <v>Mcm3</v>
      </c>
      <c r="D4375" s="10">
        <f t="shared" si="68"/>
        <v>6.4283957812236672</v>
      </c>
      <c r="F4375" s="8" t="str">
        <f>HYPERLINK("https://esbl.nhlbi.nih.gov/Databases/mpkFractions/proteomic_fractions_log_files/Yang_log_img/33859484.jpg","show blot")</f>
        <v>show blot</v>
      </c>
      <c r="H4375" s="8" t="str">
        <f>HYPERLINK("https://esbl.nhlbi.nih.gov/Databases/mpkFractions/proteomic_fractions_linear_files/Yang_linear_img/33859484.jpg","show blot")</f>
        <v>show blot</v>
      </c>
      <c r="J4375" s="5" t="s">
        <v>8548</v>
      </c>
      <c r="L4375" s="11">
        <v>6.4283957812236672</v>
      </c>
      <c r="N4375" s="12"/>
    </row>
    <row r="4376" spans="1:14" s="5" customFormat="1" ht="15" customHeight="1" x14ac:dyDescent="0.25">
      <c r="A4376" s="9" t="s">
        <v>8549</v>
      </c>
      <c r="C4376" s="9" t="str">
        <f>HYPERLINK("http://www.ncbi.nlm.nih.gov/protein/255918149","Mcm4")</f>
        <v>Mcm4</v>
      </c>
      <c r="D4376" s="10">
        <f t="shared" si="68"/>
        <v>6.3071600768357916</v>
      </c>
      <c r="F4376" s="8" t="str">
        <f>HYPERLINK("https://esbl.nhlbi.nih.gov/Databases/mpkFractions/proteomic_fractions_log_files/Yang_log_img/255918149.jpg","show blot")</f>
        <v>show blot</v>
      </c>
      <c r="H4376" s="8" t="str">
        <f>HYPERLINK("https://esbl.nhlbi.nih.gov/Databases/mpkFractions/proteomic_fractions_linear_files/Yang_linear_img/255918149.jpg","show blot")</f>
        <v>show blot</v>
      </c>
      <c r="J4376" s="5" t="s">
        <v>8550</v>
      </c>
      <c r="L4376" s="11">
        <v>6.3071600768357916</v>
      </c>
      <c r="N4376" s="12"/>
    </row>
    <row r="4377" spans="1:14" s="5" customFormat="1" ht="15" customHeight="1" x14ac:dyDescent="0.25">
      <c r="A4377" s="9" t="s">
        <v>8551</v>
      </c>
      <c r="C4377" s="9" t="str">
        <f>HYPERLINK("http://www.ncbi.nlm.nih.gov/protein/112293273","Mcm5")</f>
        <v>Mcm5</v>
      </c>
      <c r="D4377" s="10">
        <f t="shared" si="68"/>
        <v>6.4924001301355743</v>
      </c>
      <c r="F4377" s="8" t="str">
        <f>HYPERLINK("https://esbl.nhlbi.nih.gov/Databases/mpkFractions/proteomic_fractions_log_files/Yang_log_img/112293273.jpg","show blot")</f>
        <v>show blot</v>
      </c>
      <c r="H4377" s="8" t="str">
        <f>HYPERLINK("https://esbl.nhlbi.nih.gov/Databases/mpkFractions/proteomic_fractions_linear_files/Yang_linear_img/112293273.jpg","show blot")</f>
        <v>show blot</v>
      </c>
      <c r="J4377" s="5" t="s">
        <v>8552</v>
      </c>
      <c r="L4377" s="11">
        <v>6.4924001301355743</v>
      </c>
      <c r="N4377" s="12"/>
    </row>
    <row r="4378" spans="1:14" s="5" customFormat="1" ht="15" customHeight="1" x14ac:dyDescent="0.25">
      <c r="A4378" s="9" t="s">
        <v>8553</v>
      </c>
      <c r="C4378" s="9" t="str">
        <f>HYPERLINK("http://www.ncbi.nlm.nih.gov/protein/6678832","Mcm6")</f>
        <v>Mcm6</v>
      </c>
      <c r="D4378" s="10">
        <f t="shared" si="68"/>
        <v>6.4872871837446553</v>
      </c>
      <c r="F4378" s="8" t="str">
        <f>HYPERLINK("https://esbl.nhlbi.nih.gov/Databases/mpkFractions/proteomic_fractions_log_files/Yang_log_img/6678832.jpg","show blot")</f>
        <v>show blot</v>
      </c>
      <c r="H4378" s="8" t="str">
        <f>HYPERLINK("https://esbl.nhlbi.nih.gov/Databases/mpkFractions/proteomic_fractions_linear_files/Yang_linear_img/6678832.jpg","show blot")</f>
        <v>show blot</v>
      </c>
      <c r="J4378" s="5" t="s">
        <v>8554</v>
      </c>
      <c r="L4378" s="11">
        <v>6.4872871837446553</v>
      </c>
      <c r="N4378" s="12"/>
    </row>
    <row r="4379" spans="1:14" s="5" customFormat="1" ht="15" customHeight="1" x14ac:dyDescent="0.25">
      <c r="A4379" s="9" t="s">
        <v>8555</v>
      </c>
      <c r="C4379" s="9" t="str">
        <f>HYPERLINK("http://www.ncbi.nlm.nih.gov/protein/10242373","Mcm7")</f>
        <v>Mcm7</v>
      </c>
      <c r="D4379" s="10">
        <f t="shared" si="68"/>
        <v>6.4946593552883423</v>
      </c>
      <c r="F4379" s="8" t="str">
        <f>HYPERLINK("https://esbl.nhlbi.nih.gov/Databases/mpkFractions/proteomic_fractions_log_files/Yang_log_img/10242373.jpg","show blot")</f>
        <v>show blot</v>
      </c>
      <c r="H4379" s="8" t="str">
        <f>HYPERLINK("https://esbl.nhlbi.nih.gov/Databases/mpkFractions/proteomic_fractions_linear_files/Yang_linear_img/10242373.jpg","show blot")</f>
        <v>show blot</v>
      </c>
      <c r="J4379" s="5" t="s">
        <v>8556</v>
      </c>
      <c r="L4379" s="11">
        <v>6.4946593552883423</v>
      </c>
      <c r="N4379" s="12"/>
    </row>
    <row r="4380" spans="1:14" s="5" customFormat="1" ht="15" customHeight="1" x14ac:dyDescent="0.25">
      <c r="A4380" s="9" t="s">
        <v>8557</v>
      </c>
      <c r="C4380" s="9" t="str">
        <f>HYPERLINK("http://www.ncbi.nlm.nih.gov/protein/22122389","Mcmbp")</f>
        <v>Mcmbp</v>
      </c>
      <c r="D4380" s="10">
        <f t="shared" si="68"/>
        <v>4.9838522141659238</v>
      </c>
      <c r="F4380" s="8" t="str">
        <f>HYPERLINK("https://esbl.nhlbi.nih.gov/Databases/mpkFractions/proteomic_fractions_log_files/Yang_log_img/22122389.jpg","show blot")</f>
        <v>show blot</v>
      </c>
      <c r="H4380" s="8" t="str">
        <f>HYPERLINK("https://esbl.nhlbi.nih.gov/Databases/mpkFractions/proteomic_fractions_linear_files/Yang_linear_img/22122389.jpg","show blot")</f>
        <v>show blot</v>
      </c>
      <c r="J4380" s="5" t="s">
        <v>8558</v>
      </c>
      <c r="L4380" s="11">
        <v>4.9838522141659238</v>
      </c>
      <c r="N4380" s="12"/>
    </row>
    <row r="4381" spans="1:14" s="5" customFormat="1" ht="15" customHeight="1" x14ac:dyDescent="0.25">
      <c r="A4381" s="9" t="s">
        <v>8559</v>
      </c>
      <c r="C4381" s="9" t="str">
        <f>HYPERLINK("http://www.ncbi.nlm.nih.gov/protein/21389327","Mcoln2")</f>
        <v>Mcoln2</v>
      </c>
      <c r="D4381" s="10">
        <f t="shared" si="68"/>
        <v>5.3576473615205504</v>
      </c>
      <c r="F4381" s="8" t="str">
        <f>HYPERLINK("https://esbl.nhlbi.nih.gov/Databases/mpkFractions/proteomic_fractions_log_files/Yang_log_img/21389327.jpg","show blot")</f>
        <v>show blot</v>
      </c>
      <c r="H4381" s="8" t="str">
        <f>HYPERLINK("https://esbl.nhlbi.nih.gov/Databases/mpkFractions/proteomic_fractions_linear_files/Yang_linear_img/21389327.jpg","show blot")</f>
        <v>show blot</v>
      </c>
      <c r="J4381" s="5" t="s">
        <v>8560</v>
      </c>
      <c r="L4381" s="11">
        <v>5.3576473615205504</v>
      </c>
      <c r="N4381" s="12"/>
    </row>
    <row r="4382" spans="1:14" s="5" customFormat="1" ht="15" customHeight="1" x14ac:dyDescent="0.25">
      <c r="A4382" s="9" t="s">
        <v>8561</v>
      </c>
      <c r="C4382" s="9" t="str">
        <f>HYPERLINK("http://www.ncbi.nlm.nih.gov/protein/54292128","Mcoln2")</f>
        <v>Mcoln2</v>
      </c>
      <c r="D4382" s="10">
        <f t="shared" si="68"/>
        <v>5.3576473615205504</v>
      </c>
      <c r="F4382" s="8" t="str">
        <f>HYPERLINK("https://esbl.nhlbi.nih.gov/Databases/mpkFractions/proteomic_fractions_log_files/Yang_log_img/54292128.jpg","show blot")</f>
        <v>show blot</v>
      </c>
      <c r="H4382" s="8" t="str">
        <f>HYPERLINK("https://esbl.nhlbi.nih.gov/Databases/mpkFractions/proteomic_fractions_linear_files/Yang_linear_img/54292128.jpg","show blot")</f>
        <v>show blot</v>
      </c>
      <c r="J4382" s="5" t="s">
        <v>8562</v>
      </c>
      <c r="L4382" s="11">
        <v>5.3576473615205504</v>
      </c>
      <c r="N4382" s="12"/>
    </row>
    <row r="4383" spans="1:14" s="5" customFormat="1" ht="15" customHeight="1" x14ac:dyDescent="0.25">
      <c r="A4383" s="9" t="s">
        <v>8563</v>
      </c>
      <c r="C4383" s="9" t="str">
        <f>HYPERLINK("http://www.ncbi.nlm.nih.gov/protein/21312175","Mcts1")</f>
        <v>Mcts1</v>
      </c>
      <c r="D4383" s="10">
        <f t="shared" si="68"/>
        <v>5.0186164089819876</v>
      </c>
      <c r="F4383" s="8" t="str">
        <f>HYPERLINK("https://esbl.nhlbi.nih.gov/Databases/mpkFractions/proteomic_fractions_log_files/Yang_log_img/21312175.jpg","show blot")</f>
        <v>show blot</v>
      </c>
      <c r="H4383" s="8" t="str">
        <f>HYPERLINK("https://esbl.nhlbi.nih.gov/Databases/mpkFractions/proteomic_fractions_linear_files/Yang_linear_img/21312175.jpg","show blot")</f>
        <v>show blot</v>
      </c>
      <c r="J4383" s="5" t="s">
        <v>8564</v>
      </c>
      <c r="L4383" s="11">
        <v>5.0186164089819876</v>
      </c>
      <c r="N4383" s="12"/>
    </row>
    <row r="4384" spans="1:14" s="5" customFormat="1" ht="15" customHeight="1" x14ac:dyDescent="0.25">
      <c r="A4384" s="9" t="s">
        <v>8565</v>
      </c>
      <c r="C4384" s="9" t="str">
        <f>HYPERLINK("http://www.ncbi.nlm.nih.gov/protein/13384966","Mcts2")</f>
        <v>Mcts2</v>
      </c>
      <c r="D4384" s="10">
        <f t="shared" si="68"/>
        <v>4.9433103594410079</v>
      </c>
      <c r="F4384" s="8" t="str">
        <f>HYPERLINK("https://esbl.nhlbi.nih.gov/Databases/mpkFractions/proteomic_fractions_log_files/Yang_log_img/13384966.jpg","show blot")</f>
        <v>show blot</v>
      </c>
      <c r="H4384" s="8" t="str">
        <f>HYPERLINK("https://esbl.nhlbi.nih.gov/Databases/mpkFractions/proteomic_fractions_linear_files/Yang_linear_img/13384966.jpg","show blot")</f>
        <v>show blot</v>
      </c>
      <c r="J4384" s="5" t="s">
        <v>8566</v>
      </c>
      <c r="L4384" s="11">
        <v>4.9433103594410079</v>
      </c>
      <c r="N4384" s="12"/>
    </row>
    <row r="4385" spans="1:14" s="5" customFormat="1" ht="15" customHeight="1" x14ac:dyDescent="0.25">
      <c r="A4385" s="9" t="s">
        <v>8567</v>
      </c>
      <c r="C4385" s="9" t="str">
        <f>HYPERLINK("http://www.ncbi.nlm.nih.gov/protein/168823441","Mcu")</f>
        <v>Mcu</v>
      </c>
      <c r="D4385" s="10">
        <f t="shared" si="68"/>
        <v>5.3991614012814937</v>
      </c>
      <c r="F4385" s="8" t="str">
        <f>HYPERLINK("https://esbl.nhlbi.nih.gov/Databases/mpkFractions/proteomic_fractions_log_files/Yang_log_img/168823441.jpg","show blot")</f>
        <v>show blot</v>
      </c>
      <c r="H4385" s="8" t="str">
        <f>HYPERLINK("https://esbl.nhlbi.nih.gov/Databases/mpkFractions/proteomic_fractions_linear_files/Yang_linear_img/168823441.jpg","show blot")</f>
        <v>show blot</v>
      </c>
      <c r="J4385" s="5" t="s">
        <v>8568</v>
      </c>
      <c r="L4385" s="11">
        <v>5.3991614012814937</v>
      </c>
      <c r="N4385" s="12"/>
    </row>
    <row r="4386" spans="1:14" s="5" customFormat="1" ht="15" customHeight="1" x14ac:dyDescent="0.25">
      <c r="A4386" s="9" t="s">
        <v>8569</v>
      </c>
      <c r="C4386" s="9" t="str">
        <f>HYPERLINK("http://www.ncbi.nlm.nih.gov/protein/124486696","Mcur1")</f>
        <v>Mcur1</v>
      </c>
      <c r="D4386" s="10">
        <f t="shared" si="68"/>
        <v>2.8454646768754999</v>
      </c>
      <c r="F4386" s="8" t="str">
        <f>HYPERLINK("https://esbl.nhlbi.nih.gov/Databases/mpkFractions/proteomic_fractions_log_files/Yang_log_img/124486696.jpg","show blot")</f>
        <v>show blot</v>
      </c>
      <c r="H4386" s="8" t="str">
        <f>HYPERLINK("https://esbl.nhlbi.nih.gov/Databases/mpkFractions/proteomic_fractions_linear_files/Yang_linear_img/124486696.jpg","show blot")</f>
        <v>show blot</v>
      </c>
      <c r="J4386" s="5" t="s">
        <v>8570</v>
      </c>
      <c r="L4386" s="11">
        <v>2.8454646768754999</v>
      </c>
      <c r="N4386" s="12"/>
    </row>
    <row r="4387" spans="1:14" s="5" customFormat="1" ht="15" customHeight="1" x14ac:dyDescent="0.25">
      <c r="A4387" s="9" t="s">
        <v>8571</v>
      </c>
      <c r="C4387" s="9" t="str">
        <f>HYPERLINK("http://www.ncbi.nlm.nih.gov/protein/132626693","Mdc1")</f>
        <v>Mdc1</v>
      </c>
      <c r="D4387" s="10">
        <f t="shared" si="68"/>
        <v>2.7558073040420501</v>
      </c>
      <c r="F4387" s="8" t="str">
        <f>HYPERLINK("https://esbl.nhlbi.nih.gov/Databases/mpkFractions/proteomic_fractions_log_files/Yang_log_img/132626693.jpg","show blot")</f>
        <v>show blot</v>
      </c>
      <c r="H4387" s="8" t="str">
        <f>HYPERLINK("https://esbl.nhlbi.nih.gov/Databases/mpkFractions/proteomic_fractions_linear_files/Yang_linear_img/132626693.jpg","show blot")</f>
        <v>show blot</v>
      </c>
      <c r="J4387" s="5" t="s">
        <v>8572</v>
      </c>
      <c r="L4387" s="11">
        <v>2.7558073040420501</v>
      </c>
      <c r="N4387" s="12"/>
    </row>
    <row r="4388" spans="1:14" s="5" customFormat="1" ht="15" customHeight="1" x14ac:dyDescent="0.25">
      <c r="A4388" s="9" t="s">
        <v>8573</v>
      </c>
      <c r="C4388" s="9" t="str">
        <f>HYPERLINK("http://www.ncbi.nlm.nih.gov/protein/124487209","Mdga1")</f>
        <v>Mdga1</v>
      </c>
      <c r="D4388" s="10">
        <f t="shared" si="68"/>
        <v>3.7804084282104178</v>
      </c>
      <c r="F4388" s="8" t="str">
        <f>HYPERLINK("https://esbl.nhlbi.nih.gov/Databases/mpkFractions/proteomic_fractions_log_files/Yang_log_img/124487209.jpg","show blot")</f>
        <v>show blot</v>
      </c>
      <c r="H4388" s="8" t="str">
        <f>HYPERLINK("https://esbl.nhlbi.nih.gov/Databases/mpkFractions/proteomic_fractions_linear_files/Yang_linear_img/124487209.jpg","show blot")</f>
        <v>show blot</v>
      </c>
      <c r="J4388" s="5" t="s">
        <v>8574</v>
      </c>
      <c r="L4388" s="11">
        <v>3.7804084282104178</v>
      </c>
      <c r="N4388" s="12"/>
    </row>
    <row r="4389" spans="1:14" s="5" customFormat="1" ht="15" customHeight="1" x14ac:dyDescent="0.25">
      <c r="A4389" s="9" t="s">
        <v>8575</v>
      </c>
      <c r="C4389" s="9" t="str">
        <f>HYPERLINK("http://www.ncbi.nlm.nih.gov/protein/254540027","Mdh1")</f>
        <v>Mdh1</v>
      </c>
      <c r="D4389" s="10">
        <f t="shared" si="68"/>
        <v>6.6039051915092326</v>
      </c>
      <c r="F4389" s="8" t="str">
        <f>HYPERLINK("https://esbl.nhlbi.nih.gov/Databases/mpkFractions/proteomic_fractions_log_files/Yang_log_img/254540027.jpg","show blot")</f>
        <v>show blot</v>
      </c>
      <c r="H4389" s="8" t="str">
        <f>HYPERLINK("https://esbl.nhlbi.nih.gov/Databases/mpkFractions/proteomic_fractions_linear_files/Yang_linear_img/254540027.jpg","show blot")</f>
        <v>show blot</v>
      </c>
      <c r="J4389" s="5" t="s">
        <v>8576</v>
      </c>
      <c r="L4389" s="11">
        <v>6.6039051915092326</v>
      </c>
      <c r="N4389" s="12"/>
    </row>
    <row r="4390" spans="1:14" s="5" customFormat="1" ht="15" customHeight="1" x14ac:dyDescent="0.25">
      <c r="A4390" s="9" t="s">
        <v>8577</v>
      </c>
      <c r="C4390" s="9" t="str">
        <f>HYPERLINK("http://www.ncbi.nlm.nih.gov/protein/31982186","Mdh2")</f>
        <v>Mdh2</v>
      </c>
      <c r="D4390" s="10">
        <f t="shared" si="68"/>
        <v>7.1225056726699094</v>
      </c>
      <c r="F4390" s="8" t="str">
        <f>HYPERLINK("https://esbl.nhlbi.nih.gov/Databases/mpkFractions/proteomic_fractions_log_files/Yang_log_img/31982186.jpg","show blot")</f>
        <v>show blot</v>
      </c>
      <c r="H4390" s="8" t="str">
        <f>HYPERLINK("https://esbl.nhlbi.nih.gov/Databases/mpkFractions/proteomic_fractions_linear_files/Yang_linear_img/31982186.jpg","show blot")</f>
        <v>show blot</v>
      </c>
      <c r="J4390" s="5" t="s">
        <v>8578</v>
      </c>
      <c r="L4390" s="11">
        <v>7.1225056726699094</v>
      </c>
      <c r="N4390" s="12"/>
    </row>
    <row r="4391" spans="1:14" s="5" customFormat="1" ht="15" customHeight="1" x14ac:dyDescent="0.25">
      <c r="A4391" s="9" t="s">
        <v>8579</v>
      </c>
      <c r="C4391" s="9" t="str">
        <f>HYPERLINK("http://www.ncbi.nlm.nih.gov/protein/31543245","Mdm4")</f>
        <v>Mdm4</v>
      </c>
      <c r="D4391" s="10">
        <f t="shared" si="68"/>
        <v>5.1018679644383411</v>
      </c>
      <c r="F4391" s="8" t="str">
        <f>HYPERLINK("https://esbl.nhlbi.nih.gov/Databases/mpkFractions/proteomic_fractions_log_files/Yang_log_img/31543245.jpg","show blot")</f>
        <v>show blot</v>
      </c>
      <c r="H4391" s="8" t="str">
        <f>HYPERLINK("https://esbl.nhlbi.nih.gov/Databases/mpkFractions/proteomic_fractions_linear_files/Yang_linear_img/31543245.jpg","show blot")</f>
        <v>show blot</v>
      </c>
      <c r="J4391" s="5" t="s">
        <v>8580</v>
      </c>
      <c r="L4391" s="11">
        <v>5.1018679644383411</v>
      </c>
      <c r="N4391" s="12"/>
    </row>
    <row r="4392" spans="1:14" s="5" customFormat="1" ht="15" customHeight="1" x14ac:dyDescent="0.25">
      <c r="A4392" s="9" t="s">
        <v>8581</v>
      </c>
      <c r="C4392" s="9" t="str">
        <f>HYPERLINK("http://www.ncbi.nlm.nih.gov/protein/124487133","Mdn1")</f>
        <v>Mdn1</v>
      </c>
      <c r="D4392" s="10">
        <f t="shared" si="68"/>
        <v>2.7414535850665711</v>
      </c>
      <c r="F4392" s="8" t="str">
        <f>HYPERLINK("https://esbl.nhlbi.nih.gov/Databases/mpkFractions/proteomic_fractions_log_files/Yang_log_img/124487133.jpg","show blot")</f>
        <v>show blot</v>
      </c>
      <c r="H4392" s="8" t="str">
        <f>HYPERLINK("https://esbl.nhlbi.nih.gov/Databases/mpkFractions/proteomic_fractions_linear_files/Yang_linear_img/124487133.jpg","show blot")</f>
        <v>show blot</v>
      </c>
      <c r="J4392" s="5" t="s">
        <v>8582</v>
      </c>
      <c r="L4392" s="11">
        <v>2.7414535850665711</v>
      </c>
      <c r="N4392" s="12"/>
    </row>
    <row r="4393" spans="1:14" s="5" customFormat="1" ht="15" customHeight="1" x14ac:dyDescent="0.25">
      <c r="A4393" s="9" t="s">
        <v>8583</v>
      </c>
      <c r="C4393" s="9" t="str">
        <f>HYPERLINK("http://www.ncbi.nlm.nih.gov/protein/12963663","Mdp1")</f>
        <v>Mdp1</v>
      </c>
      <c r="D4393" s="10">
        <f t="shared" si="68"/>
        <v>5.5814089334922787</v>
      </c>
      <c r="F4393" s="8" t="str">
        <f>HYPERLINK("https://esbl.nhlbi.nih.gov/Databases/mpkFractions/proteomic_fractions_log_files/Yang_log_img/12963663.jpg","show blot")</f>
        <v>show blot</v>
      </c>
      <c r="H4393" s="8" t="str">
        <f>HYPERLINK("https://esbl.nhlbi.nih.gov/Databases/mpkFractions/proteomic_fractions_linear_files/Yang_linear_img/12963663.jpg","show blot")</f>
        <v>show blot</v>
      </c>
      <c r="J4393" s="5" t="s">
        <v>8584</v>
      </c>
      <c r="L4393" s="11">
        <v>5.5814089334922787</v>
      </c>
      <c r="N4393" s="12"/>
    </row>
    <row r="4394" spans="1:14" s="5" customFormat="1" ht="15" customHeight="1" x14ac:dyDescent="0.25">
      <c r="A4394" s="9" t="s">
        <v>8585</v>
      </c>
      <c r="C4394" s="9" t="str">
        <f>HYPERLINK("http://www.ncbi.nlm.nih.gov/protein/162139827","Me1")</f>
        <v>Me1</v>
      </c>
      <c r="D4394" s="10">
        <f t="shared" si="68"/>
        <v>5.5465429351206668</v>
      </c>
      <c r="F4394" s="8" t="str">
        <f>HYPERLINK("https://esbl.nhlbi.nih.gov/Databases/mpkFractions/proteomic_fractions_log_files/Yang_log_img/162139827.jpg","show blot")</f>
        <v>show blot</v>
      </c>
      <c r="H4394" s="8" t="str">
        <f>HYPERLINK("https://esbl.nhlbi.nih.gov/Databases/mpkFractions/proteomic_fractions_linear_files/Yang_linear_img/162139827.jpg","show blot")</f>
        <v>show blot</v>
      </c>
      <c r="J4394" s="5" t="s">
        <v>8586</v>
      </c>
      <c r="L4394" s="11">
        <v>5.5465429351206668</v>
      </c>
      <c r="N4394" s="12"/>
    </row>
    <row r="4395" spans="1:14" s="5" customFormat="1" ht="15" customHeight="1" x14ac:dyDescent="0.25">
      <c r="A4395" s="9" t="s">
        <v>8587</v>
      </c>
      <c r="C4395" s="9" t="str">
        <f>HYPERLINK("http://www.ncbi.nlm.nih.gov/protein/312147392","Me1")</f>
        <v>Me1</v>
      </c>
      <c r="D4395" s="10">
        <f t="shared" si="68"/>
        <v>5.5465429351206668</v>
      </c>
      <c r="F4395" s="8" t="str">
        <f>HYPERLINK("https://esbl.nhlbi.nih.gov/Databases/mpkFractions/proteomic_fractions_log_files/Yang_log_img/312147392.jpg","show blot")</f>
        <v>show blot</v>
      </c>
      <c r="H4395" s="8" t="str">
        <f>HYPERLINK("https://esbl.nhlbi.nih.gov/Databases/mpkFractions/proteomic_fractions_linear_files/Yang_linear_img/312147392.jpg","show blot")</f>
        <v>show blot</v>
      </c>
      <c r="J4395" s="5" t="s">
        <v>8588</v>
      </c>
      <c r="L4395" s="11">
        <v>5.5465429351206668</v>
      </c>
      <c r="N4395" s="12"/>
    </row>
    <row r="4396" spans="1:14" s="5" customFormat="1" ht="15" customHeight="1" x14ac:dyDescent="0.25">
      <c r="A4396" s="9" t="s">
        <v>8589</v>
      </c>
      <c r="C4396" s="9" t="str">
        <f>HYPERLINK("http://www.ncbi.nlm.nih.gov/protein/21703972","Me2")</f>
        <v>Me2</v>
      </c>
      <c r="D4396" s="10">
        <f t="shared" si="68"/>
        <v>4.6329834220702724</v>
      </c>
      <c r="F4396" s="8" t="str">
        <f>HYPERLINK("https://esbl.nhlbi.nih.gov/Databases/mpkFractions/proteomic_fractions_log_files/Yang_log_img/21703972.jpg","show blot")</f>
        <v>show blot</v>
      </c>
      <c r="H4396" s="8" t="str">
        <f>HYPERLINK("https://esbl.nhlbi.nih.gov/Databases/mpkFractions/proteomic_fractions_linear_files/Yang_linear_img/21703972.jpg","show blot")</f>
        <v>show blot</v>
      </c>
      <c r="J4396" s="5" t="s">
        <v>8590</v>
      </c>
      <c r="L4396" s="11">
        <v>4.6329834220702724</v>
      </c>
      <c r="N4396" s="12"/>
    </row>
    <row r="4397" spans="1:14" s="5" customFormat="1" ht="15" customHeight="1" x14ac:dyDescent="0.25">
      <c r="A4397" s="9" t="s">
        <v>8591</v>
      </c>
      <c r="C4397" s="9" t="str">
        <f>HYPERLINK("http://www.ncbi.nlm.nih.gov/protein/227116358","Mecr")</f>
        <v>Mecr</v>
      </c>
      <c r="D4397" s="10">
        <f t="shared" si="68"/>
        <v>4.1091498222914886</v>
      </c>
      <c r="F4397" s="8" t="str">
        <f>HYPERLINK("https://esbl.nhlbi.nih.gov/Databases/mpkFractions/proteomic_fractions_log_files/Yang_log_img/227116358.jpg","show blot")</f>
        <v>show blot</v>
      </c>
      <c r="H4397" s="8" t="str">
        <f>HYPERLINK("https://esbl.nhlbi.nih.gov/Databases/mpkFractions/proteomic_fractions_linear_files/Yang_linear_img/227116358.jpg","show blot")</f>
        <v>show blot</v>
      </c>
      <c r="J4397" s="5" t="s">
        <v>8592</v>
      </c>
      <c r="L4397" s="11">
        <v>4.1091498222914886</v>
      </c>
      <c r="N4397" s="12"/>
    </row>
    <row r="4398" spans="1:14" s="5" customFormat="1" ht="15" customHeight="1" x14ac:dyDescent="0.25">
      <c r="A4398" s="9" t="s">
        <v>8593</v>
      </c>
      <c r="C4398" s="9" t="str">
        <f>HYPERLINK("http://www.ncbi.nlm.nih.gov/protein/121582398","Med1")</f>
        <v>Med1</v>
      </c>
      <c r="D4398" s="10">
        <f t="shared" si="68"/>
        <v>2.6844627362755711</v>
      </c>
      <c r="F4398" s="8" t="str">
        <f>HYPERLINK("https://esbl.nhlbi.nih.gov/Databases/mpkFractions/proteomic_fractions_log_files/Yang_log_img/121582398.jpg","show blot")</f>
        <v>show blot</v>
      </c>
      <c r="H4398" s="8" t="str">
        <f>HYPERLINK("https://esbl.nhlbi.nih.gov/Databases/mpkFractions/proteomic_fractions_linear_files/Yang_linear_img/121582398.jpg","show blot")</f>
        <v>show blot</v>
      </c>
      <c r="J4398" s="5" t="s">
        <v>8594</v>
      </c>
      <c r="L4398" s="11">
        <v>2.6844627362755711</v>
      </c>
      <c r="N4398" s="12"/>
    </row>
    <row r="4399" spans="1:14" s="5" customFormat="1" ht="15" customHeight="1" x14ac:dyDescent="0.25">
      <c r="A4399" s="9" t="s">
        <v>8595</v>
      </c>
      <c r="C4399" s="9" t="str">
        <f>HYPERLINK("http://www.ncbi.nlm.nih.gov/protein/121582430","Med1")</f>
        <v>Med1</v>
      </c>
      <c r="D4399" s="10">
        <f t="shared" si="68"/>
        <v>2.6844627362755711</v>
      </c>
      <c r="F4399" s="8" t="str">
        <f>HYPERLINK("https://esbl.nhlbi.nih.gov/Databases/mpkFractions/proteomic_fractions_log_files/Yang_log_img/121582430.jpg","show blot")</f>
        <v>show blot</v>
      </c>
      <c r="H4399" s="8" t="str">
        <f>HYPERLINK("https://esbl.nhlbi.nih.gov/Databases/mpkFractions/proteomic_fractions_linear_files/Yang_linear_img/121582430.jpg","show blot")</f>
        <v>show blot</v>
      </c>
      <c r="J4399" s="5" t="s">
        <v>8596</v>
      </c>
      <c r="L4399" s="11">
        <v>2.6844627362755711</v>
      </c>
      <c r="N4399" s="12"/>
    </row>
    <row r="4400" spans="1:14" s="5" customFormat="1" ht="15" customHeight="1" x14ac:dyDescent="0.25">
      <c r="A4400" s="9" t="s">
        <v>8597</v>
      </c>
      <c r="C4400" s="9" t="str">
        <f>HYPERLINK("http://www.ncbi.nlm.nih.gov/protein/121583906","Med1")</f>
        <v>Med1</v>
      </c>
      <c r="D4400" s="10">
        <f t="shared" si="68"/>
        <v>2.6844627362755711</v>
      </c>
      <c r="F4400" s="8" t="str">
        <f>HYPERLINK("https://esbl.nhlbi.nih.gov/Databases/mpkFractions/proteomic_fractions_log_files/Yang_log_img/121583906.jpg","show blot")</f>
        <v>show blot</v>
      </c>
      <c r="H4400" s="8" t="str">
        <f>HYPERLINK("https://esbl.nhlbi.nih.gov/Databases/mpkFractions/proteomic_fractions_linear_files/Yang_linear_img/121583906.jpg","show blot")</f>
        <v>show blot</v>
      </c>
      <c r="J4400" s="5" t="s">
        <v>8598</v>
      </c>
      <c r="L4400" s="11">
        <v>2.6844627362755711</v>
      </c>
      <c r="N4400" s="12"/>
    </row>
    <row r="4401" spans="1:14" s="5" customFormat="1" ht="15" customHeight="1" x14ac:dyDescent="0.25">
      <c r="A4401" s="9" t="s">
        <v>8599</v>
      </c>
      <c r="C4401" s="9" t="str">
        <f>HYPERLINK("http://www.ncbi.nlm.nih.gov/protein/125628662","Med12")</f>
        <v>Med12</v>
      </c>
      <c r="D4401" s="10">
        <f t="shared" si="68"/>
        <v>2.3233544248946298</v>
      </c>
      <c r="F4401" s="8" t="str">
        <f>HYPERLINK("https://esbl.nhlbi.nih.gov/Databases/mpkFractions/proteomic_fractions_log_files/Yang_log_img/125628662.jpg","show blot")</f>
        <v>show blot</v>
      </c>
      <c r="H4401" s="8" t="str">
        <f>HYPERLINK("https://esbl.nhlbi.nih.gov/Databases/mpkFractions/proteomic_fractions_linear_files/Yang_linear_img/125628662.jpg","show blot")</f>
        <v>show blot</v>
      </c>
      <c r="J4401" s="5" t="s">
        <v>8600</v>
      </c>
      <c r="L4401" s="11">
        <v>2.3233544248946298</v>
      </c>
      <c r="N4401" s="12"/>
    </row>
    <row r="4402" spans="1:14" s="5" customFormat="1" ht="15" customHeight="1" x14ac:dyDescent="0.25">
      <c r="A4402" s="9" t="s">
        <v>8601</v>
      </c>
      <c r="C4402" s="9" t="str">
        <f>HYPERLINK("http://www.ncbi.nlm.nih.gov/protein/242397421","Med12l")</f>
        <v>Med12l</v>
      </c>
      <c r="D4402" s="10">
        <f t="shared" si="68"/>
        <v>1.3464491743584199</v>
      </c>
      <c r="F4402" s="8" t="str">
        <f>HYPERLINK("https://esbl.nhlbi.nih.gov/Databases/mpkFractions/proteomic_fractions_log_files/Yang_log_img/242397421.jpg","show blot")</f>
        <v>show blot</v>
      </c>
      <c r="H4402" s="8" t="str">
        <f>HYPERLINK("https://esbl.nhlbi.nih.gov/Databases/mpkFractions/proteomic_fractions_linear_files/Yang_linear_img/242397421.jpg","show blot")</f>
        <v>show blot</v>
      </c>
      <c r="J4402" s="5" t="s">
        <v>8602</v>
      </c>
      <c r="L4402" s="11">
        <v>1.3464491743584199</v>
      </c>
      <c r="N4402" s="12"/>
    </row>
    <row r="4403" spans="1:14" s="5" customFormat="1" ht="15" customHeight="1" x14ac:dyDescent="0.25">
      <c r="A4403" s="9" t="s">
        <v>8603</v>
      </c>
      <c r="C4403" s="9" t="str">
        <f>HYPERLINK("http://www.ncbi.nlm.nih.gov/protein/115270972","Med14")</f>
        <v>Med14</v>
      </c>
      <c r="D4403" s="10">
        <f t="shared" si="68"/>
        <v>2.537240759258466</v>
      </c>
      <c r="F4403" s="8" t="str">
        <f>HYPERLINK("https://esbl.nhlbi.nih.gov/Databases/mpkFractions/proteomic_fractions_log_files/Yang_log_img/115270972.jpg","show blot")</f>
        <v>show blot</v>
      </c>
      <c r="H4403" s="8" t="str">
        <f>HYPERLINK("https://esbl.nhlbi.nih.gov/Databases/mpkFractions/proteomic_fractions_linear_files/Yang_linear_img/115270972.jpg","show blot")</f>
        <v>show blot</v>
      </c>
      <c r="J4403" s="5" t="s">
        <v>8604</v>
      </c>
      <c r="L4403" s="11">
        <v>2.537240759258466</v>
      </c>
      <c r="N4403" s="12"/>
    </row>
    <row r="4404" spans="1:14" s="5" customFormat="1" ht="15" customHeight="1" x14ac:dyDescent="0.25">
      <c r="A4404" s="9" t="s">
        <v>8605</v>
      </c>
      <c r="C4404" s="9" t="str">
        <f>HYPERLINK("http://www.ncbi.nlm.nih.gov/protein/115270977","Med14")</f>
        <v>Med14</v>
      </c>
      <c r="D4404" s="10">
        <f t="shared" si="68"/>
        <v>2.537240759258466</v>
      </c>
      <c r="F4404" s="8" t="str">
        <f>HYPERLINK("https://esbl.nhlbi.nih.gov/Databases/mpkFractions/proteomic_fractions_log_files/Yang_log_img/115270977.jpg","show blot")</f>
        <v>show blot</v>
      </c>
      <c r="H4404" s="8" t="str">
        <f>HYPERLINK("https://esbl.nhlbi.nih.gov/Databases/mpkFractions/proteomic_fractions_linear_files/Yang_linear_img/115270977.jpg","show blot")</f>
        <v>show blot</v>
      </c>
      <c r="J4404" s="5" t="s">
        <v>8606</v>
      </c>
      <c r="L4404" s="11">
        <v>2.537240759258466</v>
      </c>
      <c r="N4404" s="12"/>
    </row>
    <row r="4405" spans="1:14" s="5" customFormat="1" ht="15" customHeight="1" x14ac:dyDescent="0.25">
      <c r="A4405" s="9" t="s">
        <v>8607</v>
      </c>
      <c r="C4405" s="9" t="str">
        <f>HYPERLINK("http://www.ncbi.nlm.nih.gov/protein/100816770","Med15")</f>
        <v>Med15</v>
      </c>
      <c r="D4405" s="10">
        <f t="shared" si="68"/>
        <v>1.795201564588401</v>
      </c>
      <c r="F4405" s="8" t="str">
        <f>HYPERLINK("https://esbl.nhlbi.nih.gov/Databases/mpkFractions/proteomic_fractions_log_files/Yang_log_img/100816770.jpg","show blot")</f>
        <v>show blot</v>
      </c>
      <c r="H4405" s="8" t="str">
        <f>HYPERLINK("https://esbl.nhlbi.nih.gov/Databases/mpkFractions/proteomic_fractions_linear_files/Yang_linear_img/100816770.jpg","show blot")</f>
        <v>show blot</v>
      </c>
      <c r="J4405" s="5" t="s">
        <v>8608</v>
      </c>
      <c r="L4405" s="11">
        <v>1.795201564588401</v>
      </c>
      <c r="N4405" s="12"/>
    </row>
    <row r="4406" spans="1:14" s="5" customFormat="1" ht="15" customHeight="1" x14ac:dyDescent="0.25">
      <c r="A4406" s="9" t="s">
        <v>8609</v>
      </c>
      <c r="C4406" s="9" t="str">
        <f>HYPERLINK("http://www.ncbi.nlm.nih.gov/protein/100817039","Med15")</f>
        <v>Med15</v>
      </c>
      <c r="D4406" s="10">
        <f t="shared" si="68"/>
        <v>1.795201564588401</v>
      </c>
      <c r="F4406" s="8" t="str">
        <f>HYPERLINK("https://esbl.nhlbi.nih.gov/Databases/mpkFractions/proteomic_fractions_log_files/Yang_log_img/100817039.jpg","show blot")</f>
        <v>show blot</v>
      </c>
      <c r="H4406" s="8" t="str">
        <f>HYPERLINK("https://esbl.nhlbi.nih.gov/Databases/mpkFractions/proteomic_fractions_linear_files/Yang_linear_img/100817039.jpg","show blot")</f>
        <v>show blot</v>
      </c>
      <c r="J4406" s="5" t="s">
        <v>8610</v>
      </c>
      <c r="L4406" s="11">
        <v>1.795201564588401</v>
      </c>
      <c r="N4406" s="12"/>
    </row>
    <row r="4407" spans="1:14" s="5" customFormat="1" ht="15" customHeight="1" x14ac:dyDescent="0.25">
      <c r="A4407" s="9" t="s">
        <v>8611</v>
      </c>
      <c r="C4407" s="9" t="str">
        <f>HYPERLINK("http://www.ncbi.nlm.nih.gov/protein/21450345","Med17")</f>
        <v>Med17</v>
      </c>
      <c r="D4407" s="10">
        <f t="shared" si="68"/>
        <v>3.390611325238714</v>
      </c>
      <c r="F4407" s="8" t="str">
        <f>HYPERLINK("https://esbl.nhlbi.nih.gov/Databases/mpkFractions/proteomic_fractions_log_files/Yang_log_img/21450345.jpg","show blot")</f>
        <v>show blot</v>
      </c>
      <c r="H4407" s="8" t="str">
        <f>HYPERLINK("https://esbl.nhlbi.nih.gov/Databases/mpkFractions/proteomic_fractions_linear_files/Yang_linear_img/21450345.jpg","show blot")</f>
        <v>show blot</v>
      </c>
      <c r="J4407" s="5" t="s">
        <v>8612</v>
      </c>
      <c r="L4407" s="11">
        <v>3.390611325238714</v>
      </c>
      <c r="N4407" s="12"/>
    </row>
    <row r="4408" spans="1:14" s="5" customFormat="1" ht="15" customHeight="1" x14ac:dyDescent="0.25">
      <c r="A4408" s="9" t="s">
        <v>8613</v>
      </c>
      <c r="C4408" s="9" t="str">
        <f>HYPERLINK("http://www.ncbi.nlm.nih.gov/protein/21313064","Med18")</f>
        <v>Med18</v>
      </c>
      <c r="D4408" s="10">
        <f t="shared" si="68"/>
        <v>3.0573966462033311</v>
      </c>
      <c r="F4408" s="8" t="str">
        <f>HYPERLINK("https://esbl.nhlbi.nih.gov/Databases/mpkFractions/proteomic_fractions_log_files/Yang_log_img/21313064.jpg","show blot")</f>
        <v>show blot</v>
      </c>
      <c r="H4408" s="8" t="str">
        <f>HYPERLINK("https://esbl.nhlbi.nih.gov/Databases/mpkFractions/proteomic_fractions_linear_files/Yang_linear_img/21313064.jpg","show blot")</f>
        <v>show blot</v>
      </c>
      <c r="J4408" s="5" t="s">
        <v>8614</v>
      </c>
      <c r="L4408" s="11">
        <v>3.0573966462033311</v>
      </c>
      <c r="N4408" s="12"/>
    </row>
    <row r="4409" spans="1:14" s="5" customFormat="1" ht="15" customHeight="1" x14ac:dyDescent="0.25">
      <c r="A4409" s="9" t="s">
        <v>8615</v>
      </c>
      <c r="C4409" s="9" t="str">
        <f>HYPERLINK("http://www.ncbi.nlm.nih.gov/protein/21313194","Med19")</f>
        <v>Med19</v>
      </c>
      <c r="D4409" s="10">
        <f t="shared" si="68"/>
        <v>2.9873936536887169</v>
      </c>
      <c r="F4409" s="8" t="str">
        <f>HYPERLINK("https://esbl.nhlbi.nih.gov/Databases/mpkFractions/proteomic_fractions_log_files/Yang_log_img/21313194.jpg","show blot")</f>
        <v>show blot</v>
      </c>
      <c r="H4409" s="8" t="str">
        <f>HYPERLINK("https://esbl.nhlbi.nih.gov/Databases/mpkFractions/proteomic_fractions_linear_files/Yang_linear_img/21313194.jpg","show blot")</f>
        <v>show blot</v>
      </c>
      <c r="J4409" s="5" t="s">
        <v>8616</v>
      </c>
      <c r="L4409" s="11">
        <v>2.9873936536887169</v>
      </c>
      <c r="N4409" s="12"/>
    </row>
    <row r="4410" spans="1:14" s="5" customFormat="1" ht="15" customHeight="1" x14ac:dyDescent="0.25">
      <c r="A4410" s="9" t="s">
        <v>8617</v>
      </c>
      <c r="C4410" s="9" t="str">
        <f>HYPERLINK("http://www.ncbi.nlm.nih.gov/protein/9910590","Med20")</f>
        <v>Med20</v>
      </c>
      <c r="D4410" s="10">
        <f t="shared" si="68"/>
        <v>4.4059208628290234</v>
      </c>
      <c r="F4410" s="8" t="str">
        <f>HYPERLINK("https://esbl.nhlbi.nih.gov/Databases/mpkFractions/proteomic_fractions_log_files/Yang_log_img/9910590.jpg","show blot")</f>
        <v>show blot</v>
      </c>
      <c r="H4410" s="8" t="str">
        <f>HYPERLINK("https://esbl.nhlbi.nih.gov/Databases/mpkFractions/proteomic_fractions_linear_files/Yang_linear_img/9910590.jpg","show blot")</f>
        <v>show blot</v>
      </c>
      <c r="J4410" s="5" t="s">
        <v>8618</v>
      </c>
      <c r="L4410" s="11">
        <v>4.4059208628290234</v>
      </c>
      <c r="N4410" s="12"/>
    </row>
    <row r="4411" spans="1:14" s="5" customFormat="1" ht="15" customHeight="1" x14ac:dyDescent="0.25">
      <c r="A4411" s="9" t="s">
        <v>8619</v>
      </c>
      <c r="C4411" s="9" t="str">
        <f>HYPERLINK("http://www.ncbi.nlm.nih.gov/protein/13384678","Med21")</f>
        <v>Med21</v>
      </c>
      <c r="D4411" s="10">
        <f t="shared" si="68"/>
        <v>3.7014444694493349</v>
      </c>
      <c r="F4411" s="8" t="str">
        <f>HYPERLINK("https://esbl.nhlbi.nih.gov/Databases/mpkFractions/proteomic_fractions_log_files/Yang_log_img/13384678.jpg","show blot")</f>
        <v>show blot</v>
      </c>
      <c r="H4411" s="8" t="str">
        <f>HYPERLINK("https://esbl.nhlbi.nih.gov/Databases/mpkFractions/proteomic_fractions_linear_files/Yang_linear_img/13384678.jpg","show blot")</f>
        <v>show blot</v>
      </c>
      <c r="J4411" s="5" t="s">
        <v>8620</v>
      </c>
      <c r="L4411" s="11">
        <v>3.7014444694493349</v>
      </c>
      <c r="N4411" s="12"/>
    </row>
    <row r="4412" spans="1:14" s="5" customFormat="1" ht="15" customHeight="1" x14ac:dyDescent="0.25">
      <c r="A4412" s="9" t="s">
        <v>8621</v>
      </c>
      <c r="C4412" s="9" t="str">
        <f>HYPERLINK("http://www.ncbi.nlm.nih.gov/protein/6755700","Med22")</f>
        <v>Med22</v>
      </c>
      <c r="D4412" s="10">
        <f t="shared" si="68"/>
        <v>3.047314685868316</v>
      </c>
      <c r="F4412" s="8" t="str">
        <f>HYPERLINK("https://esbl.nhlbi.nih.gov/Databases/mpkFractions/proteomic_fractions_log_files/Yang_log_img/6755700.jpg","show blot")</f>
        <v>show blot</v>
      </c>
      <c r="H4412" s="8" t="str">
        <f>HYPERLINK("https://esbl.nhlbi.nih.gov/Databases/mpkFractions/proteomic_fractions_linear_files/Yang_linear_img/6755700.jpg","show blot")</f>
        <v>show blot</v>
      </c>
      <c r="J4412" s="5" t="s">
        <v>8622</v>
      </c>
      <c r="L4412" s="11">
        <v>3.047314685868316</v>
      </c>
      <c r="N4412" s="12"/>
    </row>
    <row r="4413" spans="1:14" s="5" customFormat="1" ht="15" customHeight="1" x14ac:dyDescent="0.25">
      <c r="A4413" s="9" t="s">
        <v>8623</v>
      </c>
      <c r="C4413" s="9" t="str">
        <f>HYPERLINK("http://www.ncbi.nlm.nih.gov/protein/76781479","Med22")</f>
        <v>Med22</v>
      </c>
      <c r="D4413" s="10">
        <f t="shared" si="68"/>
        <v>3.047314685868316</v>
      </c>
      <c r="F4413" s="8" t="str">
        <f>HYPERLINK("https://esbl.nhlbi.nih.gov/Databases/mpkFractions/proteomic_fractions_log_files/Yang_log_img/76781479.jpg","show blot")</f>
        <v>show blot</v>
      </c>
      <c r="H4413" s="8" t="str">
        <f>HYPERLINK("https://esbl.nhlbi.nih.gov/Databases/mpkFractions/proteomic_fractions_linear_files/Yang_linear_img/76781479.jpg","show blot")</f>
        <v>show blot</v>
      </c>
      <c r="J4413" s="5" t="s">
        <v>8624</v>
      </c>
      <c r="L4413" s="11">
        <v>3.047314685868316</v>
      </c>
      <c r="N4413" s="12"/>
    </row>
    <row r="4414" spans="1:14" s="5" customFormat="1" ht="15" customHeight="1" x14ac:dyDescent="0.25">
      <c r="A4414" s="9" t="s">
        <v>8625</v>
      </c>
      <c r="C4414" s="9" t="str">
        <f>HYPERLINK("http://www.ncbi.nlm.nih.gov/protein/261878545","Med23")</f>
        <v>Med23</v>
      </c>
      <c r="D4414" s="10">
        <f t="shared" si="68"/>
        <v>3.3757477818519752</v>
      </c>
      <c r="F4414" s="8" t="str">
        <f>HYPERLINK("https://esbl.nhlbi.nih.gov/Databases/mpkFractions/proteomic_fractions_log_files/Yang_log_img/261878545.jpg","show blot")</f>
        <v>show blot</v>
      </c>
      <c r="H4414" s="8" t="str">
        <f>HYPERLINK("https://esbl.nhlbi.nih.gov/Databases/mpkFractions/proteomic_fractions_linear_files/Yang_linear_img/261878545.jpg","show blot")</f>
        <v>show blot</v>
      </c>
      <c r="J4414" s="5" t="s">
        <v>8626</v>
      </c>
      <c r="L4414" s="11">
        <v>3.3757477818519752</v>
      </c>
      <c r="N4414" s="12"/>
    </row>
    <row r="4415" spans="1:14" s="5" customFormat="1" ht="15" customHeight="1" x14ac:dyDescent="0.25">
      <c r="A4415" s="9" t="s">
        <v>8627</v>
      </c>
      <c r="C4415" s="9" t="str">
        <f>HYPERLINK("http://www.ncbi.nlm.nih.gov/protein/261878547","Med23")</f>
        <v>Med23</v>
      </c>
      <c r="D4415" s="10">
        <f t="shared" si="68"/>
        <v>3.3757477818519752</v>
      </c>
      <c r="F4415" s="8" t="str">
        <f>HYPERLINK("https://esbl.nhlbi.nih.gov/Databases/mpkFractions/proteomic_fractions_log_files/Yang_log_img/261878547.jpg","show blot")</f>
        <v>show blot</v>
      </c>
      <c r="H4415" s="8" t="str">
        <f>HYPERLINK("https://esbl.nhlbi.nih.gov/Databases/mpkFractions/proteomic_fractions_linear_files/Yang_linear_img/261878547.jpg","show blot")</f>
        <v>show blot</v>
      </c>
      <c r="J4415" s="5" t="s">
        <v>8628</v>
      </c>
      <c r="L4415" s="11">
        <v>3.3757477818519752</v>
      </c>
      <c r="N4415" s="12"/>
    </row>
    <row r="4416" spans="1:14" s="5" customFormat="1" ht="15" customHeight="1" x14ac:dyDescent="0.25">
      <c r="A4416" s="9" t="s">
        <v>8629</v>
      </c>
      <c r="C4416" s="9" t="str">
        <f>HYPERLINK("http://www.ncbi.nlm.nih.gov/protein/119220579","Med24")</f>
        <v>Med24</v>
      </c>
      <c r="D4416" s="10">
        <f t="shared" si="68"/>
        <v>2.4414951842182608</v>
      </c>
      <c r="F4416" s="8" t="str">
        <f>HYPERLINK("https://esbl.nhlbi.nih.gov/Databases/mpkFractions/proteomic_fractions_log_files/Yang_log_img/119220579.jpg","show blot")</f>
        <v>show blot</v>
      </c>
      <c r="H4416" s="8" t="str">
        <f>HYPERLINK("https://esbl.nhlbi.nih.gov/Databases/mpkFractions/proteomic_fractions_linear_files/Yang_linear_img/119220579.jpg","show blot")</f>
        <v>show blot</v>
      </c>
      <c r="J4416" s="5" t="s">
        <v>8630</v>
      </c>
      <c r="L4416" s="11">
        <v>2.4414951842182608</v>
      </c>
      <c r="N4416" s="12"/>
    </row>
    <row r="4417" spans="1:14" s="5" customFormat="1" ht="15" customHeight="1" x14ac:dyDescent="0.25">
      <c r="A4417" s="9" t="s">
        <v>8631</v>
      </c>
      <c r="C4417" s="9" t="str">
        <f>HYPERLINK("http://www.ncbi.nlm.nih.gov/protein/76253678","Med27")</f>
        <v>Med27</v>
      </c>
      <c r="D4417" s="10">
        <f t="shared" si="68"/>
        <v>3.920641741489451</v>
      </c>
      <c r="F4417" s="8" t="str">
        <f>HYPERLINK("https://esbl.nhlbi.nih.gov/Databases/mpkFractions/proteomic_fractions_log_files/Yang_log_img/76253678.jpg","show blot")</f>
        <v>show blot</v>
      </c>
      <c r="H4417" s="8" t="str">
        <f>HYPERLINK("https://esbl.nhlbi.nih.gov/Databases/mpkFractions/proteomic_fractions_linear_files/Yang_linear_img/76253678.jpg","show blot")</f>
        <v>show blot</v>
      </c>
      <c r="J4417" s="5" t="s">
        <v>8632</v>
      </c>
      <c r="L4417" s="11">
        <v>3.920641741489451</v>
      </c>
      <c r="N4417" s="12"/>
    </row>
    <row r="4418" spans="1:14" s="5" customFormat="1" ht="15" customHeight="1" x14ac:dyDescent="0.25">
      <c r="A4418" s="9" t="s">
        <v>8633</v>
      </c>
      <c r="C4418" s="9" t="str">
        <f>HYPERLINK("http://www.ncbi.nlm.nih.gov/protein/13385388","Med28")</f>
        <v>Med28</v>
      </c>
      <c r="D4418" s="10">
        <f t="shared" si="68"/>
        <v>3.5543830465656838</v>
      </c>
      <c r="F4418" s="8" t="str">
        <f>HYPERLINK("https://esbl.nhlbi.nih.gov/Databases/mpkFractions/proteomic_fractions_log_files/Yang_log_img/13385388.jpg","show blot")</f>
        <v>show blot</v>
      </c>
      <c r="H4418" s="8" t="str">
        <f>HYPERLINK("https://esbl.nhlbi.nih.gov/Databases/mpkFractions/proteomic_fractions_linear_files/Yang_linear_img/13385388.jpg","show blot")</f>
        <v>show blot</v>
      </c>
      <c r="J4418" s="5" t="s">
        <v>8634</v>
      </c>
      <c r="L4418" s="11">
        <v>3.5543830465656838</v>
      </c>
      <c r="N4418" s="12"/>
    </row>
    <row r="4419" spans="1:14" s="5" customFormat="1" ht="15" customHeight="1" x14ac:dyDescent="0.25">
      <c r="A4419" s="9" t="s">
        <v>8635</v>
      </c>
      <c r="C4419" s="9" t="str">
        <f>HYPERLINK("http://www.ncbi.nlm.nih.gov/protein/19882231","Med30")</f>
        <v>Med30</v>
      </c>
      <c r="D4419" s="10">
        <f t="shared" si="68"/>
        <v>4.6383109397749918</v>
      </c>
      <c r="F4419" s="8" t="str">
        <f>HYPERLINK("https://esbl.nhlbi.nih.gov/Databases/mpkFractions/proteomic_fractions_log_files/Yang_log_img/19882231.jpg","show blot")</f>
        <v>show blot</v>
      </c>
      <c r="H4419" s="8" t="str">
        <f>HYPERLINK("https://esbl.nhlbi.nih.gov/Databases/mpkFractions/proteomic_fractions_linear_files/Yang_linear_img/19882231.jpg","show blot")</f>
        <v>show blot</v>
      </c>
      <c r="J4419" s="5" t="s">
        <v>8636</v>
      </c>
      <c r="L4419" s="11">
        <v>4.6383109397749918</v>
      </c>
      <c r="N4419" s="12"/>
    </row>
    <row r="4420" spans="1:14" s="5" customFormat="1" ht="15" customHeight="1" x14ac:dyDescent="0.25">
      <c r="A4420" s="9" t="s">
        <v>8637</v>
      </c>
      <c r="C4420" s="9" t="str">
        <f>HYPERLINK("http://www.ncbi.nlm.nih.gov/protein/56119162","Med31")</f>
        <v>Med31</v>
      </c>
      <c r="D4420" s="10">
        <f t="shared" si="68"/>
        <v>4.0681080156527729</v>
      </c>
      <c r="F4420" s="8" t="str">
        <f>HYPERLINK("https://esbl.nhlbi.nih.gov/Databases/mpkFractions/proteomic_fractions_log_files/Yang_log_img/56119162.jpg","show blot")</f>
        <v>show blot</v>
      </c>
      <c r="H4420" s="8" t="str">
        <f>HYPERLINK("https://esbl.nhlbi.nih.gov/Databases/mpkFractions/proteomic_fractions_linear_files/Yang_linear_img/56119162.jpg","show blot")</f>
        <v>show blot</v>
      </c>
      <c r="J4420" s="5" t="s">
        <v>8638</v>
      </c>
      <c r="L4420" s="11">
        <v>4.0681080156527729</v>
      </c>
      <c r="N4420" s="12"/>
    </row>
    <row r="4421" spans="1:14" s="5" customFormat="1" ht="15" customHeight="1" x14ac:dyDescent="0.25">
      <c r="A4421" s="9" t="s">
        <v>8639</v>
      </c>
      <c r="C4421" s="9" t="str">
        <f>HYPERLINK("http://www.ncbi.nlm.nih.gov/protein/157266302;157266322","Med7")</f>
        <v>Med7</v>
      </c>
      <c r="D4421" s="10">
        <f t="shared" ref="D4421:D4484" si="69">L4421</f>
        <v>3.1280831755968341</v>
      </c>
      <c r="F4421" s="8" t="str">
        <f>HYPERLINK("https://esbl.nhlbi.nih.gov/Databases/mpkFractions/proteomic_fractions_log_files/Yang_log_img/157266302;157266322.jpg","show blot")</f>
        <v>show blot</v>
      </c>
      <c r="H4421" s="8" t="str">
        <f>HYPERLINK("https://esbl.nhlbi.nih.gov/Databases/mpkFractions/proteomic_fractions_linear_files/Yang_linear_img/157266302;157266322.jpg","show blot")</f>
        <v>show blot</v>
      </c>
      <c r="J4421" s="5" t="s">
        <v>8640</v>
      </c>
      <c r="L4421" s="11">
        <v>3.1280831755968341</v>
      </c>
      <c r="N4421" s="12"/>
    </row>
    <row r="4422" spans="1:14" s="5" customFormat="1" ht="15" customHeight="1" x14ac:dyDescent="0.25">
      <c r="A4422" s="9" t="s">
        <v>8641</v>
      </c>
      <c r="C4422" s="9" t="str">
        <f>HYPERLINK("http://www.ncbi.nlm.nih.gov/protein/255982602","Mei1")</f>
        <v>Mei1</v>
      </c>
      <c r="D4422" s="10">
        <f t="shared" si="69"/>
        <v>3.1074986333221069</v>
      </c>
      <c r="F4422" s="8" t="str">
        <f>HYPERLINK("https://esbl.nhlbi.nih.gov/Databases/mpkFractions/proteomic_fractions_log_files/Yang_log_img/255982602.jpg","show blot")</f>
        <v>show blot</v>
      </c>
      <c r="H4422" s="8" t="str">
        <f>HYPERLINK("https://esbl.nhlbi.nih.gov/Databases/mpkFractions/proteomic_fractions_linear_files/Yang_linear_img/255982602.jpg","show blot")</f>
        <v>show blot</v>
      </c>
      <c r="J4422" s="5" t="s">
        <v>8642</v>
      </c>
      <c r="L4422" s="11">
        <v>3.1074986333221069</v>
      </c>
      <c r="N4422" s="12"/>
    </row>
    <row r="4423" spans="1:14" s="5" customFormat="1" ht="15" customHeight="1" x14ac:dyDescent="0.25">
      <c r="A4423" s="9" t="s">
        <v>8643</v>
      </c>
      <c r="C4423" s="9" t="str">
        <f>HYPERLINK("http://www.ncbi.nlm.nih.gov/protein/19526994","Memo1")</f>
        <v>Memo1</v>
      </c>
      <c r="D4423" s="10">
        <f t="shared" si="69"/>
        <v>4.9938762300717974</v>
      </c>
      <c r="F4423" s="8" t="str">
        <f>HYPERLINK("https://esbl.nhlbi.nih.gov/Databases/mpkFractions/proteomic_fractions_log_files/Yang_log_img/19526994.jpg","show blot")</f>
        <v>show blot</v>
      </c>
      <c r="H4423" s="8" t="str">
        <f>HYPERLINK("https://esbl.nhlbi.nih.gov/Databases/mpkFractions/proteomic_fractions_linear_files/Yang_linear_img/19526994.jpg","show blot")</f>
        <v>show blot</v>
      </c>
      <c r="J4423" s="5" t="s">
        <v>8644</v>
      </c>
      <c r="L4423" s="11">
        <v>4.9938762300717974</v>
      </c>
      <c r="N4423" s="12"/>
    </row>
    <row r="4424" spans="1:14" s="5" customFormat="1" ht="15" customHeight="1" x14ac:dyDescent="0.25">
      <c r="A4424" s="9" t="s">
        <v>8645</v>
      </c>
      <c r="C4424" s="9" t="str">
        <f>HYPERLINK("http://www.ncbi.nlm.nih.gov/protein/119672920","Mepce")</f>
        <v>Mepce</v>
      </c>
      <c r="D4424" s="10">
        <f t="shared" si="69"/>
        <v>4.1688951297126211</v>
      </c>
      <c r="F4424" s="8" t="str">
        <f>HYPERLINK("https://esbl.nhlbi.nih.gov/Databases/mpkFractions/proteomic_fractions_log_files/Yang_log_img/119672920.jpg","show blot")</f>
        <v>show blot</v>
      </c>
      <c r="H4424" s="8" t="str">
        <f>HYPERLINK("https://esbl.nhlbi.nih.gov/Databases/mpkFractions/proteomic_fractions_linear_files/Yang_linear_img/119672920.jpg","show blot")</f>
        <v>show blot</v>
      </c>
      <c r="J4424" s="5" t="s">
        <v>8646</v>
      </c>
      <c r="L4424" s="11">
        <v>4.1688951297126211</v>
      </c>
      <c r="N4424" s="12"/>
    </row>
    <row r="4425" spans="1:14" s="5" customFormat="1" ht="15" customHeight="1" x14ac:dyDescent="0.25">
      <c r="A4425" s="9" t="s">
        <v>8647</v>
      </c>
      <c r="C4425" s="9" t="str">
        <f>HYPERLINK("http://www.ncbi.nlm.nih.gov/protein/228480219","Mesdc2")</f>
        <v>Mesdc2</v>
      </c>
      <c r="D4425" s="10">
        <f t="shared" si="69"/>
        <v>4.0072774037432097</v>
      </c>
      <c r="F4425" s="8" t="str">
        <f>HYPERLINK("https://esbl.nhlbi.nih.gov/Databases/mpkFractions/proteomic_fractions_log_files/Yang_log_img/228480219.jpg","show blot")</f>
        <v>show blot</v>
      </c>
      <c r="H4425" s="8" t="str">
        <f>HYPERLINK("https://esbl.nhlbi.nih.gov/Databases/mpkFractions/proteomic_fractions_linear_files/Yang_linear_img/228480219.jpg","show blot")</f>
        <v>show blot</v>
      </c>
      <c r="J4425" s="5" t="s">
        <v>8648</v>
      </c>
      <c r="L4425" s="11">
        <v>4.0072774037432097</v>
      </c>
      <c r="N4425" s="12"/>
    </row>
    <row r="4426" spans="1:14" s="5" customFormat="1" ht="15" customHeight="1" x14ac:dyDescent="0.25">
      <c r="A4426" s="9" t="s">
        <v>8649</v>
      </c>
      <c r="C4426" s="9" t="str">
        <f>HYPERLINK("http://www.ncbi.nlm.nih.gov/protein/146198696","Met")</f>
        <v>Met</v>
      </c>
      <c r="D4426" s="10">
        <f t="shared" si="69"/>
        <v>4.1935509483533444</v>
      </c>
      <c r="F4426" s="8" t="str">
        <f>HYPERLINK("https://esbl.nhlbi.nih.gov/Databases/mpkFractions/proteomic_fractions_log_files/Yang_log_img/146198696.jpg","show blot")</f>
        <v>show blot</v>
      </c>
      <c r="H4426" s="8" t="str">
        <f>HYPERLINK("https://esbl.nhlbi.nih.gov/Databases/mpkFractions/proteomic_fractions_linear_files/Yang_linear_img/146198696.jpg","show blot")</f>
        <v>show blot</v>
      </c>
      <c r="J4426" s="5" t="s">
        <v>8650</v>
      </c>
      <c r="L4426" s="11">
        <v>4.1935509483533444</v>
      </c>
      <c r="N4426" s="12"/>
    </row>
    <row r="4427" spans="1:14" s="5" customFormat="1" ht="15" customHeight="1" x14ac:dyDescent="0.25">
      <c r="A4427" s="9" t="s">
        <v>8651</v>
      </c>
      <c r="C4427" s="9" t="str">
        <f>HYPERLINK("http://www.ncbi.nlm.nih.gov/protein/28202007","Metap1")</f>
        <v>Metap1</v>
      </c>
      <c r="D4427" s="10">
        <f t="shared" si="69"/>
        <v>5.5276527788693786</v>
      </c>
      <c r="F4427" s="8" t="str">
        <f>HYPERLINK("https://esbl.nhlbi.nih.gov/Databases/mpkFractions/proteomic_fractions_log_files/Yang_log_img/28202007.jpg","show blot")</f>
        <v>show blot</v>
      </c>
      <c r="H4427" s="8" t="str">
        <f>HYPERLINK("https://esbl.nhlbi.nih.gov/Databases/mpkFractions/proteomic_fractions_linear_files/Yang_linear_img/28202007.jpg","show blot")</f>
        <v>show blot</v>
      </c>
      <c r="J4427" s="5" t="s">
        <v>8652</v>
      </c>
      <c r="L4427" s="11">
        <v>5.5276527788693786</v>
      </c>
      <c r="N4427" s="12"/>
    </row>
    <row r="4428" spans="1:14" s="5" customFormat="1" ht="15" customHeight="1" x14ac:dyDescent="0.25">
      <c r="A4428" s="9" t="s">
        <v>8653</v>
      </c>
      <c r="C4428" s="9" t="str">
        <f>HYPERLINK("http://www.ncbi.nlm.nih.gov/protein/17975502","Metap1d")</f>
        <v>Metap1d</v>
      </c>
      <c r="D4428" s="10">
        <f t="shared" si="69"/>
        <v>3.2983035541864121</v>
      </c>
      <c r="F4428" s="8" t="str">
        <f>HYPERLINK("https://esbl.nhlbi.nih.gov/Databases/mpkFractions/proteomic_fractions_log_files/Yang_log_img/17975502.jpg","show blot")</f>
        <v>show blot</v>
      </c>
      <c r="H4428" s="8" t="str">
        <f>HYPERLINK("https://esbl.nhlbi.nih.gov/Databases/mpkFractions/proteomic_fractions_linear_files/Yang_linear_img/17975502.jpg","show blot")</f>
        <v>show blot</v>
      </c>
      <c r="J4428" s="5" t="s">
        <v>8654</v>
      </c>
      <c r="L4428" s="11">
        <v>3.2983035541864121</v>
      </c>
      <c r="N4428" s="12"/>
    </row>
    <row r="4429" spans="1:14" s="5" customFormat="1" ht="15" customHeight="1" x14ac:dyDescent="0.25">
      <c r="A4429" s="9" t="s">
        <v>8655</v>
      </c>
      <c r="C4429" s="9" t="str">
        <f>HYPERLINK("http://www.ncbi.nlm.nih.gov/protein/9789873","Metap2")</f>
        <v>Metap2</v>
      </c>
      <c r="D4429" s="10">
        <f t="shared" si="69"/>
        <v>5.583428858137232</v>
      </c>
      <c r="F4429" s="8" t="str">
        <f>HYPERLINK("https://esbl.nhlbi.nih.gov/Databases/mpkFractions/proteomic_fractions_log_files/Yang_log_img/9789873.jpg","show blot")</f>
        <v>show blot</v>
      </c>
      <c r="H4429" s="8" t="str">
        <f>HYPERLINK("https://esbl.nhlbi.nih.gov/Databases/mpkFractions/proteomic_fractions_linear_files/Yang_linear_img/9789873.jpg","show blot")</f>
        <v>show blot</v>
      </c>
      <c r="J4429" s="5" t="s">
        <v>8656</v>
      </c>
      <c r="L4429" s="11">
        <v>5.583428858137232</v>
      </c>
      <c r="N4429" s="12"/>
    </row>
    <row r="4430" spans="1:14" s="5" customFormat="1" ht="15" customHeight="1" x14ac:dyDescent="0.25">
      <c r="A4430" s="9" t="s">
        <v>8657</v>
      </c>
      <c r="C4430" s="9" t="str">
        <f>HYPERLINK("http://www.ncbi.nlm.nih.gov/protein/6754682","Mettl1")</f>
        <v>Mettl1</v>
      </c>
      <c r="D4430" s="10">
        <f t="shared" si="69"/>
        <v>4.6396424988065679</v>
      </c>
      <c r="F4430" s="8" t="str">
        <f>HYPERLINK("https://esbl.nhlbi.nih.gov/Databases/mpkFractions/proteomic_fractions_log_files/Yang_log_img/6754682.jpg","show blot")</f>
        <v>show blot</v>
      </c>
      <c r="H4430" s="8" t="str">
        <f>HYPERLINK("https://esbl.nhlbi.nih.gov/Databases/mpkFractions/proteomic_fractions_linear_files/Yang_linear_img/6754682.jpg","show blot")</f>
        <v>show blot</v>
      </c>
      <c r="J4430" s="5" t="s">
        <v>8658</v>
      </c>
      <c r="L4430" s="11">
        <v>4.6396424988065679</v>
      </c>
      <c r="N4430" s="12"/>
    </row>
    <row r="4431" spans="1:14" s="5" customFormat="1" ht="15" customHeight="1" x14ac:dyDescent="0.25">
      <c r="A4431" s="9" t="s">
        <v>8659</v>
      </c>
      <c r="C4431" s="9" t="str">
        <f>HYPERLINK("http://www.ncbi.nlm.nih.gov/protein/47059504","Mettl10")</f>
        <v>Mettl10</v>
      </c>
      <c r="D4431" s="10">
        <f t="shared" si="69"/>
        <v>4.2255000008063952</v>
      </c>
      <c r="F4431" s="8" t="str">
        <f>HYPERLINK("https://esbl.nhlbi.nih.gov/Databases/mpkFractions/proteomic_fractions_log_files/Yang_log_img/47059504.jpg","show blot")</f>
        <v>show blot</v>
      </c>
      <c r="H4431" s="8" t="str">
        <f>HYPERLINK("https://esbl.nhlbi.nih.gov/Databases/mpkFractions/proteomic_fractions_linear_files/Yang_linear_img/47059504.jpg","show blot")</f>
        <v>show blot</v>
      </c>
      <c r="J4431" s="5" t="s">
        <v>8660</v>
      </c>
      <c r="L4431" s="11">
        <v>4.2255000008063952</v>
      </c>
      <c r="N4431" s="12"/>
    </row>
    <row r="4432" spans="1:14" s="5" customFormat="1" ht="15" customHeight="1" x14ac:dyDescent="0.25">
      <c r="A4432" s="9" t="s">
        <v>8661</v>
      </c>
      <c r="C4432" s="9" t="str">
        <f>HYPERLINK("http://www.ncbi.nlm.nih.gov/protein/21536262","Mettl13")</f>
        <v>Mettl13</v>
      </c>
      <c r="D4432" s="10">
        <f t="shared" si="69"/>
        <v>3.9104092391888758</v>
      </c>
      <c r="F4432" s="8" t="str">
        <f>HYPERLINK("https://esbl.nhlbi.nih.gov/Databases/mpkFractions/proteomic_fractions_log_files/Yang_log_img/21536262.jpg","show blot")</f>
        <v>show blot</v>
      </c>
      <c r="H4432" s="8" t="str">
        <f>HYPERLINK("https://esbl.nhlbi.nih.gov/Databases/mpkFractions/proteomic_fractions_linear_files/Yang_linear_img/21536262.jpg","show blot")</f>
        <v>show blot</v>
      </c>
      <c r="J4432" s="5" t="s">
        <v>8662</v>
      </c>
      <c r="L4432" s="11">
        <v>3.9104092391888758</v>
      </c>
      <c r="N4432" s="12"/>
    </row>
    <row r="4433" spans="1:14" s="5" customFormat="1" ht="15" customHeight="1" x14ac:dyDescent="0.25">
      <c r="A4433" s="9" t="s">
        <v>8663</v>
      </c>
      <c r="C4433" s="9" t="str">
        <f>HYPERLINK("http://www.ncbi.nlm.nih.gov/protein/21312938","Mettl16")</f>
        <v>Mettl16</v>
      </c>
      <c r="D4433" s="10">
        <f t="shared" si="69"/>
        <v>4.0448611478396339</v>
      </c>
      <c r="F4433" s="8" t="str">
        <f>HYPERLINK("https://esbl.nhlbi.nih.gov/Databases/mpkFractions/proteomic_fractions_log_files/Yang_log_img/21312938.jpg","show blot")</f>
        <v>show blot</v>
      </c>
      <c r="H4433" s="8" t="str">
        <f>HYPERLINK("https://esbl.nhlbi.nih.gov/Databases/mpkFractions/proteomic_fractions_linear_files/Yang_linear_img/21312938.jpg","show blot")</f>
        <v>show blot</v>
      </c>
      <c r="J4433" s="5" t="s">
        <v>8664</v>
      </c>
      <c r="L4433" s="11">
        <v>4.0448611478396339</v>
      </c>
      <c r="N4433" s="12"/>
    </row>
    <row r="4434" spans="1:14" s="5" customFormat="1" ht="15" customHeight="1" x14ac:dyDescent="0.25">
      <c r="A4434" s="9" t="s">
        <v>8665</v>
      </c>
      <c r="C4434" s="9" t="str">
        <f>HYPERLINK("http://www.ncbi.nlm.nih.gov/protein/255683413","Mettl2")</f>
        <v>Mettl2</v>
      </c>
      <c r="D4434" s="10">
        <f t="shared" si="69"/>
        <v>3.4919355576082962</v>
      </c>
      <c r="F4434" s="8" t="str">
        <f>HYPERLINK("https://esbl.nhlbi.nih.gov/Databases/mpkFractions/proteomic_fractions_log_files/Yang_log_img/255683413.jpg","show blot")</f>
        <v>show blot</v>
      </c>
      <c r="H4434" s="8" t="str">
        <f>HYPERLINK("https://esbl.nhlbi.nih.gov/Databases/mpkFractions/proteomic_fractions_linear_files/Yang_linear_img/255683413.jpg","show blot")</f>
        <v>show blot</v>
      </c>
      <c r="J4434" s="5" t="s">
        <v>8666</v>
      </c>
      <c r="L4434" s="11">
        <v>3.4919355576082962</v>
      </c>
      <c r="N4434" s="12"/>
    </row>
    <row r="4435" spans="1:14" s="5" customFormat="1" ht="15" customHeight="1" x14ac:dyDescent="0.25">
      <c r="A4435" s="9" t="s">
        <v>8667</v>
      </c>
      <c r="C4435" s="9" t="str">
        <f>HYPERLINK("http://www.ncbi.nlm.nih.gov/protein/77627973","Mettl3")</f>
        <v>Mettl3</v>
      </c>
      <c r="D4435" s="10">
        <f t="shared" si="69"/>
        <v>3.428911173302823</v>
      </c>
      <c r="F4435" s="8" t="str">
        <f>HYPERLINK("https://esbl.nhlbi.nih.gov/Databases/mpkFractions/proteomic_fractions_log_files/Yang_log_img/77627973.jpg","show blot")</f>
        <v>show blot</v>
      </c>
      <c r="H4435" s="8" t="str">
        <f>HYPERLINK("https://esbl.nhlbi.nih.gov/Databases/mpkFractions/proteomic_fractions_linear_files/Yang_linear_img/77627973.jpg","show blot")</f>
        <v>show blot</v>
      </c>
      <c r="J4435" s="5" t="s">
        <v>8668</v>
      </c>
      <c r="L4435" s="11">
        <v>3.428911173302823</v>
      </c>
      <c r="N4435" s="12"/>
    </row>
    <row r="4436" spans="1:14" s="5" customFormat="1" ht="15" customHeight="1" x14ac:dyDescent="0.25">
      <c r="A4436" s="9" t="s">
        <v>8669</v>
      </c>
      <c r="C4436" s="9" t="str">
        <f>HYPERLINK("http://www.ncbi.nlm.nih.gov/protein/33563290","Mettl7a1")</f>
        <v>Mettl7a1</v>
      </c>
      <c r="D4436" s="10">
        <f t="shared" si="69"/>
        <v>5.3499809809748768</v>
      </c>
      <c r="F4436" s="8" t="str">
        <f>HYPERLINK("https://esbl.nhlbi.nih.gov/Databases/mpkFractions/proteomic_fractions_log_files/Yang_log_img/33563290.jpg","show blot")</f>
        <v>show blot</v>
      </c>
      <c r="H4436" s="8" t="str">
        <f>HYPERLINK("https://esbl.nhlbi.nih.gov/Databases/mpkFractions/proteomic_fractions_linear_files/Yang_linear_img/33563290.jpg","show blot")</f>
        <v>show blot</v>
      </c>
      <c r="J4436" s="5" t="s">
        <v>8670</v>
      </c>
      <c r="L4436" s="11">
        <v>5.3499809809748768</v>
      </c>
      <c r="N4436" s="12"/>
    </row>
    <row r="4437" spans="1:14" s="5" customFormat="1" ht="15" customHeight="1" x14ac:dyDescent="0.25">
      <c r="A4437" s="9" t="s">
        <v>8671</v>
      </c>
      <c r="C4437" s="9" t="str">
        <f>HYPERLINK("http://www.ncbi.nlm.nih.gov/protein/61098178","Mettl7a2")</f>
        <v>Mettl7a2</v>
      </c>
      <c r="D4437" s="10">
        <f t="shared" si="69"/>
        <v>5.2970360583129086</v>
      </c>
      <c r="F4437" s="8" t="str">
        <f>HYPERLINK("https://esbl.nhlbi.nih.gov/Databases/mpkFractions/proteomic_fractions_log_files/Yang_log_img/61098178.jpg","show blot")</f>
        <v>show blot</v>
      </c>
      <c r="H4437" s="8" t="str">
        <f>HYPERLINK("https://esbl.nhlbi.nih.gov/Databases/mpkFractions/proteomic_fractions_linear_files/Yang_linear_img/61098178.jpg","show blot")</f>
        <v>show blot</v>
      </c>
      <c r="J4437" s="5" t="s">
        <v>8672</v>
      </c>
      <c r="L4437" s="11">
        <v>5.2970360583129086</v>
      </c>
      <c r="N4437" s="12"/>
    </row>
    <row r="4438" spans="1:14" s="5" customFormat="1" ht="15" customHeight="1" x14ac:dyDescent="0.25">
      <c r="A4438" s="9" t="s">
        <v>8673</v>
      </c>
      <c r="C4438" s="9" t="str">
        <f>HYPERLINK("http://www.ncbi.nlm.nih.gov/protein/67003561","Mettl7a2Higd1c")</f>
        <v>Mettl7a2Higd1c</v>
      </c>
      <c r="D4438" s="10">
        <f t="shared" si="69"/>
        <v>5.2670728349354654</v>
      </c>
      <c r="F4438" s="8" t="str">
        <f>HYPERLINK("https://esbl.nhlbi.nih.gov/Databases/mpkFractions/proteomic_fractions_log_files/Yang_log_img/67003561.jpg","show blot")</f>
        <v>show blot</v>
      </c>
      <c r="H4438" s="8" t="str">
        <f>HYPERLINK("https://esbl.nhlbi.nih.gov/Databases/mpkFractions/proteomic_fractions_linear_files/Yang_linear_img/67003561.jpg","show blot")</f>
        <v>show blot</v>
      </c>
      <c r="J4438" s="5" t="s">
        <v>8674</v>
      </c>
      <c r="L4438" s="11">
        <v>5.2670728349354654</v>
      </c>
      <c r="N4438" s="12"/>
    </row>
    <row r="4439" spans="1:14" s="5" customFormat="1" ht="15" customHeight="1" x14ac:dyDescent="0.25">
      <c r="A4439" s="9" t="s">
        <v>8675</v>
      </c>
      <c r="C4439" s="9" t="str">
        <f>HYPERLINK("http://www.ncbi.nlm.nih.gov/protein/125490373","Mettl7a3")</f>
        <v>Mettl7a3</v>
      </c>
      <c r="D4439" s="10">
        <f t="shared" si="69"/>
        <v>4.9825760981092007</v>
      </c>
      <c r="F4439" s="8" t="str">
        <f>HYPERLINK("https://esbl.nhlbi.nih.gov/Databases/mpkFractions/proteomic_fractions_log_files/Yang_log_img/125490373.jpg","show blot")</f>
        <v>show blot</v>
      </c>
      <c r="H4439" s="8" t="str">
        <f>HYPERLINK("https://esbl.nhlbi.nih.gov/Databases/mpkFractions/proteomic_fractions_linear_files/Yang_linear_img/125490373.jpg","show blot")</f>
        <v>show blot</v>
      </c>
      <c r="J4439" s="5" t="s">
        <v>8676</v>
      </c>
      <c r="L4439" s="11">
        <v>4.9825760981092007</v>
      </c>
      <c r="N4439" s="12"/>
    </row>
    <row r="4440" spans="1:14" s="5" customFormat="1" ht="15" customHeight="1" x14ac:dyDescent="0.25">
      <c r="A4440" s="9" t="s">
        <v>8677</v>
      </c>
      <c r="C4440" s="9" t="str">
        <f>HYPERLINK("http://www.ncbi.nlm.nih.gov/protein/34328259","Mettl9")</f>
        <v>Mettl9</v>
      </c>
      <c r="D4440" s="10">
        <f t="shared" si="69"/>
        <v>2.9677524690592412</v>
      </c>
      <c r="F4440" s="8" t="str">
        <f>HYPERLINK("https://esbl.nhlbi.nih.gov/Databases/mpkFractions/proteomic_fractions_log_files/Yang_log_img/34328259.jpg","show blot")</f>
        <v>show blot</v>
      </c>
      <c r="H4440" s="8" t="str">
        <f>HYPERLINK("https://esbl.nhlbi.nih.gov/Databases/mpkFractions/proteomic_fractions_linear_files/Yang_linear_img/34328259.jpg","show blot")</f>
        <v>show blot</v>
      </c>
      <c r="J4440" s="5" t="s">
        <v>8678</v>
      </c>
      <c r="L4440" s="11">
        <v>2.9677524690592412</v>
      </c>
      <c r="N4440" s="12"/>
    </row>
    <row r="4441" spans="1:14" s="5" customFormat="1" ht="15" customHeight="1" x14ac:dyDescent="0.25">
      <c r="A4441" s="9" t="s">
        <v>8679</v>
      </c>
      <c r="C4441" s="9" t="str">
        <f>HYPERLINK("http://www.ncbi.nlm.nih.gov/protein/126517472","Mfap1b")</f>
        <v>Mfap1b</v>
      </c>
      <c r="D4441" s="10">
        <f t="shared" si="69"/>
        <v>2.0536050919342341</v>
      </c>
      <c r="F4441" s="8" t="str">
        <f>HYPERLINK("https://esbl.nhlbi.nih.gov/Databases/mpkFractions/proteomic_fractions_log_files/Yang_log_img/126517472.jpg","show blot")</f>
        <v>show blot</v>
      </c>
      <c r="H4441" s="8" t="str">
        <f>HYPERLINK("https://esbl.nhlbi.nih.gov/Databases/mpkFractions/proteomic_fractions_linear_files/Yang_linear_img/126517472.jpg","show blot")</f>
        <v>show blot</v>
      </c>
      <c r="J4441" s="5" t="s">
        <v>8680</v>
      </c>
      <c r="L4441" s="11">
        <v>2.0536050919342341</v>
      </c>
      <c r="N4441" s="12"/>
    </row>
    <row r="4442" spans="1:14" s="5" customFormat="1" ht="15" customHeight="1" x14ac:dyDescent="0.25">
      <c r="A4442" s="9" t="s">
        <v>8681</v>
      </c>
      <c r="C4442" s="9" t="str">
        <f>HYPERLINK("http://www.ncbi.nlm.nih.gov/protein/113865977","Mfge8")</f>
        <v>Mfge8</v>
      </c>
      <c r="D4442" s="10">
        <f t="shared" si="69"/>
        <v>5.6433588102865517</v>
      </c>
      <c r="F4442" s="8" t="str">
        <f>HYPERLINK("https://esbl.nhlbi.nih.gov/Databases/mpkFractions/proteomic_fractions_log_files/Yang_log_img/113865977.jpg","show blot")</f>
        <v>show blot</v>
      </c>
      <c r="H4442" s="8" t="str">
        <f>HYPERLINK("https://esbl.nhlbi.nih.gov/Databases/mpkFractions/proteomic_fractions_linear_files/Yang_linear_img/113865977.jpg","show blot")</f>
        <v>show blot</v>
      </c>
      <c r="J4442" s="5" t="s">
        <v>8682</v>
      </c>
      <c r="L4442" s="11">
        <v>5.6433588102865517</v>
      </c>
      <c r="N4442" s="12"/>
    </row>
    <row r="4443" spans="1:14" s="5" customFormat="1" ht="15" customHeight="1" x14ac:dyDescent="0.25">
      <c r="A4443" s="9" t="s">
        <v>8683</v>
      </c>
      <c r="C4443" s="9" t="str">
        <f>HYPERLINK("http://www.ncbi.nlm.nih.gov/protein/113865979","Mfge8")</f>
        <v>Mfge8</v>
      </c>
      <c r="D4443" s="10">
        <f t="shared" si="69"/>
        <v>5.6433588102865517</v>
      </c>
      <c r="F4443" s="8" t="str">
        <f>HYPERLINK("https://esbl.nhlbi.nih.gov/Databases/mpkFractions/proteomic_fractions_log_files/Yang_log_img/113865979.jpg","show blot")</f>
        <v>show blot</v>
      </c>
      <c r="H4443" s="8" t="str">
        <f>HYPERLINK("https://esbl.nhlbi.nih.gov/Databases/mpkFractions/proteomic_fractions_linear_files/Yang_linear_img/113865979.jpg","show blot")</f>
        <v>show blot</v>
      </c>
      <c r="J4443" s="5" t="s">
        <v>8684</v>
      </c>
      <c r="L4443" s="11">
        <v>5.6433588102865517</v>
      </c>
      <c r="N4443" s="12"/>
    </row>
    <row r="4444" spans="1:14" s="5" customFormat="1" ht="15" customHeight="1" x14ac:dyDescent="0.25">
      <c r="A4444" s="9" t="s">
        <v>8685</v>
      </c>
      <c r="C4444" s="9" t="str">
        <f>HYPERLINK("http://www.ncbi.nlm.nih.gov/protein/124486881","Mfhas1")</f>
        <v>Mfhas1</v>
      </c>
      <c r="D4444" s="10">
        <f t="shared" si="69"/>
        <v>5.1393656480374554</v>
      </c>
      <c r="F4444" s="8" t="str">
        <f>HYPERLINK("https://esbl.nhlbi.nih.gov/Databases/mpkFractions/proteomic_fractions_log_files/Yang_log_img/124486881.jpg","show blot")</f>
        <v>show blot</v>
      </c>
      <c r="H4444" s="8" t="str">
        <f>HYPERLINK("https://esbl.nhlbi.nih.gov/Databases/mpkFractions/proteomic_fractions_linear_files/Yang_linear_img/124486881.jpg","show blot")</f>
        <v>show blot</v>
      </c>
      <c r="J4444" s="5" t="s">
        <v>8686</v>
      </c>
      <c r="L4444" s="11">
        <v>5.1393656480374554</v>
      </c>
      <c r="N4444" s="12"/>
    </row>
    <row r="4445" spans="1:14" s="5" customFormat="1" ht="15" customHeight="1" x14ac:dyDescent="0.25">
      <c r="A4445" s="9" t="s">
        <v>8687</v>
      </c>
      <c r="C4445" s="9" t="str">
        <f>HYPERLINK("http://www.ncbi.nlm.nih.gov/protein/244793488","Mfn1")</f>
        <v>Mfn1</v>
      </c>
      <c r="D4445" s="10">
        <f t="shared" si="69"/>
        <v>4.1779170739383096</v>
      </c>
      <c r="F4445" s="8" t="str">
        <f>HYPERLINK("https://esbl.nhlbi.nih.gov/Databases/mpkFractions/proteomic_fractions_log_files/Yang_log_img/244793488.jpg","show blot")</f>
        <v>show blot</v>
      </c>
      <c r="H4445" s="8" t="str">
        <f>HYPERLINK("https://esbl.nhlbi.nih.gov/Databases/mpkFractions/proteomic_fractions_linear_files/Yang_linear_img/244793488.jpg","show blot")</f>
        <v>show blot</v>
      </c>
      <c r="J4445" s="5" t="s">
        <v>8688</v>
      </c>
      <c r="L4445" s="11">
        <v>4.1779170739383096</v>
      </c>
      <c r="N4445" s="12"/>
    </row>
    <row r="4446" spans="1:14" s="5" customFormat="1" ht="15" customHeight="1" x14ac:dyDescent="0.25">
      <c r="A4446" s="9" t="s">
        <v>8689</v>
      </c>
      <c r="C4446" s="9" t="str">
        <f>HYPERLINK("http://www.ncbi.nlm.nih.gov/protein/21313266","Mfsd1")</f>
        <v>Mfsd1</v>
      </c>
      <c r="D4446" s="10">
        <f t="shared" si="69"/>
        <v>4.3231419287270221</v>
      </c>
      <c r="F4446" s="8" t="str">
        <f>HYPERLINK("https://esbl.nhlbi.nih.gov/Databases/mpkFractions/proteomic_fractions_log_files/Yang_log_img/21313266.jpg","show blot")</f>
        <v>show blot</v>
      </c>
      <c r="H4446" s="8" t="str">
        <f>HYPERLINK("https://esbl.nhlbi.nih.gov/Databases/mpkFractions/proteomic_fractions_linear_files/Yang_linear_img/21313266.jpg","show blot")</f>
        <v>show blot</v>
      </c>
      <c r="J4446" s="5" t="s">
        <v>8690</v>
      </c>
      <c r="L4446" s="11">
        <v>4.3231419287270221</v>
      </c>
      <c r="N4446" s="12"/>
    </row>
    <row r="4447" spans="1:14" s="5" customFormat="1" ht="15" customHeight="1" x14ac:dyDescent="0.25">
      <c r="A4447" s="9" t="s">
        <v>8691</v>
      </c>
      <c r="C4447" s="9" t="str">
        <f>HYPERLINK("http://www.ncbi.nlm.nih.gov/protein/13386144","Mfsd10")</f>
        <v>Mfsd10</v>
      </c>
      <c r="D4447" s="10">
        <f t="shared" si="69"/>
        <v>4.6047989778725826</v>
      </c>
      <c r="F4447" s="8" t="str">
        <f>HYPERLINK("https://esbl.nhlbi.nih.gov/Databases/mpkFractions/proteomic_fractions_log_files/Yang_log_img/13386144.jpg","show blot")</f>
        <v>show blot</v>
      </c>
      <c r="H4447" s="8" t="str">
        <f>HYPERLINK("https://esbl.nhlbi.nih.gov/Databases/mpkFractions/proteomic_fractions_linear_files/Yang_linear_img/13386144.jpg","show blot")</f>
        <v>show blot</v>
      </c>
      <c r="J4447" s="5" t="s">
        <v>8692</v>
      </c>
      <c r="L4447" s="11">
        <v>4.6047989778725826</v>
      </c>
      <c r="N4447" s="12"/>
    </row>
    <row r="4448" spans="1:14" s="5" customFormat="1" ht="15" customHeight="1" x14ac:dyDescent="0.25">
      <c r="A4448" s="9" t="s">
        <v>8693</v>
      </c>
      <c r="C4448" s="9" t="str">
        <f>HYPERLINK("http://www.ncbi.nlm.nih.gov/protein/148540196","Mfsd12")</f>
        <v>Mfsd12</v>
      </c>
      <c r="D4448" s="10">
        <f t="shared" si="69"/>
        <v>1.8989610813203639</v>
      </c>
      <c r="F4448" s="8" t="str">
        <f>HYPERLINK("https://esbl.nhlbi.nih.gov/Databases/mpkFractions/proteomic_fractions_log_files/Yang_log_img/148540196.jpg","show blot")</f>
        <v>show blot</v>
      </c>
      <c r="H4448" s="8" t="str">
        <f>HYPERLINK("https://esbl.nhlbi.nih.gov/Databases/mpkFractions/proteomic_fractions_linear_files/Yang_linear_img/148540196.jpg","show blot")</f>
        <v>show blot</v>
      </c>
      <c r="J4448" s="5" t="s">
        <v>8694</v>
      </c>
      <c r="L4448" s="11">
        <v>1.8989610813203639</v>
      </c>
      <c r="N4448" s="12"/>
    </row>
    <row r="4449" spans="1:14" s="5" customFormat="1" ht="15" customHeight="1" x14ac:dyDescent="0.25">
      <c r="A4449" s="9" t="s">
        <v>8695</v>
      </c>
      <c r="C4449" s="9" t="str">
        <f>HYPERLINK("http://www.ncbi.nlm.nih.gov/protein/19527330","Mfsd5")</f>
        <v>Mfsd5</v>
      </c>
      <c r="D4449" s="10">
        <f t="shared" si="69"/>
        <v>3.100834459273849</v>
      </c>
      <c r="F4449" s="8" t="str">
        <f>HYPERLINK("https://esbl.nhlbi.nih.gov/Databases/mpkFractions/proteomic_fractions_log_files/Yang_log_img/19527330.jpg","show blot")</f>
        <v>show blot</v>
      </c>
      <c r="H4449" s="8" t="str">
        <f>HYPERLINK("https://esbl.nhlbi.nih.gov/Databases/mpkFractions/proteomic_fractions_linear_files/Yang_linear_img/19527330.jpg","show blot")</f>
        <v>show blot</v>
      </c>
      <c r="J4449" s="5" t="s">
        <v>8696</v>
      </c>
      <c r="L4449" s="11">
        <v>3.100834459273849</v>
      </c>
      <c r="N4449" s="12"/>
    </row>
    <row r="4450" spans="1:14" s="5" customFormat="1" ht="15" customHeight="1" x14ac:dyDescent="0.25">
      <c r="A4450" s="9" t="s">
        <v>8697</v>
      </c>
      <c r="C4450" s="9" t="str">
        <f>HYPERLINK("http://www.ncbi.nlm.nih.gov/protein/160707919","Mfsd6")</f>
        <v>Mfsd6</v>
      </c>
      <c r="D4450" s="10">
        <f t="shared" si="69"/>
        <v>2.8044369341857749</v>
      </c>
      <c r="F4450" s="8" t="str">
        <f>HYPERLINK("https://esbl.nhlbi.nih.gov/Databases/mpkFractions/proteomic_fractions_log_files/Yang_log_img/160707919.jpg","show blot")</f>
        <v>show blot</v>
      </c>
      <c r="H4450" s="8" t="str">
        <f>HYPERLINK("https://esbl.nhlbi.nih.gov/Databases/mpkFractions/proteomic_fractions_linear_files/Yang_linear_img/160707919.jpg","show blot")</f>
        <v>show blot</v>
      </c>
      <c r="J4450" s="5" t="s">
        <v>8698</v>
      </c>
      <c r="L4450" s="11">
        <v>2.8044369341857749</v>
      </c>
      <c r="N4450" s="12"/>
    </row>
    <row r="4451" spans="1:14" s="5" customFormat="1" ht="15" customHeight="1" x14ac:dyDescent="0.25">
      <c r="A4451" s="9" t="s">
        <v>8699</v>
      </c>
      <c r="C4451" s="9" t="str">
        <f>HYPERLINK("http://www.ncbi.nlm.nih.gov/protein/31541926","Mfsd8")</f>
        <v>Mfsd8</v>
      </c>
      <c r="D4451" s="10">
        <f t="shared" si="69"/>
        <v>2.9414397175484832</v>
      </c>
      <c r="F4451" s="8" t="str">
        <f>HYPERLINK("https://esbl.nhlbi.nih.gov/Databases/mpkFractions/proteomic_fractions_log_files/Yang_log_img/31541926.jpg","show blot")</f>
        <v>show blot</v>
      </c>
      <c r="H4451" s="8" t="str">
        <f>HYPERLINK("https://esbl.nhlbi.nih.gov/Databases/mpkFractions/proteomic_fractions_linear_files/Yang_linear_img/31541926.jpg","show blot")</f>
        <v>show blot</v>
      </c>
      <c r="J4451" s="5" t="s">
        <v>8700</v>
      </c>
      <c r="L4451" s="11">
        <v>2.9414397175484832</v>
      </c>
      <c r="N4451" s="12"/>
    </row>
    <row r="4452" spans="1:14" s="5" customFormat="1" ht="15" customHeight="1" x14ac:dyDescent="0.25">
      <c r="A4452" s="9" t="s">
        <v>8701</v>
      </c>
      <c r="C4452" s="9" t="str">
        <f>HYPERLINK("http://www.ncbi.nlm.nih.gov/protein/158711696","Mgat1")</f>
        <v>Mgat1</v>
      </c>
      <c r="D4452" s="10">
        <f t="shared" si="69"/>
        <v>3.2426661587920229</v>
      </c>
      <c r="F4452" s="8" t="str">
        <f>HYPERLINK("https://esbl.nhlbi.nih.gov/Databases/mpkFractions/proteomic_fractions_log_files/Yang_log_img/158711696.jpg","show blot")</f>
        <v>show blot</v>
      </c>
      <c r="H4452" s="8" t="str">
        <f>HYPERLINK("https://esbl.nhlbi.nih.gov/Databases/mpkFractions/proteomic_fractions_linear_files/Yang_linear_img/158711696.jpg","show blot")</f>
        <v>show blot</v>
      </c>
      <c r="J4452" s="5" t="s">
        <v>8702</v>
      </c>
      <c r="L4452" s="11">
        <v>3.2426661587920229</v>
      </c>
      <c r="N4452" s="12"/>
    </row>
    <row r="4453" spans="1:14" s="5" customFormat="1" ht="15" customHeight="1" x14ac:dyDescent="0.25">
      <c r="A4453" s="9" t="s">
        <v>8703</v>
      </c>
      <c r="C4453" s="9" t="str">
        <f>HYPERLINK("http://www.ncbi.nlm.nih.gov/protein/22122521","Mgat2")</f>
        <v>Mgat2</v>
      </c>
      <c r="D4453" s="10">
        <f t="shared" si="69"/>
        <v>3.7753196655858892</v>
      </c>
      <c r="F4453" s="8" t="str">
        <f>HYPERLINK("https://esbl.nhlbi.nih.gov/Databases/mpkFractions/proteomic_fractions_log_files/Yang_log_img/22122521.jpg","show blot")</f>
        <v>show blot</v>
      </c>
      <c r="H4453" s="8" t="str">
        <f>HYPERLINK("https://esbl.nhlbi.nih.gov/Databases/mpkFractions/proteomic_fractions_linear_files/Yang_linear_img/22122521.jpg","show blot")</f>
        <v>show blot</v>
      </c>
      <c r="J4453" s="5" t="s">
        <v>8704</v>
      </c>
      <c r="L4453" s="11">
        <v>3.7753196655858892</v>
      </c>
      <c r="N4453" s="12"/>
    </row>
    <row r="4454" spans="1:14" s="5" customFormat="1" ht="15" customHeight="1" x14ac:dyDescent="0.25">
      <c r="A4454" s="9" t="s">
        <v>8705</v>
      </c>
      <c r="C4454" s="9" t="str">
        <f>HYPERLINK("http://www.ncbi.nlm.nih.gov/protein/253683470","Mgat4b")</f>
        <v>Mgat4b</v>
      </c>
      <c r="D4454" s="10">
        <f t="shared" si="69"/>
        <v>2.2946847803255079</v>
      </c>
      <c r="F4454" s="8" t="str">
        <f>HYPERLINK("https://esbl.nhlbi.nih.gov/Databases/mpkFractions/proteomic_fractions_log_files/Yang_log_img/253683470.jpg","show blot")</f>
        <v>show blot</v>
      </c>
      <c r="H4454" s="8" t="str">
        <f>HYPERLINK("https://esbl.nhlbi.nih.gov/Databases/mpkFractions/proteomic_fractions_linear_files/Yang_linear_img/253683470.jpg","show blot")</f>
        <v>show blot</v>
      </c>
      <c r="J4454" s="5" t="s">
        <v>8706</v>
      </c>
      <c r="L4454" s="11">
        <v>2.2946847803255079</v>
      </c>
      <c r="N4454" s="12"/>
    </row>
    <row r="4455" spans="1:14" s="5" customFormat="1" ht="15" customHeight="1" x14ac:dyDescent="0.25">
      <c r="A4455" s="9" t="s">
        <v>8707</v>
      </c>
      <c r="C4455" s="9" t="str">
        <f>HYPERLINK("http://www.ncbi.nlm.nih.gov/protein/326633239","Mgat4c")</f>
        <v>Mgat4c</v>
      </c>
      <c r="D4455" s="10">
        <f t="shared" si="69"/>
        <v>3.4125235449614748</v>
      </c>
      <c r="F4455" s="8" t="str">
        <f>HYPERLINK("https://esbl.nhlbi.nih.gov/Databases/mpkFractions/proteomic_fractions_log_files/Yang_log_img/326633239.jpg","show blot")</f>
        <v>show blot</v>
      </c>
      <c r="H4455" s="8" t="str">
        <f>HYPERLINK("https://esbl.nhlbi.nih.gov/Databases/mpkFractions/proteomic_fractions_linear_files/Yang_linear_img/326633239.jpg","show blot")</f>
        <v>show blot</v>
      </c>
      <c r="J4455" s="5" t="s">
        <v>8708</v>
      </c>
      <c r="L4455" s="11">
        <v>3.4125235449614748</v>
      </c>
      <c r="N4455" s="12"/>
    </row>
    <row r="4456" spans="1:14" s="5" customFormat="1" ht="15" customHeight="1" x14ac:dyDescent="0.25">
      <c r="A4456" s="9" t="s">
        <v>8709</v>
      </c>
      <c r="C4456" s="9" t="str">
        <f>HYPERLINK("http://www.ncbi.nlm.nih.gov/protein/15011884","Mgea5")</f>
        <v>Mgea5</v>
      </c>
      <c r="D4456" s="10">
        <f t="shared" si="69"/>
        <v>4.9180650765781664</v>
      </c>
      <c r="F4456" s="8" t="str">
        <f>HYPERLINK("https://esbl.nhlbi.nih.gov/Databases/mpkFractions/proteomic_fractions_log_files/Yang_log_img/15011884.jpg","show blot")</f>
        <v>show blot</v>
      </c>
      <c r="H4456" s="8" t="str">
        <f>HYPERLINK("https://esbl.nhlbi.nih.gov/Databases/mpkFractions/proteomic_fractions_linear_files/Yang_linear_img/15011884.jpg","show blot")</f>
        <v>show blot</v>
      </c>
      <c r="J4456" s="5" t="s">
        <v>8710</v>
      </c>
      <c r="L4456" s="11">
        <v>4.9180650765781664</v>
      </c>
      <c r="N4456" s="12"/>
    </row>
    <row r="4457" spans="1:14" s="5" customFormat="1" ht="15" customHeight="1" x14ac:dyDescent="0.25">
      <c r="A4457" s="9" t="s">
        <v>8711</v>
      </c>
      <c r="C4457" s="9" t="str">
        <f>HYPERLINK("http://www.ncbi.nlm.nih.gov/protein/21312780","Mgme1")</f>
        <v>Mgme1</v>
      </c>
      <c r="D4457" s="10">
        <f t="shared" si="69"/>
        <v>3.4574652356167008</v>
      </c>
      <c r="F4457" s="8" t="str">
        <f>HYPERLINK("https://esbl.nhlbi.nih.gov/Databases/mpkFractions/proteomic_fractions_log_files/Yang_log_img/21312780.jpg","show blot")</f>
        <v>show blot</v>
      </c>
      <c r="H4457" s="8" t="str">
        <f>HYPERLINK("https://esbl.nhlbi.nih.gov/Databases/mpkFractions/proteomic_fractions_linear_files/Yang_linear_img/21312780.jpg","show blot")</f>
        <v>show blot</v>
      </c>
      <c r="J4457" s="5" t="s">
        <v>8712</v>
      </c>
      <c r="L4457" s="11">
        <v>3.4574652356167008</v>
      </c>
      <c r="N4457" s="12"/>
    </row>
    <row r="4458" spans="1:14" s="5" customFormat="1" ht="15" customHeight="1" x14ac:dyDescent="0.25">
      <c r="A4458" s="9" t="s">
        <v>8713</v>
      </c>
      <c r="C4458" s="9" t="str">
        <f>HYPERLINK("http://www.ncbi.nlm.nih.gov/protein/27229238","Mgrn1")</f>
        <v>Mgrn1</v>
      </c>
      <c r="D4458" s="10">
        <f t="shared" si="69"/>
        <v>3.8649066731978499</v>
      </c>
      <c r="F4458" s="8" t="str">
        <f>HYPERLINK("https://esbl.nhlbi.nih.gov/Databases/mpkFractions/proteomic_fractions_log_files/Yang_log_img/27229238.jpg","show blot")</f>
        <v>show blot</v>
      </c>
      <c r="H4458" s="8" t="str">
        <f>HYPERLINK("https://esbl.nhlbi.nih.gov/Databases/mpkFractions/proteomic_fractions_linear_files/Yang_linear_img/27229238.jpg","show blot")</f>
        <v>show blot</v>
      </c>
      <c r="J4458" s="5" t="s">
        <v>8714</v>
      </c>
      <c r="L4458" s="11">
        <v>3.8649066731978499</v>
      </c>
      <c r="N4458" s="12"/>
    </row>
    <row r="4459" spans="1:14" s="5" customFormat="1" ht="15" customHeight="1" x14ac:dyDescent="0.25">
      <c r="A4459" s="9" t="s">
        <v>8715</v>
      </c>
      <c r="C4459" s="9" t="str">
        <f>HYPERLINK("http://www.ncbi.nlm.nih.gov/protein/356995926","Mgrn1")</f>
        <v>Mgrn1</v>
      </c>
      <c r="D4459" s="10">
        <f t="shared" si="69"/>
        <v>3.8649066731978499</v>
      </c>
      <c r="F4459" s="8" t="str">
        <f>HYPERLINK("https://esbl.nhlbi.nih.gov/Databases/mpkFractions/proteomic_fractions_log_files/Yang_log_img/356995926.jpg","show blot")</f>
        <v>show blot</v>
      </c>
      <c r="H4459" s="8" t="str">
        <f>HYPERLINK("https://esbl.nhlbi.nih.gov/Databases/mpkFractions/proteomic_fractions_linear_files/Yang_linear_img/356995926.jpg","show blot")</f>
        <v>show blot</v>
      </c>
      <c r="J4459" s="5" t="s">
        <v>8716</v>
      </c>
      <c r="L4459" s="11">
        <v>3.8649066731978499</v>
      </c>
      <c r="N4459" s="12"/>
    </row>
    <row r="4460" spans="1:14" s="5" customFormat="1" ht="15" customHeight="1" x14ac:dyDescent="0.25">
      <c r="A4460" s="9" t="s">
        <v>8717</v>
      </c>
      <c r="C4460" s="9" t="str">
        <f>HYPERLINK("http://www.ncbi.nlm.nih.gov/protein/31981068","Mgst1")</f>
        <v>Mgst1</v>
      </c>
      <c r="D4460" s="10">
        <f t="shared" si="69"/>
        <v>5.3896730419143539</v>
      </c>
      <c r="F4460" s="8" t="str">
        <f>HYPERLINK("https://esbl.nhlbi.nih.gov/Databases/mpkFractions/proteomic_fractions_log_files/Yang_log_img/31981068.jpg","show blot")</f>
        <v>show blot</v>
      </c>
      <c r="H4460" s="8" t="str">
        <f>HYPERLINK("https://esbl.nhlbi.nih.gov/Databases/mpkFractions/proteomic_fractions_linear_files/Yang_linear_img/31981068.jpg","show blot")</f>
        <v>show blot</v>
      </c>
      <c r="J4460" s="5" t="s">
        <v>8718</v>
      </c>
      <c r="L4460" s="11">
        <v>5.3896730419143539</v>
      </c>
      <c r="N4460" s="12"/>
    </row>
    <row r="4461" spans="1:14" s="5" customFormat="1" ht="15" customHeight="1" x14ac:dyDescent="0.25">
      <c r="A4461" s="9" t="s">
        <v>8719</v>
      </c>
      <c r="C4461" s="9" t="str">
        <f>HYPERLINK("http://www.ncbi.nlm.nih.gov/protein/13385010","Mgst3")</f>
        <v>Mgst3</v>
      </c>
      <c r="D4461" s="10">
        <f t="shared" si="69"/>
        <v>5.127457110320023</v>
      </c>
      <c r="F4461" s="8" t="str">
        <f>HYPERLINK("https://esbl.nhlbi.nih.gov/Databases/mpkFractions/proteomic_fractions_log_files/Yang_log_img/13385010.jpg","show blot")</f>
        <v>show blot</v>
      </c>
      <c r="H4461" s="8" t="str">
        <f>HYPERLINK("https://esbl.nhlbi.nih.gov/Databases/mpkFractions/proteomic_fractions_linear_files/Yang_linear_img/13385010.jpg","show blot")</f>
        <v>show blot</v>
      </c>
      <c r="J4461" s="5" t="s">
        <v>8720</v>
      </c>
      <c r="L4461" s="11">
        <v>5.127457110320023</v>
      </c>
      <c r="N4461" s="12"/>
    </row>
    <row r="4462" spans="1:14" s="5" customFormat="1" ht="15" customHeight="1" x14ac:dyDescent="0.25">
      <c r="A4462" s="9" t="s">
        <v>8721</v>
      </c>
      <c r="C4462" s="9" t="str">
        <f>HYPERLINK("http://www.ncbi.nlm.nih.gov/protein/124001582","Mia3")</f>
        <v>Mia3</v>
      </c>
      <c r="D4462" s="10">
        <f t="shared" si="69"/>
        <v>2.6977402130608961</v>
      </c>
      <c r="F4462" s="8" t="str">
        <f>HYPERLINK("https://esbl.nhlbi.nih.gov/Databases/mpkFractions/proteomic_fractions_log_files/Yang_log_img/124001582.jpg","show blot")</f>
        <v>show blot</v>
      </c>
      <c r="H4462" s="8" t="str">
        <f>HYPERLINK("https://esbl.nhlbi.nih.gov/Databases/mpkFractions/proteomic_fractions_linear_files/Yang_linear_img/124001582.jpg","show blot")</f>
        <v>show blot</v>
      </c>
      <c r="J4462" s="5" t="s">
        <v>8722</v>
      </c>
      <c r="L4462" s="11">
        <v>2.6977402130608961</v>
      </c>
      <c r="N4462" s="12"/>
    </row>
    <row r="4463" spans="1:14" s="5" customFormat="1" ht="15" customHeight="1" x14ac:dyDescent="0.25">
      <c r="A4463" s="9" t="s">
        <v>8723</v>
      </c>
      <c r="C4463" s="9" t="str">
        <f>HYPERLINK("http://www.ncbi.nlm.nih.gov/protein/32189428","Mib1")</f>
        <v>Mib1</v>
      </c>
      <c r="D4463" s="10">
        <f t="shared" si="69"/>
        <v>3.889633160490273</v>
      </c>
      <c r="F4463" s="8" t="str">
        <f>HYPERLINK("https://esbl.nhlbi.nih.gov/Databases/mpkFractions/proteomic_fractions_log_files/Yang_log_img/32189428.jpg","show blot")</f>
        <v>show blot</v>
      </c>
      <c r="H4463" s="8" t="str">
        <f>HYPERLINK("https://esbl.nhlbi.nih.gov/Databases/mpkFractions/proteomic_fractions_linear_files/Yang_linear_img/32189428.jpg","show blot")</f>
        <v>show blot</v>
      </c>
      <c r="J4463" s="5" t="s">
        <v>8724</v>
      </c>
      <c r="L4463" s="11">
        <v>3.889633160490273</v>
      </c>
      <c r="N4463" s="12"/>
    </row>
    <row r="4464" spans="1:14" s="5" customFormat="1" ht="15" customHeight="1" x14ac:dyDescent="0.25">
      <c r="A4464" s="9" t="s">
        <v>8725</v>
      </c>
      <c r="C4464" s="9" t="str">
        <f>HYPERLINK("http://www.ncbi.nlm.nih.gov/protein/170932490","Mical3")</f>
        <v>Mical3</v>
      </c>
      <c r="D4464" s="10">
        <f t="shared" si="69"/>
        <v>3.734699813132349</v>
      </c>
      <c r="F4464" s="8" t="str">
        <f>HYPERLINK("https://esbl.nhlbi.nih.gov/Databases/mpkFractions/proteomic_fractions_log_files/Yang_log_img/170932490.jpg","show blot")</f>
        <v>show blot</v>
      </c>
      <c r="H4464" s="8" t="str">
        <f>HYPERLINK("https://esbl.nhlbi.nih.gov/Databases/mpkFractions/proteomic_fractions_linear_files/Yang_linear_img/170932490.jpg","show blot")</f>
        <v>show blot</v>
      </c>
      <c r="J4464" s="5" t="s">
        <v>8726</v>
      </c>
      <c r="L4464" s="11">
        <v>3.734699813132349</v>
      </c>
      <c r="N4464" s="12"/>
    </row>
    <row r="4465" spans="1:14" s="5" customFormat="1" ht="15" customHeight="1" x14ac:dyDescent="0.25">
      <c r="A4465" s="9" t="s">
        <v>8727</v>
      </c>
      <c r="C4465" s="9" t="str">
        <f>HYPERLINK("http://www.ncbi.nlm.nih.gov/protein/394582113","Mical3")</f>
        <v>Mical3</v>
      </c>
      <c r="D4465" s="10">
        <f t="shared" si="69"/>
        <v>3.734699813132349</v>
      </c>
      <c r="F4465" s="8" t="str">
        <f>HYPERLINK("https://esbl.nhlbi.nih.gov/Databases/mpkFractions/proteomic_fractions_log_files/Yang_log_img/394582113.jpg","show blot")</f>
        <v>show blot</v>
      </c>
      <c r="H4465" s="8" t="str">
        <f>HYPERLINK("https://esbl.nhlbi.nih.gov/Databases/mpkFractions/proteomic_fractions_linear_files/Yang_linear_img/394582113.jpg","show blot")</f>
        <v>show blot</v>
      </c>
      <c r="J4465" s="5" t="s">
        <v>8728</v>
      </c>
      <c r="L4465" s="11">
        <v>3.734699813132349</v>
      </c>
      <c r="N4465" s="12"/>
    </row>
    <row r="4466" spans="1:14" s="5" customFormat="1" ht="15" customHeight="1" x14ac:dyDescent="0.25">
      <c r="A4466" s="9" t="s">
        <v>8729</v>
      </c>
      <c r="C4466" s="9" t="str">
        <f>HYPERLINK("http://www.ncbi.nlm.nih.gov/protein/168229165","Micall1")</f>
        <v>Micall1</v>
      </c>
      <c r="D4466" s="10">
        <f t="shared" si="69"/>
        <v>2.8612303848308041</v>
      </c>
      <c r="F4466" s="8" t="str">
        <f>HYPERLINK("https://esbl.nhlbi.nih.gov/Databases/mpkFractions/proteomic_fractions_log_files/Yang_log_img/168229165.jpg","show blot")</f>
        <v>show blot</v>
      </c>
      <c r="H4466" s="8" t="str">
        <f>HYPERLINK("https://esbl.nhlbi.nih.gov/Databases/mpkFractions/proteomic_fractions_linear_files/Yang_linear_img/168229165.jpg","show blot")</f>
        <v>show blot</v>
      </c>
      <c r="J4466" s="5" t="s">
        <v>8730</v>
      </c>
      <c r="L4466" s="11">
        <v>2.8612303848308041</v>
      </c>
      <c r="N4466" s="12"/>
    </row>
    <row r="4467" spans="1:14" s="5" customFormat="1" ht="15" customHeight="1" x14ac:dyDescent="0.25">
      <c r="A4467" s="9" t="s">
        <v>8731</v>
      </c>
      <c r="C4467" s="9" t="str">
        <f>HYPERLINK("http://www.ncbi.nlm.nih.gov/protein/21450201","Micu1")</f>
        <v>Micu1</v>
      </c>
      <c r="D4467" s="10">
        <f t="shared" si="69"/>
        <v>3.9070658864743568</v>
      </c>
      <c r="F4467" s="8" t="str">
        <f>HYPERLINK("https://esbl.nhlbi.nih.gov/Databases/mpkFractions/proteomic_fractions_log_files/Yang_log_img/21450201.jpg","show blot")</f>
        <v>show blot</v>
      </c>
      <c r="H4467" s="8" t="str">
        <f>HYPERLINK("https://esbl.nhlbi.nih.gov/Databases/mpkFractions/proteomic_fractions_linear_files/Yang_linear_img/21450201.jpg","show blot")</f>
        <v>show blot</v>
      </c>
      <c r="J4467" s="5" t="s">
        <v>8732</v>
      </c>
      <c r="L4467" s="11">
        <v>3.9070658864743568</v>
      </c>
      <c r="N4467" s="12"/>
    </row>
    <row r="4468" spans="1:14" s="5" customFormat="1" ht="15" customHeight="1" x14ac:dyDescent="0.25">
      <c r="A4468" s="9" t="s">
        <v>8733</v>
      </c>
      <c r="C4468" s="9" t="str">
        <f>HYPERLINK("http://www.ncbi.nlm.nih.gov/protein/27477043","Micu2")</f>
        <v>Micu2</v>
      </c>
      <c r="D4468" s="10">
        <f t="shared" si="69"/>
        <v>4.5748272588414416</v>
      </c>
      <c r="F4468" s="8" t="str">
        <f>HYPERLINK("https://esbl.nhlbi.nih.gov/Databases/mpkFractions/proteomic_fractions_log_files/Yang_log_img/27477043.jpg","show blot")</f>
        <v>show blot</v>
      </c>
      <c r="H4468" s="8" t="str">
        <f>HYPERLINK("https://esbl.nhlbi.nih.gov/Databases/mpkFractions/proteomic_fractions_linear_files/Yang_linear_img/27477043.jpg","show blot")</f>
        <v>show blot</v>
      </c>
      <c r="J4468" s="5" t="s">
        <v>8734</v>
      </c>
      <c r="L4468" s="11">
        <v>4.5748272588414416</v>
      </c>
      <c r="N4468" s="12"/>
    </row>
    <row r="4469" spans="1:14" s="5" customFormat="1" ht="15" customHeight="1" x14ac:dyDescent="0.25">
      <c r="A4469" s="9" t="s">
        <v>8735</v>
      </c>
      <c r="C4469" s="9" t="str">
        <f>HYPERLINK("http://www.ncbi.nlm.nih.gov/protein/10947008","Midn")</f>
        <v>Midn</v>
      </c>
      <c r="D4469" s="10">
        <f t="shared" si="69"/>
        <v>4.8533214668300477</v>
      </c>
      <c r="F4469" s="8" t="str">
        <f>HYPERLINK("https://esbl.nhlbi.nih.gov/Databases/mpkFractions/proteomic_fractions_log_files/Yang_log_img/10947008.jpg","show blot")</f>
        <v>show blot</v>
      </c>
      <c r="H4469" s="8" t="str">
        <f>HYPERLINK("https://esbl.nhlbi.nih.gov/Databases/mpkFractions/proteomic_fractions_linear_files/Yang_linear_img/10947008.jpg","show blot")</f>
        <v>show blot</v>
      </c>
      <c r="J4469" s="5" t="s">
        <v>8736</v>
      </c>
      <c r="L4469" s="11">
        <v>4.8533214668300477</v>
      </c>
      <c r="N4469" s="12"/>
    </row>
    <row r="4470" spans="1:14" s="5" customFormat="1" ht="15" customHeight="1" x14ac:dyDescent="0.25">
      <c r="A4470" s="9" t="s">
        <v>8737</v>
      </c>
      <c r="C4470" s="9" t="str">
        <f>HYPERLINK("http://www.ncbi.nlm.nih.gov/protein/13384990","Mien1")</f>
        <v>Mien1</v>
      </c>
      <c r="D4470" s="10">
        <f t="shared" si="69"/>
        <v>4.8083034132304423</v>
      </c>
      <c r="F4470" s="8" t="str">
        <f>HYPERLINK("https://esbl.nhlbi.nih.gov/Databases/mpkFractions/proteomic_fractions_log_files/Yang_log_img/13384990.jpg","show blot")</f>
        <v>show blot</v>
      </c>
      <c r="H4470" s="8" t="str">
        <f>HYPERLINK("https://esbl.nhlbi.nih.gov/Databases/mpkFractions/proteomic_fractions_linear_files/Yang_linear_img/13384990.jpg","show blot")</f>
        <v>show blot</v>
      </c>
      <c r="J4470" s="5" t="s">
        <v>8738</v>
      </c>
      <c r="L4470" s="11">
        <v>4.8083034132304423</v>
      </c>
      <c r="N4470" s="12"/>
    </row>
    <row r="4471" spans="1:14" s="5" customFormat="1" ht="15" customHeight="1" x14ac:dyDescent="0.25">
      <c r="A4471" s="9" t="s">
        <v>8739</v>
      </c>
      <c r="C4471" s="9" t="str">
        <f>HYPERLINK("http://www.ncbi.nlm.nih.gov/protein/555290129","Mier1")</f>
        <v>Mier1</v>
      </c>
      <c r="D4471" s="10">
        <f t="shared" si="69"/>
        <v>3.6720086484818339</v>
      </c>
      <c r="F4471" s="8" t="str">
        <f>HYPERLINK("https://esbl.nhlbi.nih.gov/Databases/mpkFractions/proteomic_fractions_log_files/Yang_log_img/555290129.jpg","show blot")</f>
        <v>show blot</v>
      </c>
      <c r="H4471" s="8" t="str">
        <f>HYPERLINK("https://esbl.nhlbi.nih.gov/Databases/mpkFractions/proteomic_fractions_linear_files/Yang_linear_img/555290129.jpg","show blot")</f>
        <v>show blot</v>
      </c>
      <c r="J4471" s="5" t="s">
        <v>8740</v>
      </c>
      <c r="L4471" s="11">
        <v>3.6720086484818339</v>
      </c>
      <c r="N4471" s="12"/>
    </row>
    <row r="4472" spans="1:14" s="5" customFormat="1" ht="15" customHeight="1" x14ac:dyDescent="0.25">
      <c r="A4472" s="9" t="s">
        <v>8741</v>
      </c>
      <c r="C4472" s="9" t="str">
        <f>HYPERLINK("http://www.ncbi.nlm.nih.gov/protein/555290144","Mier1")</f>
        <v>Mier1</v>
      </c>
      <c r="D4472" s="10">
        <f t="shared" si="69"/>
        <v>3.6720086484818339</v>
      </c>
      <c r="F4472" s="8" t="str">
        <f>HYPERLINK("https://esbl.nhlbi.nih.gov/Databases/mpkFractions/proteomic_fractions_log_files/Yang_log_img/555290144.jpg","show blot")</f>
        <v>show blot</v>
      </c>
      <c r="H4472" s="8" t="str">
        <f>HYPERLINK("https://esbl.nhlbi.nih.gov/Databases/mpkFractions/proteomic_fractions_linear_files/Yang_linear_img/555290144.jpg","show blot")</f>
        <v>show blot</v>
      </c>
      <c r="J4472" s="5" t="s">
        <v>8742</v>
      </c>
      <c r="L4472" s="11">
        <v>3.6720086484818339</v>
      </c>
      <c r="N4472" s="12"/>
    </row>
    <row r="4473" spans="1:14" s="5" customFormat="1" ht="15" customHeight="1" x14ac:dyDescent="0.25">
      <c r="A4473" s="9" t="s">
        <v>8743</v>
      </c>
      <c r="C4473" s="9" t="str">
        <f>HYPERLINK("http://www.ncbi.nlm.nih.gov/protein/84872225","Mier1")</f>
        <v>Mier1</v>
      </c>
      <c r="D4473" s="10">
        <f t="shared" si="69"/>
        <v>3.6720086484818339</v>
      </c>
      <c r="F4473" s="8" t="str">
        <f>HYPERLINK("https://esbl.nhlbi.nih.gov/Databases/mpkFractions/proteomic_fractions_log_files/Yang_log_img/84872225.jpg","show blot")</f>
        <v>show blot</v>
      </c>
      <c r="H4473" s="8" t="str">
        <f>HYPERLINK("https://esbl.nhlbi.nih.gov/Databases/mpkFractions/proteomic_fractions_linear_files/Yang_linear_img/84872225.jpg","show blot")</f>
        <v>show blot</v>
      </c>
      <c r="J4473" s="5" t="s">
        <v>8744</v>
      </c>
      <c r="L4473" s="11">
        <v>3.6720086484818339</v>
      </c>
      <c r="N4473" s="12"/>
    </row>
    <row r="4474" spans="1:14" s="5" customFormat="1" ht="15" customHeight="1" x14ac:dyDescent="0.25">
      <c r="A4474" s="9" t="s">
        <v>8745</v>
      </c>
      <c r="C4474" s="9" t="str">
        <f>HYPERLINK("http://www.ncbi.nlm.nih.gov/protein/84872227","Mier1")</f>
        <v>Mier1</v>
      </c>
      <c r="D4474" s="10">
        <f t="shared" si="69"/>
        <v>3.6720086484818339</v>
      </c>
      <c r="F4474" s="8" t="str">
        <f>HYPERLINK("https://esbl.nhlbi.nih.gov/Databases/mpkFractions/proteomic_fractions_log_files/Yang_log_img/84872227.jpg","show blot")</f>
        <v>show blot</v>
      </c>
      <c r="H4474" s="8" t="str">
        <f>HYPERLINK("https://esbl.nhlbi.nih.gov/Databases/mpkFractions/proteomic_fractions_linear_files/Yang_linear_img/84872227.jpg","show blot")</f>
        <v>show blot</v>
      </c>
      <c r="J4474" s="5" t="s">
        <v>8746</v>
      </c>
      <c r="L4474" s="11">
        <v>3.6720086484818339</v>
      </c>
      <c r="N4474" s="12"/>
    </row>
    <row r="4475" spans="1:14" s="5" customFormat="1" ht="15" customHeight="1" x14ac:dyDescent="0.25">
      <c r="A4475" s="9" t="s">
        <v>8747</v>
      </c>
      <c r="C4475" s="9" t="str">
        <f>HYPERLINK("http://www.ncbi.nlm.nih.gov/protein/6754696","Mif")</f>
        <v>Mif</v>
      </c>
      <c r="D4475" s="10">
        <f t="shared" si="69"/>
        <v>6.3180717467579877</v>
      </c>
      <c r="F4475" s="8" t="str">
        <f>HYPERLINK("https://esbl.nhlbi.nih.gov/Databases/mpkFractions/proteomic_fractions_log_files/Yang_log_img/6754696.jpg","show blot")</f>
        <v>show blot</v>
      </c>
      <c r="H4475" s="8" t="str">
        <f>HYPERLINK("https://esbl.nhlbi.nih.gov/Databases/mpkFractions/proteomic_fractions_linear_files/Yang_linear_img/6754696.jpg","show blot")</f>
        <v>show blot</v>
      </c>
      <c r="J4475" s="5" t="s">
        <v>8748</v>
      </c>
      <c r="L4475" s="11">
        <v>6.3180717467579877</v>
      </c>
      <c r="N4475" s="12"/>
    </row>
    <row r="4476" spans="1:14" s="5" customFormat="1" ht="15" customHeight="1" x14ac:dyDescent="0.25">
      <c r="A4476" s="9" t="s">
        <v>8749</v>
      </c>
      <c r="C4476" s="9" t="str">
        <f>HYPERLINK("http://www.ncbi.nlm.nih.gov/protein/343790914;262073012","Mif4gd")</f>
        <v>Mif4gd</v>
      </c>
      <c r="D4476" s="10">
        <f t="shared" si="69"/>
        <v>3.7901545759384492</v>
      </c>
      <c r="F4476" s="8" t="str">
        <f>HYPERLINK("https://esbl.nhlbi.nih.gov/Databases/mpkFractions/proteomic_fractions_log_files/Yang_log_img/343790914;262073012.jpg","show blot")</f>
        <v>show blot</v>
      </c>
      <c r="H4476" s="8" t="str">
        <f>HYPERLINK("https://esbl.nhlbi.nih.gov/Databases/mpkFractions/proteomic_fractions_linear_files/Yang_linear_img/343790914;262073012.jpg","show blot")</f>
        <v>show blot</v>
      </c>
      <c r="J4476" s="5" t="s">
        <v>8750</v>
      </c>
      <c r="L4476" s="11">
        <v>3.7901545759384492</v>
      </c>
      <c r="N4476" s="12"/>
    </row>
    <row r="4477" spans="1:14" s="5" customFormat="1" ht="15" customHeight="1" x14ac:dyDescent="0.25">
      <c r="A4477" s="9" t="s">
        <v>8751</v>
      </c>
      <c r="C4477" s="9" t="str">
        <f>HYPERLINK("http://www.ncbi.nlm.nih.gov/protein/343790916","Mif4gd")</f>
        <v>Mif4gd</v>
      </c>
      <c r="D4477" s="10">
        <f t="shared" si="69"/>
        <v>3.7901545759384492</v>
      </c>
      <c r="F4477" s="8" t="str">
        <f>HYPERLINK("https://esbl.nhlbi.nih.gov/Databases/mpkFractions/proteomic_fractions_log_files/Yang_log_img/343790916.jpg","show blot")</f>
        <v>show blot</v>
      </c>
      <c r="H4477" s="8" t="str">
        <f>HYPERLINK("https://esbl.nhlbi.nih.gov/Databases/mpkFractions/proteomic_fractions_linear_files/Yang_linear_img/343790916.jpg","show blot")</f>
        <v>show blot</v>
      </c>
      <c r="J4477" s="5" t="s">
        <v>8752</v>
      </c>
      <c r="L4477" s="11">
        <v>3.7901545759384492</v>
      </c>
      <c r="N4477" s="12"/>
    </row>
    <row r="4478" spans="1:14" s="5" customFormat="1" ht="15" customHeight="1" x14ac:dyDescent="0.25">
      <c r="A4478" s="9" t="s">
        <v>8753</v>
      </c>
      <c r="C4478" s="9" t="str">
        <f>HYPERLINK("http://www.ncbi.nlm.nih.gov/protein/256355182","Mina")</f>
        <v>Mina</v>
      </c>
      <c r="D4478" s="10">
        <f t="shared" si="69"/>
        <v>4.4546205202599696</v>
      </c>
      <c r="F4478" s="8" t="str">
        <f>HYPERLINK("https://esbl.nhlbi.nih.gov/Databases/mpkFractions/proteomic_fractions_log_files/Yang_log_img/256355182.jpg","show blot")</f>
        <v>show blot</v>
      </c>
      <c r="H4478" s="8" t="str">
        <f>HYPERLINK("https://esbl.nhlbi.nih.gov/Databases/mpkFractions/proteomic_fractions_linear_files/Yang_linear_img/256355182.jpg","show blot")</f>
        <v>show blot</v>
      </c>
      <c r="J4478" s="5" t="s">
        <v>8754</v>
      </c>
      <c r="L4478" s="11">
        <v>4.4546205202599696</v>
      </c>
      <c r="N4478" s="12"/>
    </row>
    <row r="4479" spans="1:14" s="5" customFormat="1" ht="15" customHeight="1" x14ac:dyDescent="0.25">
      <c r="A4479" s="9" t="s">
        <v>8755</v>
      </c>
      <c r="C4479" s="9" t="str">
        <f>HYPERLINK("http://www.ncbi.nlm.nih.gov/protein/114052104","Mink1")</f>
        <v>Mink1</v>
      </c>
      <c r="D4479" s="10">
        <f t="shared" si="69"/>
        <v>2.5421003444230799</v>
      </c>
      <c r="F4479" s="8" t="str">
        <f>HYPERLINK("https://esbl.nhlbi.nih.gov/Databases/mpkFractions/proteomic_fractions_log_files/Yang_log_img/114052104.jpg","show blot")</f>
        <v>show blot</v>
      </c>
      <c r="H4479" s="8" t="str">
        <f>HYPERLINK("https://esbl.nhlbi.nih.gov/Databases/mpkFractions/proteomic_fractions_linear_files/Yang_linear_img/114052104.jpg","show blot")</f>
        <v>show blot</v>
      </c>
      <c r="J4479" s="5" t="s">
        <v>8756</v>
      </c>
      <c r="L4479" s="11">
        <v>2.5421003444230799</v>
      </c>
      <c r="N4479" s="12"/>
    </row>
    <row r="4480" spans="1:14" s="5" customFormat="1" ht="15" customHeight="1" x14ac:dyDescent="0.25">
      <c r="A4480" s="9" t="s">
        <v>8757</v>
      </c>
      <c r="C4480" s="9" t="str">
        <f>HYPERLINK("http://www.ncbi.nlm.nih.gov/protein/114052416","Mink1")</f>
        <v>Mink1</v>
      </c>
      <c r="D4480" s="10">
        <f t="shared" si="69"/>
        <v>2.5421003444230799</v>
      </c>
      <c r="F4480" s="8" t="str">
        <f>HYPERLINK("https://esbl.nhlbi.nih.gov/Databases/mpkFractions/proteomic_fractions_log_files/Yang_log_img/114052416.jpg","show blot")</f>
        <v>show blot</v>
      </c>
      <c r="H4480" s="8" t="str">
        <f>HYPERLINK("https://esbl.nhlbi.nih.gov/Databases/mpkFractions/proteomic_fractions_linear_files/Yang_linear_img/114052416.jpg","show blot")</f>
        <v>show blot</v>
      </c>
      <c r="J4480" s="5" t="s">
        <v>8758</v>
      </c>
      <c r="L4480" s="11">
        <v>2.5421003444230799</v>
      </c>
      <c r="N4480" s="12"/>
    </row>
    <row r="4481" spans="1:14" s="5" customFormat="1" ht="15" customHeight="1" x14ac:dyDescent="0.25">
      <c r="A4481" s="9" t="s">
        <v>8759</v>
      </c>
      <c r="C4481" s="9" t="str">
        <f>HYPERLINK("http://www.ncbi.nlm.nih.gov/protein/114052442","Mink1")</f>
        <v>Mink1</v>
      </c>
      <c r="D4481" s="10">
        <f t="shared" si="69"/>
        <v>2.5421003444230799</v>
      </c>
      <c r="F4481" s="8" t="str">
        <f>HYPERLINK("https://esbl.nhlbi.nih.gov/Databases/mpkFractions/proteomic_fractions_log_files/Yang_log_img/114052442.jpg","show blot")</f>
        <v>show blot</v>
      </c>
      <c r="H4481" s="8" t="str">
        <f>HYPERLINK("https://esbl.nhlbi.nih.gov/Databases/mpkFractions/proteomic_fractions_linear_files/Yang_linear_img/114052442.jpg","show blot")</f>
        <v>show blot</v>
      </c>
      <c r="J4481" s="5" t="s">
        <v>8760</v>
      </c>
      <c r="L4481" s="11">
        <v>2.5421003444230799</v>
      </c>
      <c r="N4481" s="12"/>
    </row>
    <row r="4482" spans="1:14" s="5" customFormat="1" ht="15" customHeight="1" x14ac:dyDescent="0.25">
      <c r="A4482" s="9" t="s">
        <v>8761</v>
      </c>
      <c r="C4482" s="9" t="str">
        <f>HYPERLINK("http://www.ncbi.nlm.nih.gov/protein/114052522","Mink1")</f>
        <v>Mink1</v>
      </c>
      <c r="D4482" s="10">
        <f t="shared" si="69"/>
        <v>2.5421003444230799</v>
      </c>
      <c r="F4482" s="8" t="str">
        <f>HYPERLINK("https://esbl.nhlbi.nih.gov/Databases/mpkFractions/proteomic_fractions_log_files/Yang_log_img/114052522.jpg","show blot")</f>
        <v>show blot</v>
      </c>
      <c r="H4482" s="8" t="str">
        <f>HYPERLINK("https://esbl.nhlbi.nih.gov/Databases/mpkFractions/proteomic_fractions_linear_files/Yang_linear_img/114052522.jpg","show blot")</f>
        <v>show blot</v>
      </c>
      <c r="J4482" s="5" t="s">
        <v>8762</v>
      </c>
      <c r="L4482" s="11">
        <v>2.5421003444230799</v>
      </c>
      <c r="N4482" s="12"/>
    </row>
    <row r="4483" spans="1:14" s="5" customFormat="1" ht="15" customHeight="1" x14ac:dyDescent="0.25">
      <c r="A4483" s="9" t="s">
        <v>8763</v>
      </c>
      <c r="C4483" s="9" t="str">
        <f>HYPERLINK("http://www.ncbi.nlm.nih.gov/protein/244791232","Minos1")</f>
        <v>Minos1</v>
      </c>
      <c r="D4483" s="10">
        <f t="shared" si="69"/>
        <v>4.6200670557240811</v>
      </c>
      <c r="F4483" s="8" t="str">
        <f>HYPERLINK("https://esbl.nhlbi.nih.gov/Databases/mpkFractions/proteomic_fractions_log_files/Yang_log_img/244791232.jpg","show blot")</f>
        <v>show blot</v>
      </c>
      <c r="H4483" s="8" t="str">
        <f>HYPERLINK("https://esbl.nhlbi.nih.gov/Databases/mpkFractions/proteomic_fractions_linear_files/Yang_linear_img/244791232.jpg","show blot")</f>
        <v>show blot</v>
      </c>
      <c r="J4483" s="5" t="s">
        <v>8764</v>
      </c>
      <c r="L4483" s="11">
        <v>4.6200670557240811</v>
      </c>
      <c r="N4483" s="12"/>
    </row>
    <row r="4484" spans="1:14" s="5" customFormat="1" ht="15" customHeight="1" x14ac:dyDescent="0.25">
      <c r="A4484" s="9" t="s">
        <v>8765</v>
      </c>
      <c r="C4484" s="9" t="str">
        <f>HYPERLINK("http://www.ncbi.nlm.nih.gov/protein/6754698","Minpp1")</f>
        <v>Minpp1</v>
      </c>
      <c r="D4484" s="10">
        <f t="shared" si="69"/>
        <v>3.6762852896206009</v>
      </c>
      <c r="F4484" s="8" t="str">
        <f>HYPERLINK("https://esbl.nhlbi.nih.gov/Databases/mpkFractions/proteomic_fractions_log_files/Yang_log_img/6754698.jpg","show blot")</f>
        <v>show blot</v>
      </c>
      <c r="H4484" s="8" t="str">
        <f>HYPERLINK("https://esbl.nhlbi.nih.gov/Databases/mpkFractions/proteomic_fractions_linear_files/Yang_linear_img/6754698.jpg","show blot")</f>
        <v>show blot</v>
      </c>
      <c r="J4484" s="5" t="s">
        <v>8766</v>
      </c>
      <c r="L4484" s="11">
        <v>3.6762852896206009</v>
      </c>
      <c r="N4484" s="12"/>
    </row>
    <row r="4485" spans="1:14" s="5" customFormat="1" ht="15" customHeight="1" x14ac:dyDescent="0.25">
      <c r="A4485" s="9" t="s">
        <v>8767</v>
      </c>
      <c r="C4485" s="9" t="str">
        <f>HYPERLINK("http://www.ncbi.nlm.nih.gov/protein/213021192","Mios")</f>
        <v>Mios</v>
      </c>
      <c r="D4485" s="10">
        <f t="shared" ref="D4485:D4548" si="70">L4485</f>
        <v>3.8017540876555809</v>
      </c>
      <c r="F4485" s="8" t="str">
        <f>HYPERLINK("https://esbl.nhlbi.nih.gov/Databases/mpkFractions/proteomic_fractions_log_files/Yang_log_img/213021192.jpg","show blot")</f>
        <v>show blot</v>
      </c>
      <c r="H4485" s="8" t="str">
        <f>HYPERLINK("https://esbl.nhlbi.nih.gov/Databases/mpkFractions/proteomic_fractions_linear_files/Yang_linear_img/213021192.jpg","show blot")</f>
        <v>show blot</v>
      </c>
      <c r="J4485" s="5" t="s">
        <v>8768</v>
      </c>
      <c r="L4485" s="11">
        <v>3.8017540876555809</v>
      </c>
      <c r="N4485" s="12"/>
    </row>
    <row r="4486" spans="1:14" s="5" customFormat="1" ht="15" customHeight="1" x14ac:dyDescent="0.25">
      <c r="A4486" s="9" t="s">
        <v>8769</v>
      </c>
      <c r="C4486" s="9" t="str">
        <f>HYPERLINK("http://www.ncbi.nlm.nih.gov/protein/256418961","Mipol1")</f>
        <v>Mipol1</v>
      </c>
      <c r="D4486" s="10">
        <f t="shared" si="70"/>
        <v>4.635611455821075</v>
      </c>
      <c r="F4486" s="8" t="str">
        <f>HYPERLINK("https://esbl.nhlbi.nih.gov/Databases/mpkFractions/proteomic_fractions_log_files/Yang_log_img/256418961.jpg","show blot")</f>
        <v>show blot</v>
      </c>
      <c r="H4486" s="8" t="str">
        <f>HYPERLINK("https://esbl.nhlbi.nih.gov/Databases/mpkFractions/proteomic_fractions_linear_files/Yang_linear_img/256418961.jpg","show blot")</f>
        <v>show blot</v>
      </c>
      <c r="J4486" s="5" t="s">
        <v>8770</v>
      </c>
      <c r="L4486" s="11">
        <v>4.635611455821075</v>
      </c>
      <c r="N4486" s="12"/>
    </row>
    <row r="4487" spans="1:14" s="5" customFormat="1" ht="15" customHeight="1" x14ac:dyDescent="0.25">
      <c r="A4487" s="9" t="s">
        <v>8771</v>
      </c>
      <c r="C4487" s="9" t="str">
        <f>HYPERLINK("http://www.ncbi.nlm.nih.gov/protein/70909369","Mis18a")</f>
        <v>Mis18a</v>
      </c>
      <c r="D4487" s="10">
        <f t="shared" si="70"/>
        <v>3.4828610606133208</v>
      </c>
      <c r="F4487" s="8" t="str">
        <f>HYPERLINK("https://esbl.nhlbi.nih.gov/Databases/mpkFractions/proteomic_fractions_log_files/Yang_log_img/70909369.jpg","show blot")</f>
        <v>show blot</v>
      </c>
      <c r="H4487" s="8" t="str">
        <f>HYPERLINK("https://esbl.nhlbi.nih.gov/Databases/mpkFractions/proteomic_fractions_linear_files/Yang_linear_img/70909369.jpg","show blot")</f>
        <v>show blot</v>
      </c>
      <c r="J4487" s="5" t="s">
        <v>8772</v>
      </c>
      <c r="L4487" s="11">
        <v>3.4828610606133208</v>
      </c>
      <c r="N4487" s="12"/>
    </row>
    <row r="4488" spans="1:14" s="5" customFormat="1" ht="15" customHeight="1" x14ac:dyDescent="0.25">
      <c r="A4488" s="9" t="s">
        <v>8773</v>
      </c>
      <c r="C4488" s="9" t="str">
        <f>HYPERLINK("http://www.ncbi.nlm.nih.gov/protein/110625710","Mitd1")</f>
        <v>Mitd1</v>
      </c>
      <c r="D4488" s="10">
        <f t="shared" si="70"/>
        <v>3.8287742562014548</v>
      </c>
      <c r="F4488" s="8" t="str">
        <f>HYPERLINK("https://esbl.nhlbi.nih.gov/Databases/mpkFractions/proteomic_fractions_log_files/Yang_log_img/110625710.jpg","show blot")</f>
        <v>show blot</v>
      </c>
      <c r="H4488" s="8" t="str">
        <f>HYPERLINK("https://esbl.nhlbi.nih.gov/Databases/mpkFractions/proteomic_fractions_linear_files/Yang_linear_img/110625710.jpg","show blot")</f>
        <v>show blot</v>
      </c>
      <c r="J4488" s="5" t="s">
        <v>8774</v>
      </c>
      <c r="L4488" s="11">
        <v>3.8287742562014548</v>
      </c>
      <c r="N4488" s="12"/>
    </row>
    <row r="4489" spans="1:14" s="5" customFormat="1" ht="15" customHeight="1" x14ac:dyDescent="0.25">
      <c r="A4489" s="9" t="s">
        <v>8775</v>
      </c>
      <c r="C4489" s="9" t="str">
        <f>HYPERLINK("http://www.ncbi.nlm.nih.gov/protein/127138894","Mkl1")</f>
        <v>Mkl1</v>
      </c>
      <c r="D4489" s="10">
        <f t="shared" si="70"/>
        <v>4.1519299571439179</v>
      </c>
      <c r="F4489" s="8" t="str">
        <f>HYPERLINK("https://esbl.nhlbi.nih.gov/Databases/mpkFractions/proteomic_fractions_log_files/Yang_log_img/127138894.jpg","show blot")</f>
        <v>show blot</v>
      </c>
      <c r="H4489" s="8" t="str">
        <f>HYPERLINK("https://esbl.nhlbi.nih.gov/Databases/mpkFractions/proteomic_fractions_linear_files/Yang_linear_img/127138894.jpg","show blot")</f>
        <v>show blot</v>
      </c>
      <c r="J4489" s="5" t="s">
        <v>8776</v>
      </c>
      <c r="L4489" s="11">
        <v>4.1519299571439179</v>
      </c>
      <c r="N4489" s="12"/>
    </row>
    <row r="4490" spans="1:14" s="5" customFormat="1" ht="15" customHeight="1" x14ac:dyDescent="0.25">
      <c r="A4490" s="9" t="s">
        <v>8777</v>
      </c>
      <c r="C4490" s="9" t="str">
        <f>HYPERLINK("http://www.ncbi.nlm.nih.gov/protein/127139379","Mkl1")</f>
        <v>Mkl1</v>
      </c>
      <c r="D4490" s="10">
        <f t="shared" si="70"/>
        <v>4.1519299571439179</v>
      </c>
      <c r="F4490" s="8" t="str">
        <f>HYPERLINK("https://esbl.nhlbi.nih.gov/Databases/mpkFractions/proteomic_fractions_log_files/Yang_log_img/127139379.jpg","show blot")</f>
        <v>show blot</v>
      </c>
      <c r="H4490" s="8" t="str">
        <f>HYPERLINK("https://esbl.nhlbi.nih.gov/Databases/mpkFractions/proteomic_fractions_linear_files/Yang_linear_img/127139379.jpg","show blot")</f>
        <v>show blot</v>
      </c>
      <c r="J4490" s="5" t="s">
        <v>8778</v>
      </c>
      <c r="L4490" s="11">
        <v>4.1519299571439179</v>
      </c>
      <c r="N4490" s="12"/>
    </row>
    <row r="4491" spans="1:14" s="5" customFormat="1" ht="15" customHeight="1" x14ac:dyDescent="0.25">
      <c r="A4491" s="9" t="s">
        <v>8779</v>
      </c>
      <c r="C4491" s="9" t="str">
        <f>HYPERLINK("http://www.ncbi.nlm.nih.gov/protein/169881261","Mkl2")</f>
        <v>Mkl2</v>
      </c>
      <c r="D4491" s="10">
        <f t="shared" si="70"/>
        <v>4.1938685530583806</v>
      </c>
      <c r="F4491" s="8" t="str">
        <f>HYPERLINK("https://esbl.nhlbi.nih.gov/Databases/mpkFractions/proteomic_fractions_log_files/Yang_log_img/169881261.jpg","show blot")</f>
        <v>show blot</v>
      </c>
      <c r="H4491" s="8" t="str">
        <f>HYPERLINK("https://esbl.nhlbi.nih.gov/Databases/mpkFractions/proteomic_fractions_linear_files/Yang_linear_img/169881261.jpg","show blot")</f>
        <v>show blot</v>
      </c>
      <c r="J4491" s="5" t="s">
        <v>8780</v>
      </c>
      <c r="L4491" s="11">
        <v>4.1938685530583806</v>
      </c>
      <c r="N4491" s="12"/>
    </row>
    <row r="4492" spans="1:14" s="5" customFormat="1" ht="15" customHeight="1" x14ac:dyDescent="0.25">
      <c r="A4492" s="9" t="s">
        <v>8781</v>
      </c>
      <c r="C4492" s="9" t="str">
        <f>HYPERLINK("http://www.ncbi.nlm.nih.gov/protein/237820633","Mkl2")</f>
        <v>Mkl2</v>
      </c>
      <c r="D4492" s="10">
        <f t="shared" si="70"/>
        <v>4.1938685530583806</v>
      </c>
      <c r="F4492" s="8" t="str">
        <f>HYPERLINK("https://esbl.nhlbi.nih.gov/Databases/mpkFractions/proteomic_fractions_log_files/Yang_log_img/237820633.jpg","show blot")</f>
        <v>show blot</v>
      </c>
      <c r="H4492" s="8" t="str">
        <f>HYPERLINK("https://esbl.nhlbi.nih.gov/Databases/mpkFractions/proteomic_fractions_linear_files/Yang_linear_img/237820633.jpg","show blot")</f>
        <v>show blot</v>
      </c>
      <c r="J4492" s="5" t="s">
        <v>8782</v>
      </c>
      <c r="L4492" s="11">
        <v>4.1938685530583806</v>
      </c>
      <c r="N4492" s="12"/>
    </row>
    <row r="4493" spans="1:14" s="5" customFormat="1" ht="15" customHeight="1" x14ac:dyDescent="0.25">
      <c r="A4493" s="9" t="s">
        <v>8783</v>
      </c>
      <c r="C4493" s="9" t="str">
        <f>HYPERLINK("http://www.ncbi.nlm.nih.gov/protein/7305271","Mkln1")</f>
        <v>Mkln1</v>
      </c>
      <c r="D4493" s="10">
        <f t="shared" si="70"/>
        <v>3.8720543953955961</v>
      </c>
      <c r="F4493" s="8" t="str">
        <f>HYPERLINK("https://esbl.nhlbi.nih.gov/Databases/mpkFractions/proteomic_fractions_log_files/Yang_log_img/7305271.jpg","show blot")</f>
        <v>show blot</v>
      </c>
      <c r="H4493" s="8" t="str">
        <f>HYPERLINK("https://esbl.nhlbi.nih.gov/Databases/mpkFractions/proteomic_fractions_linear_files/Yang_linear_img/7305271.jpg","show blot")</f>
        <v>show blot</v>
      </c>
      <c r="J4493" s="5" t="s">
        <v>8784</v>
      </c>
      <c r="L4493" s="11">
        <v>3.8720543953955961</v>
      </c>
      <c r="N4493" s="12"/>
    </row>
    <row r="4494" spans="1:14" s="5" customFormat="1" ht="15" customHeight="1" x14ac:dyDescent="0.25">
      <c r="A4494" s="9" t="s">
        <v>8785</v>
      </c>
      <c r="C4494" s="9" t="str">
        <f>HYPERLINK("http://www.ncbi.nlm.nih.gov/protein/10946852","Mknk2")</f>
        <v>Mknk2</v>
      </c>
      <c r="D4494" s="10">
        <f t="shared" si="70"/>
        <v>3.5268825084840678</v>
      </c>
      <c r="F4494" s="8" t="str">
        <f>HYPERLINK("https://esbl.nhlbi.nih.gov/Databases/mpkFractions/proteomic_fractions_log_files/Yang_log_img/10946852.jpg","show blot")</f>
        <v>show blot</v>
      </c>
      <c r="H4494" s="8" t="str">
        <f>HYPERLINK("https://esbl.nhlbi.nih.gov/Databases/mpkFractions/proteomic_fractions_linear_files/Yang_linear_img/10946852.jpg","show blot")</f>
        <v>show blot</v>
      </c>
      <c r="J4494" s="5" t="s">
        <v>8786</v>
      </c>
      <c r="L4494" s="11">
        <v>3.5268825084840678</v>
      </c>
      <c r="N4494" s="12"/>
    </row>
    <row r="4495" spans="1:14" s="5" customFormat="1" ht="15" customHeight="1" x14ac:dyDescent="0.25">
      <c r="A4495" s="9" t="s">
        <v>8787</v>
      </c>
      <c r="C4495" s="9" t="str">
        <f>HYPERLINK("http://www.ncbi.nlm.nih.gov/protein/88853570","Mkrn2")</f>
        <v>Mkrn2</v>
      </c>
      <c r="D4495" s="10">
        <f t="shared" si="70"/>
        <v>3.431577109299158</v>
      </c>
      <c r="F4495" s="8" t="str">
        <f>HYPERLINK("https://esbl.nhlbi.nih.gov/Databases/mpkFractions/proteomic_fractions_log_files/Yang_log_img/88853570.jpg","show blot")</f>
        <v>show blot</v>
      </c>
      <c r="H4495" s="8" t="str">
        <f>HYPERLINK("https://esbl.nhlbi.nih.gov/Databases/mpkFractions/proteomic_fractions_linear_files/Yang_linear_img/88853570.jpg","show blot")</f>
        <v>show blot</v>
      </c>
      <c r="J4495" s="5" t="s">
        <v>8788</v>
      </c>
      <c r="L4495" s="11">
        <v>3.431577109299158</v>
      </c>
      <c r="N4495" s="12"/>
    </row>
    <row r="4496" spans="1:14" s="5" customFormat="1" ht="15" customHeight="1" x14ac:dyDescent="0.25">
      <c r="A4496" s="9" t="s">
        <v>8789</v>
      </c>
      <c r="C4496" s="9" t="str">
        <f>HYPERLINK("http://www.ncbi.nlm.nih.gov/protein/188497650","Mlec")</f>
        <v>Mlec</v>
      </c>
      <c r="D4496" s="10">
        <f t="shared" si="70"/>
        <v>5.7849791055367437</v>
      </c>
      <c r="F4496" s="8" t="str">
        <f>HYPERLINK("https://esbl.nhlbi.nih.gov/Databases/mpkFractions/proteomic_fractions_log_files/Yang_log_img/188497650.jpg","show blot")</f>
        <v>show blot</v>
      </c>
      <c r="H4496" s="8" t="str">
        <f>HYPERLINK("https://esbl.nhlbi.nih.gov/Databases/mpkFractions/proteomic_fractions_linear_files/Yang_linear_img/188497650.jpg","show blot")</f>
        <v>show blot</v>
      </c>
      <c r="J4496" s="5" t="s">
        <v>8790</v>
      </c>
      <c r="L4496" s="11">
        <v>5.7849791055367437</v>
      </c>
      <c r="N4496" s="12"/>
    </row>
    <row r="4497" spans="1:14" s="5" customFormat="1" ht="15" customHeight="1" x14ac:dyDescent="0.25">
      <c r="A4497" s="9" t="s">
        <v>8791</v>
      </c>
      <c r="C4497" s="9" t="str">
        <f>HYPERLINK("http://www.ncbi.nlm.nih.gov/protein/21703770","Mlf2")</f>
        <v>Mlf2</v>
      </c>
      <c r="D4497" s="10">
        <f t="shared" si="70"/>
        <v>4.3759884087692082</v>
      </c>
      <c r="F4497" s="8" t="str">
        <f>HYPERLINK("https://esbl.nhlbi.nih.gov/Databases/mpkFractions/proteomic_fractions_log_files/Yang_log_img/21703770.jpg","show blot")</f>
        <v>show blot</v>
      </c>
      <c r="H4497" s="8" t="str">
        <f>HYPERLINK("https://esbl.nhlbi.nih.gov/Databases/mpkFractions/proteomic_fractions_linear_files/Yang_linear_img/21703770.jpg","show blot")</f>
        <v>show blot</v>
      </c>
      <c r="J4497" s="5" t="s">
        <v>8792</v>
      </c>
      <c r="L4497" s="11">
        <v>4.3759884087692082</v>
      </c>
      <c r="N4497" s="12"/>
    </row>
    <row r="4498" spans="1:14" s="5" customFormat="1" ht="15" customHeight="1" x14ac:dyDescent="0.25">
      <c r="A4498" s="9" t="s">
        <v>8793</v>
      </c>
      <c r="C4498" s="9" t="str">
        <f>HYPERLINK("http://www.ncbi.nlm.nih.gov/protein/110626037","Mlkl")</f>
        <v>Mlkl</v>
      </c>
      <c r="D4498" s="10">
        <f t="shared" si="70"/>
        <v>4.5069178906722787</v>
      </c>
      <c r="F4498" s="8" t="str">
        <f>HYPERLINK("https://esbl.nhlbi.nih.gov/Databases/mpkFractions/proteomic_fractions_log_files/Yang_log_img/110626037.jpg","show blot")</f>
        <v>show blot</v>
      </c>
      <c r="H4498" s="8" t="str">
        <f>HYPERLINK("https://esbl.nhlbi.nih.gov/Databases/mpkFractions/proteomic_fractions_linear_files/Yang_linear_img/110626037.jpg","show blot")</f>
        <v>show blot</v>
      </c>
      <c r="J4498" s="5" t="s">
        <v>8794</v>
      </c>
      <c r="L4498" s="11">
        <v>4.5069178906722787</v>
      </c>
      <c r="N4498" s="12"/>
    </row>
    <row r="4499" spans="1:14" s="5" customFormat="1" ht="15" customHeight="1" x14ac:dyDescent="0.25">
      <c r="A4499" s="9" t="s">
        <v>8795</v>
      </c>
      <c r="C4499" s="9" t="str">
        <f>HYPERLINK("http://www.ncbi.nlm.nih.gov/protein/11612511","Mllt1")</f>
        <v>Mllt1</v>
      </c>
      <c r="D4499" s="10">
        <f t="shared" si="70"/>
        <v>2.9444367619913461</v>
      </c>
      <c r="F4499" s="8" t="str">
        <f>HYPERLINK("https://esbl.nhlbi.nih.gov/Databases/mpkFractions/proteomic_fractions_log_files/Yang_log_img/11612511.jpg","show blot")</f>
        <v>show blot</v>
      </c>
      <c r="H4499" s="8" t="str">
        <f>HYPERLINK("https://esbl.nhlbi.nih.gov/Databases/mpkFractions/proteomic_fractions_linear_files/Yang_linear_img/11612511.jpg","show blot")</f>
        <v>show blot</v>
      </c>
      <c r="J4499" s="5" t="s">
        <v>8796</v>
      </c>
      <c r="L4499" s="11">
        <v>2.9444367619913461</v>
      </c>
      <c r="N4499" s="12"/>
    </row>
    <row r="4500" spans="1:14" s="5" customFormat="1" ht="15" customHeight="1" x14ac:dyDescent="0.25">
      <c r="A4500" s="9" t="s">
        <v>8797</v>
      </c>
      <c r="C4500" s="9" t="str">
        <f>HYPERLINK("http://www.ncbi.nlm.nih.gov/protein/145587092","Mllt4")</f>
        <v>Mllt4</v>
      </c>
      <c r="D4500" s="10">
        <f t="shared" si="70"/>
        <v>4.880785274033884</v>
      </c>
      <c r="F4500" s="8" t="str">
        <f>HYPERLINK("https://esbl.nhlbi.nih.gov/Databases/mpkFractions/proteomic_fractions_log_files/Yang_log_img/145587092.jpg","show blot")</f>
        <v>show blot</v>
      </c>
      <c r="H4500" s="8" t="str">
        <f>HYPERLINK("https://esbl.nhlbi.nih.gov/Databases/mpkFractions/proteomic_fractions_linear_files/Yang_linear_img/145587092.jpg","show blot")</f>
        <v>show blot</v>
      </c>
      <c r="J4500" s="5" t="s">
        <v>8798</v>
      </c>
      <c r="L4500" s="11">
        <v>4.880785274033884</v>
      </c>
      <c r="N4500" s="12"/>
    </row>
    <row r="4501" spans="1:14" s="5" customFormat="1" ht="15" customHeight="1" x14ac:dyDescent="0.25">
      <c r="A4501" s="9" t="s">
        <v>8799</v>
      </c>
      <c r="C4501" s="9" t="str">
        <f>HYPERLINK("http://www.ncbi.nlm.nih.gov/protein/357197121;357197118","Mlst8")</f>
        <v>Mlst8</v>
      </c>
      <c r="D4501" s="10">
        <f t="shared" si="70"/>
        <v>4.5095436896455334</v>
      </c>
      <c r="F4501" s="8" t="str">
        <f>HYPERLINK("https://esbl.nhlbi.nih.gov/Databases/mpkFractions/proteomic_fractions_log_files/Yang_log_img/357197121;357197118.jpg","show blot")</f>
        <v>show blot</v>
      </c>
      <c r="H4501" s="8" t="str">
        <f>HYPERLINK("https://esbl.nhlbi.nih.gov/Databases/mpkFractions/proteomic_fractions_linear_files/Yang_linear_img/357197121;357197118.jpg","show blot")</f>
        <v>show blot</v>
      </c>
      <c r="J4501" s="5" t="s">
        <v>8800</v>
      </c>
      <c r="L4501" s="11">
        <v>4.5095436896455334</v>
      </c>
      <c r="N4501" s="12"/>
    </row>
    <row r="4502" spans="1:14" s="5" customFormat="1" ht="15" customHeight="1" x14ac:dyDescent="0.25">
      <c r="A4502" s="9" t="s">
        <v>8801</v>
      </c>
      <c r="C4502" s="9" t="str">
        <f>HYPERLINK("http://www.ncbi.nlm.nih.gov/protein/357197118","Mlst8")</f>
        <v>Mlst8</v>
      </c>
      <c r="D4502" s="10">
        <f t="shared" si="70"/>
        <v>4.5095436896455334</v>
      </c>
      <c r="F4502" s="8" t="str">
        <f>HYPERLINK("https://esbl.nhlbi.nih.gov/Databases/mpkFractions/proteomic_fractions_log_files/Yang_log_img/357197118.jpg","show blot")</f>
        <v>show blot</v>
      </c>
      <c r="H4502" s="8" t="str">
        <f>HYPERLINK("https://esbl.nhlbi.nih.gov/Databases/mpkFractions/proteomic_fractions_linear_files/Yang_linear_img/357197118.jpg","show blot")</f>
        <v>show blot</v>
      </c>
      <c r="J4502" s="5" t="s">
        <v>8800</v>
      </c>
      <c r="L4502" s="11">
        <v>4.5095436896455334</v>
      </c>
      <c r="N4502" s="12"/>
    </row>
    <row r="4503" spans="1:14" s="5" customFormat="1" ht="15" customHeight="1" x14ac:dyDescent="0.25">
      <c r="A4503" s="9" t="s">
        <v>8802</v>
      </c>
      <c r="C4503" s="9" t="str">
        <f>HYPERLINK("http://www.ncbi.nlm.nih.gov/protein/357197123","Mlst8")</f>
        <v>Mlst8</v>
      </c>
      <c r="D4503" s="10">
        <f t="shared" si="70"/>
        <v>4.5095436896455334</v>
      </c>
      <c r="F4503" s="8" t="str">
        <f>HYPERLINK("https://esbl.nhlbi.nih.gov/Databases/mpkFractions/proteomic_fractions_log_files/Yang_log_img/357197123.jpg","show blot")</f>
        <v>show blot</v>
      </c>
      <c r="H4503" s="8" t="str">
        <f>HYPERLINK("https://esbl.nhlbi.nih.gov/Databases/mpkFractions/proteomic_fractions_linear_files/Yang_linear_img/357197123.jpg","show blot")</f>
        <v>show blot</v>
      </c>
      <c r="J4503" s="5" t="s">
        <v>8803</v>
      </c>
      <c r="L4503" s="11">
        <v>4.5095436896455334</v>
      </c>
      <c r="N4503" s="12"/>
    </row>
    <row r="4504" spans="1:14" s="5" customFormat="1" ht="15" customHeight="1" x14ac:dyDescent="0.25">
      <c r="A4504" s="9" t="s">
        <v>8804</v>
      </c>
      <c r="C4504" s="9" t="str">
        <f>HYPERLINK("http://www.ncbi.nlm.nih.gov/protein/56797739","Mlycd")</f>
        <v>Mlycd</v>
      </c>
      <c r="D4504" s="10">
        <f t="shared" si="70"/>
        <v>2.6986738684836999</v>
      </c>
      <c r="F4504" s="8" t="str">
        <f>HYPERLINK("https://esbl.nhlbi.nih.gov/Databases/mpkFractions/proteomic_fractions_log_files/Yang_log_img/56797739.jpg","show blot")</f>
        <v>show blot</v>
      </c>
      <c r="H4504" s="8" t="str">
        <f>HYPERLINK("https://esbl.nhlbi.nih.gov/Databases/mpkFractions/proteomic_fractions_linear_files/Yang_linear_img/56797739.jpg","show blot")</f>
        <v>show blot</v>
      </c>
      <c r="J4504" s="5" t="s">
        <v>8805</v>
      </c>
      <c r="L4504" s="11">
        <v>2.6986738684836999</v>
      </c>
      <c r="N4504" s="12"/>
    </row>
    <row r="4505" spans="1:14" s="5" customFormat="1" ht="15" customHeight="1" x14ac:dyDescent="0.25">
      <c r="A4505" s="9" t="s">
        <v>8806</v>
      </c>
      <c r="C4505" s="9" t="str">
        <f>HYPERLINK("http://www.ncbi.nlm.nih.gov/protein/21313396","Mmab")</f>
        <v>Mmab</v>
      </c>
      <c r="D4505" s="10">
        <f t="shared" si="70"/>
        <v>3.749695243570307</v>
      </c>
      <c r="F4505" s="8" t="str">
        <f>HYPERLINK("https://esbl.nhlbi.nih.gov/Databases/mpkFractions/proteomic_fractions_log_files/Yang_log_img/21313396.jpg","show blot")</f>
        <v>show blot</v>
      </c>
      <c r="H4505" s="8" t="str">
        <f>HYPERLINK("https://esbl.nhlbi.nih.gov/Databases/mpkFractions/proteomic_fractions_linear_files/Yang_linear_img/21313396.jpg","show blot")</f>
        <v>show blot</v>
      </c>
      <c r="J4505" s="5" t="s">
        <v>8807</v>
      </c>
      <c r="L4505" s="11">
        <v>3.749695243570307</v>
      </c>
      <c r="N4505" s="12"/>
    </row>
    <row r="4506" spans="1:14" s="5" customFormat="1" ht="15" customHeight="1" x14ac:dyDescent="0.25">
      <c r="A4506" s="9" t="s">
        <v>8808</v>
      </c>
      <c r="C4506" s="9" t="str">
        <f>HYPERLINK("http://www.ncbi.nlm.nih.gov/protein/31543255","Mme")</f>
        <v>Mme</v>
      </c>
      <c r="D4506" s="10">
        <f t="shared" si="70"/>
        <v>3.8810590166099588</v>
      </c>
      <c r="F4506" s="8" t="str">
        <f>HYPERLINK("https://esbl.nhlbi.nih.gov/Databases/mpkFractions/proteomic_fractions_log_files/Yang_log_img/31543255.jpg","show blot")</f>
        <v>show blot</v>
      </c>
      <c r="H4506" s="8" t="str">
        <f>HYPERLINK("https://esbl.nhlbi.nih.gov/Databases/mpkFractions/proteomic_fractions_linear_files/Yang_linear_img/31543255.jpg","show blot")</f>
        <v>show blot</v>
      </c>
      <c r="J4506" s="5" t="s">
        <v>8809</v>
      </c>
      <c r="L4506" s="11">
        <v>3.8810590166099588</v>
      </c>
      <c r="N4506" s="12"/>
    </row>
    <row r="4507" spans="1:14" s="5" customFormat="1" ht="15" customHeight="1" x14ac:dyDescent="0.25">
      <c r="A4507" s="9" t="s">
        <v>8810</v>
      </c>
      <c r="C4507" s="9" t="str">
        <f>HYPERLINK("http://www.ncbi.nlm.nih.gov/protein/22122803","Mmgt1")</f>
        <v>Mmgt1</v>
      </c>
      <c r="D4507" s="10">
        <f t="shared" si="70"/>
        <v>3.6688875387560311</v>
      </c>
      <c r="F4507" s="8" t="str">
        <f>HYPERLINK("https://esbl.nhlbi.nih.gov/Databases/mpkFractions/proteomic_fractions_log_files/Yang_log_img/22122803.jpg","show blot")</f>
        <v>show blot</v>
      </c>
      <c r="H4507" s="8" t="str">
        <f>HYPERLINK("https://esbl.nhlbi.nih.gov/Databases/mpkFractions/proteomic_fractions_linear_files/Yang_linear_img/22122803.jpg","show blot")</f>
        <v>show blot</v>
      </c>
      <c r="J4507" s="5" t="s">
        <v>8811</v>
      </c>
      <c r="L4507" s="11">
        <v>3.6688875387560311</v>
      </c>
      <c r="N4507" s="12"/>
    </row>
    <row r="4508" spans="1:14" s="5" customFormat="1" ht="15" customHeight="1" x14ac:dyDescent="0.25">
      <c r="A4508" s="9" t="s">
        <v>8812</v>
      </c>
      <c r="C4508" s="9" t="str">
        <f>HYPERLINK("http://www.ncbi.nlm.nih.gov/protein/188528637","Mmp14")</f>
        <v>Mmp14</v>
      </c>
      <c r="D4508" s="10">
        <f t="shared" si="70"/>
        <v>1.693269101497785</v>
      </c>
      <c r="F4508" s="8" t="str">
        <f>HYPERLINK("https://esbl.nhlbi.nih.gov/Databases/mpkFractions/proteomic_fractions_log_files/Yang_log_img/188528637.jpg","show blot")</f>
        <v>show blot</v>
      </c>
      <c r="H4508" s="8" t="str">
        <f>HYPERLINK("https://esbl.nhlbi.nih.gov/Databases/mpkFractions/proteomic_fractions_linear_files/Yang_linear_img/188528637.jpg","show blot")</f>
        <v>show blot</v>
      </c>
      <c r="J4508" s="5" t="s">
        <v>8813</v>
      </c>
      <c r="L4508" s="11">
        <v>1.693269101497785</v>
      </c>
      <c r="N4508" s="12"/>
    </row>
    <row r="4509" spans="1:14" s="5" customFormat="1" ht="15" customHeight="1" x14ac:dyDescent="0.25">
      <c r="A4509" s="9" t="s">
        <v>8814</v>
      </c>
      <c r="C4509" s="9" t="str">
        <f>HYPERLINK("http://www.ncbi.nlm.nih.gov/protein/23308683","Mmp21")</f>
        <v>Mmp21</v>
      </c>
      <c r="D4509" s="10">
        <f t="shared" si="70"/>
        <v>3.463129525412997</v>
      </c>
      <c r="F4509" s="8" t="str">
        <f>HYPERLINK("https://esbl.nhlbi.nih.gov/Databases/mpkFractions/proteomic_fractions_log_files/Yang_log_img/23308683.jpg","show blot")</f>
        <v>show blot</v>
      </c>
      <c r="H4509" s="8" t="str">
        <f>HYPERLINK("https://esbl.nhlbi.nih.gov/Databases/mpkFractions/proteomic_fractions_linear_files/Yang_linear_img/23308683.jpg","show blot")</f>
        <v>show blot</v>
      </c>
      <c r="J4509" s="5" t="s">
        <v>8815</v>
      </c>
      <c r="L4509" s="11">
        <v>3.463129525412997</v>
      </c>
      <c r="N4509" s="12"/>
    </row>
    <row r="4510" spans="1:14" s="5" customFormat="1" ht="15" customHeight="1" x14ac:dyDescent="0.25">
      <c r="A4510" s="9" t="s">
        <v>8816</v>
      </c>
      <c r="C4510" s="9" t="str">
        <f>HYPERLINK("http://www.ncbi.nlm.nih.gov/protein/15100156","Mms19")</f>
        <v>Mms19</v>
      </c>
      <c r="D4510" s="10">
        <f t="shared" si="70"/>
        <v>4.8159554478357931</v>
      </c>
      <c r="F4510" s="8" t="str">
        <f>HYPERLINK("https://esbl.nhlbi.nih.gov/Databases/mpkFractions/proteomic_fractions_log_files/Yang_log_img/15100156.jpg","show blot")</f>
        <v>show blot</v>
      </c>
      <c r="H4510" s="8" t="str">
        <f>HYPERLINK("https://esbl.nhlbi.nih.gov/Databases/mpkFractions/proteomic_fractions_linear_files/Yang_linear_img/15100156.jpg","show blot")</f>
        <v>show blot</v>
      </c>
      <c r="J4510" s="5" t="s">
        <v>8817</v>
      </c>
      <c r="L4510" s="11">
        <v>4.8159554478357931</v>
      </c>
      <c r="N4510" s="12"/>
    </row>
    <row r="4511" spans="1:14" s="5" customFormat="1" ht="15" customHeight="1" x14ac:dyDescent="0.25">
      <c r="A4511" s="9" t="s">
        <v>8818</v>
      </c>
      <c r="C4511" s="9" t="str">
        <f>HYPERLINK("http://www.ncbi.nlm.nih.gov/protein/253970429","Mms22l")</f>
        <v>Mms22l</v>
      </c>
      <c r="D4511" s="10">
        <f t="shared" si="70"/>
        <v>1.658521446236763</v>
      </c>
      <c r="F4511" s="8" t="str">
        <f>HYPERLINK("https://esbl.nhlbi.nih.gov/Databases/mpkFractions/proteomic_fractions_log_files/Yang_log_img/253970429.jpg","show blot")</f>
        <v>show blot</v>
      </c>
      <c r="H4511" s="8" t="str">
        <f>HYPERLINK("https://esbl.nhlbi.nih.gov/Databases/mpkFractions/proteomic_fractions_linear_files/Yang_linear_img/253970429.jpg","show blot")</f>
        <v>show blot</v>
      </c>
      <c r="J4511" s="5" t="s">
        <v>8819</v>
      </c>
      <c r="L4511" s="11">
        <v>1.658521446236763</v>
      </c>
      <c r="N4511" s="12"/>
    </row>
    <row r="4512" spans="1:14" s="5" customFormat="1" ht="15" customHeight="1" x14ac:dyDescent="0.25">
      <c r="A4512" s="9" t="s">
        <v>8820</v>
      </c>
      <c r="C4512" s="9" t="str">
        <f>HYPERLINK("http://www.ncbi.nlm.nih.gov/protein/89363038","Mnat1")</f>
        <v>Mnat1</v>
      </c>
      <c r="D4512" s="10">
        <f t="shared" si="70"/>
        <v>4.2808486378473853</v>
      </c>
      <c r="F4512" s="8" t="str">
        <f>HYPERLINK("https://esbl.nhlbi.nih.gov/Databases/mpkFractions/proteomic_fractions_log_files/Yang_log_img/89363038.jpg","show blot")</f>
        <v>show blot</v>
      </c>
      <c r="H4512" s="8" t="str">
        <f>HYPERLINK("https://esbl.nhlbi.nih.gov/Databases/mpkFractions/proteomic_fractions_linear_files/Yang_linear_img/89363038.jpg","show blot")</f>
        <v>show blot</v>
      </c>
      <c r="J4512" s="5" t="s">
        <v>8821</v>
      </c>
      <c r="L4512" s="11">
        <v>4.2808486378473853</v>
      </c>
      <c r="N4512" s="12"/>
    </row>
    <row r="4513" spans="1:14" s="5" customFormat="1" ht="15" customHeight="1" x14ac:dyDescent="0.25">
      <c r="A4513" s="9" t="s">
        <v>8822</v>
      </c>
      <c r="C4513" s="9" t="str">
        <f>HYPERLINK("http://www.ncbi.nlm.nih.gov/protein/84781795","Mnda")</f>
        <v>Mnda</v>
      </c>
      <c r="D4513" s="10">
        <f t="shared" si="70"/>
        <v>5.7836457579326934</v>
      </c>
      <c r="F4513" s="8" t="str">
        <f>HYPERLINK("https://esbl.nhlbi.nih.gov/Databases/mpkFractions/proteomic_fractions_log_files/Yang_log_img/84781795.jpg","show blot")</f>
        <v>show blot</v>
      </c>
      <c r="H4513" s="8" t="str">
        <f>HYPERLINK("https://esbl.nhlbi.nih.gov/Databases/mpkFractions/proteomic_fractions_linear_files/Yang_linear_img/84781795.jpg","show blot")</f>
        <v>show blot</v>
      </c>
      <c r="J4513" s="5" t="s">
        <v>8823</v>
      </c>
      <c r="L4513" s="11">
        <v>5.7836457579326934</v>
      </c>
      <c r="N4513" s="12"/>
    </row>
    <row r="4514" spans="1:14" s="5" customFormat="1" ht="15" customHeight="1" x14ac:dyDescent="0.25">
      <c r="A4514" s="9" t="s">
        <v>8824</v>
      </c>
      <c r="C4514" s="9" t="str">
        <f>HYPERLINK("http://www.ncbi.nlm.nih.gov/protein/21704148","Mob1a")</f>
        <v>Mob1a</v>
      </c>
      <c r="D4514" s="10">
        <f t="shared" si="70"/>
        <v>5.271495028686175</v>
      </c>
      <c r="F4514" s="8" t="str">
        <f>HYPERLINK("https://esbl.nhlbi.nih.gov/Databases/mpkFractions/proteomic_fractions_log_files/Yang_log_img/21704148.jpg","show blot")</f>
        <v>show blot</v>
      </c>
      <c r="H4514" s="8" t="str">
        <f>HYPERLINK("https://esbl.nhlbi.nih.gov/Databases/mpkFractions/proteomic_fractions_linear_files/Yang_linear_img/21704148.jpg","show blot")</f>
        <v>show blot</v>
      </c>
      <c r="J4514" s="5" t="s">
        <v>8825</v>
      </c>
      <c r="L4514" s="11">
        <v>5.271495028686175</v>
      </c>
      <c r="N4514" s="12"/>
    </row>
    <row r="4515" spans="1:14" s="5" customFormat="1" ht="15" customHeight="1" x14ac:dyDescent="0.25">
      <c r="A4515" s="9" t="s">
        <v>8826</v>
      </c>
      <c r="C4515" s="9" t="str">
        <f>HYPERLINK("http://www.ncbi.nlm.nih.gov/protein/62412947","Mob1b")</f>
        <v>Mob1b</v>
      </c>
      <c r="D4515" s="10">
        <f t="shared" si="70"/>
        <v>5.271495028686175</v>
      </c>
      <c r="F4515" s="8" t="str">
        <f>HYPERLINK("https://esbl.nhlbi.nih.gov/Databases/mpkFractions/proteomic_fractions_log_files/Yang_log_img/62412947.jpg","show blot")</f>
        <v>show blot</v>
      </c>
      <c r="H4515" s="8" t="str">
        <f>HYPERLINK("https://esbl.nhlbi.nih.gov/Databases/mpkFractions/proteomic_fractions_linear_files/Yang_linear_img/62412947.jpg","show blot")</f>
        <v>show blot</v>
      </c>
      <c r="J4515" s="5" t="s">
        <v>8827</v>
      </c>
      <c r="L4515" s="11">
        <v>5.271495028686175</v>
      </c>
      <c r="N4515" s="12"/>
    </row>
    <row r="4516" spans="1:14" s="5" customFormat="1" ht="15" customHeight="1" x14ac:dyDescent="0.25">
      <c r="A4516" s="9" t="s">
        <v>8828</v>
      </c>
      <c r="C4516" s="9" t="str">
        <f>HYPERLINK("http://www.ncbi.nlm.nih.gov/protein/20149310","Mob2")</f>
        <v>Mob2</v>
      </c>
      <c r="D4516" s="10">
        <f t="shared" si="70"/>
        <v>4.110289867391665</v>
      </c>
      <c r="F4516" s="8" t="str">
        <f>HYPERLINK("https://esbl.nhlbi.nih.gov/Databases/mpkFractions/proteomic_fractions_log_files/Yang_log_img/20149310.jpg","show blot")</f>
        <v>show blot</v>
      </c>
      <c r="H4516" s="8" t="str">
        <f>HYPERLINK("https://esbl.nhlbi.nih.gov/Databases/mpkFractions/proteomic_fractions_linear_files/Yang_linear_img/20149310.jpg","show blot")</f>
        <v>show blot</v>
      </c>
      <c r="J4516" s="5" t="s">
        <v>8829</v>
      </c>
      <c r="L4516" s="11">
        <v>4.110289867391665</v>
      </c>
      <c r="N4516" s="12"/>
    </row>
    <row r="4517" spans="1:14" s="5" customFormat="1" ht="15" customHeight="1" x14ac:dyDescent="0.25">
      <c r="A4517" s="9" t="s">
        <v>8830</v>
      </c>
      <c r="C4517" s="9" t="str">
        <f>HYPERLINK("http://www.ncbi.nlm.nih.gov/protein/40254521","Mob4")</f>
        <v>Mob4</v>
      </c>
      <c r="D4517" s="10">
        <f t="shared" si="70"/>
        <v>5.1216103458439006</v>
      </c>
      <c r="F4517" s="8" t="str">
        <f>HYPERLINK("https://esbl.nhlbi.nih.gov/Databases/mpkFractions/proteomic_fractions_log_files/Yang_log_img/40254521.jpg","show blot")</f>
        <v>show blot</v>
      </c>
      <c r="H4517" s="8" t="str">
        <f>HYPERLINK("https://esbl.nhlbi.nih.gov/Databases/mpkFractions/proteomic_fractions_linear_files/Yang_linear_img/40254521.jpg","show blot")</f>
        <v>show blot</v>
      </c>
      <c r="J4517" s="5" t="s">
        <v>8831</v>
      </c>
      <c r="L4517" s="11">
        <v>5.1216103458439006</v>
      </c>
      <c r="N4517" s="12"/>
    </row>
    <row r="4518" spans="1:14" s="5" customFormat="1" ht="15" customHeight="1" x14ac:dyDescent="0.25">
      <c r="A4518" s="9" t="s">
        <v>8832</v>
      </c>
      <c r="C4518" s="9" t="str">
        <f>HYPERLINK("http://www.ncbi.nlm.nih.gov/protein/161484628","Mocs1")</f>
        <v>Mocs1</v>
      </c>
      <c r="D4518" s="10">
        <f t="shared" si="70"/>
        <v>2.450516375661373</v>
      </c>
      <c r="F4518" s="8" t="str">
        <f>HYPERLINK("https://esbl.nhlbi.nih.gov/Databases/mpkFractions/proteomic_fractions_log_files/Yang_log_img/161484628.jpg","show blot")</f>
        <v>show blot</v>
      </c>
      <c r="H4518" s="8" t="str">
        <f>HYPERLINK("https://esbl.nhlbi.nih.gov/Databases/mpkFractions/proteomic_fractions_linear_files/Yang_linear_img/161484628.jpg","show blot")</f>
        <v>show blot</v>
      </c>
      <c r="J4518" s="5" t="s">
        <v>8833</v>
      </c>
      <c r="L4518" s="11">
        <v>2.450516375661373</v>
      </c>
      <c r="N4518" s="12"/>
    </row>
    <row r="4519" spans="1:14" s="5" customFormat="1" ht="15" customHeight="1" x14ac:dyDescent="0.25">
      <c r="A4519" s="9" t="s">
        <v>8834</v>
      </c>
      <c r="C4519" s="9" t="str">
        <f>HYPERLINK("http://www.ncbi.nlm.nih.gov/protein/237820699","Mocs3")</f>
        <v>Mocs3</v>
      </c>
      <c r="D4519" s="10">
        <f t="shared" si="70"/>
        <v>5.2760536530621041</v>
      </c>
      <c r="F4519" s="8" t="str">
        <f>HYPERLINK("https://esbl.nhlbi.nih.gov/Databases/mpkFractions/proteomic_fractions_log_files/Yang_log_img/237820699.jpg","show blot")</f>
        <v>show blot</v>
      </c>
      <c r="H4519" s="8" t="str">
        <f>HYPERLINK("https://esbl.nhlbi.nih.gov/Databases/mpkFractions/proteomic_fractions_linear_files/Yang_linear_img/237820699.jpg","show blot")</f>
        <v>show blot</v>
      </c>
      <c r="J4519" s="5" t="s">
        <v>8835</v>
      </c>
      <c r="L4519" s="11">
        <v>5.2760536530621041</v>
      </c>
      <c r="N4519" s="12"/>
    </row>
    <row r="4520" spans="1:14" s="5" customFormat="1" ht="15" customHeight="1" x14ac:dyDescent="0.25">
      <c r="A4520" s="9" t="s">
        <v>8836</v>
      </c>
      <c r="C4520" s="9" t="str">
        <f>HYPERLINK("http://www.ncbi.nlm.nih.gov/protein/31981106","Mogs")</f>
        <v>Mogs</v>
      </c>
      <c r="D4520" s="10">
        <f t="shared" si="70"/>
        <v>4.7776546286955277</v>
      </c>
      <c r="F4520" s="8" t="str">
        <f>HYPERLINK("https://esbl.nhlbi.nih.gov/Databases/mpkFractions/proteomic_fractions_log_files/Yang_log_img/31981106.jpg","show blot")</f>
        <v>show blot</v>
      </c>
      <c r="H4520" s="8" t="str">
        <f>HYPERLINK("https://esbl.nhlbi.nih.gov/Databases/mpkFractions/proteomic_fractions_linear_files/Yang_linear_img/31981106.jpg","show blot")</f>
        <v>show blot</v>
      </c>
      <c r="J4520" s="5" t="s">
        <v>8837</v>
      </c>
      <c r="L4520" s="11">
        <v>4.7776546286955277</v>
      </c>
      <c r="N4520" s="12"/>
    </row>
    <row r="4521" spans="1:14" s="5" customFormat="1" ht="15" customHeight="1" x14ac:dyDescent="0.25">
      <c r="A4521" s="9" t="s">
        <v>8838</v>
      </c>
      <c r="C4521" s="9" t="str">
        <f>HYPERLINK("http://www.ncbi.nlm.nih.gov/protein/21312179","Mon1a")</f>
        <v>Mon1a</v>
      </c>
      <c r="D4521" s="10">
        <f t="shared" si="70"/>
        <v>1.9872048017595709</v>
      </c>
      <c r="F4521" s="8" t="str">
        <f>HYPERLINK("https://esbl.nhlbi.nih.gov/Databases/mpkFractions/proteomic_fractions_log_files/Yang_log_img/21312179.jpg","show blot")</f>
        <v>show blot</v>
      </c>
      <c r="H4521" s="8" t="str">
        <f>HYPERLINK("https://esbl.nhlbi.nih.gov/Databases/mpkFractions/proteomic_fractions_linear_files/Yang_linear_img/21312179.jpg","show blot")</f>
        <v>show blot</v>
      </c>
      <c r="J4521" s="5" t="s">
        <v>8839</v>
      </c>
      <c r="L4521" s="11">
        <v>1.9872048017595709</v>
      </c>
      <c r="N4521" s="12"/>
    </row>
    <row r="4522" spans="1:14" s="5" customFormat="1" ht="15" customHeight="1" x14ac:dyDescent="0.25">
      <c r="A4522" s="9" t="s">
        <v>8840</v>
      </c>
      <c r="C4522" s="9" t="str">
        <f>HYPERLINK("http://www.ncbi.nlm.nih.gov/protein/27370524","Mon1b")</f>
        <v>Mon1b</v>
      </c>
      <c r="D4522" s="10">
        <f t="shared" si="70"/>
        <v>2.4436916854790152</v>
      </c>
      <c r="F4522" s="8" t="str">
        <f>HYPERLINK("https://esbl.nhlbi.nih.gov/Databases/mpkFractions/proteomic_fractions_log_files/Yang_log_img/27370524.jpg","show blot")</f>
        <v>show blot</v>
      </c>
      <c r="H4522" s="8" t="str">
        <f>HYPERLINK("https://esbl.nhlbi.nih.gov/Databases/mpkFractions/proteomic_fractions_linear_files/Yang_linear_img/27370524.jpg","show blot")</f>
        <v>show blot</v>
      </c>
      <c r="J4522" s="5" t="s">
        <v>8841</v>
      </c>
      <c r="L4522" s="11">
        <v>2.4436916854790152</v>
      </c>
      <c r="N4522" s="12"/>
    </row>
    <row r="4523" spans="1:14" s="5" customFormat="1" ht="15" customHeight="1" x14ac:dyDescent="0.25">
      <c r="A4523" s="9" t="s">
        <v>8842</v>
      </c>
      <c r="C4523" s="9" t="str">
        <f>HYPERLINK("http://www.ncbi.nlm.nih.gov/protein/253683420","Mon2")</f>
        <v>Mon2</v>
      </c>
      <c r="D4523" s="10">
        <f t="shared" si="70"/>
        <v>5.050049668521905</v>
      </c>
      <c r="F4523" s="8" t="str">
        <f>HYPERLINK("https://esbl.nhlbi.nih.gov/Databases/mpkFractions/proteomic_fractions_log_files/Yang_log_img/253683420.jpg","show blot")</f>
        <v>show blot</v>
      </c>
      <c r="H4523" s="8" t="str">
        <f>HYPERLINK("https://esbl.nhlbi.nih.gov/Databases/mpkFractions/proteomic_fractions_linear_files/Yang_linear_img/253683420.jpg","show blot")</f>
        <v>show blot</v>
      </c>
      <c r="J4523" s="5" t="s">
        <v>8843</v>
      </c>
      <c r="L4523" s="11">
        <v>5.050049668521905</v>
      </c>
      <c r="N4523" s="12"/>
    </row>
    <row r="4524" spans="1:14" s="5" customFormat="1" ht="15" customHeight="1" x14ac:dyDescent="0.25">
      <c r="A4524" s="9" t="s">
        <v>8844</v>
      </c>
      <c r="C4524" s="9" t="str">
        <f>HYPERLINK("http://www.ncbi.nlm.nih.gov/protein/253683422","Mon2")</f>
        <v>Mon2</v>
      </c>
      <c r="D4524" s="10">
        <f t="shared" si="70"/>
        <v>5.050049668521905</v>
      </c>
      <c r="F4524" s="8" t="str">
        <f>HYPERLINK("https://esbl.nhlbi.nih.gov/Databases/mpkFractions/proteomic_fractions_log_files/Yang_log_img/253683422.jpg","show blot")</f>
        <v>show blot</v>
      </c>
      <c r="H4524" s="8" t="str">
        <f>HYPERLINK("https://esbl.nhlbi.nih.gov/Databases/mpkFractions/proteomic_fractions_linear_files/Yang_linear_img/253683422.jpg","show blot")</f>
        <v>show blot</v>
      </c>
      <c r="J4524" s="5" t="s">
        <v>8845</v>
      </c>
      <c r="L4524" s="11">
        <v>5.050049668521905</v>
      </c>
      <c r="N4524" s="12"/>
    </row>
    <row r="4525" spans="1:14" s="5" customFormat="1" ht="15" customHeight="1" x14ac:dyDescent="0.25">
      <c r="A4525" s="9" t="s">
        <v>8846</v>
      </c>
      <c r="C4525" s="9" t="str">
        <f>HYPERLINK("http://www.ncbi.nlm.nih.gov/protein/253683424","Mon2")</f>
        <v>Mon2</v>
      </c>
      <c r="D4525" s="10">
        <f t="shared" si="70"/>
        <v>5.050049668521905</v>
      </c>
      <c r="F4525" s="8" t="str">
        <f>HYPERLINK("https://esbl.nhlbi.nih.gov/Databases/mpkFractions/proteomic_fractions_log_files/Yang_log_img/253683424.jpg","show blot")</f>
        <v>show blot</v>
      </c>
      <c r="H4525" s="8" t="str">
        <f>HYPERLINK("https://esbl.nhlbi.nih.gov/Databases/mpkFractions/proteomic_fractions_linear_files/Yang_linear_img/253683424.jpg","show blot")</f>
        <v>show blot</v>
      </c>
      <c r="J4525" s="5" t="s">
        <v>8847</v>
      </c>
      <c r="L4525" s="11">
        <v>5.050049668521905</v>
      </c>
      <c r="N4525" s="12"/>
    </row>
    <row r="4526" spans="1:14" s="5" customFormat="1" ht="15" customHeight="1" x14ac:dyDescent="0.25">
      <c r="A4526" s="9" t="s">
        <v>8848</v>
      </c>
      <c r="C4526" s="9" t="str">
        <f>HYPERLINK("http://www.ncbi.nlm.nih.gov/protein/13277348","Morf4l1")</f>
        <v>Morf4l1</v>
      </c>
      <c r="D4526" s="10">
        <f t="shared" si="70"/>
        <v>3.125241952552428</v>
      </c>
      <c r="F4526" s="8" t="str">
        <f>HYPERLINK("https://esbl.nhlbi.nih.gov/Databases/mpkFractions/proteomic_fractions_log_files/Yang_log_img/13277348.jpg","show blot")</f>
        <v>show blot</v>
      </c>
      <c r="H4526" s="8" t="str">
        <f>HYPERLINK("https://esbl.nhlbi.nih.gov/Databases/mpkFractions/proteomic_fractions_linear_files/Yang_linear_img/13277348.jpg","show blot")</f>
        <v>show blot</v>
      </c>
      <c r="J4526" s="5" t="s">
        <v>8849</v>
      </c>
      <c r="L4526" s="11">
        <v>3.125241952552428</v>
      </c>
      <c r="N4526" s="12"/>
    </row>
    <row r="4527" spans="1:14" s="5" customFormat="1" ht="15" customHeight="1" x14ac:dyDescent="0.25">
      <c r="A4527" s="9" t="s">
        <v>8850</v>
      </c>
      <c r="C4527" s="9" t="str">
        <f>HYPERLINK("http://www.ncbi.nlm.nih.gov/protein/85540473","Morf4l1")</f>
        <v>Morf4l1</v>
      </c>
      <c r="D4527" s="10">
        <f t="shared" si="70"/>
        <v>3.125241952552428</v>
      </c>
      <c r="F4527" s="8" t="str">
        <f>HYPERLINK("https://esbl.nhlbi.nih.gov/Databases/mpkFractions/proteomic_fractions_log_files/Yang_log_img/85540473.jpg","show blot")</f>
        <v>show blot</v>
      </c>
      <c r="H4527" s="8" t="str">
        <f>HYPERLINK("https://esbl.nhlbi.nih.gov/Databases/mpkFractions/proteomic_fractions_linear_files/Yang_linear_img/85540473.jpg","show blot")</f>
        <v>show blot</v>
      </c>
      <c r="J4527" s="5" t="s">
        <v>8851</v>
      </c>
      <c r="L4527" s="11">
        <v>3.125241952552428</v>
      </c>
      <c r="N4527" s="12"/>
    </row>
    <row r="4528" spans="1:14" s="5" customFormat="1" ht="15" customHeight="1" x14ac:dyDescent="0.25">
      <c r="A4528" s="9" t="s">
        <v>8852</v>
      </c>
      <c r="C4528" s="9" t="str">
        <f>HYPERLINK("http://www.ncbi.nlm.nih.gov/protein/167234396","Mospd2")</f>
        <v>Mospd2</v>
      </c>
      <c r="D4528" s="10">
        <f t="shared" si="70"/>
        <v>3.6900827612349349</v>
      </c>
      <c r="F4528" s="8" t="str">
        <f>HYPERLINK("https://esbl.nhlbi.nih.gov/Databases/mpkFractions/proteomic_fractions_log_files/Yang_log_img/167234396.jpg","show blot")</f>
        <v>show blot</v>
      </c>
      <c r="H4528" s="8" t="str">
        <f>HYPERLINK("https://esbl.nhlbi.nih.gov/Databases/mpkFractions/proteomic_fractions_linear_files/Yang_linear_img/167234396.jpg","show blot")</f>
        <v>show blot</v>
      </c>
      <c r="J4528" s="5" t="s">
        <v>8853</v>
      </c>
      <c r="L4528" s="11">
        <v>3.6900827612349349</v>
      </c>
      <c r="N4528" s="12"/>
    </row>
    <row r="4529" spans="1:14" s="5" customFormat="1" ht="15" customHeight="1" x14ac:dyDescent="0.25">
      <c r="A4529" s="9" t="s">
        <v>8854</v>
      </c>
      <c r="C4529" s="9" t="str">
        <f>HYPERLINK("http://www.ncbi.nlm.nih.gov/protein/254540179","Mov10")</f>
        <v>Mov10</v>
      </c>
      <c r="D4529" s="10">
        <f t="shared" si="70"/>
        <v>4.8479835159093412</v>
      </c>
      <c r="F4529" s="8" t="str">
        <f>HYPERLINK("https://esbl.nhlbi.nih.gov/Databases/mpkFractions/proteomic_fractions_log_files/Yang_log_img/254540179.jpg","show blot")</f>
        <v>show blot</v>
      </c>
      <c r="H4529" s="8" t="str">
        <f>HYPERLINK("https://esbl.nhlbi.nih.gov/Databases/mpkFractions/proteomic_fractions_linear_files/Yang_linear_img/254540179.jpg","show blot")</f>
        <v>show blot</v>
      </c>
      <c r="J4529" s="5" t="s">
        <v>8855</v>
      </c>
      <c r="L4529" s="11">
        <v>4.8479835159093412</v>
      </c>
      <c r="N4529" s="12"/>
    </row>
    <row r="4530" spans="1:14" s="5" customFormat="1" ht="15" customHeight="1" x14ac:dyDescent="0.25">
      <c r="A4530" s="9" t="s">
        <v>8856</v>
      </c>
      <c r="C4530" s="9" t="str">
        <f>HYPERLINK("http://www.ncbi.nlm.nih.gov/protein/254540181","Mov10")</f>
        <v>Mov10</v>
      </c>
      <c r="D4530" s="10">
        <f t="shared" si="70"/>
        <v>4.8479835159093412</v>
      </c>
      <c r="F4530" s="8" t="str">
        <f>HYPERLINK("https://esbl.nhlbi.nih.gov/Databases/mpkFractions/proteomic_fractions_log_files/Yang_log_img/254540181.jpg","show blot")</f>
        <v>show blot</v>
      </c>
      <c r="H4530" s="8" t="str">
        <f>HYPERLINK("https://esbl.nhlbi.nih.gov/Databases/mpkFractions/proteomic_fractions_linear_files/Yang_linear_img/254540181.jpg","show blot")</f>
        <v>show blot</v>
      </c>
      <c r="J4530" s="5" t="s">
        <v>8857</v>
      </c>
      <c r="L4530" s="11">
        <v>4.8479835159093412</v>
      </c>
      <c r="N4530" s="12"/>
    </row>
    <row r="4531" spans="1:14" s="5" customFormat="1" ht="15" customHeight="1" x14ac:dyDescent="0.25">
      <c r="A4531" s="9" t="s">
        <v>8858</v>
      </c>
      <c r="C4531" s="9" t="str">
        <f>HYPERLINK("http://www.ncbi.nlm.nih.gov/protein/9055178","Mpc1")</f>
        <v>Mpc1</v>
      </c>
      <c r="D4531" s="10">
        <f t="shared" si="70"/>
        <v>4.1400924315414072</v>
      </c>
      <c r="F4531" s="8" t="str">
        <f>HYPERLINK("https://esbl.nhlbi.nih.gov/Databases/mpkFractions/proteomic_fractions_log_files/Yang_log_img/9055178.jpg","show blot")</f>
        <v>show blot</v>
      </c>
      <c r="H4531" s="8" t="str">
        <f>HYPERLINK("https://esbl.nhlbi.nih.gov/Databases/mpkFractions/proteomic_fractions_linear_files/Yang_linear_img/9055178.jpg","show blot")</f>
        <v>show blot</v>
      </c>
      <c r="J4531" s="5" t="s">
        <v>8859</v>
      </c>
      <c r="L4531" s="11">
        <v>4.1400924315414072</v>
      </c>
      <c r="N4531" s="12"/>
    </row>
    <row r="4532" spans="1:14" s="5" customFormat="1" ht="15" customHeight="1" x14ac:dyDescent="0.25">
      <c r="A4532" s="9" t="s">
        <v>8860</v>
      </c>
      <c r="C4532" s="9" t="str">
        <f>HYPERLINK("http://www.ncbi.nlm.nih.gov/protein/21312594","Mpc2")</f>
        <v>Mpc2</v>
      </c>
      <c r="D4532" s="10">
        <f t="shared" si="70"/>
        <v>4.6779777588701963</v>
      </c>
      <c r="F4532" s="8" t="str">
        <f>HYPERLINK("https://esbl.nhlbi.nih.gov/Databases/mpkFractions/proteomic_fractions_log_files/Yang_log_img/21312594.jpg","show blot")</f>
        <v>show blot</v>
      </c>
      <c r="H4532" s="8" t="str">
        <f>HYPERLINK("https://esbl.nhlbi.nih.gov/Databases/mpkFractions/proteomic_fractions_linear_files/Yang_linear_img/21312594.jpg","show blot")</f>
        <v>show blot</v>
      </c>
      <c r="J4532" s="5" t="s">
        <v>8861</v>
      </c>
      <c r="L4532" s="11">
        <v>4.6779777588701963</v>
      </c>
      <c r="N4532" s="12"/>
    </row>
    <row r="4533" spans="1:14" s="5" customFormat="1" ht="15" customHeight="1" x14ac:dyDescent="0.25">
      <c r="A4533" s="9" t="s">
        <v>8862</v>
      </c>
      <c r="C4533" s="9" t="str">
        <f>HYPERLINK("http://www.ncbi.nlm.nih.gov/protein/31981340","Mpdu1")</f>
        <v>Mpdu1</v>
      </c>
      <c r="D4533" s="10">
        <f t="shared" si="70"/>
        <v>4.8829007212946554</v>
      </c>
      <c r="F4533" s="8" t="str">
        <f>HYPERLINK("https://esbl.nhlbi.nih.gov/Databases/mpkFractions/proteomic_fractions_log_files/Yang_log_img/31981340.jpg","show blot")</f>
        <v>show blot</v>
      </c>
      <c r="H4533" s="8" t="str">
        <f>HYPERLINK("https://esbl.nhlbi.nih.gov/Databases/mpkFractions/proteomic_fractions_linear_files/Yang_linear_img/31981340.jpg","show blot")</f>
        <v>show blot</v>
      </c>
      <c r="J4533" s="5" t="s">
        <v>8863</v>
      </c>
      <c r="L4533" s="11">
        <v>4.8829007212946554</v>
      </c>
      <c r="N4533" s="12"/>
    </row>
    <row r="4534" spans="1:14" s="5" customFormat="1" ht="15" customHeight="1" x14ac:dyDescent="0.25">
      <c r="A4534" s="9" t="s">
        <v>8864</v>
      </c>
      <c r="C4534" s="9" t="str">
        <f>HYPERLINK("http://www.ncbi.nlm.nih.gov/protein/124053457","Mpdz")</f>
        <v>Mpdz</v>
      </c>
      <c r="D4534" s="10">
        <f t="shared" si="70"/>
        <v>4.3563176488305064</v>
      </c>
      <c r="F4534" s="8" t="str">
        <f>HYPERLINK("https://esbl.nhlbi.nih.gov/Databases/mpkFractions/proteomic_fractions_log_files/Yang_log_img/124053457.jpg","show blot")</f>
        <v>show blot</v>
      </c>
      <c r="H4534" s="8" t="str">
        <f>HYPERLINK("https://esbl.nhlbi.nih.gov/Databases/mpkFractions/proteomic_fractions_linear_files/Yang_linear_img/124053457.jpg","show blot")</f>
        <v>show blot</v>
      </c>
      <c r="J4534" s="5" t="s">
        <v>8865</v>
      </c>
      <c r="L4534" s="11">
        <v>4.3563176488305064</v>
      </c>
      <c r="N4534" s="12"/>
    </row>
    <row r="4535" spans="1:14" s="5" customFormat="1" ht="15" customHeight="1" x14ac:dyDescent="0.25">
      <c r="A4535" s="9" t="s">
        <v>8866</v>
      </c>
      <c r="C4535" s="9" t="str">
        <f>HYPERLINK("http://www.ncbi.nlm.nih.gov/protein/268370034","Mpg")</f>
        <v>Mpg</v>
      </c>
      <c r="D4535" s="10">
        <f t="shared" si="70"/>
        <v>2.1470944965562291</v>
      </c>
      <c r="F4535" s="8" t="str">
        <f>HYPERLINK("https://esbl.nhlbi.nih.gov/Databases/mpkFractions/proteomic_fractions_log_files/Yang_log_img/268370034.jpg","show blot")</f>
        <v>show blot</v>
      </c>
      <c r="H4535" s="8" t="str">
        <f>HYPERLINK("https://esbl.nhlbi.nih.gov/Databases/mpkFractions/proteomic_fractions_linear_files/Yang_linear_img/268370034.jpg","show blot")</f>
        <v>show blot</v>
      </c>
      <c r="J4535" s="5" t="s">
        <v>8867</v>
      </c>
      <c r="L4535" s="11">
        <v>2.1470944965562291</v>
      </c>
      <c r="N4535" s="12"/>
    </row>
    <row r="4536" spans="1:14" s="5" customFormat="1" ht="15" customHeight="1" x14ac:dyDescent="0.25">
      <c r="A4536" s="9" t="s">
        <v>8868</v>
      </c>
      <c r="C4536" s="9" t="str">
        <f>HYPERLINK("http://www.ncbi.nlm.nih.gov/protein/21312048","Mphosph6")</f>
        <v>Mphosph6</v>
      </c>
      <c r="D4536" s="10">
        <f t="shared" si="70"/>
        <v>4.4876638947052649</v>
      </c>
      <c r="F4536" s="8" t="str">
        <f>HYPERLINK("https://esbl.nhlbi.nih.gov/Databases/mpkFractions/proteomic_fractions_log_files/Yang_log_img/21312048.jpg","show blot")</f>
        <v>show blot</v>
      </c>
      <c r="H4536" s="8" t="str">
        <f>HYPERLINK("https://esbl.nhlbi.nih.gov/Databases/mpkFractions/proteomic_fractions_linear_files/Yang_linear_img/21312048.jpg","show blot")</f>
        <v>show blot</v>
      </c>
      <c r="J4536" s="5" t="s">
        <v>8869</v>
      </c>
      <c r="L4536" s="11">
        <v>4.4876638947052649</v>
      </c>
      <c r="N4536" s="12"/>
    </row>
    <row r="4537" spans="1:14" s="5" customFormat="1" ht="15" customHeight="1" x14ac:dyDescent="0.25">
      <c r="A4537" s="9" t="s">
        <v>8870</v>
      </c>
      <c r="C4537" s="9" t="str">
        <f>HYPERLINK("http://www.ncbi.nlm.nih.gov/protein/91206392","Mpi")</f>
        <v>Mpi</v>
      </c>
      <c r="D4537" s="10">
        <f t="shared" si="70"/>
        <v>5.4247984432728984</v>
      </c>
      <c r="F4537" s="8" t="str">
        <f>HYPERLINK("https://esbl.nhlbi.nih.gov/Databases/mpkFractions/proteomic_fractions_log_files/Yang_log_img/91206392.jpg","show blot")</f>
        <v>show blot</v>
      </c>
      <c r="H4537" s="8" t="str">
        <f>HYPERLINK("https://esbl.nhlbi.nih.gov/Databases/mpkFractions/proteomic_fractions_linear_files/Yang_linear_img/91206392.jpg","show blot")</f>
        <v>show blot</v>
      </c>
      <c r="J4537" s="5" t="s">
        <v>8871</v>
      </c>
      <c r="L4537" s="11">
        <v>5.4247984432728984</v>
      </c>
      <c r="N4537" s="12"/>
    </row>
    <row r="4538" spans="1:14" s="5" customFormat="1" ht="15" customHeight="1" x14ac:dyDescent="0.25">
      <c r="A4538" s="9" t="s">
        <v>8872</v>
      </c>
      <c r="C4538" s="9" t="str">
        <f>HYPERLINK("http://www.ncbi.nlm.nih.gov/protein/7710062","Mpp2")</f>
        <v>Mpp2</v>
      </c>
      <c r="D4538" s="10">
        <f t="shared" si="70"/>
        <v>3.683131224301849</v>
      </c>
      <c r="F4538" s="8" t="str">
        <f>HYPERLINK("https://esbl.nhlbi.nih.gov/Databases/mpkFractions/proteomic_fractions_log_files/Yang_log_img/7710062.jpg","show blot")</f>
        <v>show blot</v>
      </c>
      <c r="H4538" s="8" t="str">
        <f>HYPERLINK("https://esbl.nhlbi.nih.gov/Databases/mpkFractions/proteomic_fractions_linear_files/Yang_linear_img/7710062.jpg","show blot")</f>
        <v>show blot</v>
      </c>
      <c r="J4538" s="5" t="s">
        <v>8873</v>
      </c>
      <c r="L4538" s="11">
        <v>3.683131224301849</v>
      </c>
      <c r="N4538" s="12"/>
    </row>
    <row r="4539" spans="1:14" s="5" customFormat="1" ht="15" customHeight="1" x14ac:dyDescent="0.25">
      <c r="A4539" s="9" t="s">
        <v>8874</v>
      </c>
      <c r="C4539" s="9" t="str">
        <f>HYPERLINK("http://www.ncbi.nlm.nih.gov/protein/118026923","Mpp3")</f>
        <v>Mpp3</v>
      </c>
      <c r="D4539" s="10">
        <f t="shared" si="70"/>
        <v>3.0169574070524279</v>
      </c>
      <c r="F4539" s="8" t="str">
        <f>HYPERLINK("https://esbl.nhlbi.nih.gov/Databases/mpkFractions/proteomic_fractions_log_files/Yang_log_img/118026923.jpg","show blot")</f>
        <v>show blot</v>
      </c>
      <c r="H4539" s="8" t="str">
        <f>HYPERLINK("https://esbl.nhlbi.nih.gov/Databases/mpkFractions/proteomic_fractions_linear_files/Yang_linear_img/118026923.jpg","show blot")</f>
        <v>show blot</v>
      </c>
      <c r="J4539" s="5" t="s">
        <v>8875</v>
      </c>
      <c r="L4539" s="11">
        <v>3.0169574070524279</v>
      </c>
      <c r="N4539" s="12"/>
    </row>
    <row r="4540" spans="1:14" s="5" customFormat="1" ht="15" customHeight="1" x14ac:dyDescent="0.25">
      <c r="A4540" s="9" t="s">
        <v>8876</v>
      </c>
      <c r="C4540" s="9" t="str">
        <f>HYPERLINK("http://www.ncbi.nlm.nih.gov/protein/9625023","Mpp5")</f>
        <v>Mpp5</v>
      </c>
      <c r="D4540" s="10">
        <f t="shared" si="70"/>
        <v>4.4077863102103239</v>
      </c>
      <c r="F4540" s="8" t="str">
        <f>HYPERLINK("https://esbl.nhlbi.nih.gov/Databases/mpkFractions/proteomic_fractions_log_files/Yang_log_img/9625023.jpg","show blot")</f>
        <v>show blot</v>
      </c>
      <c r="H4540" s="8" t="str">
        <f>HYPERLINK("https://esbl.nhlbi.nih.gov/Databases/mpkFractions/proteomic_fractions_linear_files/Yang_linear_img/9625023.jpg","show blot")</f>
        <v>show blot</v>
      </c>
      <c r="J4540" s="5" t="s">
        <v>8877</v>
      </c>
      <c r="L4540" s="11">
        <v>4.4077863102103239</v>
      </c>
      <c r="N4540" s="12"/>
    </row>
    <row r="4541" spans="1:14" s="5" customFormat="1" ht="15" customHeight="1" x14ac:dyDescent="0.25">
      <c r="A4541" s="9" t="s">
        <v>8878</v>
      </c>
      <c r="C4541" s="9" t="str">
        <f>HYPERLINK("http://www.ncbi.nlm.nih.gov/protein/257900522","Mpp6")</f>
        <v>Mpp6</v>
      </c>
      <c r="D4541" s="10">
        <f t="shared" si="70"/>
        <v>4.7825787305403882</v>
      </c>
      <c r="F4541" s="8" t="str">
        <f>HYPERLINK("https://esbl.nhlbi.nih.gov/Databases/mpkFractions/proteomic_fractions_log_files/Yang_log_img/257900522.jpg","show blot")</f>
        <v>show blot</v>
      </c>
      <c r="H4541" s="8" t="str">
        <f>HYPERLINK("https://esbl.nhlbi.nih.gov/Databases/mpkFractions/proteomic_fractions_linear_files/Yang_linear_img/257900522.jpg","show blot")</f>
        <v>show blot</v>
      </c>
      <c r="J4541" s="5" t="s">
        <v>8879</v>
      </c>
      <c r="L4541" s="11">
        <v>4.7825787305403882</v>
      </c>
      <c r="N4541" s="12"/>
    </row>
    <row r="4542" spans="1:14" s="5" customFormat="1" ht="15" customHeight="1" x14ac:dyDescent="0.25">
      <c r="A4542" s="9" t="s">
        <v>8880</v>
      </c>
      <c r="C4542" s="9" t="str">
        <f>HYPERLINK("http://www.ncbi.nlm.nih.gov/protein/257900524;257900522","Mpp6")</f>
        <v>Mpp6</v>
      </c>
      <c r="D4542" s="10">
        <f t="shared" si="70"/>
        <v>4.7825787305403882</v>
      </c>
      <c r="F4542" s="8" t="str">
        <f>HYPERLINK("https://esbl.nhlbi.nih.gov/Databases/mpkFractions/proteomic_fractions_log_files/Yang_log_img/257900524;257900522.jpg","show blot")</f>
        <v>show blot</v>
      </c>
      <c r="H4542" s="8" t="str">
        <f>HYPERLINK("https://esbl.nhlbi.nih.gov/Databases/mpkFractions/proteomic_fractions_linear_files/Yang_linear_img/257900524;257900522.jpg","show blot")</f>
        <v>show blot</v>
      </c>
      <c r="J4542" s="5" t="s">
        <v>8879</v>
      </c>
      <c r="L4542" s="11">
        <v>4.7825787305403882</v>
      </c>
      <c r="N4542" s="12"/>
    </row>
    <row r="4543" spans="1:14" s="5" customFormat="1" ht="15" customHeight="1" x14ac:dyDescent="0.25">
      <c r="A4543" s="9" t="s">
        <v>8881</v>
      </c>
      <c r="C4543" s="9" t="str">
        <f>HYPERLINK("http://www.ncbi.nlm.nih.gov/protein/257900520","Mpp6")</f>
        <v>Mpp6</v>
      </c>
      <c r="D4543" s="10">
        <f t="shared" si="70"/>
        <v>4.7825787305403882</v>
      </c>
      <c r="F4543" s="8" t="str">
        <f>HYPERLINK("https://esbl.nhlbi.nih.gov/Databases/mpkFractions/proteomic_fractions_log_files/Yang_log_img/257900520.jpg","show blot")</f>
        <v>show blot</v>
      </c>
      <c r="H4543" s="8" t="str">
        <f>HYPERLINK("https://esbl.nhlbi.nih.gov/Databases/mpkFractions/proteomic_fractions_linear_files/Yang_linear_img/257900520.jpg","show blot")</f>
        <v>show blot</v>
      </c>
      <c r="J4543" s="5" t="s">
        <v>8882</v>
      </c>
      <c r="L4543" s="11">
        <v>4.7825787305403882</v>
      </c>
      <c r="N4543" s="12"/>
    </row>
    <row r="4544" spans="1:14" s="5" customFormat="1" ht="15" customHeight="1" x14ac:dyDescent="0.25">
      <c r="A4544" s="9" t="s">
        <v>8883</v>
      </c>
      <c r="C4544" s="9" t="str">
        <f>HYPERLINK("http://www.ncbi.nlm.nih.gov/protein/239051572","Mpp7")</f>
        <v>Mpp7</v>
      </c>
      <c r="D4544" s="10">
        <f t="shared" si="70"/>
        <v>5.2784695627230711</v>
      </c>
      <c r="F4544" s="8" t="str">
        <f>HYPERLINK("https://esbl.nhlbi.nih.gov/Databases/mpkFractions/proteomic_fractions_log_files/Yang_log_img/239051572.jpg","show blot")</f>
        <v>show blot</v>
      </c>
      <c r="H4544" s="8" t="str">
        <f>HYPERLINK("https://esbl.nhlbi.nih.gov/Databases/mpkFractions/proteomic_fractions_linear_files/Yang_linear_img/239051572.jpg","show blot")</f>
        <v>show blot</v>
      </c>
      <c r="J4544" s="5" t="s">
        <v>8884</v>
      </c>
      <c r="L4544" s="11">
        <v>5.2784695627230711</v>
      </c>
      <c r="N4544" s="12"/>
    </row>
    <row r="4545" spans="1:14" s="5" customFormat="1" ht="15" customHeight="1" x14ac:dyDescent="0.25">
      <c r="A4545" s="9" t="s">
        <v>8885</v>
      </c>
      <c r="C4545" s="9" t="str">
        <f>HYPERLINK("http://www.ncbi.nlm.nih.gov/protein/239051602","Mpp7")</f>
        <v>Mpp7</v>
      </c>
      <c r="D4545" s="10">
        <f t="shared" si="70"/>
        <v>5.2784695627230711</v>
      </c>
      <c r="F4545" s="8" t="str">
        <f>HYPERLINK("https://esbl.nhlbi.nih.gov/Databases/mpkFractions/proteomic_fractions_log_files/Yang_log_img/239051602.jpg","show blot")</f>
        <v>show blot</v>
      </c>
      <c r="H4545" s="8" t="str">
        <f>HYPERLINK("https://esbl.nhlbi.nih.gov/Databases/mpkFractions/proteomic_fractions_linear_files/Yang_linear_img/239051602.jpg","show blot")</f>
        <v>show blot</v>
      </c>
      <c r="J4545" s="5" t="s">
        <v>8886</v>
      </c>
      <c r="L4545" s="11">
        <v>5.2784695627230711</v>
      </c>
      <c r="N4545" s="12"/>
    </row>
    <row r="4546" spans="1:14" s="5" customFormat="1" ht="15" customHeight="1" x14ac:dyDescent="0.25">
      <c r="A4546" s="9" t="s">
        <v>8887</v>
      </c>
      <c r="C4546" s="9" t="str">
        <f>HYPERLINK("http://www.ncbi.nlm.nih.gov/protein/244789999","Mpst")</f>
        <v>Mpst</v>
      </c>
      <c r="D4546" s="10">
        <f t="shared" si="70"/>
        <v>5.3816534368763076</v>
      </c>
      <c r="F4546" s="8" t="str">
        <f>HYPERLINK("https://esbl.nhlbi.nih.gov/Databases/mpkFractions/proteomic_fractions_log_files/Yang_log_img/244789999.jpg","show blot")</f>
        <v>show blot</v>
      </c>
      <c r="H4546" s="8" t="str">
        <f>HYPERLINK("https://esbl.nhlbi.nih.gov/Databases/mpkFractions/proteomic_fractions_linear_files/Yang_linear_img/244789999.jpg","show blot")</f>
        <v>show blot</v>
      </c>
      <c r="J4546" s="5" t="s">
        <v>8888</v>
      </c>
      <c r="L4546" s="11">
        <v>5.3816534368763076</v>
      </c>
      <c r="N4546" s="12"/>
    </row>
    <row r="4547" spans="1:14" s="5" customFormat="1" ht="15" customHeight="1" x14ac:dyDescent="0.25">
      <c r="A4547" s="9" t="s">
        <v>8889</v>
      </c>
      <c r="C4547" s="9" t="str">
        <f>HYPERLINK("http://www.ncbi.nlm.nih.gov/protein/6678926","Mpv17")</f>
        <v>Mpv17</v>
      </c>
      <c r="D4547" s="10">
        <f t="shared" si="70"/>
        <v>3.685935027477476</v>
      </c>
      <c r="F4547" s="8" t="str">
        <f>HYPERLINK("https://esbl.nhlbi.nih.gov/Databases/mpkFractions/proteomic_fractions_log_files/Yang_log_img/6678926.jpg","show blot")</f>
        <v>show blot</v>
      </c>
      <c r="H4547" s="8" t="str">
        <f>HYPERLINK("https://esbl.nhlbi.nih.gov/Databases/mpkFractions/proteomic_fractions_linear_files/Yang_linear_img/6678926.jpg","show blot")</f>
        <v>show blot</v>
      </c>
      <c r="J4547" s="5" t="s">
        <v>8890</v>
      </c>
      <c r="L4547" s="11">
        <v>3.685935027477476</v>
      </c>
      <c r="N4547" s="12"/>
    </row>
    <row r="4548" spans="1:14" s="5" customFormat="1" ht="15" customHeight="1" x14ac:dyDescent="0.25">
      <c r="A4548" s="9" t="s">
        <v>8891</v>
      </c>
      <c r="C4548" s="9" t="str">
        <f>HYPERLINK("http://www.ncbi.nlm.nih.gov/protein/31542623","Mpzl2")</f>
        <v>Mpzl2</v>
      </c>
      <c r="D4548" s="10">
        <f t="shared" si="70"/>
        <v>4.1852139029524924</v>
      </c>
      <c r="F4548" s="8" t="str">
        <f>HYPERLINK("https://esbl.nhlbi.nih.gov/Databases/mpkFractions/proteomic_fractions_log_files/Yang_log_img/31542623.jpg","show blot")</f>
        <v>show blot</v>
      </c>
      <c r="H4548" s="8" t="str">
        <f>HYPERLINK("https://esbl.nhlbi.nih.gov/Databases/mpkFractions/proteomic_fractions_linear_files/Yang_linear_img/31542623.jpg","show blot")</f>
        <v>show blot</v>
      </c>
      <c r="J4548" s="5" t="s">
        <v>8892</v>
      </c>
      <c r="L4548" s="11">
        <v>4.1852139029524924</v>
      </c>
      <c r="N4548" s="12"/>
    </row>
    <row r="4549" spans="1:14" s="5" customFormat="1" ht="15" customHeight="1" x14ac:dyDescent="0.25">
      <c r="A4549" s="9" t="s">
        <v>8893</v>
      </c>
      <c r="C4549" s="9" t="str">
        <f>HYPERLINK("http://www.ncbi.nlm.nih.gov/protein/6678930","Mras")</f>
        <v>Mras</v>
      </c>
      <c r="D4549" s="10">
        <f t="shared" ref="D4549:D4612" si="71">L4549</f>
        <v>3.7592207318861059</v>
      </c>
      <c r="F4549" s="8" t="str">
        <f>HYPERLINK("https://esbl.nhlbi.nih.gov/Databases/mpkFractions/proteomic_fractions_log_files/Yang_log_img/6678930.jpg","show blot")</f>
        <v>show blot</v>
      </c>
      <c r="H4549" s="8" t="str">
        <f>HYPERLINK("https://esbl.nhlbi.nih.gov/Databases/mpkFractions/proteomic_fractions_linear_files/Yang_linear_img/6678930.jpg","show blot")</f>
        <v>show blot</v>
      </c>
      <c r="J4549" s="5" t="s">
        <v>8894</v>
      </c>
      <c r="L4549" s="11">
        <v>3.7592207318861059</v>
      </c>
      <c r="N4549" s="12"/>
    </row>
    <row r="4550" spans="1:14" s="5" customFormat="1" ht="15" customHeight="1" x14ac:dyDescent="0.25">
      <c r="A4550" s="9" t="s">
        <v>8895</v>
      </c>
      <c r="C4550" s="9" t="str">
        <f>HYPERLINK("http://www.ncbi.nlm.nih.gov/protein/9055282","Mre11a")</f>
        <v>Mre11a</v>
      </c>
      <c r="D4550" s="10">
        <f t="shared" si="71"/>
        <v>3.986072764887322</v>
      </c>
      <c r="F4550" s="8" t="str">
        <f>HYPERLINK("https://esbl.nhlbi.nih.gov/Databases/mpkFractions/proteomic_fractions_log_files/Yang_log_img/9055282.jpg","show blot")</f>
        <v>show blot</v>
      </c>
      <c r="H4550" s="8" t="str">
        <f>HYPERLINK("https://esbl.nhlbi.nih.gov/Databases/mpkFractions/proteomic_fractions_linear_files/Yang_linear_img/9055282.jpg","show blot")</f>
        <v>show blot</v>
      </c>
      <c r="J4550" s="5" t="s">
        <v>8896</v>
      </c>
      <c r="L4550" s="11">
        <v>3.986072764887322</v>
      </c>
      <c r="N4550" s="12"/>
    </row>
    <row r="4551" spans="1:14" s="5" customFormat="1" ht="15" customHeight="1" x14ac:dyDescent="0.25">
      <c r="A4551" s="9" t="s">
        <v>8897</v>
      </c>
      <c r="C4551" s="9" t="str">
        <f>HYPERLINK("http://www.ncbi.nlm.nih.gov/protein/13385746","Mrfap1")</f>
        <v>Mrfap1</v>
      </c>
      <c r="D4551" s="10">
        <f t="shared" si="71"/>
        <v>4.0601913690384466</v>
      </c>
      <c r="F4551" s="8" t="str">
        <f>HYPERLINK("https://esbl.nhlbi.nih.gov/Databases/mpkFractions/proteomic_fractions_log_files/Yang_log_img/13385746.jpg","show blot")</f>
        <v>show blot</v>
      </c>
      <c r="H4551" s="8" t="str">
        <f>HYPERLINK("https://esbl.nhlbi.nih.gov/Databases/mpkFractions/proteomic_fractions_linear_files/Yang_linear_img/13385746.jpg","show blot")</f>
        <v>show blot</v>
      </c>
      <c r="J4551" s="5" t="s">
        <v>8898</v>
      </c>
      <c r="L4551" s="11">
        <v>4.0601913690384466</v>
      </c>
      <c r="N4551" s="12"/>
    </row>
    <row r="4552" spans="1:14" s="5" customFormat="1" ht="15" customHeight="1" x14ac:dyDescent="0.25">
      <c r="A4552" s="9" t="s">
        <v>8899</v>
      </c>
      <c r="C4552" s="9" t="str">
        <f>HYPERLINK("http://www.ncbi.nlm.nih.gov/protein/268838020","Mri1")</f>
        <v>Mri1</v>
      </c>
      <c r="D4552" s="10">
        <f t="shared" si="71"/>
        <v>5.4720356414023126</v>
      </c>
      <c r="F4552" s="8" t="str">
        <f>HYPERLINK("https://esbl.nhlbi.nih.gov/Databases/mpkFractions/proteomic_fractions_log_files/Yang_log_img/268838020.jpg","show blot")</f>
        <v>show blot</v>
      </c>
      <c r="H4552" s="8" t="str">
        <f>HYPERLINK("https://esbl.nhlbi.nih.gov/Databases/mpkFractions/proteomic_fractions_linear_files/Yang_linear_img/268838020.jpg","show blot")</f>
        <v>show blot</v>
      </c>
      <c r="J4552" s="5" t="s">
        <v>8900</v>
      </c>
      <c r="L4552" s="11">
        <v>5.4720356414023126</v>
      </c>
      <c r="N4552" s="12"/>
    </row>
    <row r="4553" spans="1:14" s="5" customFormat="1" ht="15" customHeight="1" x14ac:dyDescent="0.25">
      <c r="A4553" s="9" t="s">
        <v>8901</v>
      </c>
      <c r="C4553" s="9" t="str">
        <f>HYPERLINK("http://www.ncbi.nlm.nih.gov/protein/89337263","Mrm1")</f>
        <v>Mrm1</v>
      </c>
      <c r="D4553" s="10">
        <f t="shared" si="71"/>
        <v>3.5035087284807012</v>
      </c>
      <c r="F4553" s="8" t="str">
        <f>HYPERLINK("https://esbl.nhlbi.nih.gov/Databases/mpkFractions/proteomic_fractions_log_files/Yang_log_img/89337263.jpg","show blot")</f>
        <v>show blot</v>
      </c>
      <c r="H4553" s="8" t="str">
        <f>HYPERLINK("https://esbl.nhlbi.nih.gov/Databases/mpkFractions/proteomic_fractions_linear_files/Yang_linear_img/89337263.jpg","show blot")</f>
        <v>show blot</v>
      </c>
      <c r="J4553" s="5" t="s">
        <v>8902</v>
      </c>
      <c r="L4553" s="11">
        <v>3.5035087284807012</v>
      </c>
      <c r="N4553" s="12"/>
    </row>
    <row r="4554" spans="1:14" s="5" customFormat="1" ht="15" customHeight="1" x14ac:dyDescent="0.25">
      <c r="A4554" s="9" t="s">
        <v>8903</v>
      </c>
      <c r="C4554" s="9" t="str">
        <f>HYPERLINK("http://www.ncbi.nlm.nih.gov/protein/241982824","Mroh1")</f>
        <v>Mroh1</v>
      </c>
      <c r="D4554" s="10">
        <f t="shared" si="71"/>
        <v>4.8108726097961796</v>
      </c>
      <c r="F4554" s="8" t="str">
        <f>HYPERLINK("https://esbl.nhlbi.nih.gov/Databases/mpkFractions/proteomic_fractions_log_files/Yang_log_img/241982824.jpg","show blot")</f>
        <v>show blot</v>
      </c>
      <c r="H4554" s="8" t="str">
        <f>HYPERLINK("https://esbl.nhlbi.nih.gov/Databases/mpkFractions/proteomic_fractions_linear_files/Yang_linear_img/241982824.jpg","show blot")</f>
        <v>show blot</v>
      </c>
      <c r="J4554" s="5" t="s">
        <v>8904</v>
      </c>
      <c r="L4554" s="11">
        <v>4.8108726097961796</v>
      </c>
      <c r="N4554" s="12"/>
    </row>
    <row r="4555" spans="1:14" s="5" customFormat="1" ht="15" customHeight="1" x14ac:dyDescent="0.25">
      <c r="A4555" s="9" t="s">
        <v>8905</v>
      </c>
      <c r="C4555" s="9" t="str">
        <f>HYPERLINK("http://www.ncbi.nlm.nih.gov/protein/283046757","Mroh1")</f>
        <v>Mroh1</v>
      </c>
      <c r="D4555" s="10">
        <f t="shared" si="71"/>
        <v>4.8108726097961796</v>
      </c>
      <c r="F4555" s="8" t="str">
        <f>HYPERLINK("https://esbl.nhlbi.nih.gov/Databases/mpkFractions/proteomic_fractions_log_files/Yang_log_img/283046757.jpg","show blot")</f>
        <v>show blot</v>
      </c>
      <c r="H4555" s="8" t="str">
        <f>HYPERLINK("https://esbl.nhlbi.nih.gov/Databases/mpkFractions/proteomic_fractions_linear_files/Yang_linear_img/283046757.jpg","show blot")</f>
        <v>show blot</v>
      </c>
      <c r="J4555" s="5" t="s">
        <v>8906</v>
      </c>
      <c r="L4555" s="11">
        <v>4.8108726097961796</v>
      </c>
      <c r="N4555" s="12"/>
    </row>
    <row r="4556" spans="1:14" s="5" customFormat="1" ht="15" customHeight="1" x14ac:dyDescent="0.25">
      <c r="A4556" s="9" t="s">
        <v>8907</v>
      </c>
      <c r="C4556" s="9" t="str">
        <f>HYPERLINK("http://www.ncbi.nlm.nih.gov/protein/527317377","Mroh2a")</f>
        <v>Mroh2a</v>
      </c>
      <c r="D4556" s="10">
        <f t="shared" si="71"/>
        <v>3.299359196929601</v>
      </c>
      <c r="F4556" s="8" t="str">
        <f>HYPERLINK("https://esbl.nhlbi.nih.gov/Databases/mpkFractions/proteomic_fractions_log_files/Yang_log_img/527317377.jpg","show blot")</f>
        <v>show blot</v>
      </c>
      <c r="H4556" s="8" t="str">
        <f>HYPERLINK("https://esbl.nhlbi.nih.gov/Databases/mpkFractions/proteomic_fractions_linear_files/Yang_linear_img/527317377.jpg","show blot")</f>
        <v>show blot</v>
      </c>
      <c r="J4556" s="5" t="s">
        <v>8908</v>
      </c>
      <c r="L4556" s="11">
        <v>3.299359196929601</v>
      </c>
      <c r="N4556" s="12"/>
    </row>
    <row r="4557" spans="1:14" s="5" customFormat="1" ht="15" customHeight="1" x14ac:dyDescent="0.25">
      <c r="A4557" s="9" t="s">
        <v>8909</v>
      </c>
      <c r="C4557" s="9" t="str">
        <f>HYPERLINK("http://www.ncbi.nlm.nih.gov/protein/294460010","Mroh4")</f>
        <v>Mroh4</v>
      </c>
      <c r="D4557" s="10">
        <f t="shared" si="71"/>
        <v>5.2988257234964093</v>
      </c>
      <c r="F4557" s="8" t="str">
        <f>HYPERLINK("https://esbl.nhlbi.nih.gov/Databases/mpkFractions/proteomic_fractions_log_files/Yang_log_img/294460010.jpg","show blot")</f>
        <v>show blot</v>
      </c>
      <c r="H4557" s="8" t="str">
        <f>HYPERLINK("https://esbl.nhlbi.nih.gov/Databases/mpkFractions/proteomic_fractions_linear_files/Yang_linear_img/294460010.jpg","show blot")</f>
        <v>show blot</v>
      </c>
      <c r="J4557" s="5" t="s">
        <v>8910</v>
      </c>
      <c r="L4557" s="11">
        <v>5.2988257234964093</v>
      </c>
      <c r="N4557" s="12"/>
    </row>
    <row r="4558" spans="1:14" s="5" customFormat="1" ht="15" customHeight="1" x14ac:dyDescent="0.25">
      <c r="A4558" s="9" t="s">
        <v>8911</v>
      </c>
      <c r="C4558" s="9" t="str">
        <f>HYPERLINK("http://www.ncbi.nlm.nih.gov/protein/254692919","Mroh9")</f>
        <v>Mroh9</v>
      </c>
      <c r="D4558" s="10">
        <f t="shared" si="71"/>
        <v>4.8336304821706673</v>
      </c>
      <c r="F4558" s="8" t="str">
        <f>HYPERLINK("https://esbl.nhlbi.nih.gov/Databases/mpkFractions/proteomic_fractions_log_files/Yang_log_img/254692919.jpg","show blot")</f>
        <v>show blot</v>
      </c>
      <c r="H4558" s="8" t="str">
        <f>HYPERLINK("https://esbl.nhlbi.nih.gov/Databases/mpkFractions/proteomic_fractions_linear_files/Yang_linear_img/254692919.jpg","show blot")</f>
        <v>show blot</v>
      </c>
      <c r="J4558" s="5" t="s">
        <v>8912</v>
      </c>
      <c r="L4558" s="11">
        <v>4.8336304821706673</v>
      </c>
      <c r="N4558" s="12"/>
    </row>
    <row r="4559" spans="1:14" s="5" customFormat="1" ht="15" customHeight="1" x14ac:dyDescent="0.25">
      <c r="A4559" s="9" t="s">
        <v>8913</v>
      </c>
      <c r="C4559" s="9" t="str">
        <f>HYPERLINK("http://www.ncbi.nlm.nih.gov/protein/13385888","Mrp63")</f>
        <v>Mrp63</v>
      </c>
      <c r="D4559" s="10">
        <f t="shared" si="71"/>
        <v>3.9866446288208368</v>
      </c>
      <c r="F4559" s="8" t="str">
        <f>HYPERLINK("https://esbl.nhlbi.nih.gov/Databases/mpkFractions/proteomic_fractions_log_files/Yang_log_img/13385888.jpg","show blot")</f>
        <v>show blot</v>
      </c>
      <c r="H4559" s="8" t="str">
        <f>HYPERLINK("https://esbl.nhlbi.nih.gov/Databases/mpkFractions/proteomic_fractions_linear_files/Yang_linear_img/13385888.jpg","show blot")</f>
        <v>show blot</v>
      </c>
      <c r="J4559" s="5" t="s">
        <v>8914</v>
      </c>
      <c r="L4559" s="11">
        <v>3.9866446288208368</v>
      </c>
      <c r="N4559" s="12"/>
    </row>
    <row r="4560" spans="1:14" s="5" customFormat="1" ht="15" customHeight="1" x14ac:dyDescent="0.25">
      <c r="A4560" s="9" t="s">
        <v>8915</v>
      </c>
      <c r="C4560" s="9" t="str">
        <f>HYPERLINK("http://www.ncbi.nlm.nih.gov/protein/84875528","Mrpl1")</f>
        <v>Mrpl1</v>
      </c>
      <c r="D4560" s="10">
        <f t="shared" si="71"/>
        <v>4.5931804209743916</v>
      </c>
      <c r="F4560" s="8" t="str">
        <f>HYPERLINK("https://esbl.nhlbi.nih.gov/Databases/mpkFractions/proteomic_fractions_log_files/Yang_log_img/84875528.jpg","show blot")</f>
        <v>show blot</v>
      </c>
      <c r="H4560" s="8" t="str">
        <f>HYPERLINK("https://esbl.nhlbi.nih.gov/Databases/mpkFractions/proteomic_fractions_linear_files/Yang_linear_img/84875528.jpg","show blot")</f>
        <v>show blot</v>
      </c>
      <c r="J4560" s="5" t="s">
        <v>8916</v>
      </c>
      <c r="L4560" s="11">
        <v>4.5931804209743916</v>
      </c>
      <c r="N4560" s="12"/>
    </row>
    <row r="4561" spans="1:14" s="5" customFormat="1" ht="15" customHeight="1" x14ac:dyDescent="0.25">
      <c r="A4561" s="9" t="s">
        <v>8917</v>
      </c>
      <c r="C4561" s="9" t="str">
        <f>HYPERLINK("http://www.ncbi.nlm.nih.gov/protein/84875532","Mrpl1")</f>
        <v>Mrpl1</v>
      </c>
      <c r="D4561" s="10">
        <f t="shared" si="71"/>
        <v>4.5931804209743916</v>
      </c>
      <c r="F4561" s="8" t="str">
        <f>HYPERLINK("https://esbl.nhlbi.nih.gov/Databases/mpkFractions/proteomic_fractions_log_files/Yang_log_img/84875532.jpg","show blot")</f>
        <v>show blot</v>
      </c>
      <c r="H4561" s="8" t="str">
        <f>HYPERLINK("https://esbl.nhlbi.nih.gov/Databases/mpkFractions/proteomic_fractions_linear_files/Yang_linear_img/84875532.jpg","show blot")</f>
        <v>show blot</v>
      </c>
      <c r="J4561" s="5" t="s">
        <v>8918</v>
      </c>
      <c r="L4561" s="11">
        <v>4.5931804209743916</v>
      </c>
      <c r="N4561" s="12"/>
    </row>
    <row r="4562" spans="1:14" s="5" customFormat="1" ht="15" customHeight="1" x14ac:dyDescent="0.25">
      <c r="A4562" s="9" t="s">
        <v>8919</v>
      </c>
      <c r="C4562" s="9" t="str">
        <f>HYPERLINK("http://www.ncbi.nlm.nih.gov/protein/13385658","Mrpl10")</f>
        <v>Mrpl10</v>
      </c>
      <c r="D4562" s="10">
        <f t="shared" si="71"/>
        <v>3.3102564005695938</v>
      </c>
      <c r="F4562" s="8" t="str">
        <f>HYPERLINK("https://esbl.nhlbi.nih.gov/Databases/mpkFractions/proteomic_fractions_log_files/Yang_log_img/13385658.jpg","show blot")</f>
        <v>show blot</v>
      </c>
      <c r="H4562" s="8" t="str">
        <f>HYPERLINK("https://esbl.nhlbi.nih.gov/Databases/mpkFractions/proteomic_fractions_linear_files/Yang_linear_img/13385658.jpg","show blot")</f>
        <v>show blot</v>
      </c>
      <c r="J4562" s="5" t="s">
        <v>8920</v>
      </c>
      <c r="L4562" s="11">
        <v>3.3102564005695938</v>
      </c>
      <c r="N4562" s="12"/>
    </row>
    <row r="4563" spans="1:14" s="5" customFormat="1" ht="15" customHeight="1" x14ac:dyDescent="0.25">
      <c r="A4563" s="9" t="s">
        <v>8921</v>
      </c>
      <c r="C4563" s="9" t="str">
        <f>HYPERLINK("http://www.ncbi.nlm.nih.gov/protein/13384980","Mrpl11")</f>
        <v>Mrpl11</v>
      </c>
      <c r="D4563" s="10">
        <f t="shared" si="71"/>
        <v>5.0430545898798469</v>
      </c>
      <c r="F4563" s="8" t="str">
        <f>HYPERLINK("https://esbl.nhlbi.nih.gov/Databases/mpkFractions/proteomic_fractions_log_files/Yang_log_img/13384980.jpg","show blot")</f>
        <v>show blot</v>
      </c>
      <c r="H4563" s="8" t="str">
        <f>HYPERLINK("https://esbl.nhlbi.nih.gov/Databases/mpkFractions/proteomic_fractions_linear_files/Yang_linear_img/13384980.jpg","show blot")</f>
        <v>show blot</v>
      </c>
      <c r="J4563" s="5" t="s">
        <v>8922</v>
      </c>
      <c r="L4563" s="11">
        <v>5.0430545898798469</v>
      </c>
      <c r="N4563" s="12"/>
    </row>
    <row r="4564" spans="1:14" s="5" customFormat="1" ht="15" customHeight="1" x14ac:dyDescent="0.25">
      <c r="A4564" s="9" t="s">
        <v>8923</v>
      </c>
      <c r="C4564" s="9" t="str">
        <f>HYPERLINK("http://www.ncbi.nlm.nih.gov/protein/22164792","Mrpl12")</f>
        <v>Mrpl12</v>
      </c>
      <c r="D4564" s="10">
        <f t="shared" si="71"/>
        <v>5.7730832112901869</v>
      </c>
      <c r="F4564" s="8" t="str">
        <f>HYPERLINK("https://esbl.nhlbi.nih.gov/Databases/mpkFractions/proteomic_fractions_log_files/Yang_log_img/22164792.jpg","show blot")</f>
        <v>show blot</v>
      </c>
      <c r="H4564" s="8" t="str">
        <f>HYPERLINK("https://esbl.nhlbi.nih.gov/Databases/mpkFractions/proteomic_fractions_linear_files/Yang_linear_img/22164792.jpg","show blot")</f>
        <v>show blot</v>
      </c>
      <c r="J4564" s="5" t="s">
        <v>8924</v>
      </c>
      <c r="L4564" s="11">
        <v>5.7730832112901869</v>
      </c>
      <c r="N4564" s="12"/>
    </row>
    <row r="4565" spans="1:14" s="5" customFormat="1" ht="15" customHeight="1" x14ac:dyDescent="0.25">
      <c r="A4565" s="9" t="s">
        <v>8925</v>
      </c>
      <c r="C4565" s="9" t="str">
        <f>HYPERLINK("http://www.ncbi.nlm.nih.gov/protein/21312936","Mrpl13")</f>
        <v>Mrpl13</v>
      </c>
      <c r="D4565" s="10">
        <f t="shared" si="71"/>
        <v>4.7587344575069652</v>
      </c>
      <c r="F4565" s="8" t="str">
        <f>HYPERLINK("https://esbl.nhlbi.nih.gov/Databases/mpkFractions/proteomic_fractions_log_files/Yang_log_img/21312936.jpg","show blot")</f>
        <v>show blot</v>
      </c>
      <c r="H4565" s="8" t="str">
        <f>HYPERLINK("https://esbl.nhlbi.nih.gov/Databases/mpkFractions/proteomic_fractions_linear_files/Yang_linear_img/21312936.jpg","show blot")</f>
        <v>show blot</v>
      </c>
      <c r="J4565" s="5" t="s">
        <v>8926</v>
      </c>
      <c r="L4565" s="11">
        <v>4.7587344575069652</v>
      </c>
      <c r="N4565" s="12"/>
    </row>
    <row r="4566" spans="1:14" s="5" customFormat="1" ht="15" customHeight="1" x14ac:dyDescent="0.25">
      <c r="A4566" s="9" t="s">
        <v>8927</v>
      </c>
      <c r="C4566" s="9" t="str">
        <f>HYPERLINK("http://www.ncbi.nlm.nih.gov/protein/21312028","Mrpl14")</f>
        <v>Mrpl14</v>
      </c>
      <c r="D4566" s="10">
        <f t="shared" si="71"/>
        <v>3.7820001141945729</v>
      </c>
      <c r="F4566" s="8" t="str">
        <f>HYPERLINK("https://esbl.nhlbi.nih.gov/Databases/mpkFractions/proteomic_fractions_log_files/Yang_log_img/21312028.jpg","show blot")</f>
        <v>show blot</v>
      </c>
      <c r="H4566" s="8" t="str">
        <f>HYPERLINK("https://esbl.nhlbi.nih.gov/Databases/mpkFractions/proteomic_fractions_linear_files/Yang_linear_img/21312028.jpg","show blot")</f>
        <v>show blot</v>
      </c>
      <c r="J4566" s="5" t="s">
        <v>8928</v>
      </c>
      <c r="L4566" s="11">
        <v>3.7820001141945729</v>
      </c>
      <c r="N4566" s="12"/>
    </row>
    <row r="4567" spans="1:14" s="5" customFormat="1" ht="15" customHeight="1" x14ac:dyDescent="0.25">
      <c r="A4567" s="9" t="s">
        <v>8929</v>
      </c>
      <c r="C4567" s="9" t="str">
        <f>HYPERLINK("http://www.ncbi.nlm.nih.gov/protein/295054166","Mrpl15")</f>
        <v>Mrpl15</v>
      </c>
      <c r="D4567" s="10">
        <f t="shared" si="71"/>
        <v>4.6234616325471327</v>
      </c>
      <c r="F4567" s="8" t="str">
        <f>HYPERLINK("https://esbl.nhlbi.nih.gov/Databases/mpkFractions/proteomic_fractions_log_files/Yang_log_img/295054166.jpg","show blot")</f>
        <v>show blot</v>
      </c>
      <c r="H4567" s="8" t="str">
        <f>HYPERLINK("https://esbl.nhlbi.nih.gov/Databases/mpkFractions/proteomic_fractions_linear_files/Yang_linear_img/295054166.jpg","show blot")</f>
        <v>show blot</v>
      </c>
      <c r="J4567" s="5" t="s">
        <v>8930</v>
      </c>
      <c r="L4567" s="11">
        <v>4.6234616325471327</v>
      </c>
      <c r="N4567" s="12"/>
    </row>
    <row r="4568" spans="1:14" s="5" customFormat="1" ht="15" customHeight="1" x14ac:dyDescent="0.25">
      <c r="A4568" s="9" t="s">
        <v>8931</v>
      </c>
      <c r="C4568" s="9" t="str">
        <f>HYPERLINK("http://www.ncbi.nlm.nih.gov/protein/33468983","Mrpl15")</f>
        <v>Mrpl15</v>
      </c>
      <c r="D4568" s="10">
        <f t="shared" si="71"/>
        <v>4.6234616325471327</v>
      </c>
      <c r="F4568" s="8" t="str">
        <f>HYPERLINK("https://esbl.nhlbi.nih.gov/Databases/mpkFractions/proteomic_fractions_log_files/Yang_log_img/33468983.jpg","show blot")</f>
        <v>show blot</v>
      </c>
      <c r="H4568" s="8" t="str">
        <f>HYPERLINK("https://esbl.nhlbi.nih.gov/Databases/mpkFractions/proteomic_fractions_linear_files/Yang_linear_img/33468983.jpg","show blot")</f>
        <v>show blot</v>
      </c>
      <c r="J4568" s="5" t="s">
        <v>8932</v>
      </c>
      <c r="L4568" s="11">
        <v>4.6234616325471327</v>
      </c>
      <c r="N4568" s="12"/>
    </row>
    <row r="4569" spans="1:14" s="5" customFormat="1" ht="15" customHeight="1" x14ac:dyDescent="0.25">
      <c r="A4569" s="9" t="s">
        <v>8933</v>
      </c>
      <c r="C4569" s="9" t="str">
        <f>HYPERLINK("http://www.ncbi.nlm.nih.gov/protein/19424352","Mrpl16")</f>
        <v>Mrpl16</v>
      </c>
      <c r="D4569" s="10">
        <f t="shared" si="71"/>
        <v>3.9798129161679778</v>
      </c>
      <c r="F4569" s="8" t="str">
        <f>HYPERLINK("https://esbl.nhlbi.nih.gov/Databases/mpkFractions/proteomic_fractions_log_files/Yang_log_img/19424352.jpg","show blot")</f>
        <v>show blot</v>
      </c>
      <c r="H4569" s="8" t="str">
        <f>HYPERLINK("https://esbl.nhlbi.nih.gov/Databases/mpkFractions/proteomic_fractions_linear_files/Yang_linear_img/19424352.jpg","show blot")</f>
        <v>show blot</v>
      </c>
      <c r="J4569" s="5" t="s">
        <v>8934</v>
      </c>
      <c r="L4569" s="11">
        <v>3.9798129161679778</v>
      </c>
      <c r="N4569" s="12"/>
    </row>
    <row r="4570" spans="1:14" s="5" customFormat="1" ht="15" customHeight="1" x14ac:dyDescent="0.25">
      <c r="A4570" s="9" t="s">
        <v>8935</v>
      </c>
      <c r="C4570" s="9" t="str">
        <f>HYPERLINK("http://www.ncbi.nlm.nih.gov/protein/13384658","Mrpl17")</f>
        <v>Mrpl17</v>
      </c>
      <c r="D4570" s="10">
        <f t="shared" si="71"/>
        <v>3.9742390380149848</v>
      </c>
      <c r="F4570" s="8" t="str">
        <f>HYPERLINK("https://esbl.nhlbi.nih.gov/Databases/mpkFractions/proteomic_fractions_log_files/Yang_log_img/13384658.jpg","show blot")</f>
        <v>show blot</v>
      </c>
      <c r="H4570" s="8" t="str">
        <f>HYPERLINK("https://esbl.nhlbi.nih.gov/Databases/mpkFractions/proteomic_fractions_linear_files/Yang_linear_img/13384658.jpg","show blot")</f>
        <v>show blot</v>
      </c>
      <c r="J4570" s="5" t="s">
        <v>8936</v>
      </c>
      <c r="L4570" s="11">
        <v>3.9742390380149848</v>
      </c>
      <c r="N4570" s="12"/>
    </row>
    <row r="4571" spans="1:14" s="5" customFormat="1" ht="15" customHeight="1" x14ac:dyDescent="0.25">
      <c r="A4571" s="9" t="s">
        <v>8937</v>
      </c>
      <c r="C4571" s="9" t="str">
        <f>HYPERLINK("http://www.ncbi.nlm.nih.gov/protein/13385808","Mrpl18")</f>
        <v>Mrpl18</v>
      </c>
      <c r="D4571" s="10">
        <f t="shared" si="71"/>
        <v>4.9574748547711103</v>
      </c>
      <c r="F4571" s="8" t="str">
        <f>HYPERLINK("https://esbl.nhlbi.nih.gov/Databases/mpkFractions/proteomic_fractions_log_files/Yang_log_img/13385808.jpg","show blot")</f>
        <v>show blot</v>
      </c>
      <c r="H4571" s="8" t="str">
        <f>HYPERLINK("https://esbl.nhlbi.nih.gov/Databases/mpkFractions/proteomic_fractions_linear_files/Yang_linear_img/13385808.jpg","show blot")</f>
        <v>show blot</v>
      </c>
      <c r="J4571" s="5" t="s">
        <v>8938</v>
      </c>
      <c r="L4571" s="11">
        <v>4.9574748547711103</v>
      </c>
      <c r="N4571" s="12"/>
    </row>
    <row r="4572" spans="1:14" s="5" customFormat="1" ht="15" customHeight="1" x14ac:dyDescent="0.25">
      <c r="A4572" s="9" t="s">
        <v>8939</v>
      </c>
      <c r="C4572" s="9" t="str">
        <f>HYPERLINK("http://www.ncbi.nlm.nih.gov/protein/13385976","Mrpl19")</f>
        <v>Mrpl19</v>
      </c>
      <c r="D4572" s="10">
        <f t="shared" si="71"/>
        <v>4.2095119955479241</v>
      </c>
      <c r="F4572" s="8" t="str">
        <f>HYPERLINK("https://esbl.nhlbi.nih.gov/Databases/mpkFractions/proteomic_fractions_log_files/Yang_log_img/13385976.jpg","show blot")</f>
        <v>show blot</v>
      </c>
      <c r="H4572" s="8" t="str">
        <f>HYPERLINK("https://esbl.nhlbi.nih.gov/Databases/mpkFractions/proteomic_fractions_linear_files/Yang_linear_img/13385976.jpg","show blot")</f>
        <v>show blot</v>
      </c>
      <c r="J4572" s="5" t="s">
        <v>8940</v>
      </c>
      <c r="L4572" s="11">
        <v>4.2095119955479241</v>
      </c>
      <c r="N4572" s="12"/>
    </row>
    <row r="4573" spans="1:14" s="5" customFormat="1" ht="15" customHeight="1" x14ac:dyDescent="0.25">
      <c r="A4573" s="9" t="s">
        <v>8941</v>
      </c>
      <c r="C4573" s="9" t="str">
        <f>HYPERLINK("http://www.ncbi.nlm.nih.gov/protein/13384660","Mrpl2")</f>
        <v>Mrpl2</v>
      </c>
      <c r="D4573" s="10">
        <f t="shared" si="71"/>
        <v>5.1749543294826452</v>
      </c>
      <c r="F4573" s="8" t="str">
        <f>HYPERLINK("https://esbl.nhlbi.nih.gov/Databases/mpkFractions/proteomic_fractions_log_files/Yang_log_img/13384660.jpg","show blot")</f>
        <v>show blot</v>
      </c>
      <c r="H4573" s="8" t="str">
        <f>HYPERLINK("https://esbl.nhlbi.nih.gov/Databases/mpkFractions/proteomic_fractions_linear_files/Yang_linear_img/13384660.jpg","show blot")</f>
        <v>show blot</v>
      </c>
      <c r="J4573" s="5" t="s">
        <v>8942</v>
      </c>
      <c r="L4573" s="11">
        <v>5.1749543294826452</v>
      </c>
      <c r="N4573" s="12"/>
    </row>
    <row r="4574" spans="1:14" s="5" customFormat="1" ht="15" customHeight="1" x14ac:dyDescent="0.25">
      <c r="A4574" s="9" t="s">
        <v>8943</v>
      </c>
      <c r="C4574" s="9" t="str">
        <f>HYPERLINK("http://www.ncbi.nlm.nih.gov/protein/20270194","Mrpl20")</f>
        <v>Mrpl20</v>
      </c>
      <c r="D4574" s="10">
        <f t="shared" si="71"/>
        <v>4.3364964251792744</v>
      </c>
      <c r="F4574" s="8" t="str">
        <f>HYPERLINK("https://esbl.nhlbi.nih.gov/Databases/mpkFractions/proteomic_fractions_log_files/Yang_log_img/20270194.jpg","show blot")</f>
        <v>show blot</v>
      </c>
      <c r="H4574" s="8" t="str">
        <f>HYPERLINK("https://esbl.nhlbi.nih.gov/Databases/mpkFractions/proteomic_fractions_linear_files/Yang_linear_img/20270194.jpg","show blot")</f>
        <v>show blot</v>
      </c>
      <c r="J4574" s="5" t="s">
        <v>8944</v>
      </c>
      <c r="L4574" s="11">
        <v>4.3364964251792744</v>
      </c>
      <c r="N4574" s="12"/>
    </row>
    <row r="4575" spans="1:14" s="5" customFormat="1" ht="15" customHeight="1" x14ac:dyDescent="0.25">
      <c r="A4575" s="9" t="s">
        <v>8945</v>
      </c>
      <c r="C4575" s="9" t="str">
        <f>HYPERLINK("http://www.ncbi.nlm.nih.gov/protein/31982032","Mrpl21")</f>
        <v>Mrpl21</v>
      </c>
      <c r="D4575" s="10">
        <f t="shared" si="71"/>
        <v>4.6856788774786953</v>
      </c>
      <c r="F4575" s="8" t="str">
        <f>HYPERLINK("https://esbl.nhlbi.nih.gov/Databases/mpkFractions/proteomic_fractions_log_files/Yang_log_img/31982032.jpg","show blot")</f>
        <v>show blot</v>
      </c>
      <c r="H4575" s="8" t="str">
        <f>HYPERLINK("https://esbl.nhlbi.nih.gov/Databases/mpkFractions/proteomic_fractions_linear_files/Yang_linear_img/31982032.jpg","show blot")</f>
        <v>show blot</v>
      </c>
      <c r="J4575" s="5" t="s">
        <v>8946</v>
      </c>
      <c r="L4575" s="11">
        <v>4.6856788774786953</v>
      </c>
      <c r="N4575" s="12"/>
    </row>
    <row r="4576" spans="1:14" s="5" customFormat="1" ht="15" customHeight="1" x14ac:dyDescent="0.25">
      <c r="A4576" s="9" t="s">
        <v>8947</v>
      </c>
      <c r="C4576" s="9" t="str">
        <f>HYPERLINK("http://www.ncbi.nlm.nih.gov/protein/262263310","Mrpl22")</f>
        <v>Mrpl22</v>
      </c>
      <c r="D4576" s="10">
        <f t="shared" si="71"/>
        <v>5.1855656295329648</v>
      </c>
      <c r="F4576" s="8" t="str">
        <f>HYPERLINK("https://esbl.nhlbi.nih.gov/Databases/mpkFractions/proteomic_fractions_log_files/Yang_log_img/262263310.jpg","show blot")</f>
        <v>show blot</v>
      </c>
      <c r="H4576" s="8" t="str">
        <f>HYPERLINK("https://esbl.nhlbi.nih.gov/Databases/mpkFractions/proteomic_fractions_linear_files/Yang_linear_img/262263310.jpg","show blot")</f>
        <v>show blot</v>
      </c>
      <c r="J4576" s="5" t="s">
        <v>8948</v>
      </c>
      <c r="L4576" s="11">
        <v>5.1855656295329648</v>
      </c>
      <c r="N4576" s="12"/>
    </row>
    <row r="4577" spans="1:14" s="5" customFormat="1" ht="15" customHeight="1" x14ac:dyDescent="0.25">
      <c r="A4577" s="9" t="s">
        <v>8949</v>
      </c>
      <c r="C4577" s="9" t="str">
        <f>HYPERLINK("http://www.ncbi.nlm.nih.gov/protein/6755352","Mrpl23")</f>
        <v>Mrpl23</v>
      </c>
      <c r="D4577" s="10">
        <f t="shared" si="71"/>
        <v>4.8963664692367201</v>
      </c>
      <c r="F4577" s="8" t="str">
        <f>HYPERLINK("https://esbl.nhlbi.nih.gov/Databases/mpkFractions/proteomic_fractions_log_files/Yang_log_img/6755352.jpg","show blot")</f>
        <v>show blot</v>
      </c>
      <c r="H4577" s="8" t="str">
        <f>HYPERLINK("https://esbl.nhlbi.nih.gov/Databases/mpkFractions/proteomic_fractions_linear_files/Yang_linear_img/6755352.jpg","show blot")</f>
        <v>show blot</v>
      </c>
      <c r="J4577" s="5" t="s">
        <v>8950</v>
      </c>
      <c r="L4577" s="11">
        <v>4.8963664692367201</v>
      </c>
      <c r="N4577" s="12"/>
    </row>
    <row r="4578" spans="1:14" s="5" customFormat="1" ht="15" customHeight="1" x14ac:dyDescent="0.25">
      <c r="A4578" s="9" t="s">
        <v>8951</v>
      </c>
      <c r="C4578" s="9" t="str">
        <f>HYPERLINK("http://www.ncbi.nlm.nih.gov/protein/153792729","Mrpl24")</f>
        <v>Mrpl24</v>
      </c>
      <c r="D4578" s="10">
        <f t="shared" si="71"/>
        <v>4.327828036249719</v>
      </c>
      <c r="F4578" s="8" t="str">
        <f>HYPERLINK("https://esbl.nhlbi.nih.gov/Databases/mpkFractions/proteomic_fractions_log_files/Yang_log_img/153792729.jpg","show blot")</f>
        <v>show blot</v>
      </c>
      <c r="H4578" s="8" t="str">
        <f>HYPERLINK("https://esbl.nhlbi.nih.gov/Databases/mpkFractions/proteomic_fractions_linear_files/Yang_linear_img/153792729.jpg","show blot")</f>
        <v>show blot</v>
      </c>
      <c r="J4578" s="5" t="s">
        <v>8952</v>
      </c>
      <c r="L4578" s="11">
        <v>4.327828036249719</v>
      </c>
      <c r="N4578" s="12"/>
    </row>
    <row r="4579" spans="1:14" s="5" customFormat="1" ht="15" customHeight="1" x14ac:dyDescent="0.25">
      <c r="A4579" s="9" t="s">
        <v>8953</v>
      </c>
      <c r="C4579" s="9" t="str">
        <f>HYPERLINK("http://www.ncbi.nlm.nih.gov/protein/16716447","Mrpl27")</f>
        <v>Mrpl27</v>
      </c>
      <c r="D4579" s="10">
        <f t="shared" si="71"/>
        <v>4.5977021201177886</v>
      </c>
      <c r="F4579" s="8" t="str">
        <f>HYPERLINK("https://esbl.nhlbi.nih.gov/Databases/mpkFractions/proteomic_fractions_log_files/Yang_log_img/16716447.jpg","show blot")</f>
        <v>show blot</v>
      </c>
      <c r="H4579" s="8" t="str">
        <f>HYPERLINK("https://esbl.nhlbi.nih.gov/Databases/mpkFractions/proteomic_fractions_linear_files/Yang_linear_img/16716447.jpg","show blot")</f>
        <v>show blot</v>
      </c>
      <c r="J4579" s="5" t="s">
        <v>8954</v>
      </c>
      <c r="L4579" s="11">
        <v>4.5977021201177886</v>
      </c>
      <c r="N4579" s="12"/>
    </row>
    <row r="4580" spans="1:14" s="5" customFormat="1" ht="15" customHeight="1" x14ac:dyDescent="0.25">
      <c r="A4580" s="9" t="s">
        <v>8955</v>
      </c>
      <c r="C4580" s="9" t="str">
        <f>HYPERLINK("http://www.ncbi.nlm.nih.gov/protein/26787989","Mrpl28")</f>
        <v>Mrpl28</v>
      </c>
      <c r="D4580" s="10">
        <f t="shared" si="71"/>
        <v>4.3153025225080137</v>
      </c>
      <c r="F4580" s="8" t="str">
        <f>HYPERLINK("https://esbl.nhlbi.nih.gov/Databases/mpkFractions/proteomic_fractions_log_files/Yang_log_img/26787989.jpg","show blot")</f>
        <v>show blot</v>
      </c>
      <c r="H4580" s="8" t="str">
        <f>HYPERLINK("https://esbl.nhlbi.nih.gov/Databases/mpkFractions/proteomic_fractions_linear_files/Yang_linear_img/26787989.jpg","show blot")</f>
        <v>show blot</v>
      </c>
      <c r="J4580" s="5" t="s">
        <v>8956</v>
      </c>
      <c r="L4580" s="11">
        <v>4.3153025225080137</v>
      </c>
      <c r="N4580" s="12"/>
    </row>
    <row r="4581" spans="1:14" s="5" customFormat="1" ht="15" customHeight="1" x14ac:dyDescent="0.25">
      <c r="A4581" s="9" t="s">
        <v>8957</v>
      </c>
      <c r="C4581" s="9" t="str">
        <f>HYPERLINK("http://www.ncbi.nlm.nih.gov/protein/31981470","Mrpl3")</f>
        <v>Mrpl3</v>
      </c>
      <c r="D4581" s="10">
        <f t="shared" si="71"/>
        <v>4.5638636437597961</v>
      </c>
      <c r="F4581" s="8" t="str">
        <f>HYPERLINK("https://esbl.nhlbi.nih.gov/Databases/mpkFractions/proteomic_fractions_log_files/Yang_log_img/31981470.jpg","show blot")</f>
        <v>show blot</v>
      </c>
      <c r="H4581" s="8" t="str">
        <f>HYPERLINK("https://esbl.nhlbi.nih.gov/Databases/mpkFractions/proteomic_fractions_linear_files/Yang_linear_img/31981470.jpg","show blot")</f>
        <v>show blot</v>
      </c>
      <c r="J4581" s="5" t="s">
        <v>8958</v>
      </c>
      <c r="L4581" s="11">
        <v>4.5638636437597961</v>
      </c>
      <c r="N4581" s="12"/>
    </row>
    <row r="4582" spans="1:14" s="5" customFormat="1" ht="15" customHeight="1" x14ac:dyDescent="0.25">
      <c r="A4582" s="9" t="s">
        <v>8959</v>
      </c>
      <c r="C4582" s="9" t="str">
        <f>HYPERLINK("http://www.ncbi.nlm.nih.gov/protein/21312302","Mrpl30")</f>
        <v>Mrpl30</v>
      </c>
      <c r="D4582" s="10">
        <f t="shared" si="71"/>
        <v>4.215800719114287</v>
      </c>
      <c r="F4582" s="8" t="str">
        <f>HYPERLINK("https://esbl.nhlbi.nih.gov/Databases/mpkFractions/proteomic_fractions_log_files/Yang_log_img/21312302.jpg","show blot")</f>
        <v>show blot</v>
      </c>
      <c r="H4582" s="8" t="str">
        <f>HYPERLINK("https://esbl.nhlbi.nih.gov/Databases/mpkFractions/proteomic_fractions_linear_files/Yang_linear_img/21312302.jpg","show blot")</f>
        <v>show blot</v>
      </c>
      <c r="J4582" s="5" t="s">
        <v>8960</v>
      </c>
      <c r="L4582" s="11">
        <v>4.215800719114287</v>
      </c>
      <c r="N4582" s="12"/>
    </row>
    <row r="4583" spans="1:14" s="5" customFormat="1" ht="15" customHeight="1" x14ac:dyDescent="0.25">
      <c r="A4583" s="9" t="s">
        <v>8961</v>
      </c>
      <c r="C4583" s="9" t="str">
        <f>HYPERLINK("http://www.ncbi.nlm.nih.gov/protein/21312948","Mrpl32")</f>
        <v>Mrpl32</v>
      </c>
      <c r="D4583" s="10">
        <f t="shared" si="71"/>
        <v>3.4025768410977539</v>
      </c>
      <c r="F4583" s="8" t="str">
        <f>HYPERLINK("https://esbl.nhlbi.nih.gov/Databases/mpkFractions/proteomic_fractions_log_files/Yang_log_img/21312948.jpg","show blot")</f>
        <v>show blot</v>
      </c>
      <c r="H4583" s="8" t="str">
        <f>HYPERLINK("https://esbl.nhlbi.nih.gov/Databases/mpkFractions/proteomic_fractions_linear_files/Yang_linear_img/21312948.jpg","show blot")</f>
        <v>show blot</v>
      </c>
      <c r="J4583" s="5" t="s">
        <v>8962</v>
      </c>
      <c r="L4583" s="11">
        <v>3.4025768410977539</v>
      </c>
      <c r="N4583" s="12"/>
    </row>
    <row r="4584" spans="1:14" s="5" customFormat="1" ht="15" customHeight="1" x14ac:dyDescent="0.25">
      <c r="A4584" s="9" t="s">
        <v>8963</v>
      </c>
      <c r="C4584" s="9" t="str">
        <f>HYPERLINK("http://www.ncbi.nlm.nih.gov/protein/269784741","Mrpl33")</f>
        <v>Mrpl33</v>
      </c>
      <c r="D4584" s="10">
        <f t="shared" si="71"/>
        <v>4.3115050107913637</v>
      </c>
      <c r="F4584" s="8" t="str">
        <f>HYPERLINK("https://esbl.nhlbi.nih.gov/Databases/mpkFractions/proteomic_fractions_log_files/Yang_log_img/269784741.jpg","show blot")</f>
        <v>show blot</v>
      </c>
      <c r="H4584" s="8" t="str">
        <f>HYPERLINK("https://esbl.nhlbi.nih.gov/Databases/mpkFractions/proteomic_fractions_linear_files/Yang_linear_img/269784741.jpg","show blot")</f>
        <v>show blot</v>
      </c>
      <c r="J4584" s="5" t="s">
        <v>8964</v>
      </c>
      <c r="L4584" s="11">
        <v>4.3115050107913637</v>
      </c>
      <c r="N4584" s="12"/>
    </row>
    <row r="4585" spans="1:14" s="5" customFormat="1" ht="15" customHeight="1" x14ac:dyDescent="0.25">
      <c r="A4585" s="9" t="s">
        <v>8965</v>
      </c>
      <c r="C4585" s="9" t="str">
        <f>HYPERLINK("http://www.ncbi.nlm.nih.gov/protein/16716449","Mrpl34")</f>
        <v>Mrpl34</v>
      </c>
      <c r="D4585" s="10">
        <f t="shared" si="71"/>
        <v>4.4917774699568991</v>
      </c>
      <c r="F4585" s="8" t="str">
        <f>HYPERLINK("https://esbl.nhlbi.nih.gov/Databases/mpkFractions/proteomic_fractions_log_files/Yang_log_img/16716449.jpg","show blot")</f>
        <v>show blot</v>
      </c>
      <c r="H4585" s="8" t="str">
        <f>HYPERLINK("https://esbl.nhlbi.nih.gov/Databases/mpkFractions/proteomic_fractions_linear_files/Yang_linear_img/16716449.jpg","show blot")</f>
        <v>show blot</v>
      </c>
      <c r="J4585" s="5" t="s">
        <v>8966</v>
      </c>
      <c r="L4585" s="11">
        <v>4.4917774699568991</v>
      </c>
      <c r="N4585" s="12"/>
    </row>
    <row r="4586" spans="1:14" s="5" customFormat="1" ht="15" customHeight="1" x14ac:dyDescent="0.25">
      <c r="A4586" s="9" t="s">
        <v>8967</v>
      </c>
      <c r="C4586" s="9" t="str">
        <f>HYPERLINK("http://www.ncbi.nlm.nih.gov/protein/22128625","Mrpl37")</f>
        <v>Mrpl37</v>
      </c>
      <c r="D4586" s="10">
        <f t="shared" si="71"/>
        <v>4.7010622365926569</v>
      </c>
      <c r="F4586" s="8" t="str">
        <f>HYPERLINK("https://esbl.nhlbi.nih.gov/Databases/mpkFractions/proteomic_fractions_log_files/Yang_log_img/22128625.jpg","show blot")</f>
        <v>show blot</v>
      </c>
      <c r="H4586" s="8" t="str">
        <f>HYPERLINK("https://esbl.nhlbi.nih.gov/Databases/mpkFractions/proteomic_fractions_linear_files/Yang_linear_img/22128625.jpg","show blot")</f>
        <v>show blot</v>
      </c>
      <c r="J4586" s="5" t="s">
        <v>8968</v>
      </c>
      <c r="L4586" s="11">
        <v>4.7010622365926569</v>
      </c>
      <c r="N4586" s="12"/>
    </row>
    <row r="4587" spans="1:14" s="5" customFormat="1" ht="15" customHeight="1" x14ac:dyDescent="0.25">
      <c r="A4587" s="9" t="s">
        <v>8969</v>
      </c>
      <c r="C4587" s="9" t="str">
        <f>HYPERLINK("http://www.ncbi.nlm.nih.gov/protein/124430535","Mrpl38")</f>
        <v>Mrpl38</v>
      </c>
      <c r="D4587" s="10">
        <f t="shared" si="71"/>
        <v>4.258168181651075</v>
      </c>
      <c r="F4587" s="8" t="str">
        <f>HYPERLINK("https://esbl.nhlbi.nih.gov/Databases/mpkFractions/proteomic_fractions_log_files/Yang_log_img/124430535.jpg","show blot")</f>
        <v>show blot</v>
      </c>
      <c r="H4587" s="8" t="str">
        <f>HYPERLINK("https://esbl.nhlbi.nih.gov/Databases/mpkFractions/proteomic_fractions_linear_files/Yang_linear_img/124430535.jpg","show blot")</f>
        <v>show blot</v>
      </c>
      <c r="J4587" s="5" t="s">
        <v>8970</v>
      </c>
      <c r="L4587" s="11">
        <v>4.258168181651075</v>
      </c>
      <c r="N4587" s="12"/>
    </row>
    <row r="4588" spans="1:14" s="5" customFormat="1" ht="15" customHeight="1" x14ac:dyDescent="0.25">
      <c r="A4588" s="9" t="s">
        <v>8971</v>
      </c>
      <c r="C4588" s="9" t="str">
        <f>HYPERLINK("http://www.ncbi.nlm.nih.gov/protein/364023817","Mrpl39")</f>
        <v>Mrpl39</v>
      </c>
      <c r="D4588" s="10">
        <f t="shared" si="71"/>
        <v>3.5402113628544321</v>
      </c>
      <c r="F4588" s="8" t="str">
        <f>HYPERLINK("https://esbl.nhlbi.nih.gov/Databases/mpkFractions/proteomic_fractions_log_files/Yang_log_img/364023817.jpg","show blot")</f>
        <v>show blot</v>
      </c>
      <c r="H4588" s="8" t="str">
        <f>HYPERLINK("https://esbl.nhlbi.nih.gov/Databases/mpkFractions/proteomic_fractions_linear_files/Yang_linear_img/364023817.jpg","show blot")</f>
        <v>show blot</v>
      </c>
      <c r="J4588" s="5" t="s">
        <v>8972</v>
      </c>
      <c r="L4588" s="11">
        <v>3.5402113628544321</v>
      </c>
      <c r="N4588" s="12"/>
    </row>
    <row r="4589" spans="1:14" s="5" customFormat="1" ht="15" customHeight="1" x14ac:dyDescent="0.25">
      <c r="A4589" s="9" t="s">
        <v>8973</v>
      </c>
      <c r="C4589" s="9" t="str">
        <f>HYPERLINK("http://www.ncbi.nlm.nih.gov/protein/119508437","Mrpl4")</f>
        <v>Mrpl4</v>
      </c>
      <c r="D4589" s="10">
        <f t="shared" si="71"/>
        <v>4.3596890901929086</v>
      </c>
      <c r="F4589" s="8" t="str">
        <f>HYPERLINK("https://esbl.nhlbi.nih.gov/Databases/mpkFractions/proteomic_fractions_log_files/Yang_log_img/119508437.jpg","show blot")</f>
        <v>show blot</v>
      </c>
      <c r="H4589" s="8" t="str">
        <f>HYPERLINK("https://esbl.nhlbi.nih.gov/Databases/mpkFractions/proteomic_fractions_linear_files/Yang_linear_img/119508437.jpg","show blot")</f>
        <v>show blot</v>
      </c>
      <c r="J4589" s="5" t="s">
        <v>8974</v>
      </c>
      <c r="L4589" s="11">
        <v>4.3596890901929086</v>
      </c>
      <c r="N4589" s="12"/>
    </row>
    <row r="4590" spans="1:14" s="5" customFormat="1" ht="15" customHeight="1" x14ac:dyDescent="0.25">
      <c r="A4590" s="9" t="s">
        <v>8975</v>
      </c>
      <c r="C4590" s="9" t="str">
        <f>HYPERLINK("http://www.ncbi.nlm.nih.gov/protein/255003746","Mrpl40")</f>
        <v>Mrpl40</v>
      </c>
      <c r="D4590" s="10">
        <f t="shared" si="71"/>
        <v>4.2805255618060851</v>
      </c>
      <c r="F4590" s="8" t="str">
        <f>HYPERLINK("https://esbl.nhlbi.nih.gov/Databases/mpkFractions/proteomic_fractions_log_files/Yang_log_img/255003746.jpg","show blot")</f>
        <v>show blot</v>
      </c>
      <c r="H4590" s="8" t="str">
        <f>HYPERLINK("https://esbl.nhlbi.nih.gov/Databases/mpkFractions/proteomic_fractions_linear_files/Yang_linear_img/255003746.jpg","show blot")</f>
        <v>show blot</v>
      </c>
      <c r="J4590" s="5" t="s">
        <v>8976</v>
      </c>
      <c r="L4590" s="11">
        <v>4.2805255618060851</v>
      </c>
      <c r="N4590" s="12"/>
    </row>
    <row r="4591" spans="1:14" s="5" customFormat="1" ht="15" customHeight="1" x14ac:dyDescent="0.25">
      <c r="A4591" s="9" t="s">
        <v>8977</v>
      </c>
      <c r="C4591" s="9" t="str">
        <f>HYPERLINK("http://www.ncbi.nlm.nih.gov/protein/113461980","Mrpl41")</f>
        <v>Mrpl41</v>
      </c>
      <c r="D4591" s="10">
        <f t="shared" si="71"/>
        <v>4.8208576221901804</v>
      </c>
      <c r="F4591" s="8" t="str">
        <f>HYPERLINK("https://esbl.nhlbi.nih.gov/Databases/mpkFractions/proteomic_fractions_log_files/Yang_log_img/113461980.jpg","show blot")</f>
        <v>show blot</v>
      </c>
      <c r="H4591" s="8" t="str">
        <f>HYPERLINK("https://esbl.nhlbi.nih.gov/Databases/mpkFractions/proteomic_fractions_linear_files/Yang_linear_img/113461980.jpg","show blot")</f>
        <v>show blot</v>
      </c>
      <c r="J4591" s="5" t="s">
        <v>8978</v>
      </c>
      <c r="L4591" s="11">
        <v>4.8208576221901804</v>
      </c>
      <c r="N4591" s="12"/>
    </row>
    <row r="4592" spans="1:14" s="5" customFormat="1" ht="15" customHeight="1" x14ac:dyDescent="0.25">
      <c r="A4592" s="9" t="s">
        <v>8979</v>
      </c>
      <c r="C4592" s="9" t="str">
        <f>HYPERLINK("http://www.ncbi.nlm.nih.gov/protein/13385564","Mrpl42")</f>
        <v>Mrpl42</v>
      </c>
      <c r="D4592" s="10">
        <f t="shared" si="71"/>
        <v>3.8369765666499811</v>
      </c>
      <c r="F4592" s="8" t="str">
        <f>HYPERLINK("https://esbl.nhlbi.nih.gov/Databases/mpkFractions/proteomic_fractions_log_files/Yang_log_img/13385564.jpg","show blot")</f>
        <v>show blot</v>
      </c>
      <c r="H4592" s="8" t="str">
        <f>HYPERLINK("https://esbl.nhlbi.nih.gov/Databases/mpkFractions/proteomic_fractions_linear_files/Yang_linear_img/13385564.jpg","show blot")</f>
        <v>show blot</v>
      </c>
      <c r="J4592" s="5" t="s">
        <v>8980</v>
      </c>
      <c r="L4592" s="11">
        <v>3.8369765666499811</v>
      </c>
      <c r="N4592" s="12"/>
    </row>
    <row r="4593" spans="1:14" s="5" customFormat="1" ht="15" customHeight="1" x14ac:dyDescent="0.25">
      <c r="A4593" s="9" t="s">
        <v>8981</v>
      </c>
      <c r="C4593" s="9" t="str">
        <f>HYPERLINK("http://www.ncbi.nlm.nih.gov/protein/17298676","Mrpl43")</f>
        <v>Mrpl43</v>
      </c>
      <c r="D4593" s="10">
        <f t="shared" si="71"/>
        <v>4.5550101212676974</v>
      </c>
      <c r="F4593" s="8" t="str">
        <f>HYPERLINK("https://esbl.nhlbi.nih.gov/Databases/mpkFractions/proteomic_fractions_log_files/Yang_log_img/17298676.jpg","show blot")</f>
        <v>show blot</v>
      </c>
      <c r="H4593" s="8" t="str">
        <f>HYPERLINK("https://esbl.nhlbi.nih.gov/Databases/mpkFractions/proteomic_fractions_linear_files/Yang_linear_img/17298676.jpg","show blot")</f>
        <v>show blot</v>
      </c>
      <c r="J4593" s="5" t="s">
        <v>8982</v>
      </c>
      <c r="L4593" s="11">
        <v>4.5550101212676974</v>
      </c>
      <c r="N4593" s="12"/>
    </row>
    <row r="4594" spans="1:14" s="5" customFormat="1" ht="15" customHeight="1" x14ac:dyDescent="0.25">
      <c r="A4594" s="9" t="s">
        <v>8983</v>
      </c>
      <c r="C4594" s="9" t="str">
        <f>HYPERLINK("http://www.ncbi.nlm.nih.gov/protein/124487075","Mrpl44")</f>
        <v>Mrpl44</v>
      </c>
      <c r="D4594" s="10">
        <f t="shared" si="71"/>
        <v>4.4174021509928476</v>
      </c>
      <c r="F4594" s="8" t="str">
        <f>HYPERLINK("https://esbl.nhlbi.nih.gov/Databases/mpkFractions/proteomic_fractions_log_files/Yang_log_img/124487075.jpg","show blot")</f>
        <v>show blot</v>
      </c>
      <c r="H4594" s="8" t="str">
        <f>HYPERLINK("https://esbl.nhlbi.nih.gov/Databases/mpkFractions/proteomic_fractions_linear_files/Yang_linear_img/124487075.jpg","show blot")</f>
        <v>show blot</v>
      </c>
      <c r="J4594" s="5" t="s">
        <v>8984</v>
      </c>
      <c r="L4594" s="11">
        <v>4.4174021509928476</v>
      </c>
      <c r="N4594" s="12"/>
    </row>
    <row r="4595" spans="1:14" s="5" customFormat="1" ht="15" customHeight="1" x14ac:dyDescent="0.25">
      <c r="A4595" s="9" t="s">
        <v>8985</v>
      </c>
      <c r="C4595" s="9" t="str">
        <f>HYPERLINK("http://www.ncbi.nlm.nih.gov/protein/13385418","Mrpl45")</f>
        <v>Mrpl45</v>
      </c>
      <c r="D4595" s="10">
        <f t="shared" si="71"/>
        <v>4.0010105961761964</v>
      </c>
      <c r="F4595" s="8" t="str">
        <f>HYPERLINK("https://esbl.nhlbi.nih.gov/Databases/mpkFractions/proteomic_fractions_log_files/Yang_log_img/13385418.jpg","show blot")</f>
        <v>show blot</v>
      </c>
      <c r="H4595" s="8" t="str">
        <f>HYPERLINK("https://esbl.nhlbi.nih.gov/Databases/mpkFractions/proteomic_fractions_linear_files/Yang_linear_img/13385418.jpg","show blot")</f>
        <v>show blot</v>
      </c>
      <c r="J4595" s="5" t="s">
        <v>8986</v>
      </c>
      <c r="L4595" s="11">
        <v>4.0010105961761964</v>
      </c>
      <c r="N4595" s="12"/>
    </row>
    <row r="4596" spans="1:14" s="5" customFormat="1" ht="15" customHeight="1" x14ac:dyDescent="0.25">
      <c r="A4596" s="9" t="s">
        <v>8987</v>
      </c>
      <c r="C4596" s="9" t="str">
        <f>HYPERLINK("http://www.ncbi.nlm.nih.gov/protein/12963643","Mrpl46")</f>
        <v>Mrpl46</v>
      </c>
      <c r="D4596" s="10">
        <f t="shared" si="71"/>
        <v>4.7937793235289874</v>
      </c>
      <c r="F4596" s="8" t="str">
        <f>HYPERLINK("https://esbl.nhlbi.nih.gov/Databases/mpkFractions/proteomic_fractions_log_files/Yang_log_img/12963643.jpg","show blot")</f>
        <v>show blot</v>
      </c>
      <c r="H4596" s="8" t="str">
        <f>HYPERLINK("https://esbl.nhlbi.nih.gov/Databases/mpkFractions/proteomic_fractions_linear_files/Yang_linear_img/12963643.jpg","show blot")</f>
        <v>show blot</v>
      </c>
      <c r="J4596" s="5" t="s">
        <v>8988</v>
      </c>
      <c r="L4596" s="11">
        <v>4.7937793235289874</v>
      </c>
      <c r="N4596" s="12"/>
    </row>
    <row r="4597" spans="1:14" s="5" customFormat="1" ht="15" customHeight="1" x14ac:dyDescent="0.25">
      <c r="A4597" s="9" t="s">
        <v>8989</v>
      </c>
      <c r="C4597" s="9" t="str">
        <f>HYPERLINK("http://www.ncbi.nlm.nih.gov/protein/29826332","Mrpl47")</f>
        <v>Mrpl47</v>
      </c>
      <c r="D4597" s="10">
        <f t="shared" si="71"/>
        <v>4.4432808036563731</v>
      </c>
      <c r="F4597" s="8" t="str">
        <f>HYPERLINK("https://esbl.nhlbi.nih.gov/Databases/mpkFractions/proteomic_fractions_log_files/Yang_log_img/29826332.jpg","show blot")</f>
        <v>show blot</v>
      </c>
      <c r="H4597" s="8" t="str">
        <f>HYPERLINK("https://esbl.nhlbi.nih.gov/Databases/mpkFractions/proteomic_fractions_linear_files/Yang_linear_img/29826332.jpg","show blot")</f>
        <v>show blot</v>
      </c>
      <c r="J4597" s="5" t="s">
        <v>8990</v>
      </c>
      <c r="L4597" s="11">
        <v>4.4432808036563731</v>
      </c>
      <c r="N4597" s="12"/>
    </row>
    <row r="4598" spans="1:14" s="5" customFormat="1" ht="15" customHeight="1" x14ac:dyDescent="0.25">
      <c r="A4598" s="9" t="s">
        <v>8991</v>
      </c>
      <c r="C4598" s="9" t="str">
        <f>HYPERLINK("http://www.ncbi.nlm.nih.gov/protein/148368964","Mrpl48")</f>
        <v>Mrpl48</v>
      </c>
      <c r="D4598" s="10">
        <f t="shared" si="71"/>
        <v>4.625027435000888</v>
      </c>
      <c r="F4598" s="8" t="str">
        <f>HYPERLINK("https://esbl.nhlbi.nih.gov/Databases/mpkFractions/proteomic_fractions_log_files/Yang_log_img/148368964.jpg","show blot")</f>
        <v>show blot</v>
      </c>
      <c r="H4598" s="8" t="str">
        <f>HYPERLINK("https://esbl.nhlbi.nih.gov/Databases/mpkFractions/proteomic_fractions_linear_files/Yang_linear_img/148368964.jpg","show blot")</f>
        <v>show blot</v>
      </c>
      <c r="J4598" s="5" t="s">
        <v>8992</v>
      </c>
      <c r="L4598" s="11">
        <v>4.625027435000888</v>
      </c>
      <c r="N4598" s="12"/>
    </row>
    <row r="4599" spans="1:14" s="5" customFormat="1" ht="15" customHeight="1" x14ac:dyDescent="0.25">
      <c r="A4599" s="9" t="s">
        <v>8993</v>
      </c>
      <c r="C4599" s="9" t="str">
        <f>HYPERLINK("http://www.ncbi.nlm.nih.gov/protein/13385752","Mrpl49")</f>
        <v>Mrpl49</v>
      </c>
      <c r="D4599" s="10">
        <f t="shared" si="71"/>
        <v>4.9255154599082243</v>
      </c>
      <c r="F4599" s="8" t="str">
        <f>HYPERLINK("https://esbl.nhlbi.nih.gov/Databases/mpkFractions/proteomic_fractions_log_files/Yang_log_img/13385752.jpg","show blot")</f>
        <v>show blot</v>
      </c>
      <c r="H4599" s="8" t="str">
        <f>HYPERLINK("https://esbl.nhlbi.nih.gov/Databases/mpkFractions/proteomic_fractions_linear_files/Yang_linear_img/13385752.jpg","show blot")</f>
        <v>show blot</v>
      </c>
      <c r="J4599" s="5" t="s">
        <v>8994</v>
      </c>
      <c r="L4599" s="11">
        <v>4.9255154599082243</v>
      </c>
      <c r="N4599" s="12"/>
    </row>
    <row r="4600" spans="1:14" s="5" customFormat="1" ht="15" customHeight="1" x14ac:dyDescent="0.25">
      <c r="A4600" s="9" t="s">
        <v>8995</v>
      </c>
      <c r="C4600" s="9" t="str">
        <f>HYPERLINK("http://www.ncbi.nlm.nih.gov/protein/30519921","Mrpl50")</f>
        <v>Mrpl50</v>
      </c>
      <c r="D4600" s="10">
        <f t="shared" si="71"/>
        <v>3.0210367553769371</v>
      </c>
      <c r="F4600" s="8" t="str">
        <f>HYPERLINK("https://esbl.nhlbi.nih.gov/Databases/mpkFractions/proteomic_fractions_log_files/Yang_log_img/30519921.jpg","show blot")</f>
        <v>show blot</v>
      </c>
      <c r="H4600" s="8" t="str">
        <f>HYPERLINK("https://esbl.nhlbi.nih.gov/Databases/mpkFractions/proteomic_fractions_linear_files/Yang_linear_img/30519921.jpg","show blot")</f>
        <v>show blot</v>
      </c>
      <c r="J4600" s="5" t="s">
        <v>8996</v>
      </c>
      <c r="L4600" s="11">
        <v>3.0210367553769371</v>
      </c>
      <c r="N4600" s="12"/>
    </row>
    <row r="4601" spans="1:14" s="5" customFormat="1" ht="15" customHeight="1" x14ac:dyDescent="0.25">
      <c r="A4601" s="9" t="s">
        <v>8997</v>
      </c>
      <c r="C4601" s="9" t="str">
        <f>HYPERLINK("http://www.ncbi.nlm.nih.gov/protein/13385050","Mrpl51")</f>
        <v>Mrpl51</v>
      </c>
      <c r="D4601" s="10">
        <f t="shared" si="71"/>
        <v>3.4727534303225052</v>
      </c>
      <c r="F4601" s="8" t="str">
        <f>HYPERLINK("https://esbl.nhlbi.nih.gov/Databases/mpkFractions/proteomic_fractions_log_files/Yang_log_img/13385050.jpg","show blot")</f>
        <v>show blot</v>
      </c>
      <c r="H4601" s="8" t="str">
        <f>HYPERLINK("https://esbl.nhlbi.nih.gov/Databases/mpkFractions/proteomic_fractions_linear_files/Yang_linear_img/13385050.jpg","show blot")</f>
        <v>show blot</v>
      </c>
      <c r="J4601" s="5" t="s">
        <v>8998</v>
      </c>
      <c r="L4601" s="11">
        <v>3.4727534303225052</v>
      </c>
      <c r="N4601" s="12"/>
    </row>
    <row r="4602" spans="1:14" s="5" customFormat="1" ht="15" customHeight="1" x14ac:dyDescent="0.25">
      <c r="A4602" s="9" t="s">
        <v>8999</v>
      </c>
      <c r="C4602" s="9" t="str">
        <f>HYPERLINK("http://www.ncbi.nlm.nih.gov/protein/21313040","Mrpl53")</f>
        <v>Mrpl53</v>
      </c>
      <c r="D4602" s="10">
        <f t="shared" si="71"/>
        <v>4.8472053060611353</v>
      </c>
      <c r="F4602" s="8" t="str">
        <f>HYPERLINK("https://esbl.nhlbi.nih.gov/Databases/mpkFractions/proteomic_fractions_log_files/Yang_log_img/21313040.jpg","show blot")</f>
        <v>show blot</v>
      </c>
      <c r="H4602" s="8" t="str">
        <f>HYPERLINK("https://esbl.nhlbi.nih.gov/Databases/mpkFractions/proteomic_fractions_linear_files/Yang_linear_img/21313040.jpg","show blot")</f>
        <v>show blot</v>
      </c>
      <c r="J4602" s="5" t="s">
        <v>9000</v>
      </c>
      <c r="L4602" s="11">
        <v>4.8472053060611353</v>
      </c>
      <c r="N4602" s="12"/>
    </row>
    <row r="4603" spans="1:14" s="5" customFormat="1" ht="15" customHeight="1" x14ac:dyDescent="0.25">
      <c r="A4603" s="9" t="s">
        <v>9001</v>
      </c>
      <c r="C4603" s="9" t="str">
        <f>HYPERLINK("http://www.ncbi.nlm.nih.gov/protein/21313400","Mrpl55")</f>
        <v>Mrpl55</v>
      </c>
      <c r="D4603" s="10">
        <f t="shared" si="71"/>
        <v>4.4610866987210178</v>
      </c>
      <c r="F4603" s="8" t="str">
        <f>HYPERLINK("https://esbl.nhlbi.nih.gov/Databases/mpkFractions/proteomic_fractions_log_files/Yang_log_img/21313400.jpg","show blot")</f>
        <v>show blot</v>
      </c>
      <c r="H4603" s="8" t="str">
        <f>HYPERLINK("https://esbl.nhlbi.nih.gov/Databases/mpkFractions/proteomic_fractions_linear_files/Yang_linear_img/21313400.jpg","show blot")</f>
        <v>show blot</v>
      </c>
      <c r="J4603" s="5" t="s">
        <v>9002</v>
      </c>
      <c r="L4603" s="11">
        <v>4.4610866987210178</v>
      </c>
      <c r="N4603" s="12"/>
    </row>
    <row r="4604" spans="1:14" s="5" customFormat="1" ht="15" customHeight="1" x14ac:dyDescent="0.25">
      <c r="A4604" s="9" t="s">
        <v>9003</v>
      </c>
      <c r="C4604" s="9" t="str">
        <f>HYPERLINK("http://www.ncbi.nlm.nih.gov/protein/29789253","Mrpl9")</f>
        <v>Mrpl9</v>
      </c>
      <c r="D4604" s="10">
        <f t="shared" si="71"/>
        <v>4.5990968279370952</v>
      </c>
      <c r="F4604" s="8" t="str">
        <f>HYPERLINK("https://esbl.nhlbi.nih.gov/Databases/mpkFractions/proteomic_fractions_log_files/Yang_log_img/29789253.jpg","show blot")</f>
        <v>show blot</v>
      </c>
      <c r="H4604" s="8" t="str">
        <f>HYPERLINK("https://esbl.nhlbi.nih.gov/Databases/mpkFractions/proteomic_fractions_linear_files/Yang_linear_img/29789253.jpg","show blot")</f>
        <v>show blot</v>
      </c>
      <c r="J4604" s="5" t="s">
        <v>9004</v>
      </c>
      <c r="L4604" s="11">
        <v>4.5990968279370952</v>
      </c>
      <c r="N4604" s="12"/>
    </row>
    <row r="4605" spans="1:14" s="5" customFormat="1" ht="15" customHeight="1" x14ac:dyDescent="0.25">
      <c r="A4605" s="9" t="s">
        <v>9005</v>
      </c>
      <c r="C4605" s="9" t="str">
        <f>HYPERLINK("http://www.ncbi.nlm.nih.gov/protein/226246598","Mrps10")</f>
        <v>Mrps10</v>
      </c>
      <c r="D4605" s="10">
        <f t="shared" si="71"/>
        <v>4.6326249477293304</v>
      </c>
      <c r="F4605" s="8" t="str">
        <f>HYPERLINK("https://esbl.nhlbi.nih.gov/Databases/mpkFractions/proteomic_fractions_log_files/Yang_log_img/226246598.jpg","show blot")</f>
        <v>show blot</v>
      </c>
      <c r="H4605" s="8" t="str">
        <f>HYPERLINK("https://esbl.nhlbi.nih.gov/Databases/mpkFractions/proteomic_fractions_linear_files/Yang_linear_img/226246598.jpg","show blot")</f>
        <v>show blot</v>
      </c>
      <c r="J4605" s="5" t="s">
        <v>9006</v>
      </c>
      <c r="L4605" s="11">
        <v>4.6326249477293304</v>
      </c>
      <c r="N4605" s="12"/>
    </row>
    <row r="4606" spans="1:14" s="5" customFormat="1" ht="15" customHeight="1" x14ac:dyDescent="0.25">
      <c r="A4606" s="9" t="s">
        <v>9007</v>
      </c>
      <c r="C4606" s="9" t="str">
        <f>HYPERLINK("http://www.ncbi.nlm.nih.gov/protein/226246600","Mrps10")</f>
        <v>Mrps10</v>
      </c>
      <c r="D4606" s="10">
        <f t="shared" si="71"/>
        <v>4.6326249477293304</v>
      </c>
      <c r="F4606" s="8" t="str">
        <f>HYPERLINK("https://esbl.nhlbi.nih.gov/Databases/mpkFractions/proteomic_fractions_log_files/Yang_log_img/226246600.jpg","show blot")</f>
        <v>show blot</v>
      </c>
      <c r="H4606" s="8" t="str">
        <f>HYPERLINK("https://esbl.nhlbi.nih.gov/Databases/mpkFractions/proteomic_fractions_linear_files/Yang_linear_img/226246600.jpg","show blot")</f>
        <v>show blot</v>
      </c>
      <c r="J4606" s="5" t="s">
        <v>9008</v>
      </c>
      <c r="L4606" s="11">
        <v>4.6326249477293304</v>
      </c>
      <c r="N4606" s="12"/>
    </row>
    <row r="4607" spans="1:14" s="5" customFormat="1" ht="15" customHeight="1" x14ac:dyDescent="0.25">
      <c r="A4607" s="9" t="s">
        <v>9009</v>
      </c>
      <c r="C4607" s="9" t="str">
        <f>HYPERLINK("http://www.ncbi.nlm.nih.gov/protein/226246602","Mrps10")</f>
        <v>Mrps10</v>
      </c>
      <c r="D4607" s="10">
        <f t="shared" si="71"/>
        <v>4.6326249477293304</v>
      </c>
      <c r="F4607" s="8" t="str">
        <f>HYPERLINK("https://esbl.nhlbi.nih.gov/Databases/mpkFractions/proteomic_fractions_log_files/Yang_log_img/226246602.jpg","show blot")</f>
        <v>show blot</v>
      </c>
      <c r="H4607" s="8" t="str">
        <f>HYPERLINK("https://esbl.nhlbi.nih.gov/Databases/mpkFractions/proteomic_fractions_linear_files/Yang_linear_img/226246602.jpg","show blot")</f>
        <v>show blot</v>
      </c>
      <c r="J4607" s="5" t="s">
        <v>9010</v>
      </c>
      <c r="L4607" s="11">
        <v>4.6326249477293304</v>
      </c>
      <c r="N4607" s="12"/>
    </row>
    <row r="4608" spans="1:14" s="5" customFormat="1" ht="15" customHeight="1" x14ac:dyDescent="0.25">
      <c r="A4608" s="9" t="s">
        <v>9011</v>
      </c>
      <c r="C4608" s="9" t="str">
        <f>HYPERLINK("http://www.ncbi.nlm.nih.gov/protein/170650663","Mrps11")</f>
        <v>Mrps11</v>
      </c>
      <c r="D4608" s="10">
        <f t="shared" si="71"/>
        <v>4.3752360854112942</v>
      </c>
      <c r="F4608" s="8" t="str">
        <f>HYPERLINK("https://esbl.nhlbi.nih.gov/Databases/mpkFractions/proteomic_fractions_log_files/Yang_log_img/170650663.jpg","show blot")</f>
        <v>show blot</v>
      </c>
      <c r="H4608" s="8" t="str">
        <f>HYPERLINK("https://esbl.nhlbi.nih.gov/Databases/mpkFractions/proteomic_fractions_linear_files/Yang_linear_img/170650663.jpg","show blot")</f>
        <v>show blot</v>
      </c>
      <c r="J4608" s="5" t="s">
        <v>9012</v>
      </c>
      <c r="L4608" s="11">
        <v>4.3752360854112942</v>
      </c>
      <c r="N4608" s="12"/>
    </row>
    <row r="4609" spans="1:14" s="5" customFormat="1" ht="15" customHeight="1" x14ac:dyDescent="0.25">
      <c r="A4609" s="9" t="s">
        <v>9013</v>
      </c>
      <c r="C4609" s="9" t="str">
        <f>HYPERLINK("http://www.ncbi.nlm.nih.gov/protein/6755360","Mrps12")</f>
        <v>Mrps12</v>
      </c>
      <c r="D4609" s="10">
        <f t="shared" si="71"/>
        <v>3.1769246283443322</v>
      </c>
      <c r="F4609" s="8" t="str">
        <f>HYPERLINK("https://esbl.nhlbi.nih.gov/Databases/mpkFractions/proteomic_fractions_log_files/Yang_log_img/6755360.jpg","show blot")</f>
        <v>show blot</v>
      </c>
      <c r="H4609" s="8" t="str">
        <f>HYPERLINK("https://esbl.nhlbi.nih.gov/Databases/mpkFractions/proteomic_fractions_linear_files/Yang_linear_img/6755360.jpg","show blot")</f>
        <v>show blot</v>
      </c>
      <c r="J4609" s="5" t="s">
        <v>9014</v>
      </c>
      <c r="L4609" s="11">
        <v>3.1769246283443322</v>
      </c>
      <c r="N4609" s="12"/>
    </row>
    <row r="4610" spans="1:14" s="5" customFormat="1" ht="15" customHeight="1" x14ac:dyDescent="0.25">
      <c r="A4610" s="9" t="s">
        <v>9015</v>
      </c>
      <c r="C4610" s="9" t="str">
        <f>HYPERLINK("http://www.ncbi.nlm.nih.gov/protein/13384894","Mrps14")</f>
        <v>Mrps14</v>
      </c>
      <c r="D4610" s="10">
        <f t="shared" si="71"/>
        <v>4.2680145824605411</v>
      </c>
      <c r="F4610" s="8" t="str">
        <f>HYPERLINK("https://esbl.nhlbi.nih.gov/Databases/mpkFractions/proteomic_fractions_log_files/Yang_log_img/13384894.jpg","show blot")</f>
        <v>show blot</v>
      </c>
      <c r="H4610" s="8" t="str">
        <f>HYPERLINK("https://esbl.nhlbi.nih.gov/Databases/mpkFractions/proteomic_fractions_linear_files/Yang_linear_img/13384894.jpg","show blot")</f>
        <v>show blot</v>
      </c>
      <c r="J4610" s="5" t="s">
        <v>9016</v>
      </c>
      <c r="L4610" s="11">
        <v>4.2680145824605411</v>
      </c>
      <c r="N4610" s="12"/>
    </row>
    <row r="4611" spans="1:14" s="5" customFormat="1" ht="15" customHeight="1" x14ac:dyDescent="0.25">
      <c r="A4611" s="9" t="s">
        <v>9017</v>
      </c>
      <c r="C4611" s="9" t="str">
        <f>HYPERLINK("http://www.ncbi.nlm.nih.gov/protein/48526512","Mrps15")</f>
        <v>Mrps15</v>
      </c>
      <c r="D4611" s="10">
        <f t="shared" si="71"/>
        <v>4.5031041154582692</v>
      </c>
      <c r="F4611" s="8" t="str">
        <f>HYPERLINK("https://esbl.nhlbi.nih.gov/Databases/mpkFractions/proteomic_fractions_log_files/Yang_log_img/48526512.jpg","show blot")</f>
        <v>show blot</v>
      </c>
      <c r="H4611" s="8" t="str">
        <f>HYPERLINK("https://esbl.nhlbi.nih.gov/Databases/mpkFractions/proteomic_fractions_linear_files/Yang_linear_img/48526512.jpg","show blot")</f>
        <v>show blot</v>
      </c>
      <c r="J4611" s="5" t="s">
        <v>9018</v>
      </c>
      <c r="L4611" s="11">
        <v>4.5031041154582692</v>
      </c>
      <c r="N4611" s="12"/>
    </row>
    <row r="4612" spans="1:14" s="5" customFormat="1" ht="15" customHeight="1" x14ac:dyDescent="0.25">
      <c r="A4612" s="9" t="s">
        <v>9019</v>
      </c>
      <c r="C4612" s="9" t="str">
        <f>HYPERLINK("http://www.ncbi.nlm.nih.gov/protein/13384844","Mrps16")</f>
        <v>Mrps16</v>
      </c>
      <c r="D4612" s="10">
        <f t="shared" si="71"/>
        <v>4.7040689003704061</v>
      </c>
      <c r="F4612" s="8" t="str">
        <f>HYPERLINK("https://esbl.nhlbi.nih.gov/Databases/mpkFractions/proteomic_fractions_log_files/Yang_log_img/13384844.jpg","show blot")</f>
        <v>show blot</v>
      </c>
      <c r="H4612" s="8" t="str">
        <f>HYPERLINK("https://esbl.nhlbi.nih.gov/Databases/mpkFractions/proteomic_fractions_linear_files/Yang_linear_img/13384844.jpg","show blot")</f>
        <v>show blot</v>
      </c>
      <c r="J4612" s="5" t="s">
        <v>9020</v>
      </c>
      <c r="L4612" s="11">
        <v>4.7040689003704061</v>
      </c>
      <c r="N4612" s="12"/>
    </row>
    <row r="4613" spans="1:14" s="5" customFormat="1" ht="15" customHeight="1" x14ac:dyDescent="0.25">
      <c r="A4613" s="9" t="s">
        <v>9021</v>
      </c>
      <c r="C4613" s="9" t="str">
        <f>HYPERLINK("http://www.ncbi.nlm.nih.gov/protein/13384854","Mrps17")</f>
        <v>Mrps17</v>
      </c>
      <c r="D4613" s="10">
        <f t="shared" ref="D4613:D4676" si="72">L4613</f>
        <v>4.9749920636650486</v>
      </c>
      <c r="F4613" s="8" t="str">
        <f>HYPERLINK("https://esbl.nhlbi.nih.gov/Databases/mpkFractions/proteomic_fractions_log_files/Yang_log_img/13384854.jpg","show blot")</f>
        <v>show blot</v>
      </c>
      <c r="H4613" s="8" t="str">
        <f>HYPERLINK("https://esbl.nhlbi.nih.gov/Databases/mpkFractions/proteomic_fractions_linear_files/Yang_linear_img/13384854.jpg","show blot")</f>
        <v>show blot</v>
      </c>
      <c r="J4613" s="5" t="s">
        <v>9022</v>
      </c>
      <c r="L4613" s="11">
        <v>4.9749920636650486</v>
      </c>
      <c r="N4613" s="12"/>
    </row>
    <row r="4614" spans="1:14" s="5" customFormat="1" ht="15" customHeight="1" x14ac:dyDescent="0.25">
      <c r="A4614" s="9" t="s">
        <v>9023</v>
      </c>
      <c r="C4614" s="9" t="str">
        <f>HYPERLINK("http://www.ncbi.nlm.nih.gov/protein/17505206","Mrps18a")</f>
        <v>Mrps18a</v>
      </c>
      <c r="D4614" s="10">
        <f t="shared" si="72"/>
        <v>4.2844344232871236</v>
      </c>
      <c r="F4614" s="8" t="str">
        <f>HYPERLINK("https://esbl.nhlbi.nih.gov/Databases/mpkFractions/proteomic_fractions_log_files/Yang_log_img/17505206.jpg","show blot")</f>
        <v>show blot</v>
      </c>
      <c r="H4614" s="8" t="str">
        <f>HYPERLINK("https://esbl.nhlbi.nih.gov/Databases/mpkFractions/proteomic_fractions_linear_files/Yang_linear_img/17505206.jpg","show blot")</f>
        <v>show blot</v>
      </c>
      <c r="J4614" s="5" t="s">
        <v>9024</v>
      </c>
      <c r="L4614" s="11">
        <v>4.2844344232871236</v>
      </c>
      <c r="N4614" s="12"/>
    </row>
    <row r="4615" spans="1:14" s="5" customFormat="1" ht="15" customHeight="1" x14ac:dyDescent="0.25">
      <c r="A4615" s="9" t="s">
        <v>9025</v>
      </c>
      <c r="C4615" s="9" t="str">
        <f>HYPERLINK("http://www.ncbi.nlm.nih.gov/protein/23956152","Mrps18b")</f>
        <v>Mrps18b</v>
      </c>
      <c r="D4615" s="10">
        <f t="shared" si="72"/>
        <v>3.4034546964872541</v>
      </c>
      <c r="F4615" s="8" t="str">
        <f>HYPERLINK("https://esbl.nhlbi.nih.gov/Databases/mpkFractions/proteomic_fractions_log_files/Yang_log_img/23956152.jpg","show blot")</f>
        <v>show blot</v>
      </c>
      <c r="H4615" s="8" t="str">
        <f>HYPERLINK("https://esbl.nhlbi.nih.gov/Databases/mpkFractions/proteomic_fractions_linear_files/Yang_linear_img/23956152.jpg","show blot")</f>
        <v>show blot</v>
      </c>
      <c r="J4615" s="5" t="s">
        <v>9026</v>
      </c>
      <c r="L4615" s="11">
        <v>3.4034546964872541</v>
      </c>
      <c r="N4615" s="12"/>
    </row>
    <row r="4616" spans="1:14" s="5" customFormat="1" ht="15" customHeight="1" x14ac:dyDescent="0.25">
      <c r="A4616" s="9" t="s">
        <v>9027</v>
      </c>
      <c r="C4616" s="9" t="str">
        <f>HYPERLINK("http://www.ncbi.nlm.nih.gov/protein/260593696","Mrps2")</f>
        <v>Mrps2</v>
      </c>
      <c r="D4616" s="10">
        <f t="shared" si="72"/>
        <v>4.7319820304541969</v>
      </c>
      <c r="F4616" s="8" t="str">
        <f>HYPERLINK("https://esbl.nhlbi.nih.gov/Databases/mpkFractions/proteomic_fractions_log_files/Yang_log_img/260593696.jpg","show blot")</f>
        <v>show blot</v>
      </c>
      <c r="H4616" s="8" t="str">
        <f>HYPERLINK("https://esbl.nhlbi.nih.gov/Databases/mpkFractions/proteomic_fractions_linear_files/Yang_linear_img/260593696.jpg","show blot")</f>
        <v>show blot</v>
      </c>
      <c r="J4616" s="5" t="s">
        <v>9028</v>
      </c>
      <c r="L4616" s="11">
        <v>4.7319820304541969</v>
      </c>
      <c r="N4616" s="12"/>
    </row>
    <row r="4617" spans="1:14" s="5" customFormat="1" ht="15" customHeight="1" x14ac:dyDescent="0.25">
      <c r="A4617" s="9" t="s">
        <v>9029</v>
      </c>
      <c r="C4617" s="9" t="str">
        <f>HYPERLINK("http://www.ncbi.nlm.nih.gov/protein/260593698","Mrps2")</f>
        <v>Mrps2</v>
      </c>
      <c r="D4617" s="10">
        <f t="shared" si="72"/>
        <v>4.7319820304541969</v>
      </c>
      <c r="F4617" s="8" t="str">
        <f>HYPERLINK("https://esbl.nhlbi.nih.gov/Databases/mpkFractions/proteomic_fractions_log_files/Yang_log_img/260593698.jpg","show blot")</f>
        <v>show blot</v>
      </c>
      <c r="H4617" s="8" t="str">
        <f>HYPERLINK("https://esbl.nhlbi.nih.gov/Databases/mpkFractions/proteomic_fractions_linear_files/Yang_linear_img/260593698.jpg","show blot")</f>
        <v>show blot</v>
      </c>
      <c r="J4617" s="5" t="s">
        <v>9030</v>
      </c>
      <c r="L4617" s="11">
        <v>4.7319820304541969</v>
      </c>
      <c r="N4617" s="12"/>
    </row>
    <row r="4618" spans="1:14" s="5" customFormat="1" ht="15" customHeight="1" x14ac:dyDescent="0.25">
      <c r="A4618" s="9" t="s">
        <v>9031</v>
      </c>
      <c r="C4618" s="9" t="str">
        <f>HYPERLINK("http://www.ncbi.nlm.nih.gov/protein/17505220","Mrps21")</f>
        <v>Mrps21</v>
      </c>
      <c r="D4618" s="10">
        <f t="shared" si="72"/>
        <v>4.7100064904318204</v>
      </c>
      <c r="F4618" s="8" t="str">
        <f>HYPERLINK("https://esbl.nhlbi.nih.gov/Databases/mpkFractions/proteomic_fractions_log_files/Yang_log_img/17505220.jpg","show blot")</f>
        <v>show blot</v>
      </c>
      <c r="H4618" s="8" t="str">
        <f>HYPERLINK("https://esbl.nhlbi.nih.gov/Databases/mpkFractions/proteomic_fractions_linear_files/Yang_linear_img/17505220.jpg","show blot")</f>
        <v>show blot</v>
      </c>
      <c r="J4618" s="5" t="s">
        <v>9032</v>
      </c>
      <c r="L4618" s="11">
        <v>4.7100064904318204</v>
      </c>
      <c r="N4618" s="12"/>
    </row>
    <row r="4619" spans="1:14" s="5" customFormat="1" ht="15" customHeight="1" x14ac:dyDescent="0.25">
      <c r="A4619" s="9" t="s">
        <v>9033</v>
      </c>
      <c r="C4619" s="9" t="str">
        <f>HYPERLINK("http://www.ncbi.nlm.nih.gov/protein/13384904","Mrps22")</f>
        <v>Mrps22</v>
      </c>
      <c r="D4619" s="10">
        <f t="shared" si="72"/>
        <v>4.5633833737622247</v>
      </c>
      <c r="F4619" s="8" t="str">
        <f>HYPERLINK("https://esbl.nhlbi.nih.gov/Databases/mpkFractions/proteomic_fractions_log_files/Yang_log_img/13384904.jpg","show blot")</f>
        <v>show blot</v>
      </c>
      <c r="H4619" s="8" t="str">
        <f>HYPERLINK("https://esbl.nhlbi.nih.gov/Databases/mpkFractions/proteomic_fractions_linear_files/Yang_linear_img/13384904.jpg","show blot")</f>
        <v>show blot</v>
      </c>
      <c r="J4619" s="5" t="s">
        <v>9034</v>
      </c>
      <c r="L4619" s="11">
        <v>4.5633833737622247</v>
      </c>
      <c r="N4619" s="12"/>
    </row>
    <row r="4620" spans="1:14" s="5" customFormat="1" ht="15" customHeight="1" x14ac:dyDescent="0.25">
      <c r="A4620" s="9" t="s">
        <v>9035</v>
      </c>
      <c r="C4620" s="9" t="str">
        <f>HYPERLINK("http://www.ncbi.nlm.nih.gov/protein/27228982","Mrps23")</f>
        <v>Mrps23</v>
      </c>
      <c r="D4620" s="10">
        <f t="shared" si="72"/>
        <v>5.145352965017957</v>
      </c>
      <c r="F4620" s="8" t="str">
        <f>HYPERLINK("https://esbl.nhlbi.nih.gov/Databases/mpkFractions/proteomic_fractions_log_files/Yang_log_img/27228982.jpg","show blot")</f>
        <v>show blot</v>
      </c>
      <c r="H4620" s="8" t="str">
        <f>HYPERLINK("https://esbl.nhlbi.nih.gov/Databases/mpkFractions/proteomic_fractions_linear_files/Yang_linear_img/27228982.jpg","show blot")</f>
        <v>show blot</v>
      </c>
      <c r="J4620" s="5" t="s">
        <v>9036</v>
      </c>
      <c r="L4620" s="11">
        <v>5.145352965017957</v>
      </c>
      <c r="N4620" s="12"/>
    </row>
    <row r="4621" spans="1:14" s="5" customFormat="1" ht="15" customHeight="1" x14ac:dyDescent="0.25">
      <c r="A4621" s="9" t="s">
        <v>9037</v>
      </c>
      <c r="C4621" s="9" t="str">
        <f>HYPERLINK("http://www.ncbi.nlm.nih.gov/protein/13385578","Mrps24")</f>
        <v>Mrps24</v>
      </c>
      <c r="D4621" s="10">
        <f t="shared" si="72"/>
        <v>4.628925092144784</v>
      </c>
      <c r="F4621" s="8" t="str">
        <f>HYPERLINK("https://esbl.nhlbi.nih.gov/Databases/mpkFractions/proteomic_fractions_log_files/Yang_log_img/13385578.jpg","show blot")</f>
        <v>show blot</v>
      </c>
      <c r="H4621" s="8" t="str">
        <f>HYPERLINK("https://esbl.nhlbi.nih.gov/Databases/mpkFractions/proteomic_fractions_linear_files/Yang_linear_img/13385578.jpg","show blot")</f>
        <v>show blot</v>
      </c>
      <c r="J4621" s="5" t="s">
        <v>9038</v>
      </c>
      <c r="L4621" s="11">
        <v>4.628925092144784</v>
      </c>
      <c r="N4621" s="12"/>
    </row>
    <row r="4622" spans="1:14" s="5" customFormat="1" ht="15" customHeight="1" x14ac:dyDescent="0.25">
      <c r="A4622" s="9" t="s">
        <v>9039</v>
      </c>
      <c r="C4622" s="9" t="str">
        <f>HYPERLINK("http://www.ncbi.nlm.nih.gov/protein/31981257","Mrps25")</f>
        <v>Mrps25</v>
      </c>
      <c r="D4622" s="10">
        <f t="shared" si="72"/>
        <v>3.5859862256588251</v>
      </c>
      <c r="F4622" s="8" t="str">
        <f>HYPERLINK("https://esbl.nhlbi.nih.gov/Databases/mpkFractions/proteomic_fractions_log_files/Yang_log_img/31981257.jpg","show blot")</f>
        <v>show blot</v>
      </c>
      <c r="H4622" s="8" t="str">
        <f>HYPERLINK("https://esbl.nhlbi.nih.gov/Databases/mpkFractions/proteomic_fractions_linear_files/Yang_linear_img/31981257.jpg","show blot")</f>
        <v>show blot</v>
      </c>
      <c r="J4622" s="5" t="s">
        <v>9040</v>
      </c>
      <c r="L4622" s="11">
        <v>3.5859862256588251</v>
      </c>
      <c r="N4622" s="12"/>
    </row>
    <row r="4623" spans="1:14" s="5" customFormat="1" ht="15" customHeight="1" x14ac:dyDescent="0.25">
      <c r="A4623" s="9" t="s">
        <v>9041</v>
      </c>
      <c r="C4623" s="9" t="str">
        <f>HYPERLINK("http://www.ncbi.nlm.nih.gov/protein/46402169","Mrps26")</f>
        <v>Mrps26</v>
      </c>
      <c r="D4623" s="10">
        <f t="shared" si="72"/>
        <v>4.6728966895576436</v>
      </c>
      <c r="F4623" s="8" t="str">
        <f>HYPERLINK("https://esbl.nhlbi.nih.gov/Databases/mpkFractions/proteomic_fractions_log_files/Yang_log_img/46402169.jpg","show blot")</f>
        <v>show blot</v>
      </c>
      <c r="H4623" s="8" t="str">
        <f>HYPERLINK("https://esbl.nhlbi.nih.gov/Databases/mpkFractions/proteomic_fractions_linear_files/Yang_linear_img/46402169.jpg","show blot")</f>
        <v>show blot</v>
      </c>
      <c r="J4623" s="5" t="s">
        <v>9042</v>
      </c>
      <c r="L4623" s="11">
        <v>4.6728966895576436</v>
      </c>
      <c r="N4623" s="12"/>
    </row>
    <row r="4624" spans="1:14" s="5" customFormat="1" ht="15" customHeight="1" x14ac:dyDescent="0.25">
      <c r="A4624" s="9" t="s">
        <v>9043</v>
      </c>
      <c r="C4624" s="9" t="str">
        <f>HYPERLINK("http://www.ncbi.nlm.nih.gov/protein/50980303","Mrps27")</f>
        <v>Mrps27</v>
      </c>
      <c r="D4624" s="10">
        <f t="shared" si="72"/>
        <v>4.5888061494241406</v>
      </c>
      <c r="F4624" s="8" t="str">
        <f>HYPERLINK("https://esbl.nhlbi.nih.gov/Databases/mpkFractions/proteomic_fractions_log_files/Yang_log_img/50980303.jpg","show blot")</f>
        <v>show blot</v>
      </c>
      <c r="H4624" s="8" t="str">
        <f>HYPERLINK("https://esbl.nhlbi.nih.gov/Databases/mpkFractions/proteomic_fractions_linear_files/Yang_linear_img/50980303.jpg","show blot")</f>
        <v>show blot</v>
      </c>
      <c r="J4624" s="5" t="s">
        <v>9044</v>
      </c>
      <c r="L4624" s="11">
        <v>4.5888061494241406</v>
      </c>
      <c r="N4624" s="12"/>
    </row>
    <row r="4625" spans="1:14" s="5" customFormat="1" ht="15" customHeight="1" x14ac:dyDescent="0.25">
      <c r="A4625" s="9" t="s">
        <v>9045</v>
      </c>
      <c r="C4625" s="9" t="str">
        <f>HYPERLINK("http://www.ncbi.nlm.nih.gov/protein/254587936","Mrps28")</f>
        <v>Mrps28</v>
      </c>
      <c r="D4625" s="10">
        <f t="shared" si="72"/>
        <v>4.5663629768774419</v>
      </c>
      <c r="F4625" s="8" t="str">
        <f>HYPERLINK("https://esbl.nhlbi.nih.gov/Databases/mpkFractions/proteomic_fractions_log_files/Yang_log_img/254587936.jpg","show blot")</f>
        <v>show blot</v>
      </c>
      <c r="H4625" s="8" t="str">
        <f>HYPERLINK("https://esbl.nhlbi.nih.gov/Databases/mpkFractions/proteomic_fractions_linear_files/Yang_linear_img/254587936.jpg","show blot")</f>
        <v>show blot</v>
      </c>
      <c r="J4625" s="5" t="s">
        <v>9046</v>
      </c>
      <c r="L4625" s="11">
        <v>4.5663629768774419</v>
      </c>
      <c r="N4625" s="12"/>
    </row>
    <row r="4626" spans="1:14" s="5" customFormat="1" ht="15" customHeight="1" x14ac:dyDescent="0.25">
      <c r="A4626" s="9" t="s">
        <v>9047</v>
      </c>
      <c r="C4626" s="9" t="str">
        <f>HYPERLINK("http://www.ncbi.nlm.nih.gov/protein/29789128","Mrps30")</f>
        <v>Mrps30</v>
      </c>
      <c r="D4626" s="10">
        <f t="shared" si="72"/>
        <v>4.4750340155522466</v>
      </c>
      <c r="F4626" s="8" t="str">
        <f>HYPERLINK("https://esbl.nhlbi.nih.gov/Databases/mpkFractions/proteomic_fractions_log_files/Yang_log_img/29789128.jpg","show blot")</f>
        <v>show blot</v>
      </c>
      <c r="H4626" s="8" t="str">
        <f>HYPERLINK("https://esbl.nhlbi.nih.gov/Databases/mpkFractions/proteomic_fractions_linear_files/Yang_linear_img/29789128.jpg","show blot")</f>
        <v>show blot</v>
      </c>
      <c r="J4626" s="5" t="s">
        <v>9048</v>
      </c>
      <c r="L4626" s="11">
        <v>4.4750340155522466</v>
      </c>
      <c r="N4626" s="12"/>
    </row>
    <row r="4627" spans="1:14" s="5" customFormat="1" ht="15" customHeight="1" x14ac:dyDescent="0.25">
      <c r="A4627" s="9" t="s">
        <v>9049</v>
      </c>
      <c r="C4627" s="9" t="str">
        <f>HYPERLINK("http://www.ncbi.nlm.nih.gov/protein/10181116","Mrps31")</f>
        <v>Mrps31</v>
      </c>
      <c r="D4627" s="10">
        <f t="shared" si="72"/>
        <v>3.8285463171922709</v>
      </c>
      <c r="F4627" s="8" t="str">
        <f>HYPERLINK("https://esbl.nhlbi.nih.gov/Databases/mpkFractions/proteomic_fractions_log_files/Yang_log_img/10181116.jpg","show blot")</f>
        <v>show blot</v>
      </c>
      <c r="H4627" s="8" t="str">
        <f>HYPERLINK("https://esbl.nhlbi.nih.gov/Databases/mpkFractions/proteomic_fractions_linear_files/Yang_linear_img/10181116.jpg","show blot")</f>
        <v>show blot</v>
      </c>
      <c r="J4627" s="5" t="s">
        <v>9050</v>
      </c>
      <c r="L4627" s="11">
        <v>3.8285463171922709</v>
      </c>
      <c r="N4627" s="12"/>
    </row>
    <row r="4628" spans="1:14" s="5" customFormat="1" ht="15" customHeight="1" x14ac:dyDescent="0.25">
      <c r="A4628" s="9" t="s">
        <v>9051</v>
      </c>
      <c r="C4628" s="9" t="str">
        <f>HYPERLINK("http://www.ncbi.nlm.nih.gov/protein/33859564","Mrps33")</f>
        <v>Mrps33</v>
      </c>
      <c r="D4628" s="10">
        <f t="shared" si="72"/>
        <v>4.6669245984673831</v>
      </c>
      <c r="F4628" s="8" t="str">
        <f>HYPERLINK("https://esbl.nhlbi.nih.gov/Databases/mpkFractions/proteomic_fractions_log_files/Yang_log_img/33859564.jpg","show blot")</f>
        <v>show blot</v>
      </c>
      <c r="H4628" s="8" t="str">
        <f>HYPERLINK("https://esbl.nhlbi.nih.gov/Databases/mpkFractions/proteomic_fractions_linear_files/Yang_linear_img/33859564.jpg","show blot")</f>
        <v>show blot</v>
      </c>
      <c r="J4628" s="5" t="s">
        <v>9052</v>
      </c>
      <c r="L4628" s="11">
        <v>4.6669245984673831</v>
      </c>
      <c r="N4628" s="12"/>
    </row>
    <row r="4629" spans="1:14" s="5" customFormat="1" ht="15" customHeight="1" x14ac:dyDescent="0.25">
      <c r="A4629" s="9" t="s">
        <v>9053</v>
      </c>
      <c r="C4629" s="9" t="str">
        <f>HYPERLINK("http://www.ncbi.nlm.nih.gov/protein/13385670","Mrps34")</f>
        <v>Mrps34</v>
      </c>
      <c r="D4629" s="10">
        <f t="shared" si="72"/>
        <v>5.136168310437319</v>
      </c>
      <c r="F4629" s="8" t="str">
        <f>HYPERLINK("https://esbl.nhlbi.nih.gov/Databases/mpkFractions/proteomic_fractions_log_files/Yang_log_img/13385670.jpg","show blot")</f>
        <v>show blot</v>
      </c>
      <c r="H4629" s="8" t="str">
        <f>HYPERLINK("https://esbl.nhlbi.nih.gov/Databases/mpkFractions/proteomic_fractions_linear_files/Yang_linear_img/13385670.jpg","show blot")</f>
        <v>show blot</v>
      </c>
      <c r="J4629" s="5" t="s">
        <v>9054</v>
      </c>
      <c r="L4629" s="11">
        <v>5.136168310437319</v>
      </c>
      <c r="N4629" s="12"/>
    </row>
    <row r="4630" spans="1:14" s="5" customFormat="1" ht="15" customHeight="1" x14ac:dyDescent="0.25">
      <c r="A4630" s="9" t="s">
        <v>9055</v>
      </c>
      <c r="C4630" s="9" t="str">
        <f>HYPERLINK("http://www.ncbi.nlm.nih.gov/protein/148235701","Mrps35")</f>
        <v>Mrps35</v>
      </c>
      <c r="D4630" s="10">
        <f t="shared" si="72"/>
        <v>4.0500037028472464</v>
      </c>
      <c r="F4630" s="8" t="str">
        <f>HYPERLINK("https://esbl.nhlbi.nih.gov/Databases/mpkFractions/proteomic_fractions_log_files/Yang_log_img/148235701.jpg","show blot")</f>
        <v>show blot</v>
      </c>
      <c r="H4630" s="8" t="str">
        <f>HYPERLINK("https://esbl.nhlbi.nih.gov/Databases/mpkFractions/proteomic_fractions_linear_files/Yang_linear_img/148235701.jpg","show blot")</f>
        <v>show blot</v>
      </c>
      <c r="J4630" s="5" t="s">
        <v>9056</v>
      </c>
      <c r="L4630" s="11">
        <v>4.0500037028472464</v>
      </c>
      <c r="N4630" s="12"/>
    </row>
    <row r="4631" spans="1:14" s="5" customFormat="1" ht="15" customHeight="1" x14ac:dyDescent="0.25">
      <c r="A4631" s="9" t="s">
        <v>9057</v>
      </c>
      <c r="C4631" s="9" t="str">
        <f>HYPERLINK("http://www.ncbi.nlm.nih.gov/protein/13384742","Mrps36")</f>
        <v>Mrps36</v>
      </c>
      <c r="D4631" s="10">
        <f t="shared" si="72"/>
        <v>3.612653197905769</v>
      </c>
      <c r="F4631" s="8" t="str">
        <f>HYPERLINK("https://esbl.nhlbi.nih.gov/Databases/mpkFractions/proteomic_fractions_log_files/Yang_log_img/13384742.jpg","show blot")</f>
        <v>show blot</v>
      </c>
      <c r="H4631" s="8" t="str">
        <f>HYPERLINK("https://esbl.nhlbi.nih.gov/Databases/mpkFractions/proteomic_fractions_linear_files/Yang_linear_img/13384742.jpg","show blot")</f>
        <v>show blot</v>
      </c>
      <c r="J4631" s="5" t="s">
        <v>9058</v>
      </c>
      <c r="L4631" s="11">
        <v>3.612653197905769</v>
      </c>
      <c r="N4631" s="12"/>
    </row>
    <row r="4632" spans="1:14" s="5" customFormat="1" ht="15" customHeight="1" x14ac:dyDescent="0.25">
      <c r="A4632" s="9" t="s">
        <v>9059</v>
      </c>
      <c r="C4632" s="9" t="str">
        <f>HYPERLINK("http://www.ncbi.nlm.nih.gov/protein/298286543","Mrps36")</f>
        <v>Mrps36</v>
      </c>
      <c r="D4632" s="10">
        <f t="shared" si="72"/>
        <v>3.612653197905769</v>
      </c>
      <c r="F4632" s="8" t="str">
        <f>HYPERLINK("https://esbl.nhlbi.nih.gov/Databases/mpkFractions/proteomic_fractions_log_files/Yang_log_img/298286543.jpg","show blot")</f>
        <v>show blot</v>
      </c>
      <c r="H4632" s="8" t="str">
        <f>HYPERLINK("https://esbl.nhlbi.nih.gov/Databases/mpkFractions/proteomic_fractions_linear_files/Yang_linear_img/298286543.jpg","show blot")</f>
        <v>show blot</v>
      </c>
      <c r="J4632" s="5" t="s">
        <v>9060</v>
      </c>
      <c r="L4632" s="11">
        <v>3.612653197905769</v>
      </c>
      <c r="N4632" s="12"/>
    </row>
    <row r="4633" spans="1:14" s="5" customFormat="1" ht="15" customHeight="1" x14ac:dyDescent="0.25">
      <c r="A4633" s="9" t="s">
        <v>9061</v>
      </c>
      <c r="C4633" s="9" t="str">
        <f>HYPERLINK("http://www.ncbi.nlm.nih.gov/protein/17157985","Mrps5")</f>
        <v>Mrps5</v>
      </c>
      <c r="D4633" s="10">
        <f t="shared" si="72"/>
        <v>4.2013927450707254</v>
      </c>
      <c r="F4633" s="8" t="str">
        <f>HYPERLINK("https://esbl.nhlbi.nih.gov/Databases/mpkFractions/proteomic_fractions_log_files/Yang_log_img/17157985.jpg","show blot")</f>
        <v>show blot</v>
      </c>
      <c r="H4633" s="8" t="str">
        <f>HYPERLINK("https://esbl.nhlbi.nih.gov/Databases/mpkFractions/proteomic_fractions_linear_files/Yang_linear_img/17157985.jpg","show blot")</f>
        <v>show blot</v>
      </c>
      <c r="J4633" s="5" t="s">
        <v>9062</v>
      </c>
      <c r="L4633" s="11">
        <v>4.2013927450707254</v>
      </c>
      <c r="N4633" s="12"/>
    </row>
    <row r="4634" spans="1:14" s="5" customFormat="1" ht="15" customHeight="1" x14ac:dyDescent="0.25">
      <c r="A4634" s="9" t="s">
        <v>9063</v>
      </c>
      <c r="C4634" s="9" t="str">
        <f>HYPERLINK("http://www.ncbi.nlm.nih.gov/protein/23956244","Mrps6")</f>
        <v>Mrps6</v>
      </c>
      <c r="D4634" s="10">
        <f t="shared" si="72"/>
        <v>4.683544589002949</v>
      </c>
      <c r="F4634" s="8" t="str">
        <f>HYPERLINK("https://esbl.nhlbi.nih.gov/Databases/mpkFractions/proteomic_fractions_log_files/Yang_log_img/23956244.jpg","show blot")</f>
        <v>show blot</v>
      </c>
      <c r="H4634" s="8" t="str">
        <f>HYPERLINK("https://esbl.nhlbi.nih.gov/Databases/mpkFractions/proteomic_fractions_linear_files/Yang_linear_img/23956244.jpg","show blot")</f>
        <v>show blot</v>
      </c>
      <c r="J4634" s="5" t="s">
        <v>9064</v>
      </c>
      <c r="L4634" s="11">
        <v>4.683544589002949</v>
      </c>
      <c r="N4634" s="12"/>
    </row>
    <row r="4635" spans="1:14" s="5" customFormat="1" ht="15" customHeight="1" x14ac:dyDescent="0.25">
      <c r="A4635" s="9" t="s">
        <v>9065</v>
      </c>
      <c r="C4635" s="9" t="str">
        <f>HYPERLINK("http://www.ncbi.nlm.nih.gov/protein/30794474","Mrps7")</f>
        <v>Mrps7</v>
      </c>
      <c r="D4635" s="10">
        <f t="shared" si="72"/>
        <v>5.2334006169276028</v>
      </c>
      <c r="F4635" s="8" t="str">
        <f>HYPERLINK("https://esbl.nhlbi.nih.gov/Databases/mpkFractions/proteomic_fractions_log_files/Yang_log_img/30794474.jpg","show blot")</f>
        <v>show blot</v>
      </c>
      <c r="H4635" s="8" t="str">
        <f>HYPERLINK("https://esbl.nhlbi.nih.gov/Databases/mpkFractions/proteomic_fractions_linear_files/Yang_linear_img/30794474.jpg","show blot")</f>
        <v>show blot</v>
      </c>
      <c r="J4635" s="5" t="s">
        <v>9066</v>
      </c>
      <c r="L4635" s="11">
        <v>5.2334006169276028</v>
      </c>
      <c r="N4635" s="12"/>
    </row>
    <row r="4636" spans="1:14" s="5" customFormat="1" ht="15" customHeight="1" x14ac:dyDescent="0.25">
      <c r="A4636" s="9" t="s">
        <v>9067</v>
      </c>
      <c r="C4636" s="9" t="str">
        <f>HYPERLINK("http://www.ncbi.nlm.nih.gov/protein/169790909","Mrps9")</f>
        <v>Mrps9</v>
      </c>
      <c r="D4636" s="10">
        <f t="shared" si="72"/>
        <v>4.9557359239853023</v>
      </c>
      <c r="F4636" s="8" t="str">
        <f>HYPERLINK("https://esbl.nhlbi.nih.gov/Databases/mpkFractions/proteomic_fractions_log_files/Yang_log_img/169790909.jpg","show blot")</f>
        <v>show blot</v>
      </c>
      <c r="H4636" s="8" t="str">
        <f>HYPERLINK("https://esbl.nhlbi.nih.gov/Databases/mpkFractions/proteomic_fractions_linear_files/Yang_linear_img/169790909.jpg","show blot")</f>
        <v>show blot</v>
      </c>
      <c r="J4636" s="5" t="s">
        <v>9068</v>
      </c>
      <c r="L4636" s="11">
        <v>4.9557359239853023</v>
      </c>
      <c r="N4636" s="12"/>
    </row>
    <row r="4637" spans="1:14" s="5" customFormat="1" ht="15" customHeight="1" x14ac:dyDescent="0.25">
      <c r="A4637" s="9" t="s">
        <v>9069</v>
      </c>
      <c r="C4637" s="9" t="str">
        <f>HYPERLINK("http://www.ncbi.nlm.nih.gov/protein/21312752","Mrrf")</f>
        <v>Mrrf</v>
      </c>
      <c r="D4637" s="10">
        <f t="shared" si="72"/>
        <v>4.6200776420535226</v>
      </c>
      <c r="F4637" s="8" t="str">
        <f>HYPERLINK("https://esbl.nhlbi.nih.gov/Databases/mpkFractions/proteomic_fractions_log_files/Yang_log_img/21312752.jpg","show blot")</f>
        <v>show blot</v>
      </c>
      <c r="H4637" s="8" t="str">
        <f>HYPERLINK("https://esbl.nhlbi.nih.gov/Databases/mpkFractions/proteomic_fractions_linear_files/Yang_linear_img/21312752.jpg","show blot")</f>
        <v>show blot</v>
      </c>
      <c r="J4637" s="5" t="s">
        <v>9070</v>
      </c>
      <c r="L4637" s="11">
        <v>4.6200776420535226</v>
      </c>
      <c r="N4637" s="12"/>
    </row>
    <row r="4638" spans="1:14" s="5" customFormat="1" ht="15" customHeight="1" x14ac:dyDescent="0.25">
      <c r="A4638" s="9" t="s">
        <v>9071</v>
      </c>
      <c r="C4638" s="9" t="str">
        <f>HYPERLINK("http://www.ncbi.nlm.nih.gov/protein/37537520","Mrto4")</f>
        <v>Mrto4</v>
      </c>
      <c r="D4638" s="10">
        <f t="shared" si="72"/>
        <v>4.8858882553227003</v>
      </c>
      <c r="F4638" s="8" t="str">
        <f>HYPERLINK("https://esbl.nhlbi.nih.gov/Databases/mpkFractions/proteomic_fractions_log_files/Yang_log_img/37537520.jpg","show blot")</f>
        <v>show blot</v>
      </c>
      <c r="H4638" s="8" t="str">
        <f>HYPERLINK("https://esbl.nhlbi.nih.gov/Databases/mpkFractions/proteomic_fractions_linear_files/Yang_linear_img/37537520.jpg","show blot")</f>
        <v>show blot</v>
      </c>
      <c r="J4638" s="5" t="s">
        <v>9072</v>
      </c>
      <c r="L4638" s="11">
        <v>4.8858882553227003</v>
      </c>
      <c r="N4638" s="12"/>
    </row>
    <row r="4639" spans="1:14" s="5" customFormat="1" ht="15" customHeight="1" x14ac:dyDescent="0.25">
      <c r="A4639" s="9" t="s">
        <v>9073</v>
      </c>
      <c r="C4639" s="9" t="str">
        <f>HYPERLINK("http://www.ncbi.nlm.nih.gov/protein/6678938","Msh2")</f>
        <v>Msh2</v>
      </c>
      <c r="D4639" s="10">
        <f t="shared" si="72"/>
        <v>5.5594935421801326</v>
      </c>
      <c r="F4639" s="8" t="str">
        <f>HYPERLINK("https://esbl.nhlbi.nih.gov/Databases/mpkFractions/proteomic_fractions_log_files/Yang_log_img/6678938.jpg","show blot")</f>
        <v>show blot</v>
      </c>
      <c r="H4639" s="8" t="str">
        <f>HYPERLINK("https://esbl.nhlbi.nih.gov/Databases/mpkFractions/proteomic_fractions_linear_files/Yang_linear_img/6678938.jpg","show blot")</f>
        <v>show blot</v>
      </c>
      <c r="J4639" s="5" t="s">
        <v>9074</v>
      </c>
      <c r="L4639" s="11">
        <v>5.5594935421801326</v>
      </c>
      <c r="N4639" s="12"/>
    </row>
    <row r="4640" spans="1:14" s="5" customFormat="1" ht="15" customHeight="1" x14ac:dyDescent="0.25">
      <c r="A4640" s="9" t="s">
        <v>9075</v>
      </c>
      <c r="C4640" s="9" t="str">
        <f>HYPERLINK("http://www.ncbi.nlm.nih.gov/protein/6754744","Msh6")</f>
        <v>Msh6</v>
      </c>
      <c r="D4640" s="10">
        <f t="shared" si="72"/>
        <v>5.5146570243700213</v>
      </c>
      <c r="F4640" s="8" t="str">
        <f>HYPERLINK("https://esbl.nhlbi.nih.gov/Databases/mpkFractions/proteomic_fractions_log_files/Yang_log_img/6754744.jpg","show blot")</f>
        <v>show blot</v>
      </c>
      <c r="H4640" s="8" t="str">
        <f>HYPERLINK("https://esbl.nhlbi.nih.gov/Databases/mpkFractions/proteomic_fractions_linear_files/Yang_linear_img/6754744.jpg","show blot")</f>
        <v>show blot</v>
      </c>
      <c r="J4640" s="5" t="s">
        <v>9076</v>
      </c>
      <c r="L4640" s="11">
        <v>5.5146570243700213</v>
      </c>
      <c r="N4640" s="12"/>
    </row>
    <row r="4641" spans="1:14" s="5" customFormat="1" ht="15" customHeight="1" x14ac:dyDescent="0.25">
      <c r="A4641" s="9" t="s">
        <v>9077</v>
      </c>
      <c r="C4641" s="9" t="str">
        <f>HYPERLINK("http://www.ncbi.nlm.nih.gov/protein/6678940","Msi1")</f>
        <v>Msi1</v>
      </c>
      <c r="D4641" s="10">
        <f t="shared" si="72"/>
        <v>4.4616694477130512</v>
      </c>
      <c r="F4641" s="8" t="str">
        <f>HYPERLINK("https://esbl.nhlbi.nih.gov/Databases/mpkFractions/proteomic_fractions_log_files/Yang_log_img/6678940.jpg","show blot")</f>
        <v>show blot</v>
      </c>
      <c r="H4641" s="8" t="str">
        <f>HYPERLINK("https://esbl.nhlbi.nih.gov/Databases/mpkFractions/proteomic_fractions_linear_files/Yang_linear_img/6678940.jpg","show blot")</f>
        <v>show blot</v>
      </c>
      <c r="J4641" s="5" t="s">
        <v>9078</v>
      </c>
      <c r="L4641" s="11">
        <v>4.4616694477130512</v>
      </c>
      <c r="N4641" s="12"/>
    </row>
    <row r="4642" spans="1:14" s="5" customFormat="1" ht="15" customHeight="1" x14ac:dyDescent="0.25">
      <c r="A4642" s="9" t="s">
        <v>9079</v>
      </c>
      <c r="C4642" s="9" t="str">
        <f>HYPERLINK("http://www.ncbi.nlm.nih.gov/protein/17157989","Msi2")</f>
        <v>Msi2</v>
      </c>
      <c r="D4642" s="10">
        <f t="shared" si="72"/>
        <v>5.7902219837702882</v>
      </c>
      <c r="F4642" s="8" t="str">
        <f>HYPERLINK("https://esbl.nhlbi.nih.gov/Databases/mpkFractions/proteomic_fractions_log_files/Yang_log_img/17157989.jpg","show blot")</f>
        <v>show blot</v>
      </c>
      <c r="H4642" s="8" t="str">
        <f>HYPERLINK("https://esbl.nhlbi.nih.gov/Databases/mpkFractions/proteomic_fractions_linear_files/Yang_linear_img/17157989.jpg","show blot")</f>
        <v>show blot</v>
      </c>
      <c r="J4642" s="5" t="s">
        <v>9080</v>
      </c>
      <c r="L4642" s="11">
        <v>5.7902219837702882</v>
      </c>
      <c r="N4642" s="12"/>
    </row>
    <row r="4643" spans="1:14" s="5" customFormat="1" ht="15" customHeight="1" x14ac:dyDescent="0.25">
      <c r="A4643" s="9" t="s">
        <v>9081</v>
      </c>
      <c r="C4643" s="9" t="str">
        <f>HYPERLINK("http://www.ncbi.nlm.nih.gov/protein/318843692","Msi2")</f>
        <v>Msi2</v>
      </c>
      <c r="D4643" s="10">
        <f t="shared" si="72"/>
        <v>5.7902219837702882</v>
      </c>
      <c r="F4643" s="8" t="str">
        <f>HYPERLINK("https://esbl.nhlbi.nih.gov/Databases/mpkFractions/proteomic_fractions_log_files/Yang_log_img/318843692.jpg","show blot")</f>
        <v>show blot</v>
      </c>
      <c r="H4643" s="8" t="str">
        <f>HYPERLINK("https://esbl.nhlbi.nih.gov/Databases/mpkFractions/proteomic_fractions_linear_files/Yang_linear_img/318843692.jpg","show blot")</f>
        <v>show blot</v>
      </c>
      <c r="J4643" s="5" t="s">
        <v>9082</v>
      </c>
      <c r="L4643" s="11">
        <v>5.7902219837702882</v>
      </c>
      <c r="N4643" s="12"/>
    </row>
    <row r="4644" spans="1:14" s="5" customFormat="1" ht="15" customHeight="1" x14ac:dyDescent="0.25">
      <c r="A4644" s="9" t="s">
        <v>9083</v>
      </c>
      <c r="C4644" s="9" t="str">
        <f>HYPERLINK("http://www.ncbi.nlm.nih.gov/protein/70778915","Msn")</f>
        <v>Msn</v>
      </c>
      <c r="D4644" s="10">
        <f t="shared" si="72"/>
        <v>6.6668404891505357</v>
      </c>
      <c r="F4644" s="8" t="str">
        <f>HYPERLINK("https://esbl.nhlbi.nih.gov/Databases/mpkFractions/proteomic_fractions_log_files/Yang_log_img/70778915.jpg","show blot")</f>
        <v>show blot</v>
      </c>
      <c r="H4644" s="8" t="str">
        <f>HYPERLINK("https://esbl.nhlbi.nih.gov/Databases/mpkFractions/proteomic_fractions_linear_files/Yang_linear_img/70778915.jpg","show blot")</f>
        <v>show blot</v>
      </c>
      <c r="J4644" s="5" t="s">
        <v>9084</v>
      </c>
      <c r="L4644" s="11">
        <v>6.6668404891505357</v>
      </c>
      <c r="N4644" s="12"/>
    </row>
    <row r="4645" spans="1:14" s="5" customFormat="1" ht="15" customHeight="1" x14ac:dyDescent="0.25">
      <c r="A4645" s="9" t="s">
        <v>9085</v>
      </c>
      <c r="C4645" s="9" t="str">
        <f>HYPERLINK("http://www.ncbi.nlm.nih.gov/protein/31981013","Msra")</f>
        <v>Msra</v>
      </c>
      <c r="D4645" s="10">
        <f t="shared" si="72"/>
        <v>4.8582078489240317</v>
      </c>
      <c r="F4645" s="8" t="str">
        <f>HYPERLINK("https://esbl.nhlbi.nih.gov/Databases/mpkFractions/proteomic_fractions_log_files/Yang_log_img/31981013.jpg","show blot")</f>
        <v>show blot</v>
      </c>
      <c r="H4645" s="8" t="str">
        <f>HYPERLINK("https://esbl.nhlbi.nih.gov/Databases/mpkFractions/proteomic_fractions_linear_files/Yang_linear_img/31981013.jpg","show blot")</f>
        <v>show blot</v>
      </c>
      <c r="J4645" s="5" t="s">
        <v>9086</v>
      </c>
      <c r="L4645" s="11">
        <v>4.8582078489240317</v>
      </c>
      <c r="N4645" s="12"/>
    </row>
    <row r="4646" spans="1:14" s="5" customFormat="1" ht="15" customHeight="1" x14ac:dyDescent="0.25">
      <c r="A4646" s="9" t="s">
        <v>9087</v>
      </c>
      <c r="C4646" s="9" t="str">
        <f>HYPERLINK("http://www.ncbi.nlm.nih.gov/protein/358679363","Msra")</f>
        <v>Msra</v>
      </c>
      <c r="D4646" s="10">
        <f t="shared" si="72"/>
        <v>4.8582078489240317</v>
      </c>
      <c r="F4646" s="8" t="str">
        <f>HYPERLINK("https://esbl.nhlbi.nih.gov/Databases/mpkFractions/proteomic_fractions_log_files/Yang_log_img/358679363.jpg","show blot")</f>
        <v>show blot</v>
      </c>
      <c r="H4646" s="8" t="str">
        <f>HYPERLINK("https://esbl.nhlbi.nih.gov/Databases/mpkFractions/proteomic_fractions_linear_files/Yang_linear_img/358679363.jpg","show blot")</f>
        <v>show blot</v>
      </c>
      <c r="J4646" s="5" t="s">
        <v>9088</v>
      </c>
      <c r="L4646" s="11">
        <v>4.8582078489240317</v>
      </c>
      <c r="N4646" s="12"/>
    </row>
    <row r="4647" spans="1:14" s="5" customFormat="1" ht="15" customHeight="1" x14ac:dyDescent="0.25">
      <c r="A4647" s="9" t="s">
        <v>9089</v>
      </c>
      <c r="C4647" s="9" t="str">
        <f>HYPERLINK("http://www.ncbi.nlm.nih.gov/protein/358679365","Msra")</f>
        <v>Msra</v>
      </c>
      <c r="D4647" s="10">
        <f t="shared" si="72"/>
        <v>4.8582078489240317</v>
      </c>
      <c r="F4647" s="8" t="str">
        <f>HYPERLINK("https://esbl.nhlbi.nih.gov/Databases/mpkFractions/proteomic_fractions_log_files/Yang_log_img/358679365.jpg","show blot")</f>
        <v>show blot</v>
      </c>
      <c r="H4647" s="8" t="str">
        <f>HYPERLINK("https://esbl.nhlbi.nih.gov/Databases/mpkFractions/proteomic_fractions_linear_files/Yang_linear_img/358679365.jpg","show blot")</f>
        <v>show blot</v>
      </c>
      <c r="J4647" s="5" t="s">
        <v>9090</v>
      </c>
      <c r="L4647" s="11">
        <v>4.8582078489240317</v>
      </c>
      <c r="N4647" s="12"/>
    </row>
    <row r="4648" spans="1:14" s="5" customFormat="1" ht="15" customHeight="1" x14ac:dyDescent="0.25">
      <c r="A4648" s="9" t="s">
        <v>9091</v>
      </c>
      <c r="C4648" s="9" t="str">
        <f>HYPERLINK("http://www.ncbi.nlm.nih.gov/protein/358679367","Msra")</f>
        <v>Msra</v>
      </c>
      <c r="D4648" s="10">
        <f t="shared" si="72"/>
        <v>4.8582078489240317</v>
      </c>
      <c r="F4648" s="8" t="str">
        <f>HYPERLINK("https://esbl.nhlbi.nih.gov/Databases/mpkFractions/proteomic_fractions_log_files/Yang_log_img/358679367.jpg","show blot")</f>
        <v>show blot</v>
      </c>
      <c r="H4648" s="8" t="str">
        <f>HYPERLINK("https://esbl.nhlbi.nih.gov/Databases/mpkFractions/proteomic_fractions_linear_files/Yang_linear_img/358679367.jpg","show blot")</f>
        <v>show blot</v>
      </c>
      <c r="J4648" s="5" t="s">
        <v>9092</v>
      </c>
      <c r="L4648" s="11">
        <v>4.8582078489240317</v>
      </c>
      <c r="N4648" s="12"/>
    </row>
    <row r="4649" spans="1:14" s="5" customFormat="1" ht="15" customHeight="1" x14ac:dyDescent="0.25">
      <c r="A4649" s="9" t="s">
        <v>9093</v>
      </c>
      <c r="C4649" s="9" t="str">
        <f>HYPERLINK("http://www.ncbi.nlm.nih.gov/protein/254826769","Mst1r")</f>
        <v>Mst1r</v>
      </c>
      <c r="D4649" s="10">
        <f t="shared" si="72"/>
        <v>4.2022661802515557</v>
      </c>
      <c r="F4649" s="8" t="str">
        <f>HYPERLINK("https://esbl.nhlbi.nih.gov/Databases/mpkFractions/proteomic_fractions_log_files/Yang_log_img/254826769.jpg","show blot")</f>
        <v>show blot</v>
      </c>
      <c r="H4649" s="8" t="str">
        <f>HYPERLINK("https://esbl.nhlbi.nih.gov/Databases/mpkFractions/proteomic_fractions_linear_files/Yang_linear_img/254826769.jpg","show blot")</f>
        <v>show blot</v>
      </c>
      <c r="J4649" s="5" t="s">
        <v>9094</v>
      </c>
      <c r="L4649" s="11">
        <v>4.2022661802515557</v>
      </c>
      <c r="N4649" s="12"/>
    </row>
    <row r="4650" spans="1:14" s="5" customFormat="1" ht="15" customHeight="1" x14ac:dyDescent="0.25">
      <c r="A4650" s="9" t="s">
        <v>9095</v>
      </c>
      <c r="C4650" s="9" t="str">
        <f>HYPERLINK("http://www.ncbi.nlm.nih.gov/protein/254692960","Msto1")</f>
        <v>Msto1</v>
      </c>
      <c r="D4650" s="10">
        <f t="shared" si="72"/>
        <v>5.371027603399396</v>
      </c>
      <c r="F4650" s="8" t="str">
        <f>HYPERLINK("https://esbl.nhlbi.nih.gov/Databases/mpkFractions/proteomic_fractions_log_files/Yang_log_img/254692960.jpg","show blot")</f>
        <v>show blot</v>
      </c>
      <c r="H4650" s="8" t="str">
        <f>HYPERLINK("https://esbl.nhlbi.nih.gov/Databases/mpkFractions/proteomic_fractions_linear_files/Yang_linear_img/254692960.jpg","show blot")</f>
        <v>show blot</v>
      </c>
      <c r="J4650" s="5" t="s">
        <v>9096</v>
      </c>
      <c r="L4650" s="11">
        <v>5.371027603399396</v>
      </c>
      <c r="N4650" s="12"/>
    </row>
    <row r="4651" spans="1:14" s="5" customFormat="1" ht="15" customHeight="1" x14ac:dyDescent="0.25">
      <c r="A4651" s="9" t="s">
        <v>9097</v>
      </c>
      <c r="C4651" s="9" t="str">
        <f>HYPERLINK("http://www.ncbi.nlm.nih.gov/protein/7305285","Mt1")</f>
        <v>Mt1</v>
      </c>
      <c r="D4651" s="10">
        <f t="shared" si="72"/>
        <v>5.5827311705528544</v>
      </c>
      <c r="F4651" s="8" t="str">
        <f>HYPERLINK("https://esbl.nhlbi.nih.gov/Databases/mpkFractions/proteomic_fractions_log_files/Yang_log_img/7305285.jpg","show blot")</f>
        <v>show blot</v>
      </c>
      <c r="H4651" s="8" t="str">
        <f>HYPERLINK("https://esbl.nhlbi.nih.gov/Databases/mpkFractions/proteomic_fractions_linear_files/Yang_linear_img/7305285.jpg","show blot")</f>
        <v>show blot</v>
      </c>
      <c r="J4651" s="5" t="s">
        <v>9098</v>
      </c>
      <c r="L4651" s="11">
        <v>5.5827311705528544</v>
      </c>
      <c r="N4651" s="12"/>
    </row>
    <row r="4652" spans="1:14" s="5" customFormat="1" ht="15" customHeight="1" x14ac:dyDescent="0.25">
      <c r="A4652" s="9" t="s">
        <v>9099</v>
      </c>
      <c r="C4652" s="9" t="str">
        <f>HYPERLINK("http://www.ncbi.nlm.nih.gov/protein/33468863","Mt2")</f>
        <v>Mt2</v>
      </c>
      <c r="D4652" s="10">
        <f t="shared" si="72"/>
        <v>5.6376030372743671</v>
      </c>
      <c r="F4652" s="8" t="str">
        <f>HYPERLINK("https://esbl.nhlbi.nih.gov/Databases/mpkFractions/proteomic_fractions_log_files/Yang_log_img/33468863.jpg","show blot")</f>
        <v>show blot</v>
      </c>
      <c r="H4652" s="8" t="str">
        <f>HYPERLINK("https://esbl.nhlbi.nih.gov/Databases/mpkFractions/proteomic_fractions_linear_files/Yang_linear_img/33468863.jpg","show blot")</f>
        <v>show blot</v>
      </c>
      <c r="J4652" s="5" t="s">
        <v>9100</v>
      </c>
      <c r="L4652" s="11">
        <v>5.6376030372743671</v>
      </c>
      <c r="N4652" s="12"/>
    </row>
    <row r="4653" spans="1:14" s="5" customFormat="1" ht="15" customHeight="1" x14ac:dyDescent="0.25">
      <c r="A4653" s="9" t="s">
        <v>9101</v>
      </c>
      <c r="C4653" s="9" t="str">
        <f>HYPERLINK("http://www.ncbi.nlm.nih.gov/protein/51491880","Mta2")</f>
        <v>Mta2</v>
      </c>
      <c r="D4653" s="10">
        <f t="shared" si="72"/>
        <v>5.868932807889589</v>
      </c>
      <c r="F4653" s="8" t="str">
        <f>HYPERLINK("https://esbl.nhlbi.nih.gov/Databases/mpkFractions/proteomic_fractions_log_files/Yang_log_img/51491880.jpg","show blot")</f>
        <v>show blot</v>
      </c>
      <c r="H4653" s="8" t="str">
        <f>HYPERLINK("https://esbl.nhlbi.nih.gov/Databases/mpkFractions/proteomic_fractions_linear_files/Yang_linear_img/51491880.jpg","show blot")</f>
        <v>show blot</v>
      </c>
      <c r="J4653" s="5" t="s">
        <v>9102</v>
      </c>
      <c r="L4653" s="11">
        <v>5.868932807889589</v>
      </c>
      <c r="N4653" s="12"/>
    </row>
    <row r="4654" spans="1:14" s="5" customFormat="1" ht="15" customHeight="1" x14ac:dyDescent="0.25">
      <c r="A4654" s="9" t="s">
        <v>9103</v>
      </c>
      <c r="C4654" s="9" t="str">
        <f>HYPERLINK("http://www.ncbi.nlm.nih.gov/protein/45544618","Mtap")</f>
        <v>Mtap</v>
      </c>
      <c r="D4654" s="10">
        <f t="shared" si="72"/>
        <v>5.5487674483921614</v>
      </c>
      <c r="F4654" s="8" t="str">
        <f>HYPERLINK("https://esbl.nhlbi.nih.gov/Databases/mpkFractions/proteomic_fractions_log_files/Yang_log_img/45544618.jpg","show blot")</f>
        <v>show blot</v>
      </c>
      <c r="H4654" s="8" t="str">
        <f>HYPERLINK("https://esbl.nhlbi.nih.gov/Databases/mpkFractions/proteomic_fractions_linear_files/Yang_linear_img/45544618.jpg","show blot")</f>
        <v>show blot</v>
      </c>
      <c r="J4654" s="5" t="s">
        <v>9104</v>
      </c>
      <c r="L4654" s="11">
        <v>5.5487674483921614</v>
      </c>
      <c r="N4654" s="12"/>
    </row>
    <row r="4655" spans="1:14" s="5" customFormat="1" ht="15" customHeight="1" x14ac:dyDescent="0.25">
      <c r="A4655" s="9" t="s">
        <v>9105</v>
      </c>
      <c r="C4655" s="9" t="str">
        <f>HYPERLINK("http://www.ncbi.nlm.nih.gov/protein/9845273","Mtch1")</f>
        <v>Mtch1</v>
      </c>
      <c r="D4655" s="10">
        <f t="shared" si="72"/>
        <v>4.4104883503430941</v>
      </c>
      <c r="F4655" s="8" t="str">
        <f>HYPERLINK("https://esbl.nhlbi.nih.gov/Databases/mpkFractions/proteomic_fractions_log_files/Yang_log_img/9845273.jpg","show blot")</f>
        <v>show blot</v>
      </c>
      <c r="H4655" s="8" t="str">
        <f>HYPERLINK("https://esbl.nhlbi.nih.gov/Databases/mpkFractions/proteomic_fractions_linear_files/Yang_linear_img/9845273.jpg","show blot")</f>
        <v>show blot</v>
      </c>
      <c r="J4655" s="5" t="s">
        <v>9106</v>
      </c>
      <c r="L4655" s="11">
        <v>4.4104883503430941</v>
      </c>
      <c r="N4655" s="12"/>
    </row>
    <row r="4656" spans="1:14" s="5" customFormat="1" ht="15" customHeight="1" x14ac:dyDescent="0.25">
      <c r="A4656" s="9" t="s">
        <v>9107</v>
      </c>
      <c r="C4656" s="9" t="str">
        <f>HYPERLINK("http://www.ncbi.nlm.nih.gov/protein/9790055","Mtch2")</f>
        <v>Mtch2</v>
      </c>
      <c r="D4656" s="10">
        <f t="shared" si="72"/>
        <v>5.7040276741204528</v>
      </c>
      <c r="F4656" s="8" t="str">
        <f>HYPERLINK("https://esbl.nhlbi.nih.gov/Databases/mpkFractions/proteomic_fractions_log_files/Yang_log_img/9790055.jpg","show blot")</f>
        <v>show blot</v>
      </c>
      <c r="H4656" s="8" t="str">
        <f>HYPERLINK("https://esbl.nhlbi.nih.gov/Databases/mpkFractions/proteomic_fractions_linear_files/Yang_linear_img/9790055.jpg","show blot")</f>
        <v>show blot</v>
      </c>
      <c r="J4656" s="5" t="s">
        <v>9108</v>
      </c>
      <c r="L4656" s="11">
        <v>5.7040276741204528</v>
      </c>
      <c r="N4656" s="12"/>
    </row>
    <row r="4657" spans="1:14" s="5" customFormat="1" ht="15" customHeight="1" x14ac:dyDescent="0.25">
      <c r="A4657" s="9" t="s">
        <v>9109</v>
      </c>
      <c r="C4657" s="9" t="str">
        <f>HYPERLINK("http://www.ncbi.nlm.nih.gov/protein/31982233","Mtdh")</f>
        <v>Mtdh</v>
      </c>
      <c r="D4657" s="10">
        <f t="shared" si="72"/>
        <v>4.3162696664612827</v>
      </c>
      <c r="F4657" s="8" t="str">
        <f>HYPERLINK("https://esbl.nhlbi.nih.gov/Databases/mpkFractions/proteomic_fractions_log_files/Yang_log_img/31982233.jpg","show blot")</f>
        <v>show blot</v>
      </c>
      <c r="H4657" s="8" t="str">
        <f>HYPERLINK("https://esbl.nhlbi.nih.gov/Databases/mpkFractions/proteomic_fractions_linear_files/Yang_linear_img/31982233.jpg","show blot")</f>
        <v>show blot</v>
      </c>
      <c r="J4657" s="5" t="s">
        <v>9110</v>
      </c>
      <c r="L4657" s="11">
        <v>4.3162696664612827</v>
      </c>
      <c r="N4657" s="12"/>
    </row>
    <row r="4658" spans="1:14" s="5" customFormat="1" ht="15" customHeight="1" x14ac:dyDescent="0.25">
      <c r="A4658" s="9" t="s">
        <v>9111</v>
      </c>
      <c r="C4658" s="9" t="str">
        <f>HYPERLINK("http://www.ncbi.nlm.nih.gov/protein/46518496","Mterfd3")</f>
        <v>Mterfd3</v>
      </c>
      <c r="D4658" s="10">
        <f t="shared" si="72"/>
        <v>4.396683590095992</v>
      </c>
      <c r="F4658" s="8" t="str">
        <f>HYPERLINK("https://esbl.nhlbi.nih.gov/Databases/mpkFractions/proteomic_fractions_log_files/Yang_log_img/46518496.jpg","show blot")</f>
        <v>show blot</v>
      </c>
      <c r="H4658" s="8" t="str">
        <f>HYPERLINK("https://esbl.nhlbi.nih.gov/Databases/mpkFractions/proteomic_fractions_linear_files/Yang_linear_img/46518496.jpg","show blot")</f>
        <v>show blot</v>
      </c>
      <c r="J4658" s="5" t="s">
        <v>9112</v>
      </c>
      <c r="L4658" s="11">
        <v>4.396683590095992</v>
      </c>
      <c r="N4658" s="12"/>
    </row>
    <row r="4659" spans="1:14" s="5" customFormat="1" ht="15" customHeight="1" x14ac:dyDescent="0.25">
      <c r="A4659" s="9" t="s">
        <v>9113</v>
      </c>
      <c r="C4659" s="9" t="str">
        <f>HYPERLINK("http://www.ncbi.nlm.nih.gov/protein/70887769","Mtf2")</f>
        <v>Mtf2</v>
      </c>
      <c r="D4659" s="10">
        <f t="shared" si="72"/>
        <v>4.8467980433139646</v>
      </c>
      <c r="F4659" s="8" t="str">
        <f>HYPERLINK("https://esbl.nhlbi.nih.gov/Databases/mpkFractions/proteomic_fractions_log_files/Yang_log_img/70887769.jpg","show blot")</f>
        <v>show blot</v>
      </c>
      <c r="H4659" s="8" t="str">
        <f>HYPERLINK("https://esbl.nhlbi.nih.gov/Databases/mpkFractions/proteomic_fractions_linear_files/Yang_linear_img/70887769.jpg","show blot")</f>
        <v>show blot</v>
      </c>
      <c r="J4659" s="5" t="s">
        <v>9114</v>
      </c>
      <c r="L4659" s="11">
        <v>4.8467980433139646</v>
      </c>
      <c r="N4659" s="12"/>
    </row>
    <row r="4660" spans="1:14" s="5" customFormat="1" ht="15" customHeight="1" x14ac:dyDescent="0.25">
      <c r="A4660" s="9" t="s">
        <v>9115</v>
      </c>
      <c r="C4660" s="9" t="str">
        <f>HYPERLINK("http://www.ncbi.nlm.nih.gov/protein/261878543","Mthfd1")</f>
        <v>Mthfd1</v>
      </c>
      <c r="D4660" s="10">
        <f t="shared" si="72"/>
        <v>6.3042099530295124</v>
      </c>
      <c r="F4660" s="8" t="str">
        <f>HYPERLINK("https://esbl.nhlbi.nih.gov/Databases/mpkFractions/proteomic_fractions_log_files/Yang_log_img/261878543.jpg","show blot")</f>
        <v>show blot</v>
      </c>
      <c r="H4660" s="8" t="str">
        <f>HYPERLINK("https://esbl.nhlbi.nih.gov/Databases/mpkFractions/proteomic_fractions_linear_files/Yang_linear_img/261878543.jpg","show blot")</f>
        <v>show blot</v>
      </c>
      <c r="J4660" s="5" t="s">
        <v>9116</v>
      </c>
      <c r="L4660" s="11">
        <v>6.3042099530295124</v>
      </c>
      <c r="N4660" s="12"/>
    </row>
    <row r="4661" spans="1:14" s="5" customFormat="1" ht="15" customHeight="1" x14ac:dyDescent="0.25">
      <c r="A4661" s="9" t="s">
        <v>9117</v>
      </c>
      <c r="C4661" s="9" t="str">
        <f>HYPERLINK("http://www.ncbi.nlm.nih.gov/protein/283135110","Mthfd1l")</f>
        <v>Mthfd1l</v>
      </c>
      <c r="D4661" s="10">
        <f t="shared" si="72"/>
        <v>5.1782767131066896</v>
      </c>
      <c r="F4661" s="8" t="str">
        <f>HYPERLINK("https://esbl.nhlbi.nih.gov/Databases/mpkFractions/proteomic_fractions_log_files/Yang_log_img/283135110.jpg","show blot")</f>
        <v>show blot</v>
      </c>
      <c r="H4661" s="8" t="str">
        <f>HYPERLINK("https://esbl.nhlbi.nih.gov/Databases/mpkFractions/proteomic_fractions_linear_files/Yang_linear_img/283135110.jpg","show blot")</f>
        <v>show blot</v>
      </c>
      <c r="J4661" s="5" t="s">
        <v>9118</v>
      </c>
      <c r="L4661" s="11">
        <v>5.1782767131066896</v>
      </c>
      <c r="N4661" s="12"/>
    </row>
    <row r="4662" spans="1:14" s="5" customFormat="1" ht="15" customHeight="1" x14ac:dyDescent="0.25">
      <c r="A4662" s="9" t="s">
        <v>9119</v>
      </c>
      <c r="C4662" s="9" t="str">
        <f>HYPERLINK("http://www.ncbi.nlm.nih.gov/protein/262050633","Mthfsd")</f>
        <v>Mthfsd</v>
      </c>
      <c r="D4662" s="10">
        <f t="shared" si="72"/>
        <v>3.9589551699792311</v>
      </c>
      <c r="F4662" s="8" t="str">
        <f>HYPERLINK("https://esbl.nhlbi.nih.gov/Databases/mpkFractions/proteomic_fractions_log_files/Yang_log_img/262050633.jpg","show blot")</f>
        <v>show blot</v>
      </c>
      <c r="H4662" s="8" t="str">
        <f>HYPERLINK("https://esbl.nhlbi.nih.gov/Databases/mpkFractions/proteomic_fractions_linear_files/Yang_linear_img/262050633.jpg","show blot")</f>
        <v>show blot</v>
      </c>
      <c r="J4662" s="5" t="s">
        <v>9120</v>
      </c>
      <c r="L4662" s="11">
        <v>3.9589551699792311</v>
      </c>
      <c r="N4662" s="12"/>
    </row>
    <row r="4663" spans="1:14" s="5" customFormat="1" ht="15" customHeight="1" x14ac:dyDescent="0.25">
      <c r="A4663" s="9" t="s">
        <v>9121</v>
      </c>
      <c r="C4663" s="9" t="str">
        <f>HYPERLINK("http://www.ncbi.nlm.nih.gov/protein/27370130","Mthfsd")</f>
        <v>Mthfsd</v>
      </c>
      <c r="D4663" s="10">
        <f t="shared" si="72"/>
        <v>3.9589551699792311</v>
      </c>
      <c r="F4663" s="8" t="str">
        <f>HYPERLINK("https://esbl.nhlbi.nih.gov/Databases/mpkFractions/proteomic_fractions_log_files/Yang_log_img/27370130.jpg","show blot")</f>
        <v>show blot</v>
      </c>
      <c r="H4663" s="8" t="str">
        <f>HYPERLINK("https://esbl.nhlbi.nih.gov/Databases/mpkFractions/proteomic_fractions_linear_files/Yang_linear_img/27370130.jpg","show blot")</f>
        <v>show blot</v>
      </c>
      <c r="J4663" s="5" t="s">
        <v>9122</v>
      </c>
      <c r="L4663" s="11">
        <v>3.9589551699792311</v>
      </c>
      <c r="N4663" s="12"/>
    </row>
    <row r="4664" spans="1:14" s="5" customFormat="1" ht="15" customHeight="1" x14ac:dyDescent="0.25">
      <c r="A4664" s="9" t="s">
        <v>9123</v>
      </c>
      <c r="C4664" s="9" t="str">
        <f>HYPERLINK("http://www.ncbi.nlm.nih.gov/protein/110625866","Mtif2")</f>
        <v>Mtif2</v>
      </c>
      <c r="D4664" s="10">
        <f t="shared" si="72"/>
        <v>3.2747880873597111</v>
      </c>
      <c r="F4664" s="8" t="str">
        <f>HYPERLINK("https://esbl.nhlbi.nih.gov/Databases/mpkFractions/proteomic_fractions_log_files/Yang_log_img/110625866.jpg","show blot")</f>
        <v>show blot</v>
      </c>
      <c r="H4664" s="8" t="str">
        <f>HYPERLINK("https://esbl.nhlbi.nih.gov/Databases/mpkFractions/proteomic_fractions_linear_files/Yang_linear_img/110625866.jpg","show blot")</f>
        <v>show blot</v>
      </c>
      <c r="J4664" s="5" t="s">
        <v>9124</v>
      </c>
      <c r="L4664" s="11">
        <v>3.2747880873597111</v>
      </c>
      <c r="N4664" s="12"/>
    </row>
    <row r="4665" spans="1:14" s="5" customFormat="1" ht="15" customHeight="1" x14ac:dyDescent="0.25">
      <c r="A4665" s="9" t="s">
        <v>9125</v>
      </c>
      <c r="C4665" s="9" t="str">
        <f>HYPERLINK("http://www.ncbi.nlm.nih.gov/protein/255958296","Mtm1")</f>
        <v>Mtm1</v>
      </c>
      <c r="D4665" s="10">
        <f t="shared" si="72"/>
        <v>1.8631425427079</v>
      </c>
      <c r="F4665" s="8" t="str">
        <f>HYPERLINK("https://esbl.nhlbi.nih.gov/Databases/mpkFractions/proteomic_fractions_log_files/Yang_log_img/255958296.jpg","show blot")</f>
        <v>show blot</v>
      </c>
      <c r="H4665" s="8" t="str">
        <f>HYPERLINK("https://esbl.nhlbi.nih.gov/Databases/mpkFractions/proteomic_fractions_linear_files/Yang_linear_img/255958296.jpg","show blot")</f>
        <v>show blot</v>
      </c>
      <c r="J4665" s="5" t="s">
        <v>9126</v>
      </c>
      <c r="L4665" s="11">
        <v>1.8631425427079</v>
      </c>
      <c r="N4665" s="12"/>
    </row>
    <row r="4666" spans="1:14" s="5" customFormat="1" ht="15" customHeight="1" x14ac:dyDescent="0.25">
      <c r="A4666" s="9" t="s">
        <v>9127</v>
      </c>
      <c r="C4666" s="9" t="str">
        <f>HYPERLINK("http://www.ncbi.nlm.nih.gov/protein/255958302","Mtm1")</f>
        <v>Mtm1</v>
      </c>
      <c r="D4666" s="10">
        <f t="shared" si="72"/>
        <v>1.8631425427079</v>
      </c>
      <c r="F4666" s="8" t="str">
        <f>HYPERLINK("https://esbl.nhlbi.nih.gov/Databases/mpkFractions/proteomic_fractions_log_files/Yang_log_img/255958302.jpg","show blot")</f>
        <v>show blot</v>
      </c>
      <c r="H4666" s="8" t="str">
        <f>HYPERLINK("https://esbl.nhlbi.nih.gov/Databases/mpkFractions/proteomic_fractions_linear_files/Yang_linear_img/255958302.jpg","show blot")</f>
        <v>show blot</v>
      </c>
      <c r="J4666" s="5" t="s">
        <v>9128</v>
      </c>
      <c r="L4666" s="11">
        <v>1.8631425427079</v>
      </c>
      <c r="N4666" s="12"/>
    </row>
    <row r="4667" spans="1:14" s="5" customFormat="1" ht="15" customHeight="1" x14ac:dyDescent="0.25">
      <c r="A4667" s="9" t="s">
        <v>9129</v>
      </c>
      <c r="C4667" s="9" t="str">
        <f>HYPERLINK("http://www.ncbi.nlm.nih.gov/protein/124028523","Mtmr10")</f>
        <v>Mtmr10</v>
      </c>
      <c r="D4667" s="10">
        <f t="shared" si="72"/>
        <v>2.1022855475106699</v>
      </c>
      <c r="F4667" s="8" t="str">
        <f>HYPERLINK("https://esbl.nhlbi.nih.gov/Databases/mpkFractions/proteomic_fractions_log_files/Yang_log_img/124028523.jpg","show blot")</f>
        <v>show blot</v>
      </c>
      <c r="H4667" s="8" t="str">
        <f>HYPERLINK("https://esbl.nhlbi.nih.gov/Databases/mpkFractions/proteomic_fractions_linear_files/Yang_linear_img/124028523.jpg","show blot")</f>
        <v>show blot</v>
      </c>
      <c r="J4667" s="5" t="s">
        <v>9130</v>
      </c>
      <c r="L4667" s="11">
        <v>2.1022855475106699</v>
      </c>
      <c r="N4667" s="12"/>
    </row>
    <row r="4668" spans="1:14" s="5" customFormat="1" ht="15" customHeight="1" x14ac:dyDescent="0.25">
      <c r="A4668" s="9" t="s">
        <v>9131</v>
      </c>
      <c r="C4668" s="9" t="str">
        <f>HYPERLINK("http://www.ncbi.nlm.nih.gov/protein/27370470","Mtmr12")</f>
        <v>Mtmr12</v>
      </c>
      <c r="D4668" s="10">
        <f t="shared" si="72"/>
        <v>3.9771923303041241</v>
      </c>
      <c r="F4668" s="8" t="str">
        <f>HYPERLINK("https://esbl.nhlbi.nih.gov/Databases/mpkFractions/proteomic_fractions_log_files/Yang_log_img/27370470.jpg","show blot")</f>
        <v>show blot</v>
      </c>
      <c r="H4668" s="8" t="str">
        <f>HYPERLINK("https://esbl.nhlbi.nih.gov/Databases/mpkFractions/proteomic_fractions_linear_files/Yang_linear_img/27370470.jpg","show blot")</f>
        <v>show blot</v>
      </c>
      <c r="J4668" s="5" t="s">
        <v>9132</v>
      </c>
      <c r="L4668" s="11">
        <v>3.9771923303041241</v>
      </c>
      <c r="N4668" s="12"/>
    </row>
    <row r="4669" spans="1:14" s="5" customFormat="1" ht="15" customHeight="1" x14ac:dyDescent="0.25">
      <c r="A4669" s="9" t="s">
        <v>9133</v>
      </c>
      <c r="C4669" s="9" t="str">
        <f>HYPERLINK("http://www.ncbi.nlm.nih.gov/protein/163937863","Mtmr14")</f>
        <v>Mtmr14</v>
      </c>
      <c r="D4669" s="10">
        <f t="shared" si="72"/>
        <v>2.981651473172894</v>
      </c>
      <c r="F4669" s="8" t="str">
        <f>HYPERLINK("https://esbl.nhlbi.nih.gov/Databases/mpkFractions/proteomic_fractions_log_files/Yang_log_img/163937863.jpg","show blot")</f>
        <v>show blot</v>
      </c>
      <c r="H4669" s="8" t="str">
        <f>HYPERLINK("https://esbl.nhlbi.nih.gov/Databases/mpkFractions/proteomic_fractions_linear_files/Yang_linear_img/163937863.jpg","show blot")</f>
        <v>show blot</v>
      </c>
      <c r="J4669" s="5" t="s">
        <v>9134</v>
      </c>
      <c r="L4669" s="11">
        <v>2.981651473172894</v>
      </c>
      <c r="N4669" s="12"/>
    </row>
    <row r="4670" spans="1:14" s="5" customFormat="1" ht="15" customHeight="1" x14ac:dyDescent="0.25">
      <c r="A4670" s="9" t="s">
        <v>9135</v>
      </c>
      <c r="C4670" s="9" t="str">
        <f>HYPERLINK("http://www.ncbi.nlm.nih.gov/protein/194394153","Mtmr2")</f>
        <v>Mtmr2</v>
      </c>
      <c r="D4670" s="10">
        <f t="shared" si="72"/>
        <v>3.6933666558325888</v>
      </c>
      <c r="F4670" s="8" t="str">
        <f>HYPERLINK("https://esbl.nhlbi.nih.gov/Databases/mpkFractions/proteomic_fractions_log_files/Yang_log_img/194394153.jpg","show blot")</f>
        <v>show blot</v>
      </c>
      <c r="H4670" s="8" t="str">
        <f>HYPERLINK("https://esbl.nhlbi.nih.gov/Databases/mpkFractions/proteomic_fractions_linear_files/Yang_linear_img/194394153.jpg","show blot")</f>
        <v>show blot</v>
      </c>
      <c r="J4670" s="5" t="s">
        <v>9136</v>
      </c>
      <c r="L4670" s="11">
        <v>3.6933666558325888</v>
      </c>
      <c r="N4670" s="12"/>
    </row>
    <row r="4671" spans="1:14" s="5" customFormat="1" ht="15" customHeight="1" x14ac:dyDescent="0.25">
      <c r="A4671" s="9" t="s">
        <v>9137</v>
      </c>
      <c r="C4671" s="9" t="str">
        <f>HYPERLINK("http://www.ncbi.nlm.nih.gov/protein/21450239","Mtmr6")</f>
        <v>Mtmr6</v>
      </c>
      <c r="D4671" s="10">
        <f t="shared" si="72"/>
        <v>2.519402749565248</v>
      </c>
      <c r="F4671" s="8" t="str">
        <f>HYPERLINK("https://esbl.nhlbi.nih.gov/Databases/mpkFractions/proteomic_fractions_log_files/Yang_log_img/21450239.jpg","show blot")</f>
        <v>show blot</v>
      </c>
      <c r="H4671" s="8" t="str">
        <f>HYPERLINK("https://esbl.nhlbi.nih.gov/Databases/mpkFractions/proteomic_fractions_linear_files/Yang_linear_img/21450239.jpg","show blot")</f>
        <v>show blot</v>
      </c>
      <c r="J4671" s="5" t="s">
        <v>9138</v>
      </c>
      <c r="L4671" s="11">
        <v>2.519402749565248</v>
      </c>
      <c r="N4671" s="12"/>
    </row>
    <row r="4672" spans="1:14" s="5" customFormat="1" ht="15" customHeight="1" x14ac:dyDescent="0.25">
      <c r="A4672" s="9" t="s">
        <v>9139</v>
      </c>
      <c r="C4672" s="9" t="str">
        <f>HYPERLINK("http://www.ncbi.nlm.nih.gov/protein/171460946","Mto1")</f>
        <v>Mto1</v>
      </c>
      <c r="D4672" s="10">
        <f t="shared" si="72"/>
        <v>2.300112175152869</v>
      </c>
      <c r="F4672" s="8" t="str">
        <f>HYPERLINK("https://esbl.nhlbi.nih.gov/Databases/mpkFractions/proteomic_fractions_log_files/Yang_log_img/171460946.jpg","show blot")</f>
        <v>show blot</v>
      </c>
      <c r="H4672" s="8" t="str">
        <f>HYPERLINK("https://esbl.nhlbi.nih.gov/Databases/mpkFractions/proteomic_fractions_linear_files/Yang_linear_img/171460946.jpg","show blot")</f>
        <v>show blot</v>
      </c>
      <c r="J4672" s="5" t="s">
        <v>9140</v>
      </c>
      <c r="L4672" s="11">
        <v>2.300112175152869</v>
      </c>
      <c r="N4672" s="12"/>
    </row>
    <row r="4673" spans="1:14" s="5" customFormat="1" ht="15" customHeight="1" x14ac:dyDescent="0.25">
      <c r="A4673" s="9" t="s">
        <v>9141</v>
      </c>
      <c r="C4673" s="9" t="str">
        <f>HYPERLINK("http://www.ncbi.nlm.nih.gov/protein/227330586","Mtor")</f>
        <v>Mtor</v>
      </c>
      <c r="D4673" s="10">
        <f t="shared" si="72"/>
        <v>4.1749261701666276</v>
      </c>
      <c r="F4673" s="8" t="str">
        <f>HYPERLINK("https://esbl.nhlbi.nih.gov/Databases/mpkFractions/proteomic_fractions_log_files/Yang_log_img/227330586.jpg","show blot")</f>
        <v>show blot</v>
      </c>
      <c r="H4673" s="8" t="str">
        <f>HYPERLINK("https://esbl.nhlbi.nih.gov/Databases/mpkFractions/proteomic_fractions_linear_files/Yang_linear_img/227330586.jpg","show blot")</f>
        <v>show blot</v>
      </c>
      <c r="J4673" s="5" t="s">
        <v>9142</v>
      </c>
      <c r="L4673" s="11">
        <v>4.1749261701666276</v>
      </c>
      <c r="N4673" s="12"/>
    </row>
    <row r="4674" spans="1:14" s="5" customFormat="1" ht="15" customHeight="1" x14ac:dyDescent="0.25">
      <c r="A4674" s="9" t="s">
        <v>9143</v>
      </c>
      <c r="C4674" s="9" t="str">
        <f>HYPERLINK("http://www.ncbi.nlm.nih.gov/protein/6679961","Mtpn")</f>
        <v>Mtpn</v>
      </c>
      <c r="D4674" s="10">
        <f t="shared" si="72"/>
        <v>5.5751868254525556</v>
      </c>
      <c r="F4674" s="8" t="str">
        <f>HYPERLINK("https://esbl.nhlbi.nih.gov/Databases/mpkFractions/proteomic_fractions_log_files/Yang_log_img/6679961.jpg","show blot")</f>
        <v>show blot</v>
      </c>
      <c r="H4674" s="8" t="str">
        <f>HYPERLINK("https://esbl.nhlbi.nih.gov/Databases/mpkFractions/proteomic_fractions_linear_files/Yang_linear_img/6679961.jpg","show blot")</f>
        <v>show blot</v>
      </c>
      <c r="J4674" s="5" t="s">
        <v>9144</v>
      </c>
      <c r="L4674" s="11">
        <v>5.5751868254525556</v>
      </c>
      <c r="N4674" s="12"/>
    </row>
    <row r="4675" spans="1:14" s="5" customFormat="1" ht="15" customHeight="1" x14ac:dyDescent="0.25">
      <c r="A4675" s="9" t="s">
        <v>9145</v>
      </c>
      <c r="C4675" s="9" t="str">
        <f>HYPERLINK("http://www.ncbi.nlm.nih.gov/protein/241982740","Mtx1")</f>
        <v>Mtx1</v>
      </c>
      <c r="D4675" s="10">
        <f t="shared" si="72"/>
        <v>4.7280720823098017</v>
      </c>
      <c r="F4675" s="8" t="str">
        <f>HYPERLINK("https://esbl.nhlbi.nih.gov/Databases/mpkFractions/proteomic_fractions_log_files/Yang_log_img/241982740.jpg","show blot")</f>
        <v>show blot</v>
      </c>
      <c r="H4675" s="8" t="str">
        <f>HYPERLINK("https://esbl.nhlbi.nih.gov/Databases/mpkFractions/proteomic_fractions_linear_files/Yang_linear_img/241982740.jpg","show blot")</f>
        <v>show blot</v>
      </c>
      <c r="J4675" s="5" t="s">
        <v>9146</v>
      </c>
      <c r="L4675" s="11">
        <v>4.7280720823098017</v>
      </c>
      <c r="N4675" s="12"/>
    </row>
    <row r="4676" spans="1:14" s="5" customFormat="1" ht="15" customHeight="1" x14ac:dyDescent="0.25">
      <c r="A4676" s="9" t="s">
        <v>9147</v>
      </c>
      <c r="C4676" s="9" t="str">
        <f>HYPERLINK("http://www.ncbi.nlm.nih.gov/protein/241982742","Mtx1")</f>
        <v>Mtx1</v>
      </c>
      <c r="D4676" s="10">
        <f t="shared" si="72"/>
        <v>4.7280720823098017</v>
      </c>
      <c r="F4676" s="8" t="str">
        <f>HYPERLINK("https://esbl.nhlbi.nih.gov/Databases/mpkFractions/proteomic_fractions_log_files/Yang_log_img/241982742.jpg","show blot")</f>
        <v>show blot</v>
      </c>
      <c r="H4676" s="8" t="str">
        <f>HYPERLINK("https://esbl.nhlbi.nih.gov/Databases/mpkFractions/proteomic_fractions_linear_files/Yang_linear_img/241982742.jpg","show blot")</f>
        <v>show blot</v>
      </c>
      <c r="J4676" s="5" t="s">
        <v>9148</v>
      </c>
      <c r="L4676" s="11">
        <v>4.7280720823098017</v>
      </c>
      <c r="N4676" s="12"/>
    </row>
    <row r="4677" spans="1:14" s="5" customFormat="1" ht="15" customHeight="1" x14ac:dyDescent="0.25">
      <c r="A4677" s="9" t="s">
        <v>9149</v>
      </c>
      <c r="C4677" s="9" t="str">
        <f>HYPERLINK("http://www.ncbi.nlm.nih.gov/protein/228480241","Mtx2")</f>
        <v>Mtx2</v>
      </c>
      <c r="D4677" s="10">
        <f t="shared" ref="D4677:D4740" si="73">L4677</f>
        <v>4.952517848103497</v>
      </c>
      <c r="F4677" s="8" t="str">
        <f>HYPERLINK("https://esbl.nhlbi.nih.gov/Databases/mpkFractions/proteomic_fractions_log_files/Yang_log_img/228480241.jpg","show blot")</f>
        <v>show blot</v>
      </c>
      <c r="H4677" s="8" t="str">
        <f>HYPERLINK("https://esbl.nhlbi.nih.gov/Databases/mpkFractions/proteomic_fractions_linear_files/Yang_linear_img/228480241.jpg","show blot")</f>
        <v>show blot</v>
      </c>
      <c r="J4677" s="5" t="s">
        <v>9150</v>
      </c>
      <c r="L4677" s="11">
        <v>4.952517848103497</v>
      </c>
      <c r="N4677" s="12"/>
    </row>
    <row r="4678" spans="1:14" s="5" customFormat="1" ht="15" customHeight="1" x14ac:dyDescent="0.25">
      <c r="A4678" s="9" t="s">
        <v>9151</v>
      </c>
      <c r="C4678" s="9" t="str">
        <f>HYPERLINK("http://www.ncbi.nlm.nih.gov/protein/7305293","Muc1")</f>
        <v>Muc1</v>
      </c>
      <c r="D4678" s="10">
        <f t="shared" si="73"/>
        <v>4.339651437430021</v>
      </c>
      <c r="F4678" s="8" t="str">
        <f>HYPERLINK("https://esbl.nhlbi.nih.gov/Databases/mpkFractions/proteomic_fractions_log_files/Yang_log_img/7305293.jpg","show blot")</f>
        <v>show blot</v>
      </c>
      <c r="H4678" s="8" t="str">
        <f>HYPERLINK("https://esbl.nhlbi.nih.gov/Databases/mpkFractions/proteomic_fractions_linear_files/Yang_linear_img/7305293.jpg","show blot")</f>
        <v>show blot</v>
      </c>
      <c r="J4678" s="5" t="s">
        <v>9152</v>
      </c>
      <c r="L4678" s="11">
        <v>4.339651437430021</v>
      </c>
      <c r="N4678" s="12"/>
    </row>
    <row r="4679" spans="1:14" s="5" customFormat="1" ht="15" customHeight="1" x14ac:dyDescent="0.25">
      <c r="A4679" s="9" t="s">
        <v>9153</v>
      </c>
      <c r="C4679" s="9" t="str">
        <f>HYPERLINK("http://www.ncbi.nlm.nih.gov/protein/167736365","Muc4")</f>
        <v>Muc4</v>
      </c>
      <c r="D4679" s="10">
        <f t="shared" si="73"/>
        <v>3.3592265461703281</v>
      </c>
      <c r="F4679" s="8" t="str">
        <f>HYPERLINK("https://esbl.nhlbi.nih.gov/Databases/mpkFractions/proteomic_fractions_log_files/Yang_log_img/167736365.jpg","show blot")</f>
        <v>show blot</v>
      </c>
      <c r="H4679" s="8" t="str">
        <f>HYPERLINK("https://esbl.nhlbi.nih.gov/Databases/mpkFractions/proteomic_fractions_linear_files/Yang_linear_img/167736365.jpg","show blot")</f>
        <v>show blot</v>
      </c>
      <c r="J4679" s="5" t="s">
        <v>9154</v>
      </c>
      <c r="L4679" s="11">
        <v>3.3592265461703281</v>
      </c>
      <c r="N4679" s="12"/>
    </row>
    <row r="4680" spans="1:14" s="5" customFormat="1" ht="15" customHeight="1" x14ac:dyDescent="0.25">
      <c r="A4680" s="9" t="s">
        <v>9155</v>
      </c>
      <c r="C4680" s="9" t="str">
        <f>HYPERLINK("http://www.ncbi.nlm.nih.gov/protein/31982171","Mug1")</f>
        <v>Mug1</v>
      </c>
      <c r="D4680" s="10">
        <f t="shared" si="73"/>
        <v>3.62804463318535</v>
      </c>
      <c r="F4680" s="8" t="str">
        <f>HYPERLINK("https://esbl.nhlbi.nih.gov/Databases/mpkFractions/proteomic_fractions_log_files/Yang_log_img/31982171.jpg","show blot")</f>
        <v>show blot</v>
      </c>
      <c r="H4680" s="8" t="str">
        <f>HYPERLINK("https://esbl.nhlbi.nih.gov/Databases/mpkFractions/proteomic_fractions_linear_files/Yang_linear_img/31982171.jpg","show blot")</f>
        <v>show blot</v>
      </c>
      <c r="J4680" s="5" t="s">
        <v>9156</v>
      </c>
      <c r="L4680" s="11">
        <v>3.62804463318535</v>
      </c>
      <c r="N4680" s="12"/>
    </row>
    <row r="4681" spans="1:14" s="5" customFormat="1" ht="15" customHeight="1" x14ac:dyDescent="0.25">
      <c r="A4681" s="9" t="s">
        <v>9157</v>
      </c>
      <c r="C4681" s="9" t="str">
        <f>HYPERLINK("http://www.ncbi.nlm.nih.gov/protein/153945747","Mug2")</f>
        <v>Mug2</v>
      </c>
      <c r="D4681" s="10">
        <f t="shared" si="73"/>
        <v>3.636162523407529</v>
      </c>
      <c r="F4681" s="8" t="str">
        <f>HYPERLINK("https://esbl.nhlbi.nih.gov/Databases/mpkFractions/proteomic_fractions_log_files/Yang_log_img/153945747.jpg","show blot")</f>
        <v>show blot</v>
      </c>
      <c r="H4681" s="8" t="str">
        <f>HYPERLINK("https://esbl.nhlbi.nih.gov/Databases/mpkFractions/proteomic_fractions_linear_files/Yang_linear_img/153945747.jpg","show blot")</f>
        <v>show blot</v>
      </c>
      <c r="J4681" s="5" t="s">
        <v>9158</v>
      </c>
      <c r="L4681" s="11">
        <v>3.636162523407529</v>
      </c>
      <c r="N4681" s="12"/>
    </row>
    <row r="4682" spans="1:14" s="5" customFormat="1" ht="15" customHeight="1" x14ac:dyDescent="0.25">
      <c r="A4682" s="9" t="s">
        <v>9159</v>
      </c>
      <c r="C4682" s="9" t="str">
        <f>HYPERLINK("http://www.ncbi.nlm.nih.gov/protein/244792753","Mup1")</f>
        <v>Mup1</v>
      </c>
      <c r="D4682" s="10">
        <f t="shared" si="73"/>
        <v>4.351766028917651</v>
      </c>
      <c r="F4682" s="8" t="str">
        <f>HYPERLINK("https://esbl.nhlbi.nih.gov/Databases/mpkFractions/proteomic_fractions_log_files/Yang_log_img/244792753.jpg","show blot")</f>
        <v>show blot</v>
      </c>
      <c r="H4682" s="8" t="str">
        <f>HYPERLINK("https://esbl.nhlbi.nih.gov/Databases/mpkFractions/proteomic_fractions_linear_files/Yang_linear_img/244792753.jpg","show blot")</f>
        <v>show blot</v>
      </c>
      <c r="J4682" s="5" t="s">
        <v>9160</v>
      </c>
      <c r="L4682" s="11">
        <v>4.351766028917651</v>
      </c>
      <c r="N4682" s="12"/>
    </row>
    <row r="4683" spans="1:14" s="5" customFormat="1" ht="15" customHeight="1" x14ac:dyDescent="0.25">
      <c r="A4683" s="9" t="s">
        <v>9161</v>
      </c>
      <c r="C4683" s="9" t="str">
        <f>HYPERLINK("http://www.ncbi.nlm.nih.gov/protein/244792827","Mup1")</f>
        <v>Mup1</v>
      </c>
      <c r="D4683" s="10">
        <f t="shared" si="73"/>
        <v>4.351766028917651</v>
      </c>
      <c r="F4683" s="8" t="str">
        <f>HYPERLINK("https://esbl.nhlbi.nih.gov/Databases/mpkFractions/proteomic_fractions_log_files/Yang_log_img/244792827.jpg","show blot")</f>
        <v>show blot</v>
      </c>
      <c r="H4683" s="8" t="str">
        <f>HYPERLINK("https://esbl.nhlbi.nih.gov/Databases/mpkFractions/proteomic_fractions_linear_files/Yang_linear_img/244792827.jpg","show blot")</f>
        <v>show blot</v>
      </c>
      <c r="J4683" s="5" t="s">
        <v>9162</v>
      </c>
      <c r="L4683" s="11">
        <v>4.351766028917651</v>
      </c>
      <c r="N4683" s="12"/>
    </row>
    <row r="4684" spans="1:14" s="5" customFormat="1" ht="15" customHeight="1" x14ac:dyDescent="0.25">
      <c r="A4684" s="9" t="s">
        <v>9163</v>
      </c>
      <c r="C4684" s="9" t="str">
        <f>HYPERLINK("http://www.ncbi.nlm.nih.gov/protein/317008598","Mup12")</f>
        <v>Mup12</v>
      </c>
      <c r="D4684" s="10">
        <f t="shared" si="73"/>
        <v>4.351766028917651</v>
      </c>
      <c r="F4684" s="8" t="str">
        <f>HYPERLINK("https://esbl.nhlbi.nih.gov/Databases/mpkFractions/proteomic_fractions_log_files/Yang_log_img/317008598.jpg","show blot")</f>
        <v>show blot</v>
      </c>
      <c r="H4684" s="8" t="str">
        <f>HYPERLINK("https://esbl.nhlbi.nih.gov/Databases/mpkFractions/proteomic_fractions_linear_files/Yang_linear_img/317008598.jpg","show blot")</f>
        <v>show blot</v>
      </c>
      <c r="J4684" s="5" t="s">
        <v>9164</v>
      </c>
      <c r="L4684" s="11">
        <v>4.351766028917651</v>
      </c>
      <c r="N4684" s="12"/>
    </row>
    <row r="4685" spans="1:14" s="5" customFormat="1" ht="15" customHeight="1" x14ac:dyDescent="0.25">
      <c r="A4685" s="9" t="s">
        <v>9165</v>
      </c>
      <c r="C4685" s="9" t="str">
        <f>HYPERLINK("http://www.ncbi.nlm.nih.gov/protein/317008616","Mup15")</f>
        <v>Mup15</v>
      </c>
      <c r="D4685" s="10">
        <f t="shared" si="73"/>
        <v>4.351766028917651</v>
      </c>
      <c r="F4685" s="8" t="str">
        <f>HYPERLINK("https://esbl.nhlbi.nih.gov/Databases/mpkFractions/proteomic_fractions_log_files/Yang_log_img/317008616.jpg","show blot")</f>
        <v>show blot</v>
      </c>
      <c r="H4685" s="8" t="str">
        <f>HYPERLINK("https://esbl.nhlbi.nih.gov/Databases/mpkFractions/proteomic_fractions_linear_files/Yang_linear_img/317008616.jpg","show blot")</f>
        <v>show blot</v>
      </c>
      <c r="J4685" s="5" t="s">
        <v>9166</v>
      </c>
      <c r="L4685" s="11">
        <v>4.351766028917651</v>
      </c>
      <c r="N4685" s="12"/>
    </row>
    <row r="4686" spans="1:14" s="5" customFormat="1" ht="15" customHeight="1" x14ac:dyDescent="0.25">
      <c r="A4686" s="9" t="s">
        <v>9167</v>
      </c>
      <c r="C4686" s="9" t="str">
        <f>HYPERLINK("http://www.ncbi.nlm.nih.gov/protein/197927289","Mup7")</f>
        <v>Mup7</v>
      </c>
      <c r="D4686" s="10">
        <f t="shared" si="73"/>
        <v>4.2325796211984423</v>
      </c>
      <c r="F4686" s="8" t="str">
        <f>HYPERLINK("https://esbl.nhlbi.nih.gov/Databases/mpkFractions/proteomic_fractions_log_files/Yang_log_img/197927289.jpg","show blot")</f>
        <v>show blot</v>
      </c>
      <c r="H4686" s="8" t="str">
        <f>HYPERLINK("https://esbl.nhlbi.nih.gov/Databases/mpkFractions/proteomic_fractions_linear_files/Yang_linear_img/197927289.jpg","show blot")</f>
        <v>show blot</v>
      </c>
      <c r="J4686" s="5" t="s">
        <v>9168</v>
      </c>
      <c r="L4686" s="11">
        <v>4.2325796211984423</v>
      </c>
      <c r="N4686" s="12"/>
    </row>
    <row r="4687" spans="1:14" s="5" customFormat="1" ht="15" customHeight="1" x14ac:dyDescent="0.25">
      <c r="A4687" s="9" t="s">
        <v>9169</v>
      </c>
      <c r="C4687" s="9" t="str">
        <f>HYPERLINK("http://www.ncbi.nlm.nih.gov/protein/148540106","Mut")</f>
        <v>Mut</v>
      </c>
      <c r="D4687" s="10">
        <f t="shared" si="73"/>
        <v>3.828300799079678</v>
      </c>
      <c r="F4687" s="8" t="str">
        <f>HYPERLINK("https://esbl.nhlbi.nih.gov/Databases/mpkFractions/proteomic_fractions_log_files/Yang_log_img/148540106.jpg","show blot")</f>
        <v>show blot</v>
      </c>
      <c r="H4687" s="8" t="str">
        <f>HYPERLINK("https://esbl.nhlbi.nih.gov/Databases/mpkFractions/proteomic_fractions_linear_files/Yang_linear_img/148540106.jpg","show blot")</f>
        <v>show blot</v>
      </c>
      <c r="J4687" s="5" t="s">
        <v>9170</v>
      </c>
      <c r="L4687" s="11">
        <v>3.828300799079678</v>
      </c>
      <c r="N4687" s="12"/>
    </row>
    <row r="4688" spans="1:14" s="5" customFormat="1" ht="15" customHeight="1" x14ac:dyDescent="0.25">
      <c r="A4688" s="9" t="s">
        <v>9171</v>
      </c>
      <c r="C4688" s="9" t="str">
        <f>HYPERLINK("http://www.ncbi.nlm.nih.gov/protein/21312058","Mvb12a")</f>
        <v>Mvb12a</v>
      </c>
      <c r="D4688" s="10">
        <f t="shared" si="73"/>
        <v>4.4728443482997262</v>
      </c>
      <c r="F4688" s="8" t="str">
        <f>HYPERLINK("https://esbl.nhlbi.nih.gov/Databases/mpkFractions/proteomic_fractions_log_files/Yang_log_img/21312058.jpg","show blot")</f>
        <v>show blot</v>
      </c>
      <c r="H4688" s="8" t="str">
        <f>HYPERLINK("https://esbl.nhlbi.nih.gov/Databases/mpkFractions/proteomic_fractions_linear_files/Yang_linear_img/21312058.jpg","show blot")</f>
        <v>show blot</v>
      </c>
      <c r="J4688" s="5" t="s">
        <v>9172</v>
      </c>
      <c r="L4688" s="11">
        <v>4.4728443482997262</v>
      </c>
      <c r="N4688" s="12"/>
    </row>
    <row r="4689" spans="1:14" s="5" customFormat="1" ht="15" customHeight="1" x14ac:dyDescent="0.25">
      <c r="A4689" s="9" t="s">
        <v>9173</v>
      </c>
      <c r="C4689" s="9" t="str">
        <f>HYPERLINK("http://www.ncbi.nlm.nih.gov/protein/256985114","Mvd")</f>
        <v>Mvd</v>
      </c>
      <c r="D4689" s="10">
        <f t="shared" si="73"/>
        <v>4.7848899415304853</v>
      </c>
      <c r="F4689" s="8" t="str">
        <f>HYPERLINK("https://esbl.nhlbi.nih.gov/Databases/mpkFractions/proteomic_fractions_log_files/Yang_log_img/256985114.jpg","show blot")</f>
        <v>show blot</v>
      </c>
      <c r="H4689" s="8" t="str">
        <f>HYPERLINK("https://esbl.nhlbi.nih.gov/Databases/mpkFractions/proteomic_fractions_linear_files/Yang_linear_img/256985114.jpg","show blot")</f>
        <v>show blot</v>
      </c>
      <c r="J4689" s="5" t="s">
        <v>9174</v>
      </c>
      <c r="L4689" s="11">
        <v>4.7848899415304853</v>
      </c>
      <c r="N4689" s="12"/>
    </row>
    <row r="4690" spans="1:14" s="5" customFormat="1" ht="15" customHeight="1" x14ac:dyDescent="0.25">
      <c r="A4690" s="9" t="s">
        <v>9175</v>
      </c>
      <c r="C4690" s="9" t="str">
        <f>HYPERLINK("http://www.ncbi.nlm.nih.gov/protein/12963731","Mvk")</f>
        <v>Mvk</v>
      </c>
      <c r="D4690" s="10">
        <f t="shared" si="73"/>
        <v>4.2808486378473836</v>
      </c>
      <c r="F4690" s="8" t="str">
        <f>HYPERLINK("https://esbl.nhlbi.nih.gov/Databases/mpkFractions/proteomic_fractions_log_files/Yang_log_img/12963731.jpg","show blot")</f>
        <v>show blot</v>
      </c>
      <c r="H4690" s="8" t="str">
        <f>HYPERLINK("https://esbl.nhlbi.nih.gov/Databases/mpkFractions/proteomic_fractions_linear_files/Yang_linear_img/12963731.jpg","show blot")</f>
        <v>show blot</v>
      </c>
      <c r="J4690" s="5" t="s">
        <v>9176</v>
      </c>
      <c r="L4690" s="11">
        <v>4.2808486378473836</v>
      </c>
      <c r="N4690" s="12"/>
    </row>
    <row r="4691" spans="1:14" s="5" customFormat="1" ht="15" customHeight="1" x14ac:dyDescent="0.25">
      <c r="A4691" s="9" t="s">
        <v>9177</v>
      </c>
      <c r="C4691" s="9" t="str">
        <f>HYPERLINK("http://www.ncbi.nlm.nih.gov/protein/239052674","Mvp")</f>
        <v>Mvp</v>
      </c>
      <c r="D4691" s="10">
        <f t="shared" si="73"/>
        <v>5.8018310629524779</v>
      </c>
      <c r="F4691" s="8" t="str">
        <f>HYPERLINK("https://esbl.nhlbi.nih.gov/Databases/mpkFractions/proteomic_fractions_log_files/Yang_log_img/239052674.jpg","show blot")</f>
        <v>show blot</v>
      </c>
      <c r="H4691" s="8" t="str">
        <f>HYPERLINK("https://esbl.nhlbi.nih.gov/Databases/mpkFractions/proteomic_fractions_linear_files/Yang_linear_img/239052674.jpg","show blot")</f>
        <v>show blot</v>
      </c>
      <c r="J4691" s="5" t="s">
        <v>9178</v>
      </c>
      <c r="L4691" s="11">
        <v>5.8018310629524779</v>
      </c>
      <c r="N4691" s="12"/>
    </row>
    <row r="4692" spans="1:14" s="5" customFormat="1" ht="15" customHeight="1" x14ac:dyDescent="0.25">
      <c r="A4692" s="9" t="s">
        <v>9179</v>
      </c>
      <c r="C4692" s="9" t="str">
        <f>HYPERLINK("http://www.ncbi.nlm.nih.gov/protein/148271069","Myadm")</f>
        <v>Myadm</v>
      </c>
      <c r="D4692" s="10">
        <f t="shared" si="73"/>
        <v>4.8112936897834802</v>
      </c>
      <c r="F4692" s="8" t="str">
        <f>HYPERLINK("https://esbl.nhlbi.nih.gov/Databases/mpkFractions/proteomic_fractions_log_files/Yang_log_img/148271069.jpg","show blot")</f>
        <v>show blot</v>
      </c>
      <c r="H4692" s="8" t="str">
        <f>HYPERLINK("https://esbl.nhlbi.nih.gov/Databases/mpkFractions/proteomic_fractions_linear_files/Yang_linear_img/148271069.jpg","show blot")</f>
        <v>show blot</v>
      </c>
      <c r="J4692" s="5" t="s">
        <v>9180</v>
      </c>
      <c r="L4692" s="11">
        <v>4.8112936897834802</v>
      </c>
      <c r="N4692" s="12"/>
    </row>
    <row r="4693" spans="1:14" s="5" customFormat="1" ht="15" customHeight="1" x14ac:dyDescent="0.25">
      <c r="A4693" s="9" t="s">
        <v>9181</v>
      </c>
      <c r="C4693" s="9" t="str">
        <f>HYPERLINK("http://www.ncbi.nlm.nih.gov/protein/31982724","Mybbp1a")</f>
        <v>Mybbp1a</v>
      </c>
      <c r="D4693" s="10">
        <f t="shared" si="73"/>
        <v>5.6567710165609766</v>
      </c>
      <c r="F4693" s="8" t="str">
        <f>HYPERLINK("https://esbl.nhlbi.nih.gov/Databases/mpkFractions/proteomic_fractions_log_files/Yang_log_img/31982724.jpg","show blot")</f>
        <v>show blot</v>
      </c>
      <c r="H4693" s="8" t="str">
        <f>HYPERLINK("https://esbl.nhlbi.nih.gov/Databases/mpkFractions/proteomic_fractions_linear_files/Yang_linear_img/31982724.jpg","show blot")</f>
        <v>show blot</v>
      </c>
      <c r="J4693" s="5" t="s">
        <v>9182</v>
      </c>
      <c r="L4693" s="11">
        <v>5.6567710165609766</v>
      </c>
      <c r="N4693" s="12"/>
    </row>
    <row r="4694" spans="1:14" s="5" customFormat="1" ht="15" customHeight="1" x14ac:dyDescent="0.25">
      <c r="A4694" s="9" t="s">
        <v>9183</v>
      </c>
      <c r="C4694" s="9" t="str">
        <f>HYPERLINK("http://www.ncbi.nlm.nih.gov/protein/84871978","Mycbp")</f>
        <v>Mycbp</v>
      </c>
      <c r="D4694" s="10">
        <f t="shared" si="73"/>
        <v>5.939006548264854</v>
      </c>
      <c r="F4694" s="8" t="str">
        <f>HYPERLINK("https://esbl.nhlbi.nih.gov/Databases/mpkFractions/proteomic_fractions_log_files/Yang_log_img/84871978.jpg","show blot")</f>
        <v>show blot</v>
      </c>
      <c r="H4694" s="8" t="str">
        <f>HYPERLINK("https://esbl.nhlbi.nih.gov/Databases/mpkFractions/proteomic_fractions_linear_files/Yang_linear_img/84871978.jpg","show blot")</f>
        <v>show blot</v>
      </c>
      <c r="J4694" s="5" t="s">
        <v>9184</v>
      </c>
      <c r="L4694" s="11">
        <v>5.939006548264854</v>
      </c>
      <c r="N4694" s="12"/>
    </row>
    <row r="4695" spans="1:14" s="5" customFormat="1" ht="15" customHeight="1" x14ac:dyDescent="0.25">
      <c r="A4695" s="9" t="s">
        <v>9185</v>
      </c>
      <c r="C4695" s="9" t="str">
        <f>HYPERLINK("http://www.ncbi.nlm.nih.gov/protein/127141012","Mycbp2")</f>
        <v>Mycbp2</v>
      </c>
      <c r="D4695" s="10">
        <f t="shared" si="73"/>
        <v>3.202016102516303</v>
      </c>
      <c r="F4695" s="8" t="str">
        <f>HYPERLINK("https://esbl.nhlbi.nih.gov/Databases/mpkFractions/proteomic_fractions_log_files/Yang_log_img/127141012.jpg","show blot")</f>
        <v>show blot</v>
      </c>
      <c r="H4695" s="8" t="str">
        <f>HYPERLINK("https://esbl.nhlbi.nih.gov/Databases/mpkFractions/proteomic_fractions_linear_files/Yang_linear_img/127141012.jpg","show blot")</f>
        <v>show blot</v>
      </c>
      <c r="J4695" s="5" t="s">
        <v>9186</v>
      </c>
      <c r="L4695" s="11">
        <v>3.202016102516303</v>
      </c>
      <c r="N4695" s="12"/>
    </row>
    <row r="4696" spans="1:14" s="5" customFormat="1" ht="15" customHeight="1" x14ac:dyDescent="0.25">
      <c r="A4696" s="9" t="s">
        <v>9187</v>
      </c>
      <c r="C4696" s="9" t="str">
        <f>HYPERLINK("http://www.ncbi.nlm.nih.gov/protein/168229259","Mycbpap")</f>
        <v>Mycbpap</v>
      </c>
      <c r="D4696" s="10">
        <f t="shared" si="73"/>
        <v>3.3551171772720831</v>
      </c>
      <c r="F4696" s="8" t="str">
        <f>HYPERLINK("https://esbl.nhlbi.nih.gov/Databases/mpkFractions/proteomic_fractions_log_files/Yang_log_img/168229259.jpg","show blot")</f>
        <v>show blot</v>
      </c>
      <c r="H4696" s="8" t="str">
        <f>HYPERLINK("https://esbl.nhlbi.nih.gov/Databases/mpkFractions/proteomic_fractions_linear_files/Yang_linear_img/168229259.jpg","show blot")</f>
        <v>show blot</v>
      </c>
      <c r="J4696" s="5" t="s">
        <v>9188</v>
      </c>
      <c r="L4696" s="11">
        <v>3.3551171772720831</v>
      </c>
      <c r="N4696" s="12"/>
    </row>
    <row r="4697" spans="1:14" s="5" customFormat="1" ht="15" customHeight="1" x14ac:dyDescent="0.25">
      <c r="A4697" s="9" t="s">
        <v>9189</v>
      </c>
      <c r="C4697" s="9" t="str">
        <f>HYPERLINK("http://www.ncbi.nlm.nih.gov/protein/6754772","Myd88")</f>
        <v>Myd88</v>
      </c>
      <c r="D4697" s="10">
        <f t="shared" si="73"/>
        <v>3.859650209454236</v>
      </c>
      <c r="F4697" s="8" t="str">
        <f>HYPERLINK("https://esbl.nhlbi.nih.gov/Databases/mpkFractions/proteomic_fractions_log_files/Yang_log_img/6754772.jpg","show blot")</f>
        <v>show blot</v>
      </c>
      <c r="H4697" s="8" t="str">
        <f>HYPERLINK("https://esbl.nhlbi.nih.gov/Databases/mpkFractions/proteomic_fractions_linear_files/Yang_linear_img/6754772.jpg","show blot")</f>
        <v>show blot</v>
      </c>
      <c r="J4697" s="5" t="s">
        <v>9190</v>
      </c>
      <c r="L4697" s="11">
        <v>3.859650209454236</v>
      </c>
      <c r="N4697" s="12"/>
    </row>
    <row r="4698" spans="1:14" s="5" customFormat="1" ht="15" customHeight="1" x14ac:dyDescent="0.25">
      <c r="A4698" s="9" t="s">
        <v>9191</v>
      </c>
      <c r="C4698" s="9" t="str">
        <f>HYPERLINK("http://www.ncbi.nlm.nih.gov/protein/244790087","Myef2")</f>
        <v>Myef2</v>
      </c>
      <c r="D4698" s="10">
        <f t="shared" si="73"/>
        <v>4.5732851502855771</v>
      </c>
      <c r="F4698" s="8" t="str">
        <f>HYPERLINK("https://esbl.nhlbi.nih.gov/Databases/mpkFractions/proteomic_fractions_log_files/Yang_log_img/244790087.jpg","show blot")</f>
        <v>show blot</v>
      </c>
      <c r="H4698" s="8" t="str">
        <f>HYPERLINK("https://esbl.nhlbi.nih.gov/Databases/mpkFractions/proteomic_fractions_linear_files/Yang_linear_img/244790087.jpg","show blot")</f>
        <v>show blot</v>
      </c>
      <c r="J4698" s="5" t="s">
        <v>9192</v>
      </c>
      <c r="L4698" s="11">
        <v>4.5732851502855771</v>
      </c>
      <c r="N4698" s="12"/>
    </row>
    <row r="4699" spans="1:14" s="5" customFormat="1" ht="15" customHeight="1" x14ac:dyDescent="0.25">
      <c r="A4699" s="9" t="s">
        <v>9193</v>
      </c>
      <c r="C4699" s="9" t="str">
        <f>HYPERLINK("http://www.ncbi.nlm.nih.gov/protein/244790091","Myef2")</f>
        <v>Myef2</v>
      </c>
      <c r="D4699" s="10">
        <f t="shared" si="73"/>
        <v>4.5732851502855771</v>
      </c>
      <c r="F4699" s="8" t="str">
        <f>HYPERLINK("https://esbl.nhlbi.nih.gov/Databases/mpkFractions/proteomic_fractions_log_files/Yang_log_img/244790091.jpg","show blot")</f>
        <v>show blot</v>
      </c>
      <c r="H4699" s="8" t="str">
        <f>HYPERLINK("https://esbl.nhlbi.nih.gov/Databases/mpkFractions/proteomic_fractions_linear_files/Yang_linear_img/244790091.jpg","show blot")</f>
        <v>show blot</v>
      </c>
      <c r="J4699" s="5" t="s">
        <v>9194</v>
      </c>
      <c r="L4699" s="11">
        <v>4.5732851502855771</v>
      </c>
      <c r="N4699" s="12"/>
    </row>
    <row r="4700" spans="1:14" s="5" customFormat="1" ht="15" customHeight="1" x14ac:dyDescent="0.25">
      <c r="A4700" s="9" t="s">
        <v>9195</v>
      </c>
      <c r="C4700" s="9" t="str">
        <f>HYPERLINK("http://www.ncbi.nlm.nih.gov/protein/244790095","Myef2")</f>
        <v>Myef2</v>
      </c>
      <c r="D4700" s="10">
        <f t="shared" si="73"/>
        <v>4.5732851502855771</v>
      </c>
      <c r="F4700" s="8" t="str">
        <f>HYPERLINK("https://esbl.nhlbi.nih.gov/Databases/mpkFractions/proteomic_fractions_log_files/Yang_log_img/244790095.jpg","show blot")</f>
        <v>show blot</v>
      </c>
      <c r="H4700" s="8" t="str">
        <f>HYPERLINK("https://esbl.nhlbi.nih.gov/Databases/mpkFractions/proteomic_fractions_linear_files/Yang_linear_img/244790095.jpg","show blot")</f>
        <v>show blot</v>
      </c>
      <c r="J4700" s="5" t="s">
        <v>9196</v>
      </c>
      <c r="L4700" s="11">
        <v>4.5732851502855771</v>
      </c>
      <c r="N4700" s="12"/>
    </row>
    <row r="4701" spans="1:14" s="5" customFormat="1" ht="15" customHeight="1" x14ac:dyDescent="0.25">
      <c r="A4701" s="9" t="s">
        <v>9197</v>
      </c>
      <c r="C4701" s="9" t="str">
        <f>HYPERLINK("http://www.ncbi.nlm.nih.gov/protein/11096332","Myg1")</f>
        <v>Myg1</v>
      </c>
      <c r="D4701" s="10">
        <f t="shared" si="73"/>
        <v>6.0354080198549438</v>
      </c>
      <c r="F4701" s="8" t="str">
        <f>HYPERLINK("https://esbl.nhlbi.nih.gov/Databases/mpkFractions/proteomic_fractions_log_files/Yang_log_img/11096332.jpg","show blot")</f>
        <v>show blot</v>
      </c>
      <c r="H4701" s="8" t="str">
        <f>HYPERLINK("https://esbl.nhlbi.nih.gov/Databases/mpkFractions/proteomic_fractions_linear_files/Yang_linear_img/11096332.jpg","show blot")</f>
        <v>show blot</v>
      </c>
      <c r="J4701" s="5" t="s">
        <v>9198</v>
      </c>
      <c r="L4701" s="11">
        <v>6.0354080198549438</v>
      </c>
      <c r="N4701" s="12"/>
    </row>
    <row r="4702" spans="1:14" s="5" customFormat="1" ht="15" customHeight="1" x14ac:dyDescent="0.25">
      <c r="A4702" s="9" t="s">
        <v>9199</v>
      </c>
      <c r="C4702" s="9" t="str">
        <f>HYPERLINK("http://www.ncbi.nlm.nih.gov/protein/82524274","Myh1")</f>
        <v>Myh1</v>
      </c>
      <c r="D4702" s="10">
        <f t="shared" si="73"/>
        <v>5.0143401181106979</v>
      </c>
      <c r="F4702" s="8" t="str">
        <f>HYPERLINK("https://esbl.nhlbi.nih.gov/Databases/mpkFractions/proteomic_fractions_log_files/Yang_log_img/82524274.jpg","show blot")</f>
        <v>show blot</v>
      </c>
      <c r="H4702" s="8" t="str">
        <f>HYPERLINK("https://esbl.nhlbi.nih.gov/Databases/mpkFractions/proteomic_fractions_linear_files/Yang_linear_img/82524274.jpg","show blot")</f>
        <v>show blot</v>
      </c>
      <c r="J4702" s="5" t="s">
        <v>9200</v>
      </c>
      <c r="L4702" s="11">
        <v>5.0143401181106979</v>
      </c>
      <c r="N4702" s="12"/>
    </row>
    <row r="4703" spans="1:14" s="5" customFormat="1" ht="15" customHeight="1" x14ac:dyDescent="0.25">
      <c r="A4703" s="9" t="s">
        <v>9201</v>
      </c>
      <c r="C4703" s="9" t="str">
        <f>HYPERLINK("http://www.ncbi.nlm.nih.gov/protein/33598964","Myh10")</f>
        <v>Myh10</v>
      </c>
      <c r="D4703" s="10">
        <f t="shared" si="73"/>
        <v>6.3685751168190681</v>
      </c>
      <c r="F4703" s="8" t="str">
        <f>HYPERLINK("https://esbl.nhlbi.nih.gov/Databases/mpkFractions/proteomic_fractions_log_files/Yang_log_img/33598964.jpg","show blot")</f>
        <v>show blot</v>
      </c>
      <c r="H4703" s="8" t="str">
        <f>HYPERLINK("https://esbl.nhlbi.nih.gov/Databases/mpkFractions/proteomic_fractions_linear_files/Yang_linear_img/33598964.jpg","show blot")</f>
        <v>show blot</v>
      </c>
      <c r="J4703" s="5" t="s">
        <v>9202</v>
      </c>
      <c r="L4703" s="11">
        <v>6.3685751168190681</v>
      </c>
      <c r="N4703" s="12"/>
    </row>
    <row r="4704" spans="1:14" s="5" customFormat="1" ht="15" customHeight="1" x14ac:dyDescent="0.25">
      <c r="A4704" s="9" t="s">
        <v>9203</v>
      </c>
      <c r="C4704" s="9" t="str">
        <f>HYPERLINK("http://www.ncbi.nlm.nih.gov/protein/241982716","Myh11")</f>
        <v>Myh11</v>
      </c>
      <c r="D4704" s="10">
        <f t="shared" si="73"/>
        <v>6.1140501488667143</v>
      </c>
      <c r="F4704" s="8" t="str">
        <f>HYPERLINK("https://esbl.nhlbi.nih.gov/Databases/mpkFractions/proteomic_fractions_log_files/Yang_log_img/241982716.jpg","show blot")</f>
        <v>show blot</v>
      </c>
      <c r="H4704" s="8" t="str">
        <f>HYPERLINK("https://esbl.nhlbi.nih.gov/Databases/mpkFractions/proteomic_fractions_linear_files/Yang_linear_img/241982716.jpg","show blot")</f>
        <v>show blot</v>
      </c>
      <c r="J4704" s="5" t="s">
        <v>9204</v>
      </c>
      <c r="L4704" s="11">
        <v>6.1140501488667143</v>
      </c>
      <c r="N4704" s="12"/>
    </row>
    <row r="4705" spans="1:14" s="5" customFormat="1" ht="15" customHeight="1" x14ac:dyDescent="0.25">
      <c r="A4705" s="9" t="s">
        <v>9205</v>
      </c>
      <c r="C4705" s="9" t="str">
        <f>HYPERLINK("http://www.ncbi.nlm.nih.gov/protein/241982718","Myh11")</f>
        <v>Myh11</v>
      </c>
      <c r="D4705" s="10">
        <f t="shared" si="73"/>
        <v>6.1140501488667143</v>
      </c>
      <c r="F4705" s="8" t="str">
        <f>HYPERLINK("https://esbl.nhlbi.nih.gov/Databases/mpkFractions/proteomic_fractions_log_files/Yang_log_img/241982718.jpg","show blot")</f>
        <v>show blot</v>
      </c>
      <c r="H4705" s="8" t="str">
        <f>HYPERLINK("https://esbl.nhlbi.nih.gov/Databases/mpkFractions/proteomic_fractions_linear_files/Yang_linear_img/241982718.jpg","show blot")</f>
        <v>show blot</v>
      </c>
      <c r="J4705" s="5" t="s">
        <v>9206</v>
      </c>
      <c r="L4705" s="11">
        <v>6.1140501488667143</v>
      </c>
      <c r="N4705" s="12"/>
    </row>
    <row r="4706" spans="1:14" s="5" customFormat="1" ht="15" customHeight="1" x14ac:dyDescent="0.25">
      <c r="A4706" s="9" t="s">
        <v>9207</v>
      </c>
      <c r="C4706" s="9" t="str">
        <f>HYPERLINK("http://www.ncbi.nlm.nih.gov/protein/124486959","Myh13")</f>
        <v>Myh13</v>
      </c>
      <c r="D4706" s="10">
        <f t="shared" si="73"/>
        <v>5.0143401181106979</v>
      </c>
      <c r="F4706" s="8" t="str">
        <f>HYPERLINK("https://esbl.nhlbi.nih.gov/Databases/mpkFractions/proteomic_fractions_log_files/Yang_log_img/124486959.jpg","show blot")</f>
        <v>show blot</v>
      </c>
      <c r="H4706" s="8" t="str">
        <f>HYPERLINK("https://esbl.nhlbi.nih.gov/Databases/mpkFractions/proteomic_fractions_linear_files/Yang_linear_img/124486959.jpg","show blot")</f>
        <v>show blot</v>
      </c>
      <c r="J4706" s="5" t="s">
        <v>9208</v>
      </c>
      <c r="L4706" s="11">
        <v>5.0143401181106979</v>
      </c>
      <c r="N4706" s="12"/>
    </row>
    <row r="4707" spans="1:14" s="5" customFormat="1" ht="15" customHeight="1" x14ac:dyDescent="0.25">
      <c r="A4707" s="9" t="s">
        <v>9209</v>
      </c>
      <c r="C4707" s="9" t="str">
        <f>HYPERLINK("http://www.ncbi.nlm.nih.gov/protein/29336026","Myh14")</f>
        <v>Myh14</v>
      </c>
      <c r="D4707" s="10">
        <f t="shared" si="73"/>
        <v>5.914245413693612</v>
      </c>
      <c r="F4707" s="8" t="str">
        <f>HYPERLINK("https://esbl.nhlbi.nih.gov/Databases/mpkFractions/proteomic_fractions_log_files/Yang_log_img/29336026.jpg","show blot")</f>
        <v>show blot</v>
      </c>
      <c r="H4707" s="8" t="str">
        <f>HYPERLINK("https://esbl.nhlbi.nih.gov/Databases/mpkFractions/proteomic_fractions_linear_files/Yang_linear_img/29336026.jpg","show blot")</f>
        <v>show blot</v>
      </c>
      <c r="J4707" s="5" t="s">
        <v>9210</v>
      </c>
      <c r="L4707" s="11">
        <v>5.914245413693612</v>
      </c>
      <c r="N4707" s="12"/>
    </row>
    <row r="4708" spans="1:14" s="5" customFormat="1" ht="15" customHeight="1" x14ac:dyDescent="0.25">
      <c r="A4708" s="9" t="s">
        <v>9211</v>
      </c>
      <c r="C4708" s="9" t="str">
        <f>HYPERLINK("http://www.ncbi.nlm.nih.gov/protein/408821450","Myh14")</f>
        <v>Myh14</v>
      </c>
      <c r="D4708" s="10">
        <f t="shared" si="73"/>
        <v>5.914245413693612</v>
      </c>
      <c r="F4708" s="8" t="str">
        <f>HYPERLINK("https://esbl.nhlbi.nih.gov/Databases/mpkFractions/proteomic_fractions_log_files/Yang_log_img/408821450.jpg","show blot")</f>
        <v>show blot</v>
      </c>
      <c r="H4708" s="8" t="str">
        <f>HYPERLINK("https://esbl.nhlbi.nih.gov/Databases/mpkFractions/proteomic_fractions_linear_files/Yang_linear_img/408821450.jpg","show blot")</f>
        <v>show blot</v>
      </c>
      <c r="J4708" s="5" t="s">
        <v>9212</v>
      </c>
      <c r="L4708" s="11">
        <v>5.914245413693612</v>
      </c>
      <c r="N4708" s="12"/>
    </row>
    <row r="4709" spans="1:14" s="5" customFormat="1" ht="15" customHeight="1" x14ac:dyDescent="0.25">
      <c r="A4709" s="9" t="s">
        <v>9213</v>
      </c>
      <c r="C4709" s="9" t="str">
        <f>HYPERLINK("http://www.ncbi.nlm.nih.gov/protein/408821455","Myh14")</f>
        <v>Myh14</v>
      </c>
      <c r="D4709" s="10">
        <f t="shared" si="73"/>
        <v>5.914245413693612</v>
      </c>
      <c r="F4709" s="8" t="str">
        <f>HYPERLINK("https://esbl.nhlbi.nih.gov/Databases/mpkFractions/proteomic_fractions_log_files/Yang_log_img/408821455.jpg","show blot")</f>
        <v>show blot</v>
      </c>
      <c r="H4709" s="8" t="str">
        <f>HYPERLINK("https://esbl.nhlbi.nih.gov/Databases/mpkFractions/proteomic_fractions_linear_files/Yang_linear_img/408821455.jpg","show blot")</f>
        <v>show blot</v>
      </c>
      <c r="J4709" s="5" t="s">
        <v>9214</v>
      </c>
      <c r="L4709" s="11">
        <v>5.914245413693612</v>
      </c>
      <c r="N4709" s="12"/>
    </row>
    <row r="4710" spans="1:14" s="5" customFormat="1" ht="15" customHeight="1" x14ac:dyDescent="0.25">
      <c r="A4710" s="9" t="s">
        <v>9215</v>
      </c>
      <c r="C4710" s="9" t="str">
        <f>HYPERLINK("http://www.ncbi.nlm.nih.gov/protein/261245016","Myh15")</f>
        <v>Myh15</v>
      </c>
      <c r="D4710" s="10">
        <f t="shared" si="73"/>
        <v>5.0168871171022973</v>
      </c>
      <c r="F4710" s="8" t="str">
        <f>HYPERLINK("https://esbl.nhlbi.nih.gov/Databases/mpkFractions/proteomic_fractions_log_files/Yang_log_img/261245016.jpg","show blot")</f>
        <v>show blot</v>
      </c>
      <c r="H4710" s="8" t="str">
        <f>HYPERLINK("https://esbl.nhlbi.nih.gov/Databases/mpkFractions/proteomic_fractions_linear_files/Yang_linear_img/261245016.jpg","show blot")</f>
        <v>show blot</v>
      </c>
      <c r="J4710" s="5" t="s">
        <v>9216</v>
      </c>
      <c r="L4710" s="11">
        <v>5.0168871171022973</v>
      </c>
      <c r="N4710" s="12"/>
    </row>
    <row r="4711" spans="1:14" s="5" customFormat="1" ht="15" customHeight="1" x14ac:dyDescent="0.25">
      <c r="A4711" s="9" t="s">
        <v>9217</v>
      </c>
      <c r="C4711" s="9" t="str">
        <f>HYPERLINK("http://www.ncbi.nlm.nih.gov/protein/205830428","Myh2")</f>
        <v>Myh2</v>
      </c>
      <c r="D4711" s="10">
        <f t="shared" si="73"/>
        <v>5.0143401181106979</v>
      </c>
      <c r="F4711" s="8" t="str">
        <f>HYPERLINK("https://esbl.nhlbi.nih.gov/Databases/mpkFractions/proteomic_fractions_log_files/Yang_log_img/205830428.jpg","show blot")</f>
        <v>show blot</v>
      </c>
      <c r="H4711" s="8" t="str">
        <f>HYPERLINK("https://esbl.nhlbi.nih.gov/Databases/mpkFractions/proteomic_fractions_linear_files/Yang_linear_img/205830428.jpg","show blot")</f>
        <v>show blot</v>
      </c>
      <c r="J4711" s="5" t="s">
        <v>9218</v>
      </c>
      <c r="L4711" s="11">
        <v>5.0143401181106979</v>
      </c>
      <c r="N4711" s="12"/>
    </row>
    <row r="4712" spans="1:14" s="5" customFormat="1" ht="15" customHeight="1" x14ac:dyDescent="0.25">
      <c r="A4712" s="9" t="s">
        <v>9219</v>
      </c>
      <c r="C4712" s="9" t="str">
        <f>HYPERLINK("http://www.ncbi.nlm.nih.gov/protein/153792649","Myh3")</f>
        <v>Myh3</v>
      </c>
      <c r="D4712" s="10">
        <f t="shared" si="73"/>
        <v>5.0123969628246963</v>
      </c>
      <c r="F4712" s="8" t="str">
        <f>HYPERLINK("https://esbl.nhlbi.nih.gov/Databases/mpkFractions/proteomic_fractions_log_files/Yang_log_img/153792649.jpg","show blot")</f>
        <v>show blot</v>
      </c>
      <c r="H4712" s="8" t="str">
        <f>HYPERLINK("https://esbl.nhlbi.nih.gov/Databases/mpkFractions/proteomic_fractions_linear_files/Yang_linear_img/153792649.jpg","show blot")</f>
        <v>show blot</v>
      </c>
      <c r="J4712" s="5" t="s">
        <v>9220</v>
      </c>
      <c r="L4712" s="11">
        <v>5.0123969628246963</v>
      </c>
      <c r="N4712" s="12"/>
    </row>
    <row r="4713" spans="1:14" s="5" customFormat="1" ht="15" customHeight="1" x14ac:dyDescent="0.25">
      <c r="A4713" s="9" t="s">
        <v>9221</v>
      </c>
      <c r="C4713" s="9" t="str">
        <f>HYPERLINK("http://www.ncbi.nlm.nih.gov/protein/67189167","Myh4")</f>
        <v>Myh4</v>
      </c>
      <c r="D4713" s="10">
        <f t="shared" si="73"/>
        <v>5.0143401181106979</v>
      </c>
      <c r="F4713" s="8" t="str">
        <f>HYPERLINK("https://esbl.nhlbi.nih.gov/Databases/mpkFractions/proteomic_fractions_log_files/Yang_log_img/67189167.jpg","show blot")</f>
        <v>show blot</v>
      </c>
      <c r="H4713" s="8" t="str">
        <f>HYPERLINK("https://esbl.nhlbi.nih.gov/Databases/mpkFractions/proteomic_fractions_linear_files/Yang_linear_img/67189167.jpg","show blot")</f>
        <v>show blot</v>
      </c>
      <c r="J4713" s="5" t="s">
        <v>9222</v>
      </c>
      <c r="L4713" s="11">
        <v>5.0143401181106979</v>
      </c>
      <c r="N4713" s="12"/>
    </row>
    <row r="4714" spans="1:14" s="5" customFormat="1" ht="15" customHeight="1" x14ac:dyDescent="0.25">
      <c r="A4714" s="9" t="s">
        <v>9223</v>
      </c>
      <c r="C4714" s="9" t="str">
        <f>HYPERLINK("http://www.ncbi.nlm.nih.gov/protein/255918225","Myh6")</f>
        <v>Myh6</v>
      </c>
      <c r="D4714" s="10">
        <f t="shared" si="73"/>
        <v>5.0143401181106979</v>
      </c>
      <c r="F4714" s="8" t="str">
        <f>HYPERLINK("https://esbl.nhlbi.nih.gov/Databases/mpkFractions/proteomic_fractions_log_files/Yang_log_img/255918225.jpg","show blot")</f>
        <v>show blot</v>
      </c>
      <c r="H4714" s="8" t="str">
        <f>HYPERLINK("https://esbl.nhlbi.nih.gov/Databases/mpkFractions/proteomic_fractions_linear_files/Yang_linear_img/255918225.jpg","show blot")</f>
        <v>show blot</v>
      </c>
      <c r="J4714" s="5" t="s">
        <v>9224</v>
      </c>
      <c r="L4714" s="11">
        <v>5.0143401181106979</v>
      </c>
      <c r="N4714" s="12"/>
    </row>
    <row r="4715" spans="1:14" s="5" customFormat="1" ht="15" customHeight="1" x14ac:dyDescent="0.25">
      <c r="A4715" s="9" t="s">
        <v>9225</v>
      </c>
      <c r="C4715" s="9" t="str">
        <f>HYPERLINK("http://www.ncbi.nlm.nih.gov/protein/18859641","Myh7")</f>
        <v>Myh7</v>
      </c>
      <c r="D4715" s="10">
        <f t="shared" si="73"/>
        <v>5.0235688045178959</v>
      </c>
      <c r="F4715" s="8" t="str">
        <f>HYPERLINK("https://esbl.nhlbi.nih.gov/Databases/mpkFractions/proteomic_fractions_log_files/Yang_log_img/18859641.jpg","show blot")</f>
        <v>show blot</v>
      </c>
      <c r="H4715" s="8" t="str">
        <f>HYPERLINK("https://esbl.nhlbi.nih.gov/Databases/mpkFractions/proteomic_fractions_linear_files/Yang_linear_img/18859641.jpg","show blot")</f>
        <v>show blot</v>
      </c>
      <c r="J4715" s="5" t="s">
        <v>9226</v>
      </c>
      <c r="L4715" s="11">
        <v>5.0235688045178959</v>
      </c>
      <c r="N4715" s="12"/>
    </row>
    <row r="4716" spans="1:14" s="5" customFormat="1" ht="15" customHeight="1" x14ac:dyDescent="0.25">
      <c r="A4716" s="9" t="s">
        <v>9227</v>
      </c>
      <c r="C4716" s="9" t="str">
        <f>HYPERLINK("http://www.ncbi.nlm.nih.gov/protein/145864471","Myh7b")</f>
        <v>Myh7b</v>
      </c>
      <c r="D4716" s="10">
        <f t="shared" si="73"/>
        <v>5.044477199346435</v>
      </c>
      <c r="F4716" s="8" t="str">
        <f>HYPERLINK("https://esbl.nhlbi.nih.gov/Databases/mpkFractions/proteomic_fractions_log_files/Yang_log_img/145864471.jpg","show blot")</f>
        <v>show blot</v>
      </c>
      <c r="H4716" s="8" t="str">
        <f>HYPERLINK("https://esbl.nhlbi.nih.gov/Databases/mpkFractions/proteomic_fractions_linear_files/Yang_linear_img/145864471.jpg","show blot")</f>
        <v>show blot</v>
      </c>
      <c r="J4716" s="5" t="s">
        <v>9228</v>
      </c>
      <c r="L4716" s="11">
        <v>5.044477199346435</v>
      </c>
      <c r="N4716" s="12"/>
    </row>
    <row r="4717" spans="1:14" s="5" customFormat="1" ht="15" customHeight="1" x14ac:dyDescent="0.25">
      <c r="A4717" s="9" t="s">
        <v>9229</v>
      </c>
      <c r="C4717" s="9" t="str">
        <f>HYPERLINK("http://www.ncbi.nlm.nih.gov/protein/71143152","Myh8")</f>
        <v>Myh8</v>
      </c>
      <c r="D4717" s="10">
        <f t="shared" si="73"/>
        <v>5.0143401181106979</v>
      </c>
      <c r="F4717" s="8" t="str">
        <f>HYPERLINK("https://esbl.nhlbi.nih.gov/Databases/mpkFractions/proteomic_fractions_log_files/Yang_log_img/71143152.jpg","show blot")</f>
        <v>show blot</v>
      </c>
      <c r="H4717" s="8" t="str">
        <f>HYPERLINK("https://esbl.nhlbi.nih.gov/Databases/mpkFractions/proteomic_fractions_linear_files/Yang_linear_img/71143152.jpg","show blot")</f>
        <v>show blot</v>
      </c>
      <c r="J4717" s="5" t="s">
        <v>9230</v>
      </c>
      <c r="L4717" s="11">
        <v>5.0143401181106979</v>
      </c>
      <c r="N4717" s="12"/>
    </row>
    <row r="4718" spans="1:14" s="5" customFormat="1" ht="15" customHeight="1" x14ac:dyDescent="0.25">
      <c r="A4718" s="9" t="s">
        <v>9231</v>
      </c>
      <c r="C4718" s="9" t="str">
        <f>HYPERLINK("http://www.ncbi.nlm.nih.gov/protein/114326446","Myh9")</f>
        <v>Myh9</v>
      </c>
      <c r="D4718" s="10">
        <f t="shared" si="73"/>
        <v>7.0589943798928676</v>
      </c>
      <c r="F4718" s="8" t="str">
        <f>HYPERLINK("https://esbl.nhlbi.nih.gov/Databases/mpkFractions/proteomic_fractions_log_files/Yang_log_img/114326446.jpg","show blot")</f>
        <v>show blot</v>
      </c>
      <c r="H4718" s="8" t="str">
        <f>HYPERLINK("https://esbl.nhlbi.nih.gov/Databases/mpkFractions/proteomic_fractions_linear_files/Yang_linear_img/114326446.jpg","show blot")</f>
        <v>show blot</v>
      </c>
      <c r="J4718" s="5" t="s">
        <v>9232</v>
      </c>
      <c r="L4718" s="11">
        <v>7.0589943798928676</v>
      </c>
      <c r="N4718" s="12"/>
    </row>
    <row r="4719" spans="1:14" s="5" customFormat="1" ht="15" customHeight="1" x14ac:dyDescent="0.25">
      <c r="A4719" s="9" t="s">
        <v>9233</v>
      </c>
      <c r="C4719" s="9" t="str">
        <f>HYPERLINK("http://www.ncbi.nlm.nih.gov/protein/164664497","Myl1")</f>
        <v>Myl1</v>
      </c>
      <c r="D4719" s="10">
        <f t="shared" si="73"/>
        <v>6.0861053438968478</v>
      </c>
      <c r="F4719" s="8" t="str">
        <f>HYPERLINK("https://esbl.nhlbi.nih.gov/Databases/mpkFractions/proteomic_fractions_log_files/Yang_log_img/164664497.jpg","show blot")</f>
        <v>show blot</v>
      </c>
      <c r="H4719" s="8" t="str">
        <f>HYPERLINK("https://esbl.nhlbi.nih.gov/Databases/mpkFractions/proteomic_fractions_linear_files/Yang_linear_img/164664497.jpg","show blot")</f>
        <v>show blot</v>
      </c>
      <c r="J4719" s="5" t="s">
        <v>9234</v>
      </c>
      <c r="L4719" s="11">
        <v>6.0861053438968478</v>
      </c>
      <c r="N4719" s="12"/>
    </row>
    <row r="4720" spans="1:14" s="5" customFormat="1" ht="15" customHeight="1" x14ac:dyDescent="0.25">
      <c r="A4720" s="9" t="s">
        <v>9235</v>
      </c>
      <c r="C4720" s="9" t="str">
        <f>HYPERLINK("http://www.ncbi.nlm.nih.gov/protein/29789016","Myl1")</f>
        <v>Myl1</v>
      </c>
      <c r="D4720" s="10">
        <f t="shared" si="73"/>
        <v>6.0861053438968478</v>
      </c>
      <c r="F4720" s="8" t="str">
        <f>HYPERLINK("https://esbl.nhlbi.nih.gov/Databases/mpkFractions/proteomic_fractions_log_files/Yang_log_img/29789016.jpg","show blot")</f>
        <v>show blot</v>
      </c>
      <c r="H4720" s="8" t="str">
        <f>HYPERLINK("https://esbl.nhlbi.nih.gov/Databases/mpkFractions/proteomic_fractions_linear_files/Yang_linear_img/29789016.jpg","show blot")</f>
        <v>show blot</v>
      </c>
      <c r="J4720" s="5" t="s">
        <v>9236</v>
      </c>
      <c r="L4720" s="11">
        <v>6.0861053438968478</v>
      </c>
      <c r="N4720" s="12"/>
    </row>
    <row r="4721" spans="1:14" s="5" customFormat="1" ht="15" customHeight="1" x14ac:dyDescent="0.25">
      <c r="A4721" s="9" t="s">
        <v>9237</v>
      </c>
      <c r="C4721" s="9" t="str">
        <f>HYPERLINK("http://www.ncbi.nlm.nih.gov/protein/146229342","Myl10")</f>
        <v>Myl10</v>
      </c>
      <c r="D4721" s="10">
        <f t="shared" si="73"/>
        <v>4.0046422259084364</v>
      </c>
      <c r="F4721" s="8" t="str">
        <f>HYPERLINK("https://esbl.nhlbi.nih.gov/Databases/mpkFractions/proteomic_fractions_log_files/Yang_log_img/146229342.jpg","show blot")</f>
        <v>show blot</v>
      </c>
      <c r="H4721" s="8" t="str">
        <f>HYPERLINK("https://esbl.nhlbi.nih.gov/Databases/mpkFractions/proteomic_fractions_linear_files/Yang_linear_img/146229342.jpg","show blot")</f>
        <v>show blot</v>
      </c>
      <c r="J4721" s="5" t="s">
        <v>9238</v>
      </c>
      <c r="L4721" s="11">
        <v>4.0046422259084364</v>
      </c>
      <c r="N4721" s="12"/>
    </row>
    <row r="4722" spans="1:14" s="5" customFormat="1" ht="15" customHeight="1" x14ac:dyDescent="0.25">
      <c r="A4722" s="9" t="s">
        <v>9239</v>
      </c>
      <c r="C4722" s="9" t="str">
        <f>HYPERLINK("http://www.ncbi.nlm.nih.gov/protein/71037403","Myl12a")</f>
        <v>Myl12a</v>
      </c>
      <c r="D4722" s="10">
        <f t="shared" si="73"/>
        <v>6.5766623342563699</v>
      </c>
      <c r="F4722" s="8" t="str">
        <f>HYPERLINK("https://esbl.nhlbi.nih.gov/Databases/mpkFractions/proteomic_fractions_log_files/Yang_log_img/71037403.jpg","show blot")</f>
        <v>show blot</v>
      </c>
      <c r="H4722" s="8" t="str">
        <f>HYPERLINK("https://esbl.nhlbi.nih.gov/Databases/mpkFractions/proteomic_fractions_linear_files/Yang_linear_img/71037403.jpg","show blot")</f>
        <v>show blot</v>
      </c>
      <c r="J4722" s="5" t="s">
        <v>9240</v>
      </c>
      <c r="L4722" s="11">
        <v>6.5766623342563699</v>
      </c>
      <c r="N4722" s="12"/>
    </row>
    <row r="4723" spans="1:14" s="5" customFormat="1" ht="15" customHeight="1" x14ac:dyDescent="0.25">
      <c r="A4723" s="9" t="s">
        <v>9241</v>
      </c>
      <c r="C4723" s="9" t="str">
        <f>HYPERLINK("http://www.ncbi.nlm.nih.gov/protein/21728376","Myl12b")</f>
        <v>Myl12b</v>
      </c>
      <c r="D4723" s="10">
        <f t="shared" si="73"/>
        <v>6.5756847106105178</v>
      </c>
      <c r="F4723" s="8" t="str">
        <f>HYPERLINK("https://esbl.nhlbi.nih.gov/Databases/mpkFractions/proteomic_fractions_log_files/Yang_log_img/21728376.jpg","show blot")</f>
        <v>show blot</v>
      </c>
      <c r="H4723" s="8" t="str">
        <f>HYPERLINK("https://esbl.nhlbi.nih.gov/Databases/mpkFractions/proteomic_fractions_linear_files/Yang_linear_img/21728376.jpg","show blot")</f>
        <v>show blot</v>
      </c>
      <c r="J4723" s="5" t="s">
        <v>9242</v>
      </c>
      <c r="L4723" s="11">
        <v>6.5756847106105178</v>
      </c>
      <c r="N4723" s="12"/>
    </row>
    <row r="4724" spans="1:14" s="5" customFormat="1" ht="15" customHeight="1" x14ac:dyDescent="0.25">
      <c r="A4724" s="9" t="s">
        <v>9243</v>
      </c>
      <c r="C4724" s="9" t="str">
        <f>HYPERLINK("http://www.ncbi.nlm.nih.gov/protein/33563264","Myl3")</f>
        <v>Myl3</v>
      </c>
      <c r="D4724" s="10">
        <f t="shared" si="73"/>
        <v>5.9478026457305662</v>
      </c>
      <c r="F4724" s="8" t="str">
        <f>HYPERLINK("https://esbl.nhlbi.nih.gov/Databases/mpkFractions/proteomic_fractions_log_files/Yang_log_img/33563264.jpg","show blot")</f>
        <v>show blot</v>
      </c>
      <c r="H4724" s="8" t="str">
        <f>HYPERLINK("https://esbl.nhlbi.nih.gov/Databases/mpkFractions/proteomic_fractions_linear_files/Yang_linear_img/33563264.jpg","show blot")</f>
        <v>show blot</v>
      </c>
      <c r="J4724" s="5" t="s">
        <v>9244</v>
      </c>
      <c r="L4724" s="11">
        <v>5.9478026457305662</v>
      </c>
      <c r="N4724" s="12"/>
    </row>
    <row r="4725" spans="1:14" s="5" customFormat="1" ht="15" customHeight="1" x14ac:dyDescent="0.25">
      <c r="A4725" s="9" t="s">
        <v>9245</v>
      </c>
      <c r="C4725" s="9" t="str">
        <f>HYPERLINK("http://www.ncbi.nlm.nih.gov/protein/33620739","Myl6")</f>
        <v>Myl6</v>
      </c>
      <c r="D4725" s="10">
        <f t="shared" si="73"/>
        <v>7.0005418661405221</v>
      </c>
      <c r="F4725" s="8" t="str">
        <f>HYPERLINK("https://esbl.nhlbi.nih.gov/Databases/mpkFractions/proteomic_fractions_log_files/Yang_log_img/33620739.jpg","show blot")</f>
        <v>show blot</v>
      </c>
      <c r="H4725" s="8" t="str">
        <f>HYPERLINK("https://esbl.nhlbi.nih.gov/Databases/mpkFractions/proteomic_fractions_linear_files/Yang_linear_img/33620739.jpg","show blot")</f>
        <v>show blot</v>
      </c>
      <c r="J4725" s="5" t="s">
        <v>9246</v>
      </c>
      <c r="L4725" s="11">
        <v>7.0005418661405221</v>
      </c>
      <c r="N4725" s="12"/>
    </row>
    <row r="4726" spans="1:14" s="5" customFormat="1" ht="15" customHeight="1" x14ac:dyDescent="0.25">
      <c r="A4726" s="9" t="s">
        <v>9247</v>
      </c>
      <c r="C4726" s="9" t="str">
        <f>HYPERLINK("http://www.ncbi.nlm.nih.gov/protein/26986555","Myl6b")</f>
        <v>Myl6b</v>
      </c>
      <c r="D4726" s="10">
        <f t="shared" si="73"/>
        <v>6.1060817701125254</v>
      </c>
      <c r="F4726" s="8" t="str">
        <f>HYPERLINK("https://esbl.nhlbi.nih.gov/Databases/mpkFractions/proteomic_fractions_log_files/Yang_log_img/26986555.jpg","show blot")</f>
        <v>show blot</v>
      </c>
      <c r="H4726" s="8" t="str">
        <f>HYPERLINK("https://esbl.nhlbi.nih.gov/Databases/mpkFractions/proteomic_fractions_linear_files/Yang_linear_img/26986555.jpg","show blot")</f>
        <v>show blot</v>
      </c>
      <c r="J4726" s="5" t="s">
        <v>9248</v>
      </c>
      <c r="L4726" s="11">
        <v>6.1060817701125254</v>
      </c>
      <c r="N4726" s="12"/>
    </row>
    <row r="4727" spans="1:14" s="5" customFormat="1" ht="15" customHeight="1" x14ac:dyDescent="0.25">
      <c r="A4727" s="9" t="s">
        <v>9249</v>
      </c>
      <c r="C4727" s="9" t="str">
        <f>HYPERLINK("http://www.ncbi.nlm.nih.gov/protein/198278553","Myl9")</f>
        <v>Myl9</v>
      </c>
      <c r="D4727" s="10">
        <f t="shared" si="73"/>
        <v>6.374253517461705</v>
      </c>
      <c r="F4727" s="8" t="str">
        <f>HYPERLINK("https://esbl.nhlbi.nih.gov/Databases/mpkFractions/proteomic_fractions_log_files/Yang_log_img/198278553.jpg","show blot")</f>
        <v>show blot</v>
      </c>
      <c r="H4727" s="8" t="str">
        <f>HYPERLINK("https://esbl.nhlbi.nih.gov/Databases/mpkFractions/proteomic_fractions_linear_files/Yang_linear_img/198278553.jpg","show blot")</f>
        <v>show blot</v>
      </c>
      <c r="J4727" s="5" t="s">
        <v>9250</v>
      </c>
      <c r="L4727" s="11">
        <v>6.374253517461705</v>
      </c>
      <c r="N4727" s="12"/>
    </row>
    <row r="4728" spans="1:14" s="5" customFormat="1" ht="15" customHeight="1" x14ac:dyDescent="0.25">
      <c r="A4728" s="9" t="s">
        <v>9251</v>
      </c>
      <c r="C4728" s="9" t="str">
        <f>HYPERLINK("http://www.ncbi.nlm.nih.gov/protein/126157499","Mylk")</f>
        <v>Mylk</v>
      </c>
      <c r="D4728" s="10">
        <f t="shared" si="73"/>
        <v>5.2043994901480968</v>
      </c>
      <c r="F4728" s="8" t="str">
        <f>HYPERLINK("https://esbl.nhlbi.nih.gov/Databases/mpkFractions/proteomic_fractions_log_files/Yang_log_img/126157499.jpg","show blot")</f>
        <v>show blot</v>
      </c>
      <c r="H4728" s="8" t="str">
        <f>HYPERLINK("https://esbl.nhlbi.nih.gov/Databases/mpkFractions/proteomic_fractions_linear_files/Yang_linear_img/126157499.jpg","show blot")</f>
        <v>show blot</v>
      </c>
      <c r="J4728" s="5" t="s">
        <v>9252</v>
      </c>
      <c r="L4728" s="11">
        <v>5.2043994901480968</v>
      </c>
      <c r="N4728" s="12"/>
    </row>
    <row r="4729" spans="1:14" s="5" customFormat="1" ht="15" customHeight="1" x14ac:dyDescent="0.25">
      <c r="A4729" s="9" t="s">
        <v>9253</v>
      </c>
      <c r="C4729" s="9" t="str">
        <f>HYPERLINK("http://www.ncbi.nlm.nih.gov/protein/163644275","Mylk2")</f>
        <v>Mylk2</v>
      </c>
      <c r="D4729" s="10">
        <f t="shared" si="73"/>
        <v>5.2502055810436588</v>
      </c>
      <c r="F4729" s="8" t="str">
        <f>HYPERLINK("https://esbl.nhlbi.nih.gov/Databases/mpkFractions/proteomic_fractions_log_files/Yang_log_img/163644275.jpg","show blot")</f>
        <v>show blot</v>
      </c>
      <c r="H4729" s="8" t="str">
        <f>HYPERLINK("https://esbl.nhlbi.nih.gov/Databases/mpkFractions/proteomic_fractions_linear_files/Yang_linear_img/163644275.jpg","show blot")</f>
        <v>show blot</v>
      </c>
      <c r="J4729" s="5" t="s">
        <v>9254</v>
      </c>
      <c r="L4729" s="11">
        <v>5.2502055810436588</v>
      </c>
      <c r="N4729" s="12"/>
    </row>
    <row r="4730" spans="1:14" s="5" customFormat="1" ht="15" customHeight="1" x14ac:dyDescent="0.25">
      <c r="A4730" s="9" t="s">
        <v>9255</v>
      </c>
      <c r="C4730" s="9" t="str">
        <f>HYPERLINK("http://www.ncbi.nlm.nih.gov/protein/83776559","Mylk3")</f>
        <v>Mylk3</v>
      </c>
      <c r="D4730" s="10">
        <f t="shared" si="73"/>
        <v>5.1352510653419596</v>
      </c>
      <c r="F4730" s="8" t="str">
        <f>HYPERLINK("https://esbl.nhlbi.nih.gov/Databases/mpkFractions/proteomic_fractions_log_files/Yang_log_img/83776559.jpg","show blot")</f>
        <v>show blot</v>
      </c>
      <c r="H4730" s="8" t="str">
        <f>HYPERLINK("https://esbl.nhlbi.nih.gov/Databases/mpkFractions/proteomic_fractions_linear_files/Yang_linear_img/83776559.jpg","show blot")</f>
        <v>show blot</v>
      </c>
      <c r="J4730" s="5" t="s">
        <v>9256</v>
      </c>
      <c r="L4730" s="11">
        <v>5.1352510653419596</v>
      </c>
      <c r="N4730" s="12"/>
    </row>
    <row r="4731" spans="1:14" s="5" customFormat="1" ht="15" customHeight="1" x14ac:dyDescent="0.25">
      <c r="A4731" s="9" t="s">
        <v>9257</v>
      </c>
      <c r="C4731" s="9" t="str">
        <f>HYPERLINK("http://www.ncbi.nlm.nih.gov/protein/260447058","Mylk4")</f>
        <v>Mylk4</v>
      </c>
      <c r="D4731" s="10">
        <f t="shared" si="73"/>
        <v>5.4262968400993401</v>
      </c>
      <c r="F4731" s="8" t="str">
        <f>HYPERLINK("https://esbl.nhlbi.nih.gov/Databases/mpkFractions/proteomic_fractions_log_files/Yang_log_img/260447058.jpg","show blot")</f>
        <v>show blot</v>
      </c>
      <c r="H4731" s="8" t="str">
        <f>HYPERLINK("https://esbl.nhlbi.nih.gov/Databases/mpkFractions/proteomic_fractions_linear_files/Yang_linear_img/260447058.jpg","show blot")</f>
        <v>show blot</v>
      </c>
      <c r="J4731" s="5" t="s">
        <v>9258</v>
      </c>
      <c r="L4731" s="11">
        <v>5.4262968400993401</v>
      </c>
      <c r="N4731" s="12"/>
    </row>
    <row r="4732" spans="1:14" s="5" customFormat="1" ht="15" customHeight="1" x14ac:dyDescent="0.25">
      <c r="A4732" s="9" t="s">
        <v>9259</v>
      </c>
      <c r="C4732" s="9" t="str">
        <f>HYPERLINK("http://www.ncbi.nlm.nih.gov/protein/130507685","Myo10")</f>
        <v>Myo10</v>
      </c>
      <c r="D4732" s="10">
        <f t="shared" si="73"/>
        <v>3.563380272440857</v>
      </c>
      <c r="F4732" s="8" t="str">
        <f>HYPERLINK("https://esbl.nhlbi.nih.gov/Databases/mpkFractions/proteomic_fractions_log_files/Yang_log_img/130507685.jpg","show blot")</f>
        <v>show blot</v>
      </c>
      <c r="H4732" s="8" t="str">
        <f>HYPERLINK("https://esbl.nhlbi.nih.gov/Databases/mpkFractions/proteomic_fractions_linear_files/Yang_linear_img/130507685.jpg","show blot")</f>
        <v>show blot</v>
      </c>
      <c r="J4732" s="5" t="s">
        <v>9260</v>
      </c>
      <c r="L4732" s="11">
        <v>3.563380272440857</v>
      </c>
      <c r="N4732" s="12"/>
    </row>
    <row r="4733" spans="1:14" s="5" customFormat="1" ht="15" customHeight="1" x14ac:dyDescent="0.25">
      <c r="A4733" s="9" t="s">
        <v>9261</v>
      </c>
      <c r="C4733" s="9" t="str">
        <f>HYPERLINK("http://www.ncbi.nlm.nih.gov/protein/157041244","Myo15")</f>
        <v>Myo15</v>
      </c>
      <c r="D4733" s="10">
        <f t="shared" si="73"/>
        <v>5.5491915795730344</v>
      </c>
      <c r="F4733" s="8" t="str">
        <f>HYPERLINK("https://esbl.nhlbi.nih.gov/Databases/mpkFractions/proteomic_fractions_log_files/Yang_log_img/157041244.jpg","show blot")</f>
        <v>show blot</v>
      </c>
      <c r="H4733" s="8" t="str">
        <f>HYPERLINK("https://esbl.nhlbi.nih.gov/Databases/mpkFractions/proteomic_fractions_linear_files/Yang_linear_img/157041244.jpg","show blot")</f>
        <v>show blot</v>
      </c>
      <c r="J4733" s="5" t="s">
        <v>9262</v>
      </c>
      <c r="L4733" s="11">
        <v>5.5491915795730344</v>
      </c>
      <c r="N4733" s="12"/>
    </row>
    <row r="4734" spans="1:14" s="5" customFormat="1" ht="15" customHeight="1" x14ac:dyDescent="0.25">
      <c r="A4734" s="9" t="s">
        <v>9263</v>
      </c>
      <c r="C4734" s="9" t="str">
        <f>HYPERLINK("http://www.ncbi.nlm.nih.gov/protein/157041246","Myo15")</f>
        <v>Myo15</v>
      </c>
      <c r="D4734" s="10">
        <f t="shared" si="73"/>
        <v>5.5491915795730344</v>
      </c>
      <c r="F4734" s="8" t="str">
        <f>HYPERLINK("https://esbl.nhlbi.nih.gov/Databases/mpkFractions/proteomic_fractions_log_files/Yang_log_img/157041246.jpg","show blot")</f>
        <v>show blot</v>
      </c>
      <c r="H4734" s="8" t="str">
        <f>HYPERLINK("https://esbl.nhlbi.nih.gov/Databases/mpkFractions/proteomic_fractions_linear_files/Yang_linear_img/157041246.jpg","show blot")</f>
        <v>show blot</v>
      </c>
      <c r="J4734" s="5" t="s">
        <v>9264</v>
      </c>
      <c r="L4734" s="11">
        <v>5.5491915795730344</v>
      </c>
      <c r="N4734" s="12"/>
    </row>
    <row r="4735" spans="1:14" s="5" customFormat="1" ht="15" customHeight="1" x14ac:dyDescent="0.25">
      <c r="A4735" s="9" t="s">
        <v>9265</v>
      </c>
      <c r="C4735" s="9" t="str">
        <f>HYPERLINK("http://www.ncbi.nlm.nih.gov/protein/157041248","Myo15")</f>
        <v>Myo15</v>
      </c>
      <c r="D4735" s="10">
        <f t="shared" si="73"/>
        <v>5.5491915795730344</v>
      </c>
      <c r="F4735" s="8" t="str">
        <f>HYPERLINK("https://esbl.nhlbi.nih.gov/Databases/mpkFractions/proteomic_fractions_log_files/Yang_log_img/157041248.jpg","show blot")</f>
        <v>show blot</v>
      </c>
      <c r="H4735" s="8" t="str">
        <f>HYPERLINK("https://esbl.nhlbi.nih.gov/Databases/mpkFractions/proteomic_fractions_linear_files/Yang_linear_img/157041248.jpg","show blot")</f>
        <v>show blot</v>
      </c>
      <c r="J4735" s="5" t="s">
        <v>9266</v>
      </c>
      <c r="L4735" s="11">
        <v>5.5491915795730344</v>
      </c>
      <c r="N4735" s="12"/>
    </row>
    <row r="4736" spans="1:14" s="5" customFormat="1" ht="15" customHeight="1" x14ac:dyDescent="0.25">
      <c r="A4736" s="9" t="s">
        <v>9267</v>
      </c>
      <c r="C4736" s="9" t="str">
        <f>HYPERLINK("http://www.ncbi.nlm.nih.gov/protein/22094119","Myo18a")</f>
        <v>Myo18a</v>
      </c>
      <c r="D4736" s="10">
        <f t="shared" si="73"/>
        <v>5.1201845993072954</v>
      </c>
      <c r="F4736" s="8" t="str">
        <f>HYPERLINK("https://esbl.nhlbi.nih.gov/Databases/mpkFractions/proteomic_fractions_log_files/Yang_log_img/22094119.jpg","show blot")</f>
        <v>show blot</v>
      </c>
      <c r="H4736" s="8" t="str">
        <f>HYPERLINK("https://esbl.nhlbi.nih.gov/Databases/mpkFractions/proteomic_fractions_linear_files/Yang_linear_img/22094119.jpg","show blot")</f>
        <v>show blot</v>
      </c>
      <c r="J4736" s="5" t="s">
        <v>9268</v>
      </c>
      <c r="L4736" s="11">
        <v>5.1201845993072954</v>
      </c>
      <c r="N4736" s="12"/>
    </row>
    <row r="4737" spans="1:14" s="5" customFormat="1" ht="15" customHeight="1" x14ac:dyDescent="0.25">
      <c r="A4737" s="9" t="s">
        <v>9269</v>
      </c>
      <c r="C4737" s="9" t="str">
        <f>HYPERLINK("http://www.ncbi.nlm.nih.gov/protein/254939539","Myo19")</f>
        <v>Myo19</v>
      </c>
      <c r="D4737" s="10">
        <f t="shared" si="73"/>
        <v>2.1904974355336062</v>
      </c>
      <c r="F4737" s="8" t="str">
        <f>HYPERLINK("https://esbl.nhlbi.nih.gov/Databases/mpkFractions/proteomic_fractions_log_files/Yang_log_img/254939539.jpg","show blot")</f>
        <v>show blot</v>
      </c>
      <c r="H4737" s="8" t="str">
        <f>HYPERLINK("https://esbl.nhlbi.nih.gov/Databases/mpkFractions/proteomic_fractions_linear_files/Yang_linear_img/254939539.jpg","show blot")</f>
        <v>show blot</v>
      </c>
      <c r="J4737" s="5" t="s">
        <v>9270</v>
      </c>
      <c r="L4737" s="11">
        <v>2.1904974355336062</v>
      </c>
      <c r="N4737" s="12"/>
    </row>
    <row r="4738" spans="1:14" s="5" customFormat="1" ht="15" customHeight="1" x14ac:dyDescent="0.25">
      <c r="A4738" s="9" t="s">
        <v>9271</v>
      </c>
      <c r="C4738" s="9" t="str">
        <f>HYPERLINK("http://www.ncbi.nlm.nih.gov/protein/124487037","Myo1a")</f>
        <v>Myo1a</v>
      </c>
      <c r="D4738" s="10">
        <f t="shared" si="73"/>
        <v>2.1105897102992488</v>
      </c>
      <c r="F4738" s="8" t="str">
        <f>HYPERLINK("https://esbl.nhlbi.nih.gov/Databases/mpkFractions/proteomic_fractions_log_files/Yang_log_img/124487037.jpg","show blot")</f>
        <v>show blot</v>
      </c>
      <c r="H4738" s="8" t="str">
        <f>HYPERLINK("https://esbl.nhlbi.nih.gov/Databases/mpkFractions/proteomic_fractions_linear_files/Yang_linear_img/124487037.jpg","show blot")</f>
        <v>show blot</v>
      </c>
      <c r="J4738" s="5" t="s">
        <v>9272</v>
      </c>
      <c r="L4738" s="11">
        <v>2.1105897102992488</v>
      </c>
      <c r="N4738" s="12"/>
    </row>
    <row r="4739" spans="1:14" s="5" customFormat="1" ht="15" customHeight="1" x14ac:dyDescent="0.25">
      <c r="A4739" s="9" t="s">
        <v>9273</v>
      </c>
      <c r="C4739" s="9" t="str">
        <f>HYPERLINK("http://www.ncbi.nlm.nih.gov/protein/240120042","Myo1b")</f>
        <v>Myo1b</v>
      </c>
      <c r="D4739" s="10">
        <f t="shared" si="73"/>
        <v>3.3222079848345221</v>
      </c>
      <c r="F4739" s="8" t="str">
        <f>HYPERLINK("https://esbl.nhlbi.nih.gov/Databases/mpkFractions/proteomic_fractions_log_files/Yang_log_img/240120042.jpg","show blot")</f>
        <v>show blot</v>
      </c>
      <c r="H4739" s="8" t="str">
        <f>HYPERLINK("https://esbl.nhlbi.nih.gov/Databases/mpkFractions/proteomic_fractions_linear_files/Yang_linear_img/240120042.jpg","show blot")</f>
        <v>show blot</v>
      </c>
      <c r="J4739" s="5" t="s">
        <v>9274</v>
      </c>
      <c r="L4739" s="11">
        <v>3.3222079848345221</v>
      </c>
      <c r="N4739" s="12"/>
    </row>
    <row r="4740" spans="1:14" s="5" customFormat="1" ht="15" customHeight="1" x14ac:dyDescent="0.25">
      <c r="A4740" s="9" t="s">
        <v>9275</v>
      </c>
      <c r="C4740" s="9" t="str">
        <f>HYPERLINK("http://www.ncbi.nlm.nih.gov/protein/86990450","Myo1b")</f>
        <v>Myo1b</v>
      </c>
      <c r="D4740" s="10">
        <f t="shared" si="73"/>
        <v>3.3222079848345221</v>
      </c>
      <c r="F4740" s="8" t="str">
        <f>HYPERLINK("https://esbl.nhlbi.nih.gov/Databases/mpkFractions/proteomic_fractions_log_files/Yang_log_img/86990450.jpg","show blot")</f>
        <v>show blot</v>
      </c>
      <c r="H4740" s="8" t="str">
        <f>HYPERLINK("https://esbl.nhlbi.nih.gov/Databases/mpkFractions/proteomic_fractions_linear_files/Yang_linear_img/86990450.jpg","show blot")</f>
        <v>show blot</v>
      </c>
      <c r="J4740" s="5" t="s">
        <v>9276</v>
      </c>
      <c r="L4740" s="11">
        <v>3.3222079848345221</v>
      </c>
      <c r="N4740" s="12"/>
    </row>
    <row r="4741" spans="1:14" s="5" customFormat="1" ht="15" customHeight="1" x14ac:dyDescent="0.25">
      <c r="A4741" s="9" t="s">
        <v>9277</v>
      </c>
      <c r="C4741" s="9" t="str">
        <f>HYPERLINK("http://www.ncbi.nlm.nih.gov/protein/124494244;6678986","Myo1c")</f>
        <v>Myo1c</v>
      </c>
      <c r="D4741" s="10">
        <f t="shared" ref="D4741:D4804" si="74">L4741</f>
        <v>5.5084542938818286</v>
      </c>
      <c r="F4741" s="8" t="str">
        <f>HYPERLINK("https://esbl.nhlbi.nih.gov/Databases/mpkFractions/proteomic_fractions_log_files/Yang_log_img/124494244;6678986.jpg","show blot")</f>
        <v>show blot</v>
      </c>
      <c r="H4741" s="8" t="str">
        <f>HYPERLINK("https://esbl.nhlbi.nih.gov/Databases/mpkFractions/proteomic_fractions_linear_files/Yang_linear_img/124494244;6678986.jpg","show blot")</f>
        <v>show blot</v>
      </c>
      <c r="J4741" s="5" t="s">
        <v>9278</v>
      </c>
      <c r="L4741" s="11">
        <v>5.5084542938818286</v>
      </c>
      <c r="N4741" s="12"/>
    </row>
    <row r="4742" spans="1:14" s="5" customFormat="1" ht="15" customHeight="1" x14ac:dyDescent="0.25">
      <c r="A4742" s="9" t="s">
        <v>9279</v>
      </c>
      <c r="C4742" s="9" t="str">
        <f>HYPERLINK("http://www.ncbi.nlm.nih.gov/protein/6678986","Myo1c")</f>
        <v>Myo1c</v>
      </c>
      <c r="D4742" s="10">
        <f t="shared" si="74"/>
        <v>5.5084542938818286</v>
      </c>
      <c r="F4742" s="8" t="str">
        <f>HYPERLINK("https://esbl.nhlbi.nih.gov/Databases/mpkFractions/proteomic_fractions_log_files/Yang_log_img/6678986.jpg","show blot")</f>
        <v>show blot</v>
      </c>
      <c r="H4742" s="8" t="str">
        <f>HYPERLINK("https://esbl.nhlbi.nih.gov/Databases/mpkFractions/proteomic_fractions_linear_files/Yang_linear_img/6678986.jpg","show blot")</f>
        <v>show blot</v>
      </c>
      <c r="J4742" s="5" t="s">
        <v>9278</v>
      </c>
      <c r="L4742" s="11">
        <v>5.5084542938818286</v>
      </c>
      <c r="N4742" s="12"/>
    </row>
    <row r="4743" spans="1:14" s="5" customFormat="1" ht="15" customHeight="1" x14ac:dyDescent="0.25">
      <c r="A4743" s="9" t="s">
        <v>9280</v>
      </c>
      <c r="C4743" s="9" t="str">
        <f>HYPERLINK("http://www.ncbi.nlm.nih.gov/protein/124494242","Myo1c")</f>
        <v>Myo1c</v>
      </c>
      <c r="D4743" s="10">
        <f t="shared" si="74"/>
        <v>5.5084542938818286</v>
      </c>
      <c r="F4743" s="8" t="str">
        <f>HYPERLINK("https://esbl.nhlbi.nih.gov/Databases/mpkFractions/proteomic_fractions_log_files/Yang_log_img/124494242.jpg","show blot")</f>
        <v>show blot</v>
      </c>
      <c r="H4743" s="8" t="str">
        <f>HYPERLINK("https://esbl.nhlbi.nih.gov/Databases/mpkFractions/proteomic_fractions_linear_files/Yang_linear_img/124494242.jpg","show blot")</f>
        <v>show blot</v>
      </c>
      <c r="J4743" s="5" t="s">
        <v>9281</v>
      </c>
      <c r="L4743" s="11">
        <v>5.5084542938818286</v>
      </c>
      <c r="N4743" s="12"/>
    </row>
    <row r="4744" spans="1:14" s="5" customFormat="1" ht="15" customHeight="1" x14ac:dyDescent="0.25">
      <c r="A4744" s="9" t="s">
        <v>9282</v>
      </c>
      <c r="C4744" s="9" t="str">
        <f>HYPERLINK("http://www.ncbi.nlm.nih.gov/protein/118026911","Myo1d")</f>
        <v>Myo1d</v>
      </c>
      <c r="D4744" s="10">
        <f t="shared" si="74"/>
        <v>4.5856494338443712</v>
      </c>
      <c r="F4744" s="8" t="str">
        <f>HYPERLINK("https://esbl.nhlbi.nih.gov/Databases/mpkFractions/proteomic_fractions_log_files/Yang_log_img/118026911.jpg","show blot")</f>
        <v>show blot</v>
      </c>
      <c r="H4744" s="8" t="str">
        <f>HYPERLINK("https://esbl.nhlbi.nih.gov/Databases/mpkFractions/proteomic_fractions_linear_files/Yang_linear_img/118026911.jpg","show blot")</f>
        <v>show blot</v>
      </c>
      <c r="J4744" s="5" t="s">
        <v>9283</v>
      </c>
      <c r="L4744" s="11">
        <v>4.5856494338443712</v>
      </c>
      <c r="N4744" s="12"/>
    </row>
    <row r="4745" spans="1:14" s="5" customFormat="1" ht="15" customHeight="1" x14ac:dyDescent="0.25">
      <c r="A4745" s="9" t="s">
        <v>9284</v>
      </c>
      <c r="C4745" s="9" t="str">
        <f>HYPERLINK("http://www.ncbi.nlm.nih.gov/protein/407261730","Myo1e")</f>
        <v>Myo1e</v>
      </c>
      <c r="D4745" s="10">
        <f t="shared" si="74"/>
        <v>5.0290743960385447</v>
      </c>
      <c r="F4745" s="8" t="str">
        <f>HYPERLINK("https://esbl.nhlbi.nih.gov/Databases/mpkFractions/proteomic_fractions_log_files/Yang_log_img/407261730.jpg","show blot")</f>
        <v>show blot</v>
      </c>
      <c r="H4745" s="8" t="str">
        <f>HYPERLINK("https://esbl.nhlbi.nih.gov/Databases/mpkFractions/proteomic_fractions_linear_files/Yang_linear_img/407261730.jpg","show blot")</f>
        <v>show blot</v>
      </c>
      <c r="J4745" s="5" t="s">
        <v>9285</v>
      </c>
      <c r="L4745" s="11">
        <v>5.0290743960385447</v>
      </c>
      <c r="N4745" s="12"/>
    </row>
    <row r="4746" spans="1:14" s="5" customFormat="1" ht="15" customHeight="1" x14ac:dyDescent="0.25">
      <c r="A4746" s="9" t="s">
        <v>9286</v>
      </c>
      <c r="C4746" s="9" t="str">
        <f>HYPERLINK("http://www.ncbi.nlm.nih.gov/protein/68299824","Myo1e")</f>
        <v>Myo1e</v>
      </c>
      <c r="D4746" s="10">
        <f t="shared" si="74"/>
        <v>5.0290743960385447</v>
      </c>
      <c r="F4746" s="8" t="str">
        <f>HYPERLINK("https://esbl.nhlbi.nih.gov/Databases/mpkFractions/proteomic_fractions_log_files/Yang_log_img/68299824.jpg","show blot")</f>
        <v>show blot</v>
      </c>
      <c r="H4746" s="8" t="str">
        <f>HYPERLINK("https://esbl.nhlbi.nih.gov/Databases/mpkFractions/proteomic_fractions_linear_files/Yang_linear_img/68299824.jpg","show blot")</f>
        <v>show blot</v>
      </c>
      <c r="J4746" s="5" t="s">
        <v>9287</v>
      </c>
      <c r="L4746" s="11">
        <v>5.0290743960385447</v>
      </c>
      <c r="N4746" s="12"/>
    </row>
    <row r="4747" spans="1:14" s="5" customFormat="1" ht="15" customHeight="1" x14ac:dyDescent="0.25">
      <c r="A4747" s="9" t="s">
        <v>9288</v>
      </c>
      <c r="C4747" s="9" t="str">
        <f>HYPERLINK("http://www.ncbi.nlm.nih.gov/protein/255069756","Myo1f")</f>
        <v>Myo1f</v>
      </c>
      <c r="D4747" s="10">
        <f t="shared" si="74"/>
        <v>4.5141849174018516</v>
      </c>
      <c r="F4747" s="8" t="str">
        <f>HYPERLINK("https://esbl.nhlbi.nih.gov/Databases/mpkFractions/proteomic_fractions_log_files/Yang_log_img/255069756.jpg","show blot")</f>
        <v>show blot</v>
      </c>
      <c r="H4747" s="8" t="str">
        <f>HYPERLINK("https://esbl.nhlbi.nih.gov/Databases/mpkFractions/proteomic_fractions_linear_files/Yang_linear_img/255069756.jpg","show blot")</f>
        <v>show blot</v>
      </c>
      <c r="J4747" s="5" t="s">
        <v>9289</v>
      </c>
      <c r="L4747" s="11">
        <v>4.5141849174018516</v>
      </c>
      <c r="N4747" s="12"/>
    </row>
    <row r="4748" spans="1:14" s="5" customFormat="1" ht="15" customHeight="1" x14ac:dyDescent="0.25">
      <c r="A4748" s="9" t="s">
        <v>9290</v>
      </c>
      <c r="C4748" s="9" t="str">
        <f>HYPERLINK("http://www.ncbi.nlm.nih.gov/protein/266458101","Myo1g")</f>
        <v>Myo1g</v>
      </c>
      <c r="D4748" s="10">
        <f t="shared" si="74"/>
        <v>3.185626893587918</v>
      </c>
      <c r="F4748" s="8" t="str">
        <f>HYPERLINK("https://esbl.nhlbi.nih.gov/Databases/mpkFractions/proteomic_fractions_log_files/Yang_log_img/266458101.jpg","show blot")</f>
        <v>show blot</v>
      </c>
      <c r="H4748" s="8" t="str">
        <f>HYPERLINK("https://esbl.nhlbi.nih.gov/Databases/mpkFractions/proteomic_fractions_linear_files/Yang_linear_img/266458101.jpg","show blot")</f>
        <v>show blot</v>
      </c>
      <c r="J4748" s="5" t="s">
        <v>9291</v>
      </c>
      <c r="L4748" s="11">
        <v>3.185626893587918</v>
      </c>
      <c r="N4748" s="12"/>
    </row>
    <row r="4749" spans="1:14" s="5" customFormat="1" ht="15" customHeight="1" x14ac:dyDescent="0.25">
      <c r="A4749" s="9" t="s">
        <v>9292</v>
      </c>
      <c r="C4749" s="9" t="str">
        <f>HYPERLINK("http://www.ncbi.nlm.nih.gov/protein/111120334","Myo3b")</f>
        <v>Myo3b</v>
      </c>
      <c r="D4749" s="10">
        <f t="shared" si="74"/>
        <v>2.1804031405814648</v>
      </c>
      <c r="F4749" s="8" t="str">
        <f>HYPERLINK("https://esbl.nhlbi.nih.gov/Databases/mpkFractions/proteomic_fractions_log_files/Yang_log_img/111120334.jpg","show blot")</f>
        <v>show blot</v>
      </c>
      <c r="H4749" s="8" t="str">
        <f>HYPERLINK("https://esbl.nhlbi.nih.gov/Databases/mpkFractions/proteomic_fractions_linear_files/Yang_linear_img/111120334.jpg","show blot")</f>
        <v>show blot</v>
      </c>
      <c r="J4749" s="5" t="s">
        <v>9293</v>
      </c>
      <c r="L4749" s="11">
        <v>2.1804031405814648</v>
      </c>
      <c r="N4749" s="12"/>
    </row>
    <row r="4750" spans="1:14" s="5" customFormat="1" ht="15" customHeight="1" x14ac:dyDescent="0.25">
      <c r="A4750" s="9" t="s">
        <v>9294</v>
      </c>
      <c r="C4750" s="9" t="str">
        <f>HYPERLINK("http://www.ncbi.nlm.nih.gov/protein/115511052","Myo5a")</f>
        <v>Myo5a</v>
      </c>
      <c r="D4750" s="10">
        <f t="shared" si="74"/>
        <v>3.153354589834453</v>
      </c>
      <c r="F4750" s="8" t="str">
        <f>HYPERLINK("https://esbl.nhlbi.nih.gov/Databases/mpkFractions/proteomic_fractions_log_files/Yang_log_img/115511052.jpg","show blot")</f>
        <v>show blot</v>
      </c>
      <c r="H4750" s="8" t="str">
        <f>HYPERLINK("https://esbl.nhlbi.nih.gov/Databases/mpkFractions/proteomic_fractions_linear_files/Yang_linear_img/115511052.jpg","show blot")</f>
        <v>show blot</v>
      </c>
      <c r="J4750" s="5" t="s">
        <v>9295</v>
      </c>
      <c r="L4750" s="11">
        <v>3.153354589834453</v>
      </c>
      <c r="N4750" s="12"/>
    </row>
    <row r="4751" spans="1:14" s="5" customFormat="1" ht="15" customHeight="1" x14ac:dyDescent="0.25">
      <c r="A4751" s="9" t="s">
        <v>9296</v>
      </c>
      <c r="C4751" s="9" t="str">
        <f>HYPERLINK("http://www.ncbi.nlm.nih.gov/protein/46399202","Myo5b")</f>
        <v>Myo5b</v>
      </c>
      <c r="D4751" s="10">
        <f t="shared" si="74"/>
        <v>3.1335122496483918</v>
      </c>
      <c r="F4751" s="8" t="str">
        <f>HYPERLINK("https://esbl.nhlbi.nih.gov/Databases/mpkFractions/proteomic_fractions_log_files/Yang_log_img/46399202.jpg","show blot")</f>
        <v>show blot</v>
      </c>
      <c r="H4751" s="8" t="str">
        <f>HYPERLINK("https://esbl.nhlbi.nih.gov/Databases/mpkFractions/proteomic_fractions_linear_files/Yang_linear_img/46399202.jpg","show blot")</f>
        <v>show blot</v>
      </c>
      <c r="J4751" s="5" t="s">
        <v>9297</v>
      </c>
      <c r="L4751" s="11">
        <v>3.1335122496483918</v>
      </c>
      <c r="N4751" s="12"/>
    </row>
    <row r="4752" spans="1:14" s="5" customFormat="1" ht="15" customHeight="1" x14ac:dyDescent="0.25">
      <c r="A4752" s="9" t="s">
        <v>9298</v>
      </c>
      <c r="C4752" s="9" t="str">
        <f>HYPERLINK("http://www.ncbi.nlm.nih.gov/protein/124486759","Myo5c")</f>
        <v>Myo5c</v>
      </c>
      <c r="D4752" s="10">
        <f t="shared" si="74"/>
        <v>3.8966856406090402</v>
      </c>
      <c r="F4752" s="8" t="str">
        <f>HYPERLINK("https://esbl.nhlbi.nih.gov/Databases/mpkFractions/proteomic_fractions_log_files/Yang_log_img/124486759.jpg","show blot")</f>
        <v>show blot</v>
      </c>
      <c r="H4752" s="8" t="str">
        <f>HYPERLINK("https://esbl.nhlbi.nih.gov/Databases/mpkFractions/proteomic_fractions_linear_files/Yang_linear_img/124486759.jpg","show blot")</f>
        <v>show blot</v>
      </c>
      <c r="J4752" s="5" t="s">
        <v>9299</v>
      </c>
      <c r="L4752" s="11">
        <v>3.8966856406090402</v>
      </c>
      <c r="N4752" s="12"/>
    </row>
    <row r="4753" spans="1:14" s="5" customFormat="1" ht="15" customHeight="1" x14ac:dyDescent="0.25">
      <c r="A4753" s="9" t="s">
        <v>9300</v>
      </c>
      <c r="C4753" s="9" t="str">
        <f>HYPERLINK("http://www.ncbi.nlm.nih.gov/protein/261823961","Myo6")</f>
        <v>Myo6</v>
      </c>
      <c r="D4753" s="10">
        <f t="shared" si="74"/>
        <v>6.0897761408833269</v>
      </c>
      <c r="F4753" s="8" t="str">
        <f>HYPERLINK("https://esbl.nhlbi.nih.gov/Databases/mpkFractions/proteomic_fractions_log_files/Yang_log_img/261823961.jpg","show blot")</f>
        <v>show blot</v>
      </c>
      <c r="H4753" s="8" t="str">
        <f>HYPERLINK("https://esbl.nhlbi.nih.gov/Databases/mpkFractions/proteomic_fractions_linear_files/Yang_linear_img/261823961.jpg","show blot")</f>
        <v>show blot</v>
      </c>
      <c r="J4753" s="5" t="s">
        <v>9301</v>
      </c>
      <c r="L4753" s="11">
        <v>6.0897761408833269</v>
      </c>
      <c r="N4753" s="12"/>
    </row>
    <row r="4754" spans="1:14" s="5" customFormat="1" ht="15" customHeight="1" x14ac:dyDescent="0.25">
      <c r="A4754" s="9" t="s">
        <v>9302</v>
      </c>
      <c r="C4754" s="9" t="str">
        <f>HYPERLINK("http://www.ncbi.nlm.nih.gov/protein/115511010","Myo7a")</f>
        <v>Myo7a</v>
      </c>
      <c r="D4754" s="10">
        <f t="shared" si="74"/>
        <v>1.73383900069715</v>
      </c>
      <c r="F4754" s="8" t="str">
        <f>HYPERLINK("https://esbl.nhlbi.nih.gov/Databases/mpkFractions/proteomic_fractions_log_files/Yang_log_img/115511010.jpg","show blot")</f>
        <v>show blot</v>
      </c>
      <c r="H4754" s="8" t="str">
        <f>HYPERLINK("https://esbl.nhlbi.nih.gov/Databases/mpkFractions/proteomic_fractions_linear_files/Yang_linear_img/115511010.jpg","show blot")</f>
        <v>show blot</v>
      </c>
      <c r="J4754" s="5" t="s">
        <v>9303</v>
      </c>
      <c r="L4754" s="11">
        <v>1.73383900069715</v>
      </c>
      <c r="N4754" s="12"/>
    </row>
    <row r="4755" spans="1:14" s="5" customFormat="1" ht="15" customHeight="1" x14ac:dyDescent="0.25">
      <c r="A4755" s="9" t="s">
        <v>9304</v>
      </c>
      <c r="C4755" s="9" t="str">
        <f>HYPERLINK("http://www.ncbi.nlm.nih.gov/protein/367460064","Myo7a")</f>
        <v>Myo7a</v>
      </c>
      <c r="D4755" s="10">
        <f t="shared" si="74"/>
        <v>1.73383900069715</v>
      </c>
      <c r="F4755" s="8" t="str">
        <f>HYPERLINK("https://esbl.nhlbi.nih.gov/Databases/mpkFractions/proteomic_fractions_log_files/Yang_log_img/367460064.jpg","show blot")</f>
        <v>show blot</v>
      </c>
      <c r="H4755" s="8" t="str">
        <f>HYPERLINK("https://esbl.nhlbi.nih.gov/Databases/mpkFractions/proteomic_fractions_linear_files/Yang_linear_img/367460064.jpg","show blot")</f>
        <v>show blot</v>
      </c>
      <c r="J4755" s="5" t="s">
        <v>9305</v>
      </c>
      <c r="L4755" s="11">
        <v>1.73383900069715</v>
      </c>
      <c r="N4755" s="12"/>
    </row>
    <row r="4756" spans="1:14" s="5" customFormat="1" ht="15" customHeight="1" x14ac:dyDescent="0.25">
      <c r="A4756" s="9" t="s">
        <v>9306</v>
      </c>
      <c r="C4756" s="9" t="str">
        <f>HYPERLINK("http://www.ncbi.nlm.nih.gov/protein/367460066","Myo7a")</f>
        <v>Myo7a</v>
      </c>
      <c r="D4756" s="10">
        <f t="shared" si="74"/>
        <v>1.73383900069715</v>
      </c>
      <c r="F4756" s="8" t="str">
        <f>HYPERLINK("https://esbl.nhlbi.nih.gov/Databases/mpkFractions/proteomic_fractions_log_files/Yang_log_img/367460066.jpg","show blot")</f>
        <v>show blot</v>
      </c>
      <c r="H4756" s="8" t="str">
        <f>HYPERLINK("https://esbl.nhlbi.nih.gov/Databases/mpkFractions/proteomic_fractions_linear_files/Yang_linear_img/367460066.jpg","show blot")</f>
        <v>show blot</v>
      </c>
      <c r="J4756" s="5" t="s">
        <v>9307</v>
      </c>
      <c r="L4756" s="11">
        <v>1.73383900069715</v>
      </c>
      <c r="N4756" s="12"/>
    </row>
    <row r="4757" spans="1:14" s="5" customFormat="1" ht="15" customHeight="1" x14ac:dyDescent="0.25">
      <c r="A4757" s="9" t="s">
        <v>9308</v>
      </c>
      <c r="C4757" s="9" t="str">
        <f>HYPERLINK("http://www.ncbi.nlm.nih.gov/protein/367460068","Myo7a")</f>
        <v>Myo7a</v>
      </c>
      <c r="D4757" s="10">
        <f t="shared" si="74"/>
        <v>1.73383900069715</v>
      </c>
      <c r="F4757" s="8" t="str">
        <f>HYPERLINK("https://esbl.nhlbi.nih.gov/Databases/mpkFractions/proteomic_fractions_log_files/Yang_log_img/367460068.jpg","show blot")</f>
        <v>show blot</v>
      </c>
      <c r="H4757" s="8" t="str">
        <f>HYPERLINK("https://esbl.nhlbi.nih.gov/Databases/mpkFractions/proteomic_fractions_linear_files/Yang_linear_img/367460068.jpg","show blot")</f>
        <v>show blot</v>
      </c>
      <c r="J4757" s="5" t="s">
        <v>9309</v>
      </c>
      <c r="L4757" s="11">
        <v>1.73383900069715</v>
      </c>
      <c r="N4757" s="12"/>
    </row>
    <row r="4758" spans="1:14" s="5" customFormat="1" ht="15" customHeight="1" x14ac:dyDescent="0.25">
      <c r="A4758" s="9" t="s">
        <v>9310</v>
      </c>
      <c r="C4758" s="9" t="str">
        <f>HYPERLINK("http://www.ncbi.nlm.nih.gov/protein/124053459","Myo9b")</f>
        <v>Myo9b</v>
      </c>
      <c r="D4758" s="10">
        <f t="shared" si="74"/>
        <v>1.5569944058396119</v>
      </c>
      <c r="F4758" s="8" t="str">
        <f>HYPERLINK("https://esbl.nhlbi.nih.gov/Databases/mpkFractions/proteomic_fractions_log_files/Yang_log_img/124053459.jpg","show blot")</f>
        <v>show blot</v>
      </c>
      <c r="H4758" s="8" t="str">
        <f>HYPERLINK("https://esbl.nhlbi.nih.gov/Databases/mpkFractions/proteomic_fractions_linear_files/Yang_linear_img/124053459.jpg","show blot")</f>
        <v>show blot</v>
      </c>
      <c r="J4758" s="5" t="s">
        <v>9311</v>
      </c>
      <c r="L4758" s="11">
        <v>1.5569944058396119</v>
      </c>
      <c r="N4758" s="12"/>
    </row>
    <row r="4759" spans="1:14" s="5" customFormat="1" ht="15" customHeight="1" x14ac:dyDescent="0.25">
      <c r="A4759" s="9" t="s">
        <v>9312</v>
      </c>
      <c r="C4759" s="9" t="str">
        <f>HYPERLINK("http://www.ncbi.nlm.nih.gov/protein/215272382","Myo9b")</f>
        <v>Myo9b</v>
      </c>
      <c r="D4759" s="10">
        <f t="shared" si="74"/>
        <v>1.5569944058396119</v>
      </c>
      <c r="F4759" s="8" t="str">
        <f>HYPERLINK("https://esbl.nhlbi.nih.gov/Databases/mpkFractions/proteomic_fractions_log_files/Yang_log_img/215272382.jpg","show blot")</f>
        <v>show blot</v>
      </c>
      <c r="H4759" s="8" t="str">
        <f>HYPERLINK("https://esbl.nhlbi.nih.gov/Databases/mpkFractions/proteomic_fractions_linear_files/Yang_linear_img/215272382.jpg","show blot")</f>
        <v>show blot</v>
      </c>
      <c r="J4759" s="5" t="s">
        <v>9313</v>
      </c>
      <c r="L4759" s="11">
        <v>1.5569944058396119</v>
      </c>
      <c r="N4759" s="12"/>
    </row>
    <row r="4760" spans="1:14" s="5" customFormat="1" ht="15" customHeight="1" x14ac:dyDescent="0.25">
      <c r="A4760" s="9" t="s">
        <v>9314</v>
      </c>
      <c r="C4760" s="9" t="str">
        <f>HYPERLINK("http://www.ncbi.nlm.nih.gov/protein/215272384","Myo9b")</f>
        <v>Myo9b</v>
      </c>
      <c r="D4760" s="10">
        <f t="shared" si="74"/>
        <v>1.5569944058396119</v>
      </c>
      <c r="F4760" s="8" t="str">
        <f>HYPERLINK("https://esbl.nhlbi.nih.gov/Databases/mpkFractions/proteomic_fractions_log_files/Yang_log_img/215272384.jpg","show blot")</f>
        <v>show blot</v>
      </c>
      <c r="H4760" s="8" t="str">
        <f>HYPERLINK("https://esbl.nhlbi.nih.gov/Databases/mpkFractions/proteomic_fractions_linear_files/Yang_linear_img/215272384.jpg","show blot")</f>
        <v>show blot</v>
      </c>
      <c r="J4760" s="5" t="s">
        <v>9315</v>
      </c>
      <c r="L4760" s="11">
        <v>1.5569944058396119</v>
      </c>
      <c r="N4760" s="12"/>
    </row>
    <row r="4761" spans="1:14" s="5" customFormat="1" ht="15" customHeight="1" x14ac:dyDescent="0.25">
      <c r="A4761" s="9" t="s">
        <v>9316</v>
      </c>
      <c r="C4761" s="9" t="str">
        <f>HYPERLINK("http://www.ncbi.nlm.nih.gov/protein/153791796","Myof")</f>
        <v>Myof</v>
      </c>
      <c r="D4761" s="10">
        <f t="shared" si="74"/>
        <v>5.4785844255213929</v>
      </c>
      <c r="F4761" s="8" t="str">
        <f>HYPERLINK("https://esbl.nhlbi.nih.gov/Databases/mpkFractions/proteomic_fractions_log_files/Yang_log_img/153791796.jpg","show blot")</f>
        <v>show blot</v>
      </c>
      <c r="H4761" s="8" t="str">
        <f>HYPERLINK("https://esbl.nhlbi.nih.gov/Databases/mpkFractions/proteomic_fractions_linear_files/Yang_linear_img/153791796.jpg","show blot")</f>
        <v>show blot</v>
      </c>
      <c r="J4761" s="5" t="s">
        <v>9317</v>
      </c>
      <c r="L4761" s="11">
        <v>5.4785844255213929</v>
      </c>
      <c r="N4761" s="12"/>
    </row>
    <row r="4762" spans="1:14" s="5" customFormat="1" ht="15" customHeight="1" x14ac:dyDescent="0.25">
      <c r="A4762" s="9" t="s">
        <v>9318</v>
      </c>
      <c r="C4762" s="9" t="str">
        <f>HYPERLINK("http://www.ncbi.nlm.nih.gov/protein/85701616","Myzap")</f>
        <v>Myzap</v>
      </c>
      <c r="D4762" s="10">
        <f t="shared" si="74"/>
        <v>1.5189132316872189</v>
      </c>
      <c r="F4762" s="8" t="str">
        <f>HYPERLINK("https://esbl.nhlbi.nih.gov/Databases/mpkFractions/proteomic_fractions_log_files/Yang_log_img/85701616.jpg","show blot")</f>
        <v>show blot</v>
      </c>
      <c r="H4762" s="8" t="str">
        <f>HYPERLINK("https://esbl.nhlbi.nih.gov/Databases/mpkFractions/proteomic_fractions_linear_files/Yang_linear_img/85701616.jpg","show blot")</f>
        <v>show blot</v>
      </c>
      <c r="J4762" s="5" t="s">
        <v>9319</v>
      </c>
      <c r="L4762" s="11">
        <v>1.5189132316872189</v>
      </c>
      <c r="N4762" s="12"/>
    </row>
    <row r="4763" spans="1:14" s="5" customFormat="1" ht="15" customHeight="1" x14ac:dyDescent="0.25">
      <c r="A4763" s="9" t="s">
        <v>9320</v>
      </c>
      <c r="C4763" s="9" t="str">
        <f>HYPERLINK("http://www.ncbi.nlm.nih.gov/protein/30424884","Mzt1")</f>
        <v>Mzt1</v>
      </c>
      <c r="D4763" s="10">
        <f t="shared" si="74"/>
        <v>3.850810715935463</v>
      </c>
      <c r="F4763" s="8" t="str">
        <f>HYPERLINK("https://esbl.nhlbi.nih.gov/Databases/mpkFractions/proteomic_fractions_log_files/Yang_log_img/30424884.jpg","show blot")</f>
        <v>show blot</v>
      </c>
      <c r="H4763" s="8" t="str">
        <f>HYPERLINK("https://esbl.nhlbi.nih.gov/Databases/mpkFractions/proteomic_fractions_linear_files/Yang_linear_img/30424884.jpg","show blot")</f>
        <v>show blot</v>
      </c>
      <c r="J4763" s="5" t="s">
        <v>9321</v>
      </c>
      <c r="L4763" s="11">
        <v>3.850810715935463</v>
      </c>
      <c r="N4763" s="12"/>
    </row>
    <row r="4764" spans="1:14" s="5" customFormat="1" ht="15" customHeight="1" x14ac:dyDescent="0.25">
      <c r="A4764" s="9" t="s">
        <v>9322</v>
      </c>
      <c r="C4764" s="9" t="str">
        <f>HYPERLINK("http://www.ncbi.nlm.nih.gov/protein/21312988","Mzt2")</f>
        <v>Mzt2</v>
      </c>
      <c r="D4764" s="10">
        <f t="shared" si="74"/>
        <v>4.1652427090498048</v>
      </c>
      <c r="F4764" s="8" t="str">
        <f>HYPERLINK("https://esbl.nhlbi.nih.gov/Databases/mpkFractions/proteomic_fractions_log_files/Yang_log_img/21312988.jpg","show blot")</f>
        <v>show blot</v>
      </c>
      <c r="H4764" s="8" t="str">
        <f>HYPERLINK("https://esbl.nhlbi.nih.gov/Databases/mpkFractions/proteomic_fractions_linear_files/Yang_linear_img/21312988.jpg","show blot")</f>
        <v>show blot</v>
      </c>
      <c r="J4764" s="5" t="s">
        <v>9323</v>
      </c>
      <c r="L4764" s="11">
        <v>4.1652427090498048</v>
      </c>
      <c r="N4764" s="12"/>
    </row>
    <row r="4765" spans="1:14" s="5" customFormat="1" ht="15" customHeight="1" x14ac:dyDescent="0.25">
      <c r="A4765" s="9" t="s">
        <v>9324</v>
      </c>
      <c r="C4765" s="9" t="str">
        <f>HYPERLINK("http://www.ncbi.nlm.nih.gov/protein/67906816","N4bp2")</f>
        <v>N4bp2</v>
      </c>
      <c r="D4765" s="10">
        <f t="shared" si="74"/>
        <v>2.0708000948596812</v>
      </c>
      <c r="F4765" s="8" t="str">
        <f>HYPERLINK("https://esbl.nhlbi.nih.gov/Databases/mpkFractions/proteomic_fractions_log_files/Yang_log_img/67906816.jpg","show blot")</f>
        <v>show blot</v>
      </c>
      <c r="H4765" s="8" t="str">
        <f>HYPERLINK("https://esbl.nhlbi.nih.gov/Databases/mpkFractions/proteomic_fractions_linear_files/Yang_linear_img/67906816.jpg","show blot")</f>
        <v>show blot</v>
      </c>
      <c r="J4765" s="5" t="s">
        <v>9325</v>
      </c>
      <c r="L4765" s="11">
        <v>2.0708000948596812</v>
      </c>
      <c r="N4765" s="12"/>
    </row>
    <row r="4766" spans="1:14" s="5" customFormat="1" ht="15" customHeight="1" x14ac:dyDescent="0.25">
      <c r="A4766" s="9" t="s">
        <v>9326</v>
      </c>
      <c r="C4766" s="9" t="str">
        <f>HYPERLINK("http://www.ncbi.nlm.nih.gov/protein/158186629","N4bp2l2")</f>
        <v>N4bp2l2</v>
      </c>
      <c r="D4766" s="10">
        <f t="shared" si="74"/>
        <v>4.2507344470324178</v>
      </c>
      <c r="F4766" s="8" t="str">
        <f>HYPERLINK("https://esbl.nhlbi.nih.gov/Databases/mpkFractions/proteomic_fractions_log_files/Yang_log_img/158186629.jpg","show blot")</f>
        <v>show blot</v>
      </c>
      <c r="H4766" s="8" t="str">
        <f>HYPERLINK("https://esbl.nhlbi.nih.gov/Databases/mpkFractions/proteomic_fractions_linear_files/Yang_linear_img/158186629.jpg","show blot")</f>
        <v>show blot</v>
      </c>
      <c r="J4766" s="5" t="s">
        <v>9327</v>
      </c>
      <c r="L4766" s="11">
        <v>4.2507344470324178</v>
      </c>
      <c r="N4766" s="12"/>
    </row>
    <row r="4767" spans="1:14" s="5" customFormat="1" ht="15" customHeight="1" x14ac:dyDescent="0.25">
      <c r="A4767" s="9" t="s">
        <v>9328</v>
      </c>
      <c r="C4767" s="9" t="str">
        <f>HYPERLINK("http://www.ncbi.nlm.nih.gov/protein/39540506","N6amt1")</f>
        <v>N6amt1</v>
      </c>
      <c r="D4767" s="10">
        <f t="shared" si="74"/>
        <v>4.7787832400254286</v>
      </c>
      <c r="F4767" s="8" t="str">
        <f>HYPERLINK("https://esbl.nhlbi.nih.gov/Databases/mpkFractions/proteomic_fractions_log_files/Yang_log_img/39540506.jpg","show blot")</f>
        <v>show blot</v>
      </c>
      <c r="H4767" s="8" t="str">
        <f>HYPERLINK("https://esbl.nhlbi.nih.gov/Databases/mpkFractions/proteomic_fractions_linear_files/Yang_linear_img/39540506.jpg","show blot")</f>
        <v>show blot</v>
      </c>
      <c r="J4767" s="5" t="s">
        <v>9329</v>
      </c>
      <c r="L4767" s="11">
        <v>4.7787832400254286</v>
      </c>
      <c r="N4767" s="12"/>
    </row>
    <row r="4768" spans="1:14" s="5" customFormat="1" ht="15" customHeight="1" x14ac:dyDescent="0.25">
      <c r="A4768" s="9" t="s">
        <v>9330</v>
      </c>
      <c r="C4768" s="9" t="str">
        <f>HYPERLINK("http://www.ncbi.nlm.nih.gov/protein/13386022","N6amt2")</f>
        <v>N6amt2</v>
      </c>
      <c r="D4768" s="10">
        <f t="shared" si="74"/>
        <v>3.7342031706092991</v>
      </c>
      <c r="F4768" s="8" t="str">
        <f>HYPERLINK("https://esbl.nhlbi.nih.gov/Databases/mpkFractions/proteomic_fractions_log_files/Yang_log_img/13386022.jpg","show blot")</f>
        <v>show blot</v>
      </c>
      <c r="H4768" s="8" t="str">
        <f>HYPERLINK("https://esbl.nhlbi.nih.gov/Databases/mpkFractions/proteomic_fractions_linear_files/Yang_linear_img/13386022.jpg","show blot")</f>
        <v>show blot</v>
      </c>
      <c r="J4768" s="5" t="s">
        <v>9331</v>
      </c>
      <c r="L4768" s="11">
        <v>3.7342031706092991</v>
      </c>
      <c r="N4768" s="12"/>
    </row>
    <row r="4769" spans="1:14" s="5" customFormat="1" ht="15" customHeight="1" x14ac:dyDescent="0.25">
      <c r="A4769" s="9" t="s">
        <v>9332</v>
      </c>
      <c r="C4769" s="9" t="str">
        <f>HYPERLINK("http://www.ncbi.nlm.nih.gov/protein/9845236","Naa10")</f>
        <v>Naa10</v>
      </c>
      <c r="D4769" s="10">
        <f t="shared" si="74"/>
        <v>5.3645356788244971</v>
      </c>
      <c r="F4769" s="8" t="str">
        <f>HYPERLINK("https://esbl.nhlbi.nih.gov/Databases/mpkFractions/proteomic_fractions_log_files/Yang_log_img/9845236.jpg","show blot")</f>
        <v>show blot</v>
      </c>
      <c r="H4769" s="8" t="str">
        <f>HYPERLINK("https://esbl.nhlbi.nih.gov/Databases/mpkFractions/proteomic_fractions_linear_files/Yang_linear_img/9845236.jpg","show blot")</f>
        <v>show blot</v>
      </c>
      <c r="J4769" s="5" t="s">
        <v>9333</v>
      </c>
      <c r="L4769" s="11">
        <v>5.3645356788244971</v>
      </c>
      <c r="N4769" s="12"/>
    </row>
    <row r="4770" spans="1:14" s="5" customFormat="1" ht="15" customHeight="1" x14ac:dyDescent="0.25">
      <c r="A4770" s="9" t="s">
        <v>9334</v>
      </c>
      <c r="C4770" s="9" t="str">
        <f>HYPERLINK("http://www.ncbi.nlm.nih.gov/protein/295789090","Naa10")</f>
        <v>Naa10</v>
      </c>
      <c r="D4770" s="10">
        <f t="shared" si="74"/>
        <v>5.3645356788244971</v>
      </c>
      <c r="F4770" s="8" t="str">
        <f>HYPERLINK("https://esbl.nhlbi.nih.gov/Databases/mpkFractions/proteomic_fractions_log_files/Yang_log_img/295789090.jpg","show blot")</f>
        <v>show blot</v>
      </c>
      <c r="H4770" s="8" t="str">
        <f>HYPERLINK("https://esbl.nhlbi.nih.gov/Databases/mpkFractions/proteomic_fractions_linear_files/Yang_linear_img/295789090.jpg","show blot")</f>
        <v>show blot</v>
      </c>
      <c r="J4770" s="5" t="s">
        <v>9335</v>
      </c>
      <c r="L4770" s="11">
        <v>5.3645356788244971</v>
      </c>
      <c r="N4770" s="12"/>
    </row>
    <row r="4771" spans="1:14" s="5" customFormat="1" ht="15" customHeight="1" x14ac:dyDescent="0.25">
      <c r="A4771" s="9" t="s">
        <v>9336</v>
      </c>
      <c r="C4771" s="9" t="str">
        <f>HYPERLINK("http://www.ncbi.nlm.nih.gov/protein/85701706","Naa11")</f>
        <v>Naa11</v>
      </c>
      <c r="D4771" s="10">
        <f t="shared" si="74"/>
        <v>4.8887546058352944</v>
      </c>
      <c r="F4771" s="8" t="str">
        <f>HYPERLINK("https://esbl.nhlbi.nih.gov/Databases/mpkFractions/proteomic_fractions_log_files/Yang_log_img/85701706.jpg","show blot")</f>
        <v>show blot</v>
      </c>
      <c r="H4771" s="8" t="str">
        <f>HYPERLINK("https://esbl.nhlbi.nih.gov/Databases/mpkFractions/proteomic_fractions_linear_files/Yang_linear_img/85701706.jpg","show blot")</f>
        <v>show blot</v>
      </c>
      <c r="J4771" s="5" t="s">
        <v>9337</v>
      </c>
      <c r="L4771" s="11">
        <v>4.8887546058352944</v>
      </c>
      <c r="N4771" s="12"/>
    </row>
    <row r="4772" spans="1:14" s="5" customFormat="1" ht="15" customHeight="1" x14ac:dyDescent="0.25">
      <c r="A4772" s="9" t="s">
        <v>9338</v>
      </c>
      <c r="C4772" s="9" t="str">
        <f>HYPERLINK("http://www.ncbi.nlm.nih.gov/protein/225543482","Naa15")</f>
        <v>Naa15</v>
      </c>
      <c r="D4772" s="10">
        <f t="shared" si="74"/>
        <v>5.4458877073225764</v>
      </c>
      <c r="F4772" s="8" t="str">
        <f>HYPERLINK("https://esbl.nhlbi.nih.gov/Databases/mpkFractions/proteomic_fractions_log_files/Yang_log_img/225543482.jpg","show blot")</f>
        <v>show blot</v>
      </c>
      <c r="H4772" s="8" t="str">
        <f>HYPERLINK("https://esbl.nhlbi.nih.gov/Databases/mpkFractions/proteomic_fractions_linear_files/Yang_linear_img/225543482.jpg","show blot")</f>
        <v>show blot</v>
      </c>
      <c r="J4772" s="5" t="s">
        <v>9339</v>
      </c>
      <c r="L4772" s="11">
        <v>5.4458877073225764</v>
      </c>
      <c r="N4772" s="12"/>
    </row>
    <row r="4773" spans="1:14" s="5" customFormat="1" ht="15" customHeight="1" x14ac:dyDescent="0.25">
      <c r="A4773" s="9" t="s">
        <v>9340</v>
      </c>
      <c r="C4773" s="9" t="str">
        <f>HYPERLINK("http://www.ncbi.nlm.nih.gov/protein/21313242","Naa16")</f>
        <v>Naa16</v>
      </c>
      <c r="D4773" s="10">
        <f t="shared" si="74"/>
        <v>4.8141144326665364</v>
      </c>
      <c r="F4773" s="8" t="str">
        <f>HYPERLINK("https://esbl.nhlbi.nih.gov/Databases/mpkFractions/proteomic_fractions_log_files/Yang_log_img/21313242.jpg","show blot")</f>
        <v>show blot</v>
      </c>
      <c r="H4773" s="8" t="str">
        <f>HYPERLINK("https://esbl.nhlbi.nih.gov/Databases/mpkFractions/proteomic_fractions_linear_files/Yang_linear_img/21313242.jpg","show blot")</f>
        <v>show blot</v>
      </c>
      <c r="J4773" s="5" t="s">
        <v>9341</v>
      </c>
      <c r="L4773" s="11">
        <v>4.8141144326665364</v>
      </c>
      <c r="N4773" s="12"/>
    </row>
    <row r="4774" spans="1:14" s="5" customFormat="1" ht="15" customHeight="1" x14ac:dyDescent="0.25">
      <c r="A4774" s="9" t="s">
        <v>9342</v>
      </c>
      <c r="C4774" s="9" t="str">
        <f>HYPERLINK("http://www.ncbi.nlm.nih.gov/protein/13385922","Naa20")</f>
        <v>Naa20</v>
      </c>
      <c r="D4774" s="10">
        <f t="shared" si="74"/>
        <v>4.9491081594611162</v>
      </c>
      <c r="F4774" s="8" t="str">
        <f>HYPERLINK("https://esbl.nhlbi.nih.gov/Databases/mpkFractions/proteomic_fractions_log_files/Yang_log_img/13385922.jpg","show blot")</f>
        <v>show blot</v>
      </c>
      <c r="H4774" s="8" t="str">
        <f>HYPERLINK("https://esbl.nhlbi.nih.gov/Databases/mpkFractions/proteomic_fractions_linear_files/Yang_linear_img/13385922.jpg","show blot")</f>
        <v>show blot</v>
      </c>
      <c r="J4774" s="5" t="s">
        <v>9343</v>
      </c>
      <c r="L4774" s="11">
        <v>4.9491081594611162</v>
      </c>
      <c r="N4774" s="12"/>
    </row>
    <row r="4775" spans="1:14" s="5" customFormat="1" ht="15" customHeight="1" x14ac:dyDescent="0.25">
      <c r="A4775" s="9" t="s">
        <v>9344</v>
      </c>
      <c r="C4775" s="9" t="str">
        <f>HYPERLINK("http://www.ncbi.nlm.nih.gov/protein/213972579","Naa20")</f>
        <v>Naa20</v>
      </c>
      <c r="D4775" s="10">
        <f t="shared" si="74"/>
        <v>4.9491081594611162</v>
      </c>
      <c r="F4775" s="8" t="str">
        <f>HYPERLINK("https://esbl.nhlbi.nih.gov/Databases/mpkFractions/proteomic_fractions_log_files/Yang_log_img/213972579.jpg","show blot")</f>
        <v>show blot</v>
      </c>
      <c r="H4775" s="8" t="str">
        <f>HYPERLINK("https://esbl.nhlbi.nih.gov/Databases/mpkFractions/proteomic_fractions_linear_files/Yang_linear_img/213972579.jpg","show blot")</f>
        <v>show blot</v>
      </c>
      <c r="J4775" s="5" t="s">
        <v>9345</v>
      </c>
      <c r="L4775" s="11">
        <v>4.9491081594611162</v>
      </c>
      <c r="N4775" s="12"/>
    </row>
    <row r="4776" spans="1:14" s="5" customFormat="1" ht="15" customHeight="1" x14ac:dyDescent="0.25">
      <c r="A4776" s="9" t="s">
        <v>9346</v>
      </c>
      <c r="C4776" s="9" t="str">
        <f>HYPERLINK("http://www.ncbi.nlm.nih.gov/protein/55742803","Naa25")</f>
        <v>Naa25</v>
      </c>
      <c r="D4776" s="10">
        <f t="shared" si="74"/>
        <v>4.862350693957274</v>
      </c>
      <c r="F4776" s="8" t="str">
        <f>HYPERLINK("https://esbl.nhlbi.nih.gov/Databases/mpkFractions/proteomic_fractions_log_files/Yang_log_img/55742803.jpg","show blot")</f>
        <v>show blot</v>
      </c>
      <c r="H4776" s="8" t="str">
        <f>HYPERLINK("https://esbl.nhlbi.nih.gov/Databases/mpkFractions/proteomic_fractions_linear_files/Yang_linear_img/55742803.jpg","show blot")</f>
        <v>show blot</v>
      </c>
      <c r="J4776" s="5" t="s">
        <v>9347</v>
      </c>
      <c r="L4776" s="11">
        <v>4.862350693957274</v>
      </c>
      <c r="N4776" s="12"/>
    </row>
    <row r="4777" spans="1:14" s="5" customFormat="1" ht="15" customHeight="1" x14ac:dyDescent="0.25">
      <c r="A4777" s="9" t="s">
        <v>9348</v>
      </c>
      <c r="C4777" s="9" t="str">
        <f>HYPERLINK("http://www.ncbi.nlm.nih.gov/protein/124487477","Naa30")</f>
        <v>Naa30</v>
      </c>
      <c r="D4777" s="10">
        <f t="shared" si="74"/>
        <v>4.5458711252092368</v>
      </c>
      <c r="F4777" s="8" t="str">
        <f>HYPERLINK("https://esbl.nhlbi.nih.gov/Databases/mpkFractions/proteomic_fractions_log_files/Yang_log_img/124487477.jpg","show blot")</f>
        <v>show blot</v>
      </c>
      <c r="H4777" s="8" t="str">
        <f>HYPERLINK("https://esbl.nhlbi.nih.gov/Databases/mpkFractions/proteomic_fractions_linear_files/Yang_linear_img/124487477.jpg","show blot")</f>
        <v>show blot</v>
      </c>
      <c r="J4777" s="5" t="s">
        <v>9349</v>
      </c>
      <c r="L4777" s="11">
        <v>4.5458711252092368</v>
      </c>
      <c r="N4777" s="12"/>
    </row>
    <row r="4778" spans="1:14" s="5" customFormat="1" ht="15" customHeight="1" x14ac:dyDescent="0.25">
      <c r="A4778" s="9" t="s">
        <v>9350</v>
      </c>
      <c r="C4778" s="9" t="str">
        <f>HYPERLINK("http://www.ncbi.nlm.nih.gov/protein/172072615","Naa35")</f>
        <v>Naa35</v>
      </c>
      <c r="D4778" s="10">
        <f t="shared" si="74"/>
        <v>4.5298200929937744</v>
      </c>
      <c r="F4778" s="8" t="str">
        <f>HYPERLINK("https://esbl.nhlbi.nih.gov/Databases/mpkFractions/proteomic_fractions_log_files/Yang_log_img/172072615.jpg","show blot")</f>
        <v>show blot</v>
      </c>
      <c r="H4778" s="8" t="str">
        <f>HYPERLINK("https://esbl.nhlbi.nih.gov/Databases/mpkFractions/proteomic_fractions_linear_files/Yang_linear_img/172072615.jpg","show blot")</f>
        <v>show blot</v>
      </c>
      <c r="J4778" s="5" t="s">
        <v>9351</v>
      </c>
      <c r="L4778" s="11">
        <v>4.5298200929937744</v>
      </c>
      <c r="N4778" s="12"/>
    </row>
    <row r="4779" spans="1:14" s="5" customFormat="1" ht="15" customHeight="1" x14ac:dyDescent="0.25">
      <c r="A4779" s="9" t="s">
        <v>9352</v>
      </c>
      <c r="C4779" s="9" t="str">
        <f>HYPERLINK("http://www.ncbi.nlm.nih.gov/protein/19527156","Naa38")</f>
        <v>Naa38</v>
      </c>
      <c r="D4779" s="10">
        <f t="shared" si="74"/>
        <v>5.6231631252941954</v>
      </c>
      <c r="F4779" s="8" t="str">
        <f>HYPERLINK("https://esbl.nhlbi.nih.gov/Databases/mpkFractions/proteomic_fractions_log_files/Yang_log_img/19527156.jpg","show blot")</f>
        <v>show blot</v>
      </c>
      <c r="H4779" s="8" t="str">
        <f>HYPERLINK("https://esbl.nhlbi.nih.gov/Databases/mpkFractions/proteomic_fractions_linear_files/Yang_linear_img/19527156.jpg","show blot")</f>
        <v>show blot</v>
      </c>
      <c r="J4779" s="5" t="s">
        <v>9353</v>
      </c>
      <c r="L4779" s="11">
        <v>5.6231631252941954</v>
      </c>
      <c r="N4779" s="12"/>
    </row>
    <row r="4780" spans="1:14" s="5" customFormat="1" ht="15" customHeight="1" x14ac:dyDescent="0.25">
      <c r="A4780" s="9" t="s">
        <v>9354</v>
      </c>
      <c r="C4780" s="9" t="str">
        <f>HYPERLINK("http://www.ncbi.nlm.nih.gov/protein/254588079","Naa40")</f>
        <v>Naa40</v>
      </c>
      <c r="D4780" s="10">
        <f t="shared" si="74"/>
        <v>5.3616017919113954</v>
      </c>
      <c r="F4780" s="8" t="str">
        <f>HYPERLINK("https://esbl.nhlbi.nih.gov/Databases/mpkFractions/proteomic_fractions_log_files/Yang_log_img/254588079.jpg","show blot")</f>
        <v>show blot</v>
      </c>
      <c r="H4780" s="8" t="str">
        <f>HYPERLINK("https://esbl.nhlbi.nih.gov/Databases/mpkFractions/proteomic_fractions_linear_files/Yang_linear_img/254588079.jpg","show blot")</f>
        <v>show blot</v>
      </c>
      <c r="J4780" s="5" t="s">
        <v>9355</v>
      </c>
      <c r="L4780" s="11">
        <v>5.3616017919113954</v>
      </c>
      <c r="N4780" s="12"/>
    </row>
    <row r="4781" spans="1:14" s="5" customFormat="1" ht="15" customHeight="1" x14ac:dyDescent="0.25">
      <c r="A4781" s="9" t="s">
        <v>9356</v>
      </c>
      <c r="C4781" s="9" t="str">
        <f>HYPERLINK("http://www.ncbi.nlm.nih.gov/protein/21312422","Naa50")</f>
        <v>Naa50</v>
      </c>
      <c r="D4781" s="10">
        <f t="shared" si="74"/>
        <v>5.9042689135046054</v>
      </c>
      <c r="F4781" s="8" t="str">
        <f>HYPERLINK("https://esbl.nhlbi.nih.gov/Databases/mpkFractions/proteomic_fractions_log_files/Yang_log_img/21312422.jpg","show blot")</f>
        <v>show blot</v>
      </c>
      <c r="H4781" s="8" t="str">
        <f>HYPERLINK("https://esbl.nhlbi.nih.gov/Databases/mpkFractions/proteomic_fractions_linear_files/Yang_linear_img/21312422.jpg","show blot")</f>
        <v>show blot</v>
      </c>
      <c r="J4781" s="5" t="s">
        <v>9357</v>
      </c>
      <c r="L4781" s="11">
        <v>5.9042689135046054</v>
      </c>
      <c r="N4781" s="12"/>
    </row>
    <row r="4782" spans="1:14" s="5" customFormat="1" ht="15" customHeight="1" x14ac:dyDescent="0.25">
      <c r="A4782" s="9" t="s">
        <v>9358</v>
      </c>
      <c r="C4782" s="9" t="str">
        <f>HYPERLINK("http://www.ncbi.nlm.nih.gov/protein/255683418","Naaa")</f>
        <v>Naaa</v>
      </c>
      <c r="D4782" s="10">
        <f t="shared" si="74"/>
        <v>1.6667148512550241</v>
      </c>
      <c r="F4782" s="8" t="str">
        <f>HYPERLINK("https://esbl.nhlbi.nih.gov/Databases/mpkFractions/proteomic_fractions_log_files/Yang_log_img/255683418.jpg","show blot")</f>
        <v>show blot</v>
      </c>
      <c r="H4782" s="8" t="str">
        <f>HYPERLINK("https://esbl.nhlbi.nih.gov/Databases/mpkFractions/proteomic_fractions_linear_files/Yang_linear_img/255683418.jpg","show blot")</f>
        <v>show blot</v>
      </c>
      <c r="J4782" s="5" t="s">
        <v>9359</v>
      </c>
      <c r="L4782" s="11">
        <v>1.6667148512550241</v>
      </c>
      <c r="N4782" s="12"/>
    </row>
    <row r="4783" spans="1:14" s="5" customFormat="1" ht="15" customHeight="1" x14ac:dyDescent="0.25">
      <c r="A4783" s="9" t="s">
        <v>9360</v>
      </c>
      <c r="C4783" s="9" t="str">
        <f>HYPERLINK("http://www.ncbi.nlm.nih.gov/protein/255683420","Naaa")</f>
        <v>Naaa</v>
      </c>
      <c r="D4783" s="10">
        <f t="shared" si="74"/>
        <v>1.6667148512550241</v>
      </c>
      <c r="F4783" s="8" t="str">
        <f>HYPERLINK("https://esbl.nhlbi.nih.gov/Databases/mpkFractions/proteomic_fractions_log_files/Yang_log_img/255683420.jpg","show blot")</f>
        <v>show blot</v>
      </c>
      <c r="H4783" s="8" t="str">
        <f>HYPERLINK("https://esbl.nhlbi.nih.gov/Databases/mpkFractions/proteomic_fractions_linear_files/Yang_linear_img/255683420.jpg","show blot")</f>
        <v>show blot</v>
      </c>
      <c r="J4783" s="5" t="s">
        <v>9361</v>
      </c>
      <c r="L4783" s="11">
        <v>1.6667148512550241</v>
      </c>
      <c r="N4783" s="12"/>
    </row>
    <row r="4784" spans="1:14" s="5" customFormat="1" ht="15" customHeight="1" x14ac:dyDescent="0.25">
      <c r="A4784" s="9" t="s">
        <v>9362</v>
      </c>
      <c r="C4784" s="9" t="str">
        <f>HYPERLINK("http://www.ncbi.nlm.nih.gov/protein/309264701","Naaladl2")</f>
        <v>Naaladl2</v>
      </c>
      <c r="D4784" s="10">
        <f t="shared" si="74"/>
        <v>4.0280013806630519</v>
      </c>
      <c r="F4784" s="8" t="str">
        <f>HYPERLINK("https://esbl.nhlbi.nih.gov/Databases/mpkFractions/proteomic_fractions_log_files/Yang_log_img/309264701.jpg","show blot")</f>
        <v>show blot</v>
      </c>
      <c r="H4784" s="8" t="str">
        <f>HYPERLINK("https://esbl.nhlbi.nih.gov/Databases/mpkFractions/proteomic_fractions_linear_files/Yang_linear_img/309264701.jpg","show blot")</f>
        <v>show blot</v>
      </c>
      <c r="J4784" s="5" t="s">
        <v>9363</v>
      </c>
      <c r="L4784" s="11">
        <v>4.0280013806630519</v>
      </c>
      <c r="N4784" s="12"/>
    </row>
    <row r="4785" spans="1:14" s="5" customFormat="1" ht="15" customHeight="1" x14ac:dyDescent="0.25">
      <c r="A4785" s="9" t="s">
        <v>9364</v>
      </c>
      <c r="C4785" s="9" t="str">
        <f>HYPERLINK("http://www.ncbi.nlm.nih.gov/protein/28076937","Nabp2")</f>
        <v>Nabp2</v>
      </c>
      <c r="D4785" s="10">
        <f t="shared" si="74"/>
        <v>4.126891110467942</v>
      </c>
      <c r="F4785" s="8" t="str">
        <f>HYPERLINK("https://esbl.nhlbi.nih.gov/Databases/mpkFractions/proteomic_fractions_log_files/Yang_log_img/28076937.jpg","show blot")</f>
        <v>show blot</v>
      </c>
      <c r="H4785" s="8" t="str">
        <f>HYPERLINK("https://esbl.nhlbi.nih.gov/Databases/mpkFractions/proteomic_fractions_linear_files/Yang_linear_img/28076937.jpg","show blot")</f>
        <v>show blot</v>
      </c>
      <c r="J4785" s="5" t="s">
        <v>9365</v>
      </c>
      <c r="L4785" s="11">
        <v>4.126891110467942</v>
      </c>
      <c r="N4785" s="12"/>
    </row>
    <row r="4786" spans="1:14" s="5" customFormat="1" ht="15" customHeight="1" x14ac:dyDescent="0.25">
      <c r="A4786" s="9" t="s">
        <v>9366</v>
      </c>
      <c r="C4786" s="9" t="str">
        <f>HYPERLINK("http://www.ncbi.nlm.nih.gov/protein/163965357","Naca")</f>
        <v>Naca</v>
      </c>
      <c r="D4786" s="10">
        <f t="shared" si="74"/>
        <v>6.7236753217139542</v>
      </c>
      <c r="F4786" s="8" t="str">
        <f>HYPERLINK("https://esbl.nhlbi.nih.gov/Databases/mpkFractions/proteomic_fractions_log_files/Yang_log_img/163965357.jpg","show blot")</f>
        <v>show blot</v>
      </c>
      <c r="H4786" s="8" t="str">
        <f>HYPERLINK("https://esbl.nhlbi.nih.gov/Databases/mpkFractions/proteomic_fractions_linear_files/Yang_linear_img/163965357.jpg","show blot")</f>
        <v>show blot</v>
      </c>
      <c r="J4786" s="5" t="s">
        <v>9367</v>
      </c>
      <c r="L4786" s="11">
        <v>6.7236753217139542</v>
      </c>
      <c r="N4786" s="12"/>
    </row>
    <row r="4787" spans="1:14" s="5" customFormat="1" ht="15" customHeight="1" x14ac:dyDescent="0.25">
      <c r="A4787" s="9" t="s">
        <v>9368</v>
      </c>
      <c r="C4787" s="9" t="str">
        <f>HYPERLINK("http://www.ncbi.nlm.nih.gov/protein/41350312","Naca")</f>
        <v>Naca</v>
      </c>
      <c r="D4787" s="10">
        <f t="shared" si="74"/>
        <v>6.7236753217139542</v>
      </c>
      <c r="F4787" s="8" t="str">
        <f>HYPERLINK("https://esbl.nhlbi.nih.gov/Databases/mpkFractions/proteomic_fractions_log_files/Yang_log_img/41350312.jpg","show blot")</f>
        <v>show blot</v>
      </c>
      <c r="H4787" s="8" t="str">
        <f>HYPERLINK("https://esbl.nhlbi.nih.gov/Databases/mpkFractions/proteomic_fractions_linear_files/Yang_linear_img/41350312.jpg","show blot")</f>
        <v>show blot</v>
      </c>
      <c r="J4787" s="5" t="s">
        <v>9369</v>
      </c>
      <c r="L4787" s="11">
        <v>6.7236753217139542</v>
      </c>
      <c r="N4787" s="12"/>
    </row>
    <row r="4788" spans="1:14" s="5" customFormat="1" ht="15" customHeight="1" x14ac:dyDescent="0.25">
      <c r="A4788" s="9" t="s">
        <v>9370</v>
      </c>
      <c r="C4788" s="9" t="str">
        <f>HYPERLINK("http://www.ncbi.nlm.nih.gov/protein/146134392","Nadk2")</f>
        <v>Nadk2</v>
      </c>
      <c r="D4788" s="10">
        <f t="shared" si="74"/>
        <v>3.903586040161187</v>
      </c>
      <c r="F4788" s="8" t="str">
        <f>HYPERLINK("https://esbl.nhlbi.nih.gov/Databases/mpkFractions/proteomic_fractions_log_files/Yang_log_img/146134392.jpg","show blot")</f>
        <v>show blot</v>
      </c>
      <c r="H4788" s="8" t="str">
        <f>HYPERLINK("https://esbl.nhlbi.nih.gov/Databases/mpkFractions/proteomic_fractions_linear_files/Yang_linear_img/146134392.jpg","show blot")</f>
        <v>show blot</v>
      </c>
      <c r="J4788" s="5" t="s">
        <v>9371</v>
      </c>
      <c r="L4788" s="11">
        <v>3.903586040161187</v>
      </c>
      <c r="N4788" s="12"/>
    </row>
    <row r="4789" spans="1:14" s="5" customFormat="1" ht="15" customHeight="1" x14ac:dyDescent="0.25">
      <c r="A4789" s="9" t="s">
        <v>9372</v>
      </c>
      <c r="C4789" s="9" t="str">
        <f>HYPERLINK("http://www.ncbi.nlm.nih.gov/protein/146134519","Nadk2")</f>
        <v>Nadk2</v>
      </c>
      <c r="D4789" s="10">
        <f t="shared" si="74"/>
        <v>3.903586040161187</v>
      </c>
      <c r="F4789" s="8" t="str">
        <f>HYPERLINK("https://esbl.nhlbi.nih.gov/Databases/mpkFractions/proteomic_fractions_log_files/Yang_log_img/146134519.jpg","show blot")</f>
        <v>show blot</v>
      </c>
      <c r="H4789" s="8" t="str">
        <f>HYPERLINK("https://esbl.nhlbi.nih.gov/Databases/mpkFractions/proteomic_fractions_linear_files/Yang_linear_img/146134519.jpg","show blot")</f>
        <v>show blot</v>
      </c>
      <c r="J4789" s="5" t="s">
        <v>9373</v>
      </c>
      <c r="L4789" s="11">
        <v>3.903586040161187</v>
      </c>
      <c r="N4789" s="12"/>
    </row>
    <row r="4790" spans="1:14" s="5" customFormat="1" ht="15" customHeight="1" x14ac:dyDescent="0.25">
      <c r="A4790" s="9" t="s">
        <v>9374</v>
      </c>
      <c r="C4790" s="9" t="str">
        <f>HYPERLINK("http://www.ncbi.nlm.nih.gov/protein/21313534","Nadsyn1")</f>
        <v>Nadsyn1</v>
      </c>
      <c r="D4790" s="10">
        <f t="shared" si="74"/>
        <v>3.9068544405955641</v>
      </c>
      <c r="F4790" s="8" t="str">
        <f>HYPERLINK("https://esbl.nhlbi.nih.gov/Databases/mpkFractions/proteomic_fractions_log_files/Yang_log_img/21313534.jpg","show blot")</f>
        <v>show blot</v>
      </c>
      <c r="H4790" s="8" t="str">
        <f>HYPERLINK("https://esbl.nhlbi.nih.gov/Databases/mpkFractions/proteomic_fractions_linear_files/Yang_linear_img/21313534.jpg","show blot")</f>
        <v>show blot</v>
      </c>
      <c r="J4790" s="5" t="s">
        <v>9375</v>
      </c>
      <c r="L4790" s="11">
        <v>3.9068544405955641</v>
      </c>
      <c r="N4790" s="12"/>
    </row>
    <row r="4791" spans="1:14" s="5" customFormat="1" ht="15" customHeight="1" x14ac:dyDescent="0.25">
      <c r="A4791" s="9" t="s">
        <v>9376</v>
      </c>
      <c r="C4791" s="9" t="str">
        <f>HYPERLINK("http://www.ncbi.nlm.nih.gov/protein/21450341","Nae1")</f>
        <v>Nae1</v>
      </c>
      <c r="D4791" s="10">
        <f t="shared" si="74"/>
        <v>4.7351130162858119</v>
      </c>
      <c r="F4791" s="8" t="str">
        <f>HYPERLINK("https://esbl.nhlbi.nih.gov/Databases/mpkFractions/proteomic_fractions_log_files/Yang_log_img/21450341.jpg","show blot")</f>
        <v>show blot</v>
      </c>
      <c r="H4791" s="8" t="str">
        <f>HYPERLINK("https://esbl.nhlbi.nih.gov/Databases/mpkFractions/proteomic_fractions_linear_files/Yang_linear_img/21450341.jpg","show blot")</f>
        <v>show blot</v>
      </c>
      <c r="J4791" s="5" t="s">
        <v>9377</v>
      </c>
      <c r="L4791" s="11">
        <v>4.7351130162858119</v>
      </c>
      <c r="N4791" s="12"/>
    </row>
    <row r="4792" spans="1:14" s="5" customFormat="1" ht="15" customHeight="1" x14ac:dyDescent="0.25">
      <c r="A4792" s="9" t="s">
        <v>9378</v>
      </c>
      <c r="C4792" s="9" t="str">
        <f>HYPERLINK("http://www.ncbi.nlm.nih.gov/protein/168693635","Naga")</f>
        <v>Naga</v>
      </c>
      <c r="D4792" s="10">
        <f t="shared" si="74"/>
        <v>6.2471797127103574</v>
      </c>
      <c r="F4792" s="8" t="str">
        <f>HYPERLINK("https://esbl.nhlbi.nih.gov/Databases/mpkFractions/proteomic_fractions_log_files/Yang_log_img/168693635.jpg","show blot")</f>
        <v>show blot</v>
      </c>
      <c r="H4792" s="8" t="str">
        <f>HYPERLINK("https://esbl.nhlbi.nih.gov/Databases/mpkFractions/proteomic_fractions_linear_files/Yang_linear_img/168693635.jpg","show blot")</f>
        <v>show blot</v>
      </c>
      <c r="J4792" s="5" t="s">
        <v>9379</v>
      </c>
      <c r="L4792" s="11">
        <v>6.2471797127103574</v>
      </c>
      <c r="N4792" s="12"/>
    </row>
    <row r="4793" spans="1:14" s="5" customFormat="1" ht="15" customHeight="1" x14ac:dyDescent="0.25">
      <c r="A4793" s="9" t="s">
        <v>9380</v>
      </c>
      <c r="C4793" s="9" t="str">
        <f>HYPERLINK("http://www.ncbi.nlm.nih.gov/protein/255958271","Nagk")</f>
        <v>Nagk</v>
      </c>
      <c r="D4793" s="10">
        <f t="shared" si="74"/>
        <v>5.0716994785799674</v>
      </c>
      <c r="F4793" s="8" t="str">
        <f>HYPERLINK("https://esbl.nhlbi.nih.gov/Databases/mpkFractions/proteomic_fractions_log_files/Yang_log_img/255958271.jpg","show blot")</f>
        <v>show blot</v>
      </c>
      <c r="H4793" s="8" t="str">
        <f>HYPERLINK("https://esbl.nhlbi.nih.gov/Databases/mpkFractions/proteomic_fractions_linear_files/Yang_linear_img/255958271.jpg","show blot")</f>
        <v>show blot</v>
      </c>
      <c r="J4793" s="5" t="s">
        <v>9381</v>
      </c>
      <c r="L4793" s="11">
        <v>5.0716994785799674</v>
      </c>
      <c r="N4793" s="12"/>
    </row>
    <row r="4794" spans="1:14" s="5" customFormat="1" ht="15" customHeight="1" x14ac:dyDescent="0.25">
      <c r="A4794" s="9" t="s">
        <v>9382</v>
      </c>
      <c r="C4794" s="9" t="str">
        <f>HYPERLINK("http://www.ncbi.nlm.nih.gov/protein/9506739","Nagk")</f>
        <v>Nagk</v>
      </c>
      <c r="D4794" s="10">
        <f t="shared" si="74"/>
        <v>5.0716994785799674</v>
      </c>
      <c r="F4794" s="8" t="str">
        <f>HYPERLINK("https://esbl.nhlbi.nih.gov/Databases/mpkFractions/proteomic_fractions_log_files/Yang_log_img/9506739.jpg","show blot")</f>
        <v>show blot</v>
      </c>
      <c r="H4794" s="8" t="str">
        <f>HYPERLINK("https://esbl.nhlbi.nih.gov/Databases/mpkFractions/proteomic_fractions_linear_files/Yang_linear_img/9506739.jpg","show blot")</f>
        <v>show blot</v>
      </c>
      <c r="J4794" s="5" t="s">
        <v>9383</v>
      </c>
      <c r="L4794" s="11">
        <v>5.0716994785799674</v>
      </c>
      <c r="N4794" s="12"/>
    </row>
    <row r="4795" spans="1:14" s="5" customFormat="1" ht="15" customHeight="1" x14ac:dyDescent="0.25">
      <c r="A4795" s="9" t="s">
        <v>9384</v>
      </c>
      <c r="C4795" s="9" t="str">
        <f>HYPERLINK("http://www.ncbi.nlm.nih.gov/protein/254910995","Naglu")</f>
        <v>Naglu</v>
      </c>
      <c r="D4795" s="10">
        <f t="shared" si="74"/>
        <v>5.5808011341668573</v>
      </c>
      <c r="F4795" s="8" t="str">
        <f>HYPERLINK("https://esbl.nhlbi.nih.gov/Databases/mpkFractions/proteomic_fractions_log_files/Yang_log_img/254910995.jpg","show blot")</f>
        <v>show blot</v>
      </c>
      <c r="H4795" s="8" t="str">
        <f>HYPERLINK("https://esbl.nhlbi.nih.gov/Databases/mpkFractions/proteomic_fractions_linear_files/Yang_linear_img/254910995.jpg","show blot")</f>
        <v>show blot</v>
      </c>
      <c r="J4795" s="5" t="s">
        <v>9385</v>
      </c>
      <c r="L4795" s="11">
        <v>5.5808011341668573</v>
      </c>
      <c r="N4795" s="12"/>
    </row>
    <row r="4796" spans="1:14" s="5" customFormat="1" ht="15" customHeight="1" x14ac:dyDescent="0.25">
      <c r="A4796" s="9" t="s">
        <v>9386</v>
      </c>
      <c r="C4796" s="9" t="str">
        <f>HYPERLINK("http://www.ncbi.nlm.nih.gov/protein/187133241","Naip2")</f>
        <v>Naip2</v>
      </c>
      <c r="D4796" s="10">
        <f t="shared" si="74"/>
        <v>3.6148658365729012</v>
      </c>
      <c r="F4796" s="8" t="str">
        <f>HYPERLINK("https://esbl.nhlbi.nih.gov/Databases/mpkFractions/proteomic_fractions_log_files/Yang_log_img/187133241.jpg","show blot")</f>
        <v>show blot</v>
      </c>
      <c r="H4796" s="8" t="str">
        <f>HYPERLINK("https://esbl.nhlbi.nih.gov/Databases/mpkFractions/proteomic_fractions_linear_files/Yang_linear_img/187133241.jpg","show blot")</f>
        <v>show blot</v>
      </c>
      <c r="J4796" s="5" t="s">
        <v>9387</v>
      </c>
      <c r="L4796" s="11">
        <v>3.6148658365729012</v>
      </c>
      <c r="N4796" s="12"/>
    </row>
    <row r="4797" spans="1:14" s="5" customFormat="1" ht="15" customHeight="1" x14ac:dyDescent="0.25">
      <c r="A4797" s="9" t="s">
        <v>9388</v>
      </c>
      <c r="C4797" s="9" t="str">
        <f>HYPERLINK("http://www.ncbi.nlm.nih.gov/protein/257153454","Nampt")</f>
        <v>Nampt</v>
      </c>
      <c r="D4797" s="10">
        <f t="shared" si="74"/>
        <v>6.2092442083447246</v>
      </c>
      <c r="F4797" s="8" t="str">
        <f>HYPERLINK("https://esbl.nhlbi.nih.gov/Databases/mpkFractions/proteomic_fractions_log_files/Yang_log_img/257153454.jpg","show blot")</f>
        <v>show blot</v>
      </c>
      <c r="H4797" s="8" t="str">
        <f>HYPERLINK("https://esbl.nhlbi.nih.gov/Databases/mpkFractions/proteomic_fractions_linear_files/Yang_linear_img/257153454.jpg","show blot")</f>
        <v>show blot</v>
      </c>
      <c r="J4797" s="5" t="s">
        <v>9389</v>
      </c>
      <c r="L4797" s="11">
        <v>6.2092442083447246</v>
      </c>
      <c r="N4797" s="12"/>
    </row>
    <row r="4798" spans="1:14" s="5" customFormat="1" ht="15" customHeight="1" x14ac:dyDescent="0.25">
      <c r="A4798" s="9" t="s">
        <v>9390</v>
      </c>
      <c r="C4798" s="9" t="str">
        <f>HYPERLINK("http://www.ncbi.nlm.nih.gov/protein/13385586","Nanp")</f>
        <v>Nanp</v>
      </c>
      <c r="D4798" s="10">
        <f t="shared" si="74"/>
        <v>4.5112783249751116</v>
      </c>
      <c r="F4798" s="8" t="str">
        <f>HYPERLINK("https://esbl.nhlbi.nih.gov/Databases/mpkFractions/proteomic_fractions_log_files/Yang_log_img/13385586.jpg","show blot")</f>
        <v>show blot</v>
      </c>
      <c r="H4798" s="8" t="str">
        <f>HYPERLINK("https://esbl.nhlbi.nih.gov/Databases/mpkFractions/proteomic_fractions_linear_files/Yang_linear_img/13385586.jpg","show blot")</f>
        <v>show blot</v>
      </c>
      <c r="J4798" s="5" t="s">
        <v>9391</v>
      </c>
      <c r="L4798" s="11">
        <v>4.5112783249751116</v>
      </c>
      <c r="N4798" s="12"/>
    </row>
    <row r="4799" spans="1:14" s="5" customFormat="1" ht="15" customHeight="1" x14ac:dyDescent="0.25">
      <c r="A4799" s="9" t="s">
        <v>9392</v>
      </c>
      <c r="C4799" s="9" t="str">
        <f>HYPERLINK("http://www.ncbi.nlm.nih.gov/protein/16716467","Nans")</f>
        <v>Nans</v>
      </c>
      <c r="D4799" s="10">
        <f t="shared" si="74"/>
        <v>5.6703408509719608</v>
      </c>
      <c r="F4799" s="8" t="str">
        <f>HYPERLINK("https://esbl.nhlbi.nih.gov/Databases/mpkFractions/proteomic_fractions_log_files/Yang_log_img/16716467.jpg","show blot")</f>
        <v>show blot</v>
      </c>
      <c r="H4799" s="8" t="str">
        <f>HYPERLINK("https://esbl.nhlbi.nih.gov/Databases/mpkFractions/proteomic_fractions_linear_files/Yang_linear_img/16716467.jpg","show blot")</f>
        <v>show blot</v>
      </c>
      <c r="J4799" s="5" t="s">
        <v>9393</v>
      </c>
      <c r="L4799" s="11">
        <v>5.6703408509719608</v>
      </c>
      <c r="N4799" s="12"/>
    </row>
    <row r="4800" spans="1:14" s="5" customFormat="1" ht="15" customHeight="1" x14ac:dyDescent="0.25">
      <c r="A4800" s="9" t="s">
        <v>9394</v>
      </c>
      <c r="C4800" s="9" t="str">
        <f>HYPERLINK("http://www.ncbi.nlm.nih.gov/protein/226443026","Nap1l1")</f>
        <v>Nap1l1</v>
      </c>
      <c r="D4800" s="10">
        <f t="shared" si="74"/>
        <v>5.7528972894746966</v>
      </c>
      <c r="F4800" s="8" t="str">
        <f>HYPERLINK("https://esbl.nhlbi.nih.gov/Databases/mpkFractions/proteomic_fractions_log_files/Yang_log_img/226443026.jpg","show blot")</f>
        <v>show blot</v>
      </c>
      <c r="H4800" s="8" t="str">
        <f>HYPERLINK("https://esbl.nhlbi.nih.gov/Databases/mpkFractions/proteomic_fractions_linear_files/Yang_linear_img/226443026.jpg","show blot")</f>
        <v>show blot</v>
      </c>
      <c r="J4800" s="5" t="s">
        <v>9395</v>
      </c>
      <c r="L4800" s="11">
        <v>5.7528972894746966</v>
      </c>
      <c r="N4800" s="12"/>
    </row>
    <row r="4801" spans="1:14" s="5" customFormat="1" ht="15" customHeight="1" x14ac:dyDescent="0.25">
      <c r="A4801" s="9" t="s">
        <v>9396</v>
      </c>
      <c r="C4801" s="9" t="str">
        <f>HYPERLINK("http://www.ncbi.nlm.nih.gov/protein/7657357","Nap1l1")</f>
        <v>Nap1l1</v>
      </c>
      <c r="D4801" s="10">
        <f t="shared" si="74"/>
        <v>5.7528972894746966</v>
      </c>
      <c r="F4801" s="8" t="str">
        <f>HYPERLINK("https://esbl.nhlbi.nih.gov/Databases/mpkFractions/proteomic_fractions_log_files/Yang_log_img/7657357.jpg","show blot")</f>
        <v>show blot</v>
      </c>
      <c r="H4801" s="8" t="str">
        <f>HYPERLINK("https://esbl.nhlbi.nih.gov/Databases/mpkFractions/proteomic_fractions_linear_files/Yang_linear_img/7657357.jpg","show blot")</f>
        <v>show blot</v>
      </c>
      <c r="J4801" s="5" t="s">
        <v>9397</v>
      </c>
      <c r="L4801" s="11">
        <v>5.7528972894746966</v>
      </c>
      <c r="N4801" s="12"/>
    </row>
    <row r="4802" spans="1:14" s="5" customFormat="1" ht="15" customHeight="1" x14ac:dyDescent="0.25">
      <c r="A4802" s="9" t="s">
        <v>9398</v>
      </c>
      <c r="C4802" s="9" t="str">
        <f>HYPERLINK("http://www.ncbi.nlm.nih.gov/protein/6679012","Nap1l4")</f>
        <v>Nap1l4</v>
      </c>
      <c r="D4802" s="10">
        <f t="shared" si="74"/>
        <v>5.8437045237232814</v>
      </c>
      <c r="F4802" s="8" t="str">
        <f>HYPERLINK("https://esbl.nhlbi.nih.gov/Databases/mpkFractions/proteomic_fractions_log_files/Yang_log_img/6679012.jpg","show blot")</f>
        <v>show blot</v>
      </c>
      <c r="H4802" s="8" t="str">
        <f>HYPERLINK("https://esbl.nhlbi.nih.gov/Databases/mpkFractions/proteomic_fractions_linear_files/Yang_linear_img/6679012.jpg","show blot")</f>
        <v>show blot</v>
      </c>
      <c r="J4802" s="5" t="s">
        <v>9399</v>
      </c>
      <c r="L4802" s="11">
        <v>5.8437045237232814</v>
      </c>
      <c r="N4802" s="12"/>
    </row>
    <row r="4803" spans="1:14" s="5" customFormat="1" ht="15" customHeight="1" x14ac:dyDescent="0.25">
      <c r="A4803" s="9" t="s">
        <v>9400</v>
      </c>
      <c r="C4803" s="9" t="str">
        <f>HYPERLINK("http://www.ncbi.nlm.nih.gov/protein/13385392","Napa")</f>
        <v>Napa</v>
      </c>
      <c r="D4803" s="10">
        <f t="shared" si="74"/>
        <v>5.751711488976909</v>
      </c>
      <c r="F4803" s="8" t="str">
        <f>HYPERLINK("https://esbl.nhlbi.nih.gov/Databases/mpkFractions/proteomic_fractions_log_files/Yang_log_img/13385392.jpg","show blot")</f>
        <v>show blot</v>
      </c>
      <c r="H4803" s="8" t="str">
        <f>HYPERLINK("https://esbl.nhlbi.nih.gov/Databases/mpkFractions/proteomic_fractions_linear_files/Yang_linear_img/13385392.jpg","show blot")</f>
        <v>show blot</v>
      </c>
      <c r="J4803" s="5" t="s">
        <v>9401</v>
      </c>
      <c r="L4803" s="11">
        <v>5.751711488976909</v>
      </c>
      <c r="N4803" s="12"/>
    </row>
    <row r="4804" spans="1:14" s="5" customFormat="1" ht="15" customHeight="1" x14ac:dyDescent="0.25">
      <c r="A4804" s="9" t="s">
        <v>9402</v>
      </c>
      <c r="C4804" s="9" t="str">
        <f>HYPERLINK("http://www.ncbi.nlm.nih.gov/protein/29789104","Napb")</f>
        <v>Napb</v>
      </c>
      <c r="D4804" s="10">
        <f t="shared" si="74"/>
        <v>4.9489703748610872</v>
      </c>
      <c r="F4804" s="8" t="str">
        <f>HYPERLINK("https://esbl.nhlbi.nih.gov/Databases/mpkFractions/proteomic_fractions_log_files/Yang_log_img/29789104.jpg","show blot")</f>
        <v>show blot</v>
      </c>
      <c r="H4804" s="8" t="str">
        <f>HYPERLINK("https://esbl.nhlbi.nih.gov/Databases/mpkFractions/proteomic_fractions_linear_files/Yang_linear_img/29789104.jpg","show blot")</f>
        <v>show blot</v>
      </c>
      <c r="J4804" s="5" t="s">
        <v>9403</v>
      </c>
      <c r="L4804" s="11">
        <v>4.9489703748610872</v>
      </c>
      <c r="N4804" s="12"/>
    </row>
    <row r="4805" spans="1:14" s="5" customFormat="1" ht="15" customHeight="1" x14ac:dyDescent="0.25">
      <c r="A4805" s="9" t="s">
        <v>9404</v>
      </c>
      <c r="C4805" s="9" t="str">
        <f>HYPERLINK("http://www.ncbi.nlm.nih.gov/protein/110625902","Napg")</f>
        <v>Napg</v>
      </c>
      <c r="D4805" s="10">
        <f t="shared" ref="D4805:D4868" si="75">L4805</f>
        <v>4.272292655554371</v>
      </c>
      <c r="F4805" s="8" t="str">
        <f>HYPERLINK("https://esbl.nhlbi.nih.gov/Databases/mpkFractions/proteomic_fractions_log_files/Yang_log_img/110625902.jpg","show blot")</f>
        <v>show blot</v>
      </c>
      <c r="H4805" s="8" t="str">
        <f>HYPERLINK("https://esbl.nhlbi.nih.gov/Databases/mpkFractions/proteomic_fractions_linear_files/Yang_linear_img/110625902.jpg","show blot")</f>
        <v>show blot</v>
      </c>
      <c r="J4805" s="5" t="s">
        <v>9405</v>
      </c>
      <c r="L4805" s="11">
        <v>4.272292655554371</v>
      </c>
      <c r="N4805" s="12"/>
    </row>
    <row r="4806" spans="1:14" s="5" customFormat="1" ht="15" customHeight="1" x14ac:dyDescent="0.25">
      <c r="A4806" s="9" t="s">
        <v>9406</v>
      </c>
      <c r="C4806" s="9" t="str">
        <f>HYPERLINK("http://www.ncbi.nlm.nih.gov/protein/6680552","Napsa")</f>
        <v>Napsa</v>
      </c>
      <c r="D4806" s="10">
        <f t="shared" si="75"/>
        <v>4.708355454789281</v>
      </c>
      <c r="F4806" s="8" t="str">
        <f>HYPERLINK("https://esbl.nhlbi.nih.gov/Databases/mpkFractions/proteomic_fractions_log_files/Yang_log_img/6680552.jpg","show blot")</f>
        <v>show blot</v>
      </c>
      <c r="H4806" s="8" t="str">
        <f>HYPERLINK("https://esbl.nhlbi.nih.gov/Databases/mpkFractions/proteomic_fractions_linear_files/Yang_linear_img/6680552.jpg","show blot")</f>
        <v>show blot</v>
      </c>
      <c r="J4806" s="5" t="s">
        <v>9407</v>
      </c>
      <c r="L4806" s="11">
        <v>4.708355454789281</v>
      </c>
      <c r="N4806" s="12"/>
    </row>
    <row r="4807" spans="1:14" s="5" customFormat="1" ht="15" customHeight="1" x14ac:dyDescent="0.25">
      <c r="A4807" s="9" t="s">
        <v>9408</v>
      </c>
      <c r="C4807" s="9" t="str">
        <f>HYPERLINK("http://www.ncbi.nlm.nih.gov/protein/163954939","Narf")</f>
        <v>Narf</v>
      </c>
      <c r="D4807" s="10">
        <f t="shared" si="75"/>
        <v>3.8675424492440298</v>
      </c>
      <c r="F4807" s="8" t="str">
        <f>HYPERLINK("https://esbl.nhlbi.nih.gov/Databases/mpkFractions/proteomic_fractions_log_files/Yang_log_img/163954939.jpg","show blot")</f>
        <v>show blot</v>
      </c>
      <c r="H4807" s="8" t="str">
        <f>HYPERLINK("https://esbl.nhlbi.nih.gov/Databases/mpkFractions/proteomic_fractions_linear_files/Yang_linear_img/163954939.jpg","show blot")</f>
        <v>show blot</v>
      </c>
      <c r="J4807" s="5" t="s">
        <v>9409</v>
      </c>
      <c r="L4807" s="11">
        <v>3.8675424492440298</v>
      </c>
      <c r="N4807" s="12"/>
    </row>
    <row r="4808" spans="1:14" s="5" customFormat="1" ht="15" customHeight="1" x14ac:dyDescent="0.25">
      <c r="A4808" s="9" t="s">
        <v>9410</v>
      </c>
      <c r="C4808" s="9" t="str">
        <f>HYPERLINK("http://www.ncbi.nlm.nih.gov/protein/254911120","Narfl")</f>
        <v>Narfl</v>
      </c>
      <c r="D4808" s="10">
        <f t="shared" si="75"/>
        <v>4.5057750530463974</v>
      </c>
      <c r="F4808" s="8" t="str">
        <f>HYPERLINK("https://esbl.nhlbi.nih.gov/Databases/mpkFractions/proteomic_fractions_log_files/Yang_log_img/254911120.jpg","show blot")</f>
        <v>show blot</v>
      </c>
      <c r="H4808" s="8" t="str">
        <f>HYPERLINK("https://esbl.nhlbi.nih.gov/Databases/mpkFractions/proteomic_fractions_linear_files/Yang_linear_img/254911120.jpg","show blot")</f>
        <v>show blot</v>
      </c>
      <c r="J4808" s="5" t="s">
        <v>9411</v>
      </c>
      <c r="L4808" s="11">
        <v>4.5057750530463974</v>
      </c>
      <c r="N4808" s="12"/>
    </row>
    <row r="4809" spans="1:14" s="5" customFormat="1" ht="15" customHeight="1" x14ac:dyDescent="0.25">
      <c r="A4809" s="9" t="s">
        <v>9412</v>
      </c>
      <c r="C4809" s="9" t="str">
        <f>HYPERLINK("http://www.ncbi.nlm.nih.gov/protein/219275596","Nars")</f>
        <v>Nars</v>
      </c>
      <c r="D4809" s="10">
        <f t="shared" si="75"/>
        <v>5.6018276832273042</v>
      </c>
      <c r="F4809" s="8" t="str">
        <f>HYPERLINK("https://esbl.nhlbi.nih.gov/Databases/mpkFractions/proteomic_fractions_log_files/Yang_log_img/219275596.jpg","show blot")</f>
        <v>show blot</v>
      </c>
      <c r="H4809" s="8" t="str">
        <f>HYPERLINK("https://esbl.nhlbi.nih.gov/Databases/mpkFractions/proteomic_fractions_linear_files/Yang_linear_img/219275596.jpg","show blot")</f>
        <v>show blot</v>
      </c>
      <c r="J4809" s="5" t="s">
        <v>9413</v>
      </c>
      <c r="L4809" s="11">
        <v>5.6018276832273042</v>
      </c>
      <c r="N4809" s="12"/>
    </row>
    <row r="4810" spans="1:14" s="5" customFormat="1" ht="15" customHeight="1" x14ac:dyDescent="0.25">
      <c r="A4810" s="9" t="s">
        <v>9414</v>
      </c>
      <c r="C4810" s="9" t="str">
        <f>HYPERLINK("http://www.ncbi.nlm.nih.gov/protein/219276601","Nars")</f>
        <v>Nars</v>
      </c>
      <c r="D4810" s="10">
        <f t="shared" si="75"/>
        <v>5.6018276832273042</v>
      </c>
      <c r="F4810" s="8" t="str">
        <f>HYPERLINK("https://esbl.nhlbi.nih.gov/Databases/mpkFractions/proteomic_fractions_log_files/Yang_log_img/219276601.jpg","show blot")</f>
        <v>show blot</v>
      </c>
      <c r="H4810" s="8" t="str">
        <f>HYPERLINK("https://esbl.nhlbi.nih.gov/Databases/mpkFractions/proteomic_fractions_linear_files/Yang_linear_img/219276601.jpg","show blot")</f>
        <v>show blot</v>
      </c>
      <c r="J4810" s="5" t="s">
        <v>9415</v>
      </c>
      <c r="L4810" s="11">
        <v>5.6018276832273042</v>
      </c>
      <c r="N4810" s="12"/>
    </row>
    <row r="4811" spans="1:14" s="5" customFormat="1" ht="15" customHeight="1" x14ac:dyDescent="0.25">
      <c r="A4811" s="9" t="s">
        <v>9416</v>
      </c>
      <c r="C4811" s="9" t="str">
        <f>HYPERLINK("http://www.ncbi.nlm.nih.gov/protein/125490378","Nasp")</f>
        <v>Nasp</v>
      </c>
      <c r="D4811" s="10">
        <f t="shared" si="75"/>
        <v>5.9802199066685722</v>
      </c>
      <c r="F4811" s="8" t="str">
        <f>HYPERLINK("https://esbl.nhlbi.nih.gov/Databases/mpkFractions/proteomic_fractions_log_files/Yang_log_img/125490378.jpg","show blot")</f>
        <v>show blot</v>
      </c>
      <c r="H4811" s="8" t="str">
        <f>HYPERLINK("https://esbl.nhlbi.nih.gov/Databases/mpkFractions/proteomic_fractions_linear_files/Yang_linear_img/125490378.jpg","show blot")</f>
        <v>show blot</v>
      </c>
      <c r="J4811" s="5" t="s">
        <v>9417</v>
      </c>
      <c r="L4811" s="11">
        <v>5.9802199066685722</v>
      </c>
      <c r="N4811" s="12"/>
    </row>
    <row r="4812" spans="1:14" s="5" customFormat="1" ht="15" customHeight="1" x14ac:dyDescent="0.25">
      <c r="A4812" s="9" t="s">
        <v>9418</v>
      </c>
      <c r="C4812" s="9" t="str">
        <f>HYPERLINK("http://www.ncbi.nlm.nih.gov/protein/126090505","Nasp")</f>
        <v>Nasp</v>
      </c>
      <c r="D4812" s="10">
        <f t="shared" si="75"/>
        <v>5.9802199066685722</v>
      </c>
      <c r="F4812" s="8" t="str">
        <f>HYPERLINK("https://esbl.nhlbi.nih.gov/Databases/mpkFractions/proteomic_fractions_log_files/Yang_log_img/126090505.jpg","show blot")</f>
        <v>show blot</v>
      </c>
      <c r="H4812" s="8" t="str">
        <f>HYPERLINK("https://esbl.nhlbi.nih.gov/Databases/mpkFractions/proteomic_fractions_linear_files/Yang_linear_img/126090505.jpg","show blot")</f>
        <v>show blot</v>
      </c>
      <c r="J4812" s="5" t="s">
        <v>9419</v>
      </c>
      <c r="L4812" s="11">
        <v>5.9802199066685722</v>
      </c>
      <c r="N4812" s="12"/>
    </row>
    <row r="4813" spans="1:14" s="5" customFormat="1" ht="15" customHeight="1" x14ac:dyDescent="0.25">
      <c r="A4813" s="9" t="s">
        <v>9420</v>
      </c>
      <c r="C4813" s="9" t="str">
        <f>HYPERLINK("http://www.ncbi.nlm.nih.gov/protein/23346561","Nat10")</f>
        <v>Nat10</v>
      </c>
      <c r="D4813" s="10">
        <f t="shared" si="75"/>
        <v>3.6309203622789492</v>
      </c>
      <c r="F4813" s="8" t="str">
        <f>HYPERLINK("https://esbl.nhlbi.nih.gov/Databases/mpkFractions/proteomic_fractions_log_files/Yang_log_img/23346561.jpg","show blot")</f>
        <v>show blot</v>
      </c>
      <c r="H4813" s="8" t="str">
        <f>HYPERLINK("https://esbl.nhlbi.nih.gov/Databases/mpkFractions/proteomic_fractions_linear_files/Yang_linear_img/23346561.jpg","show blot")</f>
        <v>show blot</v>
      </c>
      <c r="J4813" s="5" t="s">
        <v>9421</v>
      </c>
      <c r="L4813" s="11">
        <v>3.6309203622789492</v>
      </c>
      <c r="N4813" s="12"/>
    </row>
    <row r="4814" spans="1:14" s="5" customFormat="1" ht="15" customHeight="1" x14ac:dyDescent="0.25">
      <c r="A4814" s="9" t="s">
        <v>9422</v>
      </c>
      <c r="C4814" s="9" t="str">
        <f>HYPERLINK("http://www.ncbi.nlm.nih.gov/protein/6754794","Nat2")</f>
        <v>Nat2</v>
      </c>
      <c r="D4814" s="10">
        <f t="shared" si="75"/>
        <v>3.3797193516209689</v>
      </c>
      <c r="F4814" s="8" t="str">
        <f>HYPERLINK("https://esbl.nhlbi.nih.gov/Databases/mpkFractions/proteomic_fractions_log_files/Yang_log_img/6754794.jpg","show blot")</f>
        <v>show blot</v>
      </c>
      <c r="H4814" s="8" t="str">
        <f>HYPERLINK("https://esbl.nhlbi.nih.gov/Databases/mpkFractions/proteomic_fractions_linear_files/Yang_linear_img/6754794.jpg","show blot")</f>
        <v>show blot</v>
      </c>
      <c r="J4814" s="5" t="s">
        <v>9423</v>
      </c>
      <c r="L4814" s="11">
        <v>3.3797193516209689</v>
      </c>
      <c r="N4814" s="12"/>
    </row>
    <row r="4815" spans="1:14" s="5" customFormat="1" ht="15" customHeight="1" x14ac:dyDescent="0.25">
      <c r="A4815" s="9" t="s">
        <v>9424</v>
      </c>
      <c r="C4815" s="9" t="str">
        <f>HYPERLINK("http://www.ncbi.nlm.nih.gov/protein/13384782","Nat9")</f>
        <v>Nat9</v>
      </c>
      <c r="D4815" s="10">
        <f t="shared" si="75"/>
        <v>3.695179062707592</v>
      </c>
      <c r="F4815" s="8" t="str">
        <f>HYPERLINK("https://esbl.nhlbi.nih.gov/Databases/mpkFractions/proteomic_fractions_log_files/Yang_log_img/13384782.jpg","show blot")</f>
        <v>show blot</v>
      </c>
      <c r="H4815" s="8" t="str">
        <f>HYPERLINK("https://esbl.nhlbi.nih.gov/Databases/mpkFractions/proteomic_fractions_linear_files/Yang_linear_img/13384782.jpg","show blot")</f>
        <v>show blot</v>
      </c>
      <c r="J4815" s="5" t="s">
        <v>9425</v>
      </c>
      <c r="L4815" s="11">
        <v>3.695179062707592</v>
      </c>
      <c r="N4815" s="12"/>
    </row>
    <row r="4816" spans="1:14" s="5" customFormat="1" ht="15" customHeight="1" x14ac:dyDescent="0.25">
      <c r="A4816" s="9" t="s">
        <v>9426</v>
      </c>
      <c r="C4816" s="9" t="str">
        <f>HYPERLINK("http://www.ncbi.nlm.nih.gov/protein/167466222","Nav2")</f>
        <v>Nav2</v>
      </c>
      <c r="D4816" s="10">
        <f t="shared" si="75"/>
        <v>4.1629923211518776</v>
      </c>
      <c r="F4816" s="8" t="str">
        <f>HYPERLINK("https://esbl.nhlbi.nih.gov/Databases/mpkFractions/proteomic_fractions_log_files/Yang_log_img/167466222.jpg","show blot")</f>
        <v>show blot</v>
      </c>
      <c r="H4816" s="8" t="str">
        <f>HYPERLINK("https://esbl.nhlbi.nih.gov/Databases/mpkFractions/proteomic_fractions_linear_files/Yang_linear_img/167466222.jpg","show blot")</f>
        <v>show blot</v>
      </c>
      <c r="J4816" s="5" t="s">
        <v>9427</v>
      </c>
      <c r="L4816" s="11">
        <v>4.1629923211518776</v>
      </c>
      <c r="N4816" s="12"/>
    </row>
    <row r="4817" spans="1:14" s="5" customFormat="1" ht="15" customHeight="1" x14ac:dyDescent="0.25">
      <c r="A4817" s="9" t="s">
        <v>9428</v>
      </c>
      <c r="C4817" s="9" t="str">
        <f>HYPERLINK("http://www.ncbi.nlm.nih.gov/protein/167466226","Nav2")</f>
        <v>Nav2</v>
      </c>
      <c r="D4817" s="10">
        <f t="shared" si="75"/>
        <v>4.1629923211518776</v>
      </c>
      <c r="F4817" s="8" t="str">
        <f>HYPERLINK("https://esbl.nhlbi.nih.gov/Databases/mpkFractions/proteomic_fractions_log_files/Yang_log_img/167466226.jpg","show blot")</f>
        <v>show blot</v>
      </c>
      <c r="H4817" s="8" t="str">
        <f>HYPERLINK("https://esbl.nhlbi.nih.gov/Databases/mpkFractions/proteomic_fractions_linear_files/Yang_linear_img/167466226.jpg","show blot")</f>
        <v>show blot</v>
      </c>
      <c r="J4817" s="5" t="s">
        <v>9429</v>
      </c>
      <c r="L4817" s="11">
        <v>4.1629923211518776</v>
      </c>
      <c r="N4817" s="12"/>
    </row>
    <row r="4818" spans="1:14" s="5" customFormat="1" ht="15" customHeight="1" x14ac:dyDescent="0.25">
      <c r="A4818" s="9" t="s">
        <v>9430</v>
      </c>
      <c r="C4818" s="9" t="str">
        <f>HYPERLINK("http://www.ncbi.nlm.nih.gov/protein/255003837","Nbas")</f>
        <v>Nbas</v>
      </c>
      <c r="D4818" s="10">
        <f t="shared" si="75"/>
        <v>2.7406233220862299</v>
      </c>
      <c r="F4818" s="8" t="str">
        <f>HYPERLINK("https://esbl.nhlbi.nih.gov/Databases/mpkFractions/proteomic_fractions_log_files/Yang_log_img/255003837.jpg","show blot")</f>
        <v>show blot</v>
      </c>
      <c r="H4818" s="8" t="str">
        <f>HYPERLINK("https://esbl.nhlbi.nih.gov/Databases/mpkFractions/proteomic_fractions_linear_files/Yang_linear_img/255003837.jpg","show blot")</f>
        <v>show blot</v>
      </c>
      <c r="J4818" s="5" t="s">
        <v>9431</v>
      </c>
      <c r="L4818" s="11">
        <v>2.7406233220862299</v>
      </c>
      <c r="N4818" s="12"/>
    </row>
    <row r="4819" spans="1:14" s="5" customFormat="1" ht="15" customHeight="1" x14ac:dyDescent="0.25">
      <c r="A4819" s="9" t="s">
        <v>9432</v>
      </c>
      <c r="C4819" s="9" t="str">
        <f>HYPERLINK("http://www.ncbi.nlm.nih.gov/protein/158854037","Nbea")</f>
        <v>Nbea</v>
      </c>
      <c r="D4819" s="10">
        <f t="shared" si="75"/>
        <v>5.1048626316560393</v>
      </c>
      <c r="F4819" s="8" t="str">
        <f>HYPERLINK("https://esbl.nhlbi.nih.gov/Databases/mpkFractions/proteomic_fractions_log_files/Yang_log_img/158854037.jpg","show blot")</f>
        <v>show blot</v>
      </c>
      <c r="H4819" s="8" t="str">
        <f>HYPERLINK("https://esbl.nhlbi.nih.gov/Databases/mpkFractions/proteomic_fractions_linear_files/Yang_linear_img/158854037.jpg","show blot")</f>
        <v>show blot</v>
      </c>
      <c r="J4819" s="5" t="s">
        <v>9433</v>
      </c>
      <c r="L4819" s="11">
        <v>5.1048626316560393</v>
      </c>
      <c r="N4819" s="12"/>
    </row>
    <row r="4820" spans="1:14" s="5" customFormat="1" ht="15" customHeight="1" x14ac:dyDescent="0.25">
      <c r="A4820" s="9" t="s">
        <v>9434</v>
      </c>
      <c r="C4820" s="9" t="str">
        <f>HYPERLINK("http://www.ncbi.nlm.nih.gov/protein/153791557","Nbeal1")</f>
        <v>Nbeal1</v>
      </c>
      <c r="D4820" s="10">
        <f t="shared" si="75"/>
        <v>4.0791744073949827</v>
      </c>
      <c r="F4820" s="8" t="str">
        <f>HYPERLINK("https://esbl.nhlbi.nih.gov/Databases/mpkFractions/proteomic_fractions_log_files/Yang_log_img/153791557.jpg","show blot")</f>
        <v>show blot</v>
      </c>
      <c r="H4820" s="8" t="str">
        <f>HYPERLINK("https://esbl.nhlbi.nih.gov/Databases/mpkFractions/proteomic_fractions_linear_files/Yang_linear_img/153791557.jpg","show blot")</f>
        <v>show blot</v>
      </c>
      <c r="J4820" s="5" t="s">
        <v>9435</v>
      </c>
      <c r="L4820" s="11">
        <v>4.0791744073949827</v>
      </c>
      <c r="N4820" s="12"/>
    </row>
    <row r="4821" spans="1:14" s="5" customFormat="1" ht="15" customHeight="1" x14ac:dyDescent="0.25">
      <c r="A4821" s="9" t="s">
        <v>9436</v>
      </c>
      <c r="C4821" s="9" t="str">
        <f>HYPERLINK("http://www.ncbi.nlm.nih.gov/protein/254911027","Nbeal2")</f>
        <v>Nbeal2</v>
      </c>
      <c r="D4821" s="10">
        <f t="shared" si="75"/>
        <v>4.4639839209600538</v>
      </c>
      <c r="F4821" s="8" t="str">
        <f>HYPERLINK("https://esbl.nhlbi.nih.gov/Databases/mpkFractions/proteomic_fractions_log_files/Yang_log_img/254911027.jpg","show blot")</f>
        <v>show blot</v>
      </c>
      <c r="H4821" s="8" t="str">
        <f>HYPERLINK("https://esbl.nhlbi.nih.gov/Databases/mpkFractions/proteomic_fractions_linear_files/Yang_linear_img/254911027.jpg","show blot")</f>
        <v>show blot</v>
      </c>
      <c r="J4821" s="5" t="s">
        <v>9437</v>
      </c>
      <c r="L4821" s="11">
        <v>4.4639839209600538</v>
      </c>
      <c r="N4821" s="12"/>
    </row>
    <row r="4822" spans="1:14" s="5" customFormat="1" ht="15" customHeight="1" x14ac:dyDescent="0.25">
      <c r="A4822" s="9" t="s">
        <v>9438</v>
      </c>
      <c r="C4822" s="9" t="str">
        <f>HYPERLINK("http://www.ncbi.nlm.nih.gov/protein/31324569","Ncald")</f>
        <v>Ncald</v>
      </c>
      <c r="D4822" s="10">
        <f t="shared" si="75"/>
        <v>4.2166604992694214</v>
      </c>
      <c r="F4822" s="8" t="str">
        <f>HYPERLINK("https://esbl.nhlbi.nih.gov/Databases/mpkFractions/proteomic_fractions_log_files/Yang_log_img/31324569.jpg","show blot")</f>
        <v>show blot</v>
      </c>
      <c r="H4822" s="8" t="str">
        <f>HYPERLINK("https://esbl.nhlbi.nih.gov/Databases/mpkFractions/proteomic_fractions_linear_files/Yang_linear_img/31324569.jpg","show blot")</f>
        <v>show blot</v>
      </c>
      <c r="J4822" s="5" t="s">
        <v>9439</v>
      </c>
      <c r="L4822" s="11">
        <v>4.2166604992694214</v>
      </c>
      <c r="N4822" s="12"/>
    </row>
    <row r="4823" spans="1:14" s="5" customFormat="1" ht="15" customHeight="1" x14ac:dyDescent="0.25">
      <c r="A4823" s="9" t="s">
        <v>9440</v>
      </c>
      <c r="C4823" s="9" t="str">
        <f>HYPERLINK("http://www.ncbi.nlm.nih.gov/protein/22165392","Ncapd2")</f>
        <v>Ncapd2</v>
      </c>
      <c r="D4823" s="10">
        <f t="shared" si="75"/>
        <v>4.559848435079874</v>
      </c>
      <c r="F4823" s="8" t="str">
        <f>HYPERLINK("https://esbl.nhlbi.nih.gov/Databases/mpkFractions/proteomic_fractions_log_files/Yang_log_img/22165392.jpg","show blot")</f>
        <v>show blot</v>
      </c>
      <c r="H4823" s="8" t="str">
        <f>HYPERLINK("https://esbl.nhlbi.nih.gov/Databases/mpkFractions/proteomic_fractions_linear_files/Yang_linear_img/22165392.jpg","show blot")</f>
        <v>show blot</v>
      </c>
      <c r="J4823" s="5" t="s">
        <v>9441</v>
      </c>
      <c r="L4823" s="11">
        <v>4.559848435079874</v>
      </c>
      <c r="N4823" s="12"/>
    </row>
    <row r="4824" spans="1:14" s="5" customFormat="1" ht="15" customHeight="1" x14ac:dyDescent="0.25">
      <c r="A4824" s="9" t="s">
        <v>9442</v>
      </c>
      <c r="C4824" s="9" t="str">
        <f>HYPERLINK("http://www.ncbi.nlm.nih.gov/protein/161016797","Ncapd3")</f>
        <v>Ncapd3</v>
      </c>
      <c r="D4824" s="10">
        <f t="shared" si="75"/>
        <v>4.1879417049979279</v>
      </c>
      <c r="F4824" s="8" t="str">
        <f>HYPERLINK("https://esbl.nhlbi.nih.gov/Databases/mpkFractions/proteomic_fractions_log_files/Yang_log_img/161016797.jpg","show blot")</f>
        <v>show blot</v>
      </c>
      <c r="H4824" s="8" t="str">
        <f>HYPERLINK("https://esbl.nhlbi.nih.gov/Databases/mpkFractions/proteomic_fractions_linear_files/Yang_linear_img/161016797.jpg","show blot")</f>
        <v>show blot</v>
      </c>
      <c r="J4824" s="5" t="s">
        <v>9443</v>
      </c>
      <c r="L4824" s="11">
        <v>4.1879417049979279</v>
      </c>
      <c r="N4824" s="12"/>
    </row>
    <row r="4825" spans="1:14" s="5" customFormat="1" ht="15" customHeight="1" x14ac:dyDescent="0.25">
      <c r="A4825" s="9" t="s">
        <v>9444</v>
      </c>
      <c r="C4825" s="9" t="str">
        <f>HYPERLINK("http://www.ncbi.nlm.nih.gov/protein/169234780","Ncapg")</f>
        <v>Ncapg</v>
      </c>
      <c r="D4825" s="10">
        <f t="shared" si="75"/>
        <v>4.8666978501315032</v>
      </c>
      <c r="F4825" s="8" t="str">
        <f>HYPERLINK("https://esbl.nhlbi.nih.gov/Databases/mpkFractions/proteomic_fractions_log_files/Yang_log_img/169234780.jpg","show blot")</f>
        <v>show blot</v>
      </c>
      <c r="H4825" s="8" t="str">
        <f>HYPERLINK("https://esbl.nhlbi.nih.gov/Databases/mpkFractions/proteomic_fractions_linear_files/Yang_linear_img/169234780.jpg","show blot")</f>
        <v>show blot</v>
      </c>
      <c r="J4825" s="5" t="s">
        <v>9445</v>
      </c>
      <c r="L4825" s="11">
        <v>4.8666978501315032</v>
      </c>
      <c r="N4825" s="12"/>
    </row>
    <row r="4826" spans="1:14" s="5" customFormat="1" ht="15" customHeight="1" x14ac:dyDescent="0.25">
      <c r="A4826" s="9" t="s">
        <v>9446</v>
      </c>
      <c r="C4826" s="9" t="str">
        <f>HYPERLINK("http://www.ncbi.nlm.nih.gov/protein/91208439","Ncapg2")</f>
        <v>Ncapg2</v>
      </c>
      <c r="D4826" s="10">
        <f t="shared" si="75"/>
        <v>4.3546509771113664</v>
      </c>
      <c r="F4826" s="8" t="str">
        <f>HYPERLINK("https://esbl.nhlbi.nih.gov/Databases/mpkFractions/proteomic_fractions_log_files/Yang_log_img/91208439.jpg","show blot")</f>
        <v>show blot</v>
      </c>
      <c r="H4826" s="8" t="str">
        <f>HYPERLINK("https://esbl.nhlbi.nih.gov/Databases/mpkFractions/proteomic_fractions_linear_files/Yang_linear_img/91208439.jpg","show blot")</f>
        <v>show blot</v>
      </c>
      <c r="J4826" s="5" t="s">
        <v>9447</v>
      </c>
      <c r="L4826" s="11">
        <v>4.3546509771113664</v>
      </c>
      <c r="N4826" s="12"/>
    </row>
    <row r="4827" spans="1:14" s="5" customFormat="1" ht="15" customHeight="1" x14ac:dyDescent="0.25">
      <c r="A4827" s="9" t="s">
        <v>9448</v>
      </c>
      <c r="C4827" s="9" t="str">
        <f>HYPERLINK("http://www.ncbi.nlm.nih.gov/protein/295389521","Ncaph")</f>
        <v>Ncaph</v>
      </c>
      <c r="D4827" s="10">
        <f t="shared" si="75"/>
        <v>3.7943760295780011</v>
      </c>
      <c r="F4827" s="8" t="str">
        <f>HYPERLINK("https://esbl.nhlbi.nih.gov/Databases/mpkFractions/proteomic_fractions_log_files/Yang_log_img/295389521.jpg","show blot")</f>
        <v>show blot</v>
      </c>
      <c r="H4827" s="8" t="str">
        <f>HYPERLINK("https://esbl.nhlbi.nih.gov/Databases/mpkFractions/proteomic_fractions_linear_files/Yang_linear_img/295389521.jpg","show blot")</f>
        <v>show blot</v>
      </c>
      <c r="J4827" s="5" t="s">
        <v>9449</v>
      </c>
      <c r="L4827" s="11">
        <v>3.7943760295780011</v>
      </c>
      <c r="N4827" s="12"/>
    </row>
    <row r="4828" spans="1:14" s="5" customFormat="1" ht="15" customHeight="1" x14ac:dyDescent="0.25">
      <c r="A4828" s="9" t="s">
        <v>9450</v>
      </c>
      <c r="C4828" s="9" t="str">
        <f>HYPERLINK("http://www.ncbi.nlm.nih.gov/protein/169646203","Ncaph2")</f>
        <v>Ncaph2</v>
      </c>
      <c r="D4828" s="10">
        <f t="shared" si="75"/>
        <v>4.5863560896750259</v>
      </c>
      <c r="F4828" s="8" t="str">
        <f>HYPERLINK("https://esbl.nhlbi.nih.gov/Databases/mpkFractions/proteomic_fractions_log_files/Yang_log_img/169646203.jpg","show blot")</f>
        <v>show blot</v>
      </c>
      <c r="H4828" s="8" t="str">
        <f>HYPERLINK("https://esbl.nhlbi.nih.gov/Databases/mpkFractions/proteomic_fractions_linear_files/Yang_linear_img/169646203.jpg","show blot")</f>
        <v>show blot</v>
      </c>
      <c r="J4828" s="5" t="s">
        <v>9451</v>
      </c>
      <c r="L4828" s="11">
        <v>4.5863560896750259</v>
      </c>
      <c r="N4828" s="12"/>
    </row>
    <row r="4829" spans="1:14" s="5" customFormat="1" ht="15" customHeight="1" x14ac:dyDescent="0.25">
      <c r="A4829" s="9" t="s">
        <v>9452</v>
      </c>
      <c r="C4829" s="9" t="str">
        <f>HYPERLINK("http://www.ncbi.nlm.nih.gov/protein/409971409","Ncaph2")</f>
        <v>Ncaph2</v>
      </c>
      <c r="D4829" s="10">
        <f t="shared" si="75"/>
        <v>4.5863560896750259</v>
      </c>
      <c r="F4829" s="8" t="str">
        <f>HYPERLINK("https://esbl.nhlbi.nih.gov/Databases/mpkFractions/proteomic_fractions_log_files/Yang_log_img/409971409.jpg","show blot")</f>
        <v>show blot</v>
      </c>
      <c r="H4829" s="8" t="str">
        <f>HYPERLINK("https://esbl.nhlbi.nih.gov/Databases/mpkFractions/proteomic_fractions_linear_files/Yang_linear_img/409971409.jpg","show blot")</f>
        <v>show blot</v>
      </c>
      <c r="J4829" s="5" t="s">
        <v>9453</v>
      </c>
      <c r="L4829" s="11">
        <v>4.5863560896750259</v>
      </c>
      <c r="N4829" s="12"/>
    </row>
    <row r="4830" spans="1:14" s="5" customFormat="1" ht="15" customHeight="1" x14ac:dyDescent="0.25">
      <c r="A4830" s="9" t="s">
        <v>9454</v>
      </c>
      <c r="C4830" s="9" t="str">
        <f>HYPERLINK("http://www.ncbi.nlm.nih.gov/protein/409971411","Ncaph2")</f>
        <v>Ncaph2</v>
      </c>
      <c r="D4830" s="10">
        <f t="shared" si="75"/>
        <v>4.5863560896750259</v>
      </c>
      <c r="F4830" s="8" t="str">
        <f>HYPERLINK("https://esbl.nhlbi.nih.gov/Databases/mpkFractions/proteomic_fractions_log_files/Yang_log_img/409971411.jpg","show blot")</f>
        <v>show blot</v>
      </c>
      <c r="H4830" s="8" t="str">
        <f>HYPERLINK("https://esbl.nhlbi.nih.gov/Databases/mpkFractions/proteomic_fractions_linear_files/Yang_linear_img/409971411.jpg","show blot")</f>
        <v>show blot</v>
      </c>
      <c r="J4830" s="5" t="s">
        <v>9455</v>
      </c>
      <c r="L4830" s="11">
        <v>4.5863560896750259</v>
      </c>
      <c r="N4830" s="12"/>
    </row>
    <row r="4831" spans="1:14" s="5" customFormat="1" ht="15" customHeight="1" x14ac:dyDescent="0.25">
      <c r="A4831" s="9" t="s">
        <v>9456</v>
      </c>
      <c r="C4831" s="9" t="str">
        <f>HYPERLINK("http://www.ncbi.nlm.nih.gov/protein/144922627","Ncbp1")</f>
        <v>Ncbp1</v>
      </c>
      <c r="D4831" s="10">
        <f t="shared" si="75"/>
        <v>4.8492717617471239</v>
      </c>
      <c r="F4831" s="8" t="str">
        <f>HYPERLINK("https://esbl.nhlbi.nih.gov/Databases/mpkFractions/proteomic_fractions_log_files/Yang_log_img/144922627.jpg","show blot")</f>
        <v>show blot</v>
      </c>
      <c r="H4831" s="8" t="str">
        <f>HYPERLINK("https://esbl.nhlbi.nih.gov/Databases/mpkFractions/proteomic_fractions_linear_files/Yang_linear_img/144922627.jpg","show blot")</f>
        <v>show blot</v>
      </c>
      <c r="J4831" s="5" t="s">
        <v>9457</v>
      </c>
      <c r="L4831" s="11">
        <v>4.8492717617471239</v>
      </c>
      <c r="N4831" s="12"/>
    </row>
    <row r="4832" spans="1:14" s="5" customFormat="1" ht="15" customHeight="1" x14ac:dyDescent="0.25">
      <c r="A4832" s="9" t="s">
        <v>9458</v>
      </c>
      <c r="C4832" s="9" t="str">
        <f>HYPERLINK("http://www.ncbi.nlm.nih.gov/protein/13386056","Ncbp2")</f>
        <v>Ncbp2</v>
      </c>
      <c r="D4832" s="10">
        <f t="shared" si="75"/>
        <v>4.8586085436125552</v>
      </c>
      <c r="F4832" s="8" t="str">
        <f>HYPERLINK("https://esbl.nhlbi.nih.gov/Databases/mpkFractions/proteomic_fractions_log_files/Yang_log_img/13386056.jpg","show blot")</f>
        <v>show blot</v>
      </c>
      <c r="H4832" s="8" t="str">
        <f>HYPERLINK("https://esbl.nhlbi.nih.gov/Databases/mpkFractions/proteomic_fractions_linear_files/Yang_linear_img/13386056.jpg","show blot")</f>
        <v>show blot</v>
      </c>
      <c r="J4832" s="5" t="s">
        <v>9459</v>
      </c>
      <c r="L4832" s="11">
        <v>4.8586085436125552</v>
      </c>
      <c r="N4832" s="12"/>
    </row>
    <row r="4833" spans="1:14" s="5" customFormat="1" ht="15" customHeight="1" x14ac:dyDescent="0.25">
      <c r="A4833" s="9" t="s">
        <v>9460</v>
      </c>
      <c r="C4833" s="9" t="str">
        <f>HYPERLINK("http://www.ncbi.nlm.nih.gov/protein/172072590","Ncdn")</f>
        <v>Ncdn</v>
      </c>
      <c r="D4833" s="10">
        <f t="shared" si="75"/>
        <v>2.335478300303333</v>
      </c>
      <c r="F4833" s="8" t="str">
        <f>HYPERLINK("https://esbl.nhlbi.nih.gov/Databases/mpkFractions/proteomic_fractions_log_files/Yang_log_img/172072590.jpg","show blot")</f>
        <v>show blot</v>
      </c>
      <c r="H4833" s="8" t="str">
        <f>HYPERLINK("https://esbl.nhlbi.nih.gov/Databases/mpkFractions/proteomic_fractions_linear_files/Yang_linear_img/172072590.jpg","show blot")</f>
        <v>show blot</v>
      </c>
      <c r="J4833" s="5" t="s">
        <v>9461</v>
      </c>
      <c r="L4833" s="11">
        <v>2.335478300303333</v>
      </c>
      <c r="N4833" s="12"/>
    </row>
    <row r="4834" spans="1:14" s="5" customFormat="1" ht="15" customHeight="1" x14ac:dyDescent="0.25">
      <c r="A4834" s="9" t="s">
        <v>9462</v>
      </c>
      <c r="C4834" s="9" t="str">
        <f>HYPERLINK("http://www.ncbi.nlm.nih.gov/protein/30520239","Nceh1")</f>
        <v>Nceh1</v>
      </c>
      <c r="D4834" s="10">
        <f t="shared" si="75"/>
        <v>5.7566366263468582</v>
      </c>
      <c r="F4834" s="8" t="str">
        <f>HYPERLINK("https://esbl.nhlbi.nih.gov/Databases/mpkFractions/proteomic_fractions_log_files/Yang_log_img/30520239.jpg","show blot")</f>
        <v>show blot</v>
      </c>
      <c r="H4834" s="8" t="str">
        <f>HYPERLINK("https://esbl.nhlbi.nih.gov/Databases/mpkFractions/proteomic_fractions_linear_files/Yang_linear_img/30520239.jpg","show blot")</f>
        <v>show blot</v>
      </c>
      <c r="J4834" s="5" t="s">
        <v>9463</v>
      </c>
      <c r="L4834" s="11">
        <v>5.7566366263468582</v>
      </c>
      <c r="N4834" s="12"/>
    </row>
    <row r="4835" spans="1:14" s="5" customFormat="1" ht="15" customHeight="1" x14ac:dyDescent="0.25">
      <c r="A4835" s="9" t="s">
        <v>9464</v>
      </c>
      <c r="C4835" s="9" t="str">
        <f>HYPERLINK("http://www.ncbi.nlm.nih.gov/protein/34328187","Nck1")</f>
        <v>Nck1</v>
      </c>
      <c r="D4835" s="10">
        <f t="shared" si="75"/>
        <v>4.0137664304080776</v>
      </c>
      <c r="F4835" s="8" t="str">
        <f>HYPERLINK("https://esbl.nhlbi.nih.gov/Databases/mpkFractions/proteomic_fractions_log_files/Yang_log_img/34328187.jpg","show blot")</f>
        <v>show blot</v>
      </c>
      <c r="H4835" s="8" t="str">
        <f>HYPERLINK("https://esbl.nhlbi.nih.gov/Databases/mpkFractions/proteomic_fractions_linear_files/Yang_linear_img/34328187.jpg","show blot")</f>
        <v>show blot</v>
      </c>
      <c r="J4835" s="5" t="s">
        <v>9465</v>
      </c>
      <c r="L4835" s="11">
        <v>4.0137664304080776</v>
      </c>
      <c r="N4835" s="12"/>
    </row>
    <row r="4836" spans="1:14" s="5" customFormat="1" ht="15" customHeight="1" x14ac:dyDescent="0.25">
      <c r="A4836" s="9" t="s">
        <v>9466</v>
      </c>
      <c r="C4836" s="9" t="str">
        <f>HYPERLINK("http://www.ncbi.nlm.nih.gov/protein/190610036","Nck2")</f>
        <v>Nck2</v>
      </c>
      <c r="D4836" s="10">
        <f t="shared" si="75"/>
        <v>3.758520747820548</v>
      </c>
      <c r="F4836" s="8" t="str">
        <f>HYPERLINK("https://esbl.nhlbi.nih.gov/Databases/mpkFractions/proteomic_fractions_log_files/Yang_log_img/190610036.jpg","show blot")</f>
        <v>show blot</v>
      </c>
      <c r="H4836" s="8" t="str">
        <f>HYPERLINK("https://esbl.nhlbi.nih.gov/Databases/mpkFractions/proteomic_fractions_linear_files/Yang_linear_img/190610036.jpg","show blot")</f>
        <v>show blot</v>
      </c>
      <c r="J4836" s="5" t="s">
        <v>9467</v>
      </c>
      <c r="L4836" s="11">
        <v>3.758520747820548</v>
      </c>
      <c r="N4836" s="12"/>
    </row>
    <row r="4837" spans="1:14" s="5" customFormat="1" ht="15" customHeight="1" x14ac:dyDescent="0.25">
      <c r="A4837" s="9" t="s">
        <v>9468</v>
      </c>
      <c r="C4837" s="9" t="str">
        <f>HYPERLINK("http://www.ncbi.nlm.nih.gov/protein/28395023","Nckap1")</f>
        <v>Nckap1</v>
      </c>
      <c r="D4837" s="10">
        <f t="shared" si="75"/>
        <v>4.7777612863146857</v>
      </c>
      <c r="F4837" s="8" t="str">
        <f>HYPERLINK("https://esbl.nhlbi.nih.gov/Databases/mpkFractions/proteomic_fractions_log_files/Yang_log_img/28395023.jpg","show blot")</f>
        <v>show blot</v>
      </c>
      <c r="H4837" s="8" t="str">
        <f>HYPERLINK("https://esbl.nhlbi.nih.gov/Databases/mpkFractions/proteomic_fractions_linear_files/Yang_linear_img/28395023.jpg","show blot")</f>
        <v>show blot</v>
      </c>
      <c r="J4837" s="5" t="s">
        <v>9469</v>
      </c>
      <c r="L4837" s="11">
        <v>4.7777612863146857</v>
      </c>
      <c r="N4837" s="12"/>
    </row>
    <row r="4838" spans="1:14" s="5" customFormat="1" ht="15" customHeight="1" x14ac:dyDescent="0.25">
      <c r="A4838" s="9" t="s">
        <v>9470</v>
      </c>
      <c r="C4838" s="9" t="str">
        <f>HYPERLINK("http://www.ncbi.nlm.nih.gov/protein/23943795","Nckap1l")</f>
        <v>Nckap1l</v>
      </c>
      <c r="D4838" s="10">
        <f t="shared" si="75"/>
        <v>2.875832656990426</v>
      </c>
      <c r="F4838" s="8" t="str">
        <f>HYPERLINK("https://esbl.nhlbi.nih.gov/Databases/mpkFractions/proteomic_fractions_log_files/Yang_log_img/23943795.jpg","show blot")</f>
        <v>show blot</v>
      </c>
      <c r="H4838" s="8" t="str">
        <f>HYPERLINK("https://esbl.nhlbi.nih.gov/Databases/mpkFractions/proteomic_fractions_linear_files/Yang_linear_img/23943795.jpg","show blot")</f>
        <v>show blot</v>
      </c>
      <c r="J4838" s="5" t="s">
        <v>9471</v>
      </c>
      <c r="L4838" s="11">
        <v>2.875832656990426</v>
      </c>
      <c r="N4838" s="12"/>
    </row>
    <row r="4839" spans="1:14" s="5" customFormat="1" ht="15" customHeight="1" x14ac:dyDescent="0.25">
      <c r="A4839" s="9" t="s">
        <v>9472</v>
      </c>
      <c r="C4839" s="9" t="str">
        <f>HYPERLINK("http://www.ncbi.nlm.nih.gov/protein/49258190","Nckipsd")</f>
        <v>Nckipsd</v>
      </c>
      <c r="D4839" s="10">
        <f t="shared" si="75"/>
        <v>2.3858124423569449</v>
      </c>
      <c r="F4839" s="8" t="str">
        <f>HYPERLINK("https://esbl.nhlbi.nih.gov/Databases/mpkFractions/proteomic_fractions_log_files/Yang_log_img/49258190.jpg","show blot")</f>
        <v>show blot</v>
      </c>
      <c r="H4839" s="8" t="str">
        <f>HYPERLINK("https://esbl.nhlbi.nih.gov/Databases/mpkFractions/proteomic_fractions_linear_files/Yang_linear_img/49258190.jpg","show blot")</f>
        <v>show blot</v>
      </c>
      <c r="J4839" s="5" t="s">
        <v>9473</v>
      </c>
      <c r="L4839" s="11">
        <v>2.3858124423569449</v>
      </c>
      <c r="N4839" s="12"/>
    </row>
    <row r="4840" spans="1:14" s="5" customFormat="1" ht="15" customHeight="1" x14ac:dyDescent="0.25">
      <c r="A4840" s="9" t="s">
        <v>9474</v>
      </c>
      <c r="C4840" s="9" t="str">
        <f>HYPERLINK("http://www.ncbi.nlm.nih.gov/protein/84875537","Ncl")</f>
        <v>Ncl</v>
      </c>
      <c r="D4840" s="10">
        <f t="shared" si="75"/>
        <v>6.6223264498365344</v>
      </c>
      <c r="F4840" s="8" t="str">
        <f>HYPERLINK("https://esbl.nhlbi.nih.gov/Databases/mpkFractions/proteomic_fractions_log_files/Yang_log_img/84875537.jpg","show blot")</f>
        <v>show blot</v>
      </c>
      <c r="H4840" s="8" t="str">
        <f>HYPERLINK("https://esbl.nhlbi.nih.gov/Databases/mpkFractions/proteomic_fractions_linear_files/Yang_linear_img/84875537.jpg","show blot")</f>
        <v>show blot</v>
      </c>
      <c r="J4840" s="5" t="s">
        <v>9475</v>
      </c>
      <c r="L4840" s="11">
        <v>6.6223264498365344</v>
      </c>
      <c r="N4840" s="12"/>
    </row>
    <row r="4841" spans="1:14" s="5" customFormat="1" ht="15" customHeight="1" x14ac:dyDescent="0.25">
      <c r="A4841" s="9" t="s">
        <v>9476</v>
      </c>
      <c r="C4841" s="9" t="str">
        <f>HYPERLINK("http://www.ncbi.nlm.nih.gov/protein/33469043","Ncln")</f>
        <v>Ncln</v>
      </c>
      <c r="D4841" s="10">
        <f t="shared" si="75"/>
        <v>4.3515486113538238</v>
      </c>
      <c r="F4841" s="8" t="str">
        <f>HYPERLINK("https://esbl.nhlbi.nih.gov/Databases/mpkFractions/proteomic_fractions_log_files/Yang_log_img/33469043.jpg","show blot")</f>
        <v>show blot</v>
      </c>
      <c r="H4841" s="8" t="str">
        <f>HYPERLINK("https://esbl.nhlbi.nih.gov/Databases/mpkFractions/proteomic_fractions_linear_files/Yang_linear_img/33469043.jpg","show blot")</f>
        <v>show blot</v>
      </c>
      <c r="J4841" s="5" t="s">
        <v>9477</v>
      </c>
      <c r="L4841" s="11">
        <v>4.3515486113538238</v>
      </c>
      <c r="N4841" s="12"/>
    </row>
    <row r="4842" spans="1:14" s="5" customFormat="1" ht="15" customHeight="1" x14ac:dyDescent="0.25">
      <c r="A4842" s="9" t="s">
        <v>9478</v>
      </c>
      <c r="C4842" s="9" t="str">
        <f>HYPERLINK("http://www.ncbi.nlm.nih.gov/protein/118026940","Ncoa2")</f>
        <v>Ncoa2</v>
      </c>
      <c r="D4842" s="10">
        <f t="shared" si="75"/>
        <v>2.9002143133142981</v>
      </c>
      <c r="F4842" s="8" t="str">
        <f>HYPERLINK("https://esbl.nhlbi.nih.gov/Databases/mpkFractions/proteomic_fractions_log_files/Yang_log_img/118026940.jpg","show blot")</f>
        <v>show blot</v>
      </c>
      <c r="H4842" s="8" t="str">
        <f>HYPERLINK("https://esbl.nhlbi.nih.gov/Databases/mpkFractions/proteomic_fractions_linear_files/Yang_linear_img/118026940.jpg","show blot")</f>
        <v>show blot</v>
      </c>
      <c r="J4842" s="5" t="s">
        <v>9479</v>
      </c>
      <c r="L4842" s="11">
        <v>2.9002143133142981</v>
      </c>
      <c r="N4842" s="12"/>
    </row>
    <row r="4843" spans="1:14" s="5" customFormat="1" ht="15" customHeight="1" x14ac:dyDescent="0.25">
      <c r="A4843" s="9" t="s">
        <v>9480</v>
      </c>
      <c r="C4843" s="9" t="str">
        <f>HYPERLINK("http://www.ncbi.nlm.nih.gov/protein/118026944","Ncoa2")</f>
        <v>Ncoa2</v>
      </c>
      <c r="D4843" s="10">
        <f t="shared" si="75"/>
        <v>2.9002143133142981</v>
      </c>
      <c r="F4843" s="8" t="str">
        <f>HYPERLINK("https://esbl.nhlbi.nih.gov/Databases/mpkFractions/proteomic_fractions_log_files/Yang_log_img/118026944.jpg","show blot")</f>
        <v>show blot</v>
      </c>
      <c r="H4843" s="8" t="str">
        <f>HYPERLINK("https://esbl.nhlbi.nih.gov/Databases/mpkFractions/proteomic_fractions_linear_files/Yang_linear_img/118026944.jpg","show blot")</f>
        <v>show blot</v>
      </c>
      <c r="J4843" s="5" t="s">
        <v>9481</v>
      </c>
      <c r="L4843" s="11">
        <v>2.9002143133142981</v>
      </c>
      <c r="N4843" s="12"/>
    </row>
    <row r="4844" spans="1:14" s="5" customFormat="1" ht="15" customHeight="1" x14ac:dyDescent="0.25">
      <c r="A4844" s="9" t="s">
        <v>9482</v>
      </c>
      <c r="C4844" s="9" t="str">
        <f>HYPERLINK("http://www.ncbi.nlm.nih.gov/protein/118026946","Ncoa3")</f>
        <v>Ncoa3</v>
      </c>
      <c r="D4844" s="10">
        <f t="shared" si="75"/>
        <v>2.541364198363063</v>
      </c>
      <c r="F4844" s="8" t="str">
        <f>HYPERLINK("https://esbl.nhlbi.nih.gov/Databases/mpkFractions/proteomic_fractions_log_files/Yang_log_img/118026946.jpg","show blot")</f>
        <v>show blot</v>
      </c>
      <c r="H4844" s="8" t="str">
        <f>HYPERLINK("https://esbl.nhlbi.nih.gov/Databases/mpkFractions/proteomic_fractions_linear_files/Yang_linear_img/118026946.jpg","show blot")</f>
        <v>show blot</v>
      </c>
      <c r="J4844" s="5" t="s">
        <v>9483</v>
      </c>
      <c r="L4844" s="11">
        <v>2.541364198363063</v>
      </c>
      <c r="N4844" s="12"/>
    </row>
    <row r="4845" spans="1:14" s="5" customFormat="1" ht="15" customHeight="1" x14ac:dyDescent="0.25">
      <c r="A4845" s="9" t="s">
        <v>9484</v>
      </c>
      <c r="C4845" s="9" t="str">
        <f>HYPERLINK("http://www.ncbi.nlm.nih.gov/protein/21450271","Ncoa5")</f>
        <v>Ncoa5</v>
      </c>
      <c r="D4845" s="10">
        <f t="shared" si="75"/>
        <v>3.5714028957875201</v>
      </c>
      <c r="F4845" s="8" t="str">
        <f>HYPERLINK("https://esbl.nhlbi.nih.gov/Databases/mpkFractions/proteomic_fractions_log_files/Yang_log_img/21450271.jpg","show blot")</f>
        <v>show blot</v>
      </c>
      <c r="H4845" s="8" t="str">
        <f>HYPERLINK("https://esbl.nhlbi.nih.gov/Databases/mpkFractions/proteomic_fractions_linear_files/Yang_linear_img/21450271.jpg","show blot")</f>
        <v>show blot</v>
      </c>
      <c r="J4845" s="5" t="s">
        <v>9485</v>
      </c>
      <c r="L4845" s="11">
        <v>3.5714028957875201</v>
      </c>
      <c r="N4845" s="12"/>
    </row>
    <row r="4846" spans="1:14" s="5" customFormat="1" ht="15" customHeight="1" x14ac:dyDescent="0.25">
      <c r="A4846" s="9" t="s">
        <v>9486</v>
      </c>
      <c r="C4846" s="9" t="str">
        <f>HYPERLINK("http://www.ncbi.nlm.nih.gov/protein/224809376","Ncstn")</f>
        <v>Ncstn</v>
      </c>
      <c r="D4846" s="10">
        <f t="shared" si="75"/>
        <v>4.895836567943288</v>
      </c>
      <c r="F4846" s="8" t="str">
        <f>HYPERLINK("https://esbl.nhlbi.nih.gov/Databases/mpkFractions/proteomic_fractions_log_files/Yang_log_img/224809376.jpg","show blot")</f>
        <v>show blot</v>
      </c>
      <c r="H4846" s="8" t="str">
        <f>HYPERLINK("https://esbl.nhlbi.nih.gov/Databases/mpkFractions/proteomic_fractions_linear_files/Yang_linear_img/224809376.jpg","show blot")</f>
        <v>show blot</v>
      </c>
      <c r="J4846" s="5" t="s">
        <v>9487</v>
      </c>
      <c r="L4846" s="11">
        <v>4.895836567943288</v>
      </c>
      <c r="N4846" s="12"/>
    </row>
    <row r="4847" spans="1:14" s="5" customFormat="1" ht="15" customHeight="1" x14ac:dyDescent="0.25">
      <c r="A4847" s="9" t="s">
        <v>9488</v>
      </c>
      <c r="C4847" s="9" t="str">
        <f>HYPERLINK("http://www.ncbi.nlm.nih.gov/protein/226453475","ND1")</f>
        <v>ND1</v>
      </c>
      <c r="D4847" s="10">
        <f t="shared" si="75"/>
        <v>4.3944488119214267</v>
      </c>
      <c r="F4847" s="8" t="str">
        <f>HYPERLINK("https://esbl.nhlbi.nih.gov/Databases/mpkFractions/proteomic_fractions_log_files/Yang_log_img/226453475.jpg","show blot")</f>
        <v>show blot</v>
      </c>
      <c r="H4847" s="8" t="str">
        <f>HYPERLINK("https://esbl.nhlbi.nih.gov/Databases/mpkFractions/proteomic_fractions_linear_files/Yang_linear_img/226453475.jpg","show blot")</f>
        <v>show blot</v>
      </c>
      <c r="J4847" s="5" t="s">
        <v>9489</v>
      </c>
      <c r="L4847" s="11">
        <v>4.3944488119214267</v>
      </c>
      <c r="N4847" s="12"/>
    </row>
    <row r="4848" spans="1:14" s="5" customFormat="1" ht="15" customHeight="1" x14ac:dyDescent="0.25">
      <c r="A4848" s="9" t="s">
        <v>9490</v>
      </c>
      <c r="C4848" s="9" t="str">
        <f>HYPERLINK("http://www.ncbi.nlm.nih.gov/protein/167716837","ND1")</f>
        <v>ND1</v>
      </c>
      <c r="D4848" s="10">
        <f t="shared" si="75"/>
        <v>4.3944488119214267</v>
      </c>
      <c r="F4848" s="8" t="str">
        <f>HYPERLINK("https://esbl.nhlbi.nih.gov/Databases/mpkFractions/proteomic_fractions_log_files/Yang_log_img/167716837.jpg","show blot")</f>
        <v>show blot</v>
      </c>
      <c r="H4848" s="8" t="str">
        <f>HYPERLINK("https://esbl.nhlbi.nih.gov/Databases/mpkFractions/proteomic_fractions_linear_files/Yang_linear_img/167716837.jpg","show blot")</f>
        <v>show blot</v>
      </c>
      <c r="J4848" s="5" t="s">
        <v>9491</v>
      </c>
      <c r="L4848" s="11">
        <v>4.3944488119214267</v>
      </c>
      <c r="N4848" s="12"/>
    </row>
    <row r="4849" spans="1:14" s="5" customFormat="1" ht="15" customHeight="1" x14ac:dyDescent="0.25">
      <c r="A4849" s="9" t="s">
        <v>9492</v>
      </c>
      <c r="C4849" s="9" t="str">
        <f>HYPERLINK("http://www.ncbi.nlm.nih.gov/protein/34538598","ND1")</f>
        <v>ND1</v>
      </c>
      <c r="D4849" s="10">
        <f t="shared" si="75"/>
        <v>4.3944488119214267</v>
      </c>
      <c r="F4849" s="8" t="str">
        <f>HYPERLINK("https://esbl.nhlbi.nih.gov/Databases/mpkFractions/proteomic_fractions_log_files/Yang_log_img/34538598.jpg","show blot")</f>
        <v>show blot</v>
      </c>
      <c r="H4849" s="8" t="str">
        <f>HYPERLINK("https://esbl.nhlbi.nih.gov/Databases/mpkFractions/proteomic_fractions_linear_files/Yang_linear_img/34538598.jpg","show blot")</f>
        <v>show blot</v>
      </c>
      <c r="J4849" s="5" t="s">
        <v>9493</v>
      </c>
      <c r="L4849" s="11">
        <v>4.3944488119214267</v>
      </c>
      <c r="N4849" s="12"/>
    </row>
    <row r="4850" spans="1:14" s="5" customFormat="1" ht="15" customHeight="1" x14ac:dyDescent="0.25">
      <c r="A4850" s="9" t="s">
        <v>9494</v>
      </c>
      <c r="C4850" s="9" t="str">
        <f>HYPERLINK("http://www.ncbi.nlm.nih.gov/protein/62184369","ND1")</f>
        <v>ND1</v>
      </c>
      <c r="D4850" s="10">
        <f t="shared" si="75"/>
        <v>4.3944488119214267</v>
      </c>
      <c r="F4850" s="8" t="str">
        <f>HYPERLINK("https://esbl.nhlbi.nih.gov/Databases/mpkFractions/proteomic_fractions_log_files/Yang_log_img/62184369.jpg","show blot")</f>
        <v>show blot</v>
      </c>
      <c r="H4850" s="8" t="str">
        <f>HYPERLINK("https://esbl.nhlbi.nih.gov/Databases/mpkFractions/proteomic_fractions_linear_files/Yang_linear_img/62184369.jpg","show blot")</f>
        <v>show blot</v>
      </c>
      <c r="J4850" s="5" t="s">
        <v>9495</v>
      </c>
      <c r="L4850" s="11">
        <v>4.3944488119214267</v>
      </c>
      <c r="N4850" s="12"/>
    </row>
    <row r="4851" spans="1:14" s="5" customFormat="1" ht="15" customHeight="1" x14ac:dyDescent="0.25">
      <c r="A4851" s="9" t="s">
        <v>9496</v>
      </c>
      <c r="C4851" s="9" t="str">
        <f>HYPERLINK("http://www.ncbi.nlm.nih.gov/protein/167716838","ND2")</f>
        <v>ND2</v>
      </c>
      <c r="D4851" s="10">
        <f t="shared" si="75"/>
        <v>2.89190998016816</v>
      </c>
      <c r="F4851" s="8" t="str">
        <f>HYPERLINK("https://esbl.nhlbi.nih.gov/Databases/mpkFractions/proteomic_fractions_log_files/Yang_log_img/167716838.jpg","show blot")</f>
        <v>show blot</v>
      </c>
      <c r="H4851" s="8" t="str">
        <f>HYPERLINK("https://esbl.nhlbi.nih.gov/Databases/mpkFractions/proteomic_fractions_linear_files/Yang_linear_img/167716838.jpg","show blot")</f>
        <v>show blot</v>
      </c>
      <c r="J4851" s="5" t="s">
        <v>9497</v>
      </c>
      <c r="L4851" s="11">
        <v>2.89190998016816</v>
      </c>
      <c r="N4851" s="12"/>
    </row>
    <row r="4852" spans="1:14" s="5" customFormat="1" ht="15" customHeight="1" x14ac:dyDescent="0.25">
      <c r="A4852" s="9" t="s">
        <v>9498</v>
      </c>
      <c r="C4852" s="9" t="str">
        <f>HYPERLINK("http://www.ncbi.nlm.nih.gov/protein/226453476","ND2")</f>
        <v>ND2</v>
      </c>
      <c r="D4852" s="10">
        <f t="shared" si="75"/>
        <v>2.89190998016816</v>
      </c>
      <c r="F4852" s="8" t="str">
        <f>HYPERLINK("https://esbl.nhlbi.nih.gov/Databases/mpkFractions/proteomic_fractions_log_files/Yang_log_img/226453476.jpg","show blot")</f>
        <v>show blot</v>
      </c>
      <c r="H4852" s="8" t="str">
        <f>HYPERLINK("https://esbl.nhlbi.nih.gov/Databases/mpkFractions/proteomic_fractions_linear_files/Yang_linear_img/226453476.jpg","show blot")</f>
        <v>show blot</v>
      </c>
      <c r="J4852" s="5" t="s">
        <v>9499</v>
      </c>
      <c r="L4852" s="11">
        <v>2.89190998016816</v>
      </c>
      <c r="N4852" s="12"/>
    </row>
    <row r="4853" spans="1:14" s="5" customFormat="1" ht="15" customHeight="1" x14ac:dyDescent="0.25">
      <c r="A4853" s="9" t="s">
        <v>9500</v>
      </c>
      <c r="C4853" s="9" t="str">
        <f>HYPERLINK("http://www.ncbi.nlm.nih.gov/protein/34538599","ND2")</f>
        <v>ND2</v>
      </c>
      <c r="D4853" s="10">
        <f t="shared" si="75"/>
        <v>2.89190998016816</v>
      </c>
      <c r="F4853" s="8" t="str">
        <f>HYPERLINK("https://esbl.nhlbi.nih.gov/Databases/mpkFractions/proteomic_fractions_log_files/Yang_log_img/34538599.jpg","show blot")</f>
        <v>show blot</v>
      </c>
      <c r="H4853" s="8" t="str">
        <f>HYPERLINK("https://esbl.nhlbi.nih.gov/Databases/mpkFractions/proteomic_fractions_linear_files/Yang_linear_img/34538599.jpg","show blot")</f>
        <v>show blot</v>
      </c>
      <c r="J4853" s="5" t="s">
        <v>9501</v>
      </c>
      <c r="L4853" s="11">
        <v>2.89190998016816</v>
      </c>
      <c r="N4853" s="12"/>
    </row>
    <row r="4854" spans="1:14" s="5" customFormat="1" ht="15" customHeight="1" x14ac:dyDescent="0.25">
      <c r="A4854" s="9" t="s">
        <v>9502</v>
      </c>
      <c r="C4854" s="9" t="str">
        <f>HYPERLINK("http://www.ncbi.nlm.nih.gov/protein/62184370","ND2")</f>
        <v>ND2</v>
      </c>
      <c r="D4854" s="10">
        <f t="shared" si="75"/>
        <v>2.89190998016816</v>
      </c>
      <c r="F4854" s="8" t="str">
        <f>HYPERLINK("https://esbl.nhlbi.nih.gov/Databases/mpkFractions/proteomic_fractions_log_files/Yang_log_img/62184370.jpg","show blot")</f>
        <v>show blot</v>
      </c>
      <c r="H4854" s="8" t="str">
        <f>HYPERLINK("https://esbl.nhlbi.nih.gov/Databases/mpkFractions/proteomic_fractions_linear_files/Yang_linear_img/62184370.jpg","show blot")</f>
        <v>show blot</v>
      </c>
      <c r="J4854" s="5" t="s">
        <v>9503</v>
      </c>
      <c r="L4854" s="11">
        <v>2.89190998016816</v>
      </c>
      <c r="N4854" s="12"/>
    </row>
    <row r="4855" spans="1:14" s="5" customFormat="1" ht="15" customHeight="1" x14ac:dyDescent="0.25">
      <c r="A4855" s="9" t="s">
        <v>9504</v>
      </c>
      <c r="C4855" s="9" t="str">
        <f>HYPERLINK("http://www.ncbi.nlm.nih.gov/protein/226453482","ND3")</f>
        <v>ND3</v>
      </c>
      <c r="D4855" s="10">
        <f t="shared" si="75"/>
        <v>4.8512368723055506</v>
      </c>
      <c r="F4855" s="8" t="str">
        <f>HYPERLINK("https://esbl.nhlbi.nih.gov/Databases/mpkFractions/proteomic_fractions_log_files/Yang_log_img/226453482.jpg","show blot")</f>
        <v>show blot</v>
      </c>
      <c r="H4855" s="8" t="str">
        <f>HYPERLINK("https://esbl.nhlbi.nih.gov/Databases/mpkFractions/proteomic_fractions_linear_files/Yang_linear_img/226453482.jpg","show blot")</f>
        <v>show blot</v>
      </c>
      <c r="J4855" s="5" t="s">
        <v>9505</v>
      </c>
      <c r="L4855" s="11">
        <v>4.8512368723055506</v>
      </c>
      <c r="N4855" s="12"/>
    </row>
    <row r="4856" spans="1:14" s="5" customFormat="1" ht="15" customHeight="1" x14ac:dyDescent="0.25">
      <c r="A4856" s="9" t="s">
        <v>9506</v>
      </c>
      <c r="C4856" s="9" t="str">
        <f>HYPERLINK("http://www.ncbi.nlm.nih.gov/protein/34538605","ND3")</f>
        <v>ND3</v>
      </c>
      <c r="D4856" s="10">
        <f t="shared" si="75"/>
        <v>4.8512368723055506</v>
      </c>
      <c r="F4856" s="8" t="str">
        <f>HYPERLINK("https://esbl.nhlbi.nih.gov/Databases/mpkFractions/proteomic_fractions_log_files/Yang_log_img/34538605.jpg","show blot")</f>
        <v>show blot</v>
      </c>
      <c r="H4856" s="8" t="str">
        <f>HYPERLINK("https://esbl.nhlbi.nih.gov/Databases/mpkFractions/proteomic_fractions_linear_files/Yang_linear_img/34538605.jpg","show blot")</f>
        <v>show blot</v>
      </c>
      <c r="J4856" s="5" t="s">
        <v>9507</v>
      </c>
      <c r="L4856" s="11">
        <v>4.8512368723055506</v>
      </c>
      <c r="N4856" s="12"/>
    </row>
    <row r="4857" spans="1:14" s="5" customFormat="1" ht="15" customHeight="1" x14ac:dyDescent="0.25">
      <c r="A4857" s="9" t="s">
        <v>9508</v>
      </c>
      <c r="C4857" s="9" t="str">
        <f>HYPERLINK("http://www.ncbi.nlm.nih.gov/protein/167716846","ND4")</f>
        <v>ND4</v>
      </c>
      <c r="D4857" s="10">
        <f t="shared" si="75"/>
        <v>2.336938912187708</v>
      </c>
      <c r="F4857" s="8" t="str">
        <f>HYPERLINK("https://esbl.nhlbi.nih.gov/Databases/mpkFractions/proteomic_fractions_log_files/Yang_log_img/167716846.jpg","show blot")</f>
        <v>show blot</v>
      </c>
      <c r="H4857" s="8" t="str">
        <f>HYPERLINK("https://esbl.nhlbi.nih.gov/Databases/mpkFractions/proteomic_fractions_linear_files/Yang_linear_img/167716846.jpg","show blot")</f>
        <v>show blot</v>
      </c>
      <c r="J4857" s="5" t="s">
        <v>9509</v>
      </c>
      <c r="L4857" s="11">
        <v>2.336938912187708</v>
      </c>
      <c r="N4857" s="12"/>
    </row>
    <row r="4858" spans="1:14" s="5" customFormat="1" ht="15" customHeight="1" x14ac:dyDescent="0.25">
      <c r="A4858" s="9" t="s">
        <v>9510</v>
      </c>
      <c r="C4858" s="9" t="str">
        <f>HYPERLINK("http://www.ncbi.nlm.nih.gov/protein/226453484","ND4")</f>
        <v>ND4</v>
      </c>
      <c r="D4858" s="10">
        <f t="shared" si="75"/>
        <v>2.336938912187708</v>
      </c>
      <c r="F4858" s="8" t="str">
        <f>HYPERLINK("https://esbl.nhlbi.nih.gov/Databases/mpkFractions/proteomic_fractions_log_files/Yang_log_img/226453484.jpg","show blot")</f>
        <v>show blot</v>
      </c>
      <c r="H4858" s="8" t="str">
        <f>HYPERLINK("https://esbl.nhlbi.nih.gov/Databases/mpkFractions/proteomic_fractions_linear_files/Yang_linear_img/226453484.jpg","show blot")</f>
        <v>show blot</v>
      </c>
      <c r="J4858" s="5" t="s">
        <v>9511</v>
      </c>
      <c r="L4858" s="11">
        <v>2.336938912187708</v>
      </c>
      <c r="N4858" s="12"/>
    </row>
    <row r="4859" spans="1:14" s="5" customFormat="1" ht="15" customHeight="1" x14ac:dyDescent="0.25">
      <c r="A4859" s="9" t="s">
        <v>9512</v>
      </c>
      <c r="C4859" s="9" t="str">
        <f>HYPERLINK("http://www.ncbi.nlm.nih.gov/protein/34538607","ND4")</f>
        <v>ND4</v>
      </c>
      <c r="D4859" s="10">
        <f t="shared" si="75"/>
        <v>2.336938912187708</v>
      </c>
      <c r="F4859" s="8" t="str">
        <f>HYPERLINK("https://esbl.nhlbi.nih.gov/Databases/mpkFractions/proteomic_fractions_log_files/Yang_log_img/34538607.jpg","show blot")</f>
        <v>show blot</v>
      </c>
      <c r="H4859" s="8" t="str">
        <f>HYPERLINK("https://esbl.nhlbi.nih.gov/Databases/mpkFractions/proteomic_fractions_linear_files/Yang_linear_img/34538607.jpg","show blot")</f>
        <v>show blot</v>
      </c>
      <c r="J4859" s="5" t="s">
        <v>9513</v>
      </c>
      <c r="L4859" s="11">
        <v>2.336938912187708</v>
      </c>
      <c r="N4859" s="12"/>
    </row>
    <row r="4860" spans="1:14" s="5" customFormat="1" ht="15" customHeight="1" x14ac:dyDescent="0.25">
      <c r="A4860" s="9" t="s">
        <v>9514</v>
      </c>
      <c r="C4860" s="9" t="str">
        <f>HYPERLINK("http://www.ncbi.nlm.nih.gov/protein/62184378","ND4")</f>
        <v>ND4</v>
      </c>
      <c r="D4860" s="10">
        <f t="shared" si="75"/>
        <v>2.336938912187708</v>
      </c>
      <c r="F4860" s="8" t="str">
        <f>HYPERLINK("https://esbl.nhlbi.nih.gov/Databases/mpkFractions/proteomic_fractions_log_files/Yang_log_img/62184378.jpg","show blot")</f>
        <v>show blot</v>
      </c>
      <c r="H4860" s="8" t="str">
        <f>HYPERLINK("https://esbl.nhlbi.nih.gov/Databases/mpkFractions/proteomic_fractions_linear_files/Yang_linear_img/62184378.jpg","show blot")</f>
        <v>show blot</v>
      </c>
      <c r="J4860" s="5" t="s">
        <v>9515</v>
      </c>
      <c r="L4860" s="11">
        <v>2.336938912187708</v>
      </c>
      <c r="N4860" s="12"/>
    </row>
    <row r="4861" spans="1:14" s="5" customFormat="1" ht="15" customHeight="1" x14ac:dyDescent="0.25">
      <c r="A4861" s="9" t="s">
        <v>9516</v>
      </c>
      <c r="C4861" s="9" t="str">
        <f>HYPERLINK("http://www.ncbi.nlm.nih.gov/protein/167716847","ND5")</f>
        <v>ND5</v>
      </c>
      <c r="D4861" s="10">
        <f t="shared" si="75"/>
        <v>1.4993176756238391</v>
      </c>
      <c r="F4861" s="8" t="str">
        <f>HYPERLINK("https://esbl.nhlbi.nih.gov/Databases/mpkFractions/proteomic_fractions_log_files/Yang_log_img/167716847.jpg","show blot")</f>
        <v>show blot</v>
      </c>
      <c r="H4861" s="8" t="str">
        <f>HYPERLINK("https://esbl.nhlbi.nih.gov/Databases/mpkFractions/proteomic_fractions_linear_files/Yang_linear_img/167716847.jpg","show blot")</f>
        <v>show blot</v>
      </c>
      <c r="J4861" s="5" t="s">
        <v>9517</v>
      </c>
      <c r="L4861" s="11">
        <v>1.4993176756238391</v>
      </c>
      <c r="N4861" s="12"/>
    </row>
    <row r="4862" spans="1:14" s="5" customFormat="1" ht="15" customHeight="1" x14ac:dyDescent="0.25">
      <c r="A4862" s="9" t="s">
        <v>9518</v>
      </c>
      <c r="C4862" s="9" t="str">
        <f>HYPERLINK("http://www.ncbi.nlm.nih.gov/protein/226453485","ND5")</f>
        <v>ND5</v>
      </c>
      <c r="D4862" s="10">
        <f t="shared" si="75"/>
        <v>1.4993176756238391</v>
      </c>
      <c r="F4862" s="8" t="str">
        <f>HYPERLINK("https://esbl.nhlbi.nih.gov/Databases/mpkFractions/proteomic_fractions_log_files/Yang_log_img/226453485.jpg","show blot")</f>
        <v>show blot</v>
      </c>
      <c r="H4862" s="8" t="str">
        <f>HYPERLINK("https://esbl.nhlbi.nih.gov/Databases/mpkFractions/proteomic_fractions_linear_files/Yang_linear_img/226453485.jpg","show blot")</f>
        <v>show blot</v>
      </c>
      <c r="J4862" s="5" t="s">
        <v>9519</v>
      </c>
      <c r="L4862" s="11">
        <v>1.4993176756238391</v>
      </c>
      <c r="N4862" s="12"/>
    </row>
    <row r="4863" spans="1:14" s="5" customFormat="1" ht="15" customHeight="1" x14ac:dyDescent="0.25">
      <c r="A4863" s="9" t="s">
        <v>9520</v>
      </c>
      <c r="C4863" s="9" t="str">
        <f>HYPERLINK("http://www.ncbi.nlm.nih.gov/protein/34538608","ND5")</f>
        <v>ND5</v>
      </c>
      <c r="D4863" s="10">
        <f t="shared" si="75"/>
        <v>1.4993176756238391</v>
      </c>
      <c r="F4863" s="8" t="str">
        <f>HYPERLINK("https://esbl.nhlbi.nih.gov/Databases/mpkFractions/proteomic_fractions_log_files/Yang_log_img/34538608.jpg","show blot")</f>
        <v>show blot</v>
      </c>
      <c r="H4863" s="8" t="str">
        <f>HYPERLINK("https://esbl.nhlbi.nih.gov/Databases/mpkFractions/proteomic_fractions_linear_files/Yang_linear_img/34538608.jpg","show blot")</f>
        <v>show blot</v>
      </c>
      <c r="J4863" s="5" t="s">
        <v>9521</v>
      </c>
      <c r="L4863" s="11">
        <v>1.4993176756238391</v>
      </c>
      <c r="N4863" s="12"/>
    </row>
    <row r="4864" spans="1:14" s="5" customFormat="1" ht="15" customHeight="1" x14ac:dyDescent="0.25">
      <c r="A4864" s="9" t="s">
        <v>9522</v>
      </c>
      <c r="C4864" s="9" t="str">
        <f>HYPERLINK("http://www.ncbi.nlm.nih.gov/protein/62184379","ND5")</f>
        <v>ND5</v>
      </c>
      <c r="D4864" s="10">
        <f t="shared" si="75"/>
        <v>1.4993176756238391</v>
      </c>
      <c r="F4864" s="8" t="str">
        <f>HYPERLINK("https://esbl.nhlbi.nih.gov/Databases/mpkFractions/proteomic_fractions_log_files/Yang_log_img/62184379.jpg","show blot")</f>
        <v>show blot</v>
      </c>
      <c r="H4864" s="8" t="str">
        <f>HYPERLINK("https://esbl.nhlbi.nih.gov/Databases/mpkFractions/proteomic_fractions_linear_files/Yang_linear_img/62184379.jpg","show blot")</f>
        <v>show blot</v>
      </c>
      <c r="J4864" s="5" t="s">
        <v>9523</v>
      </c>
      <c r="L4864" s="11">
        <v>1.4993176756238391</v>
      </c>
      <c r="N4864" s="12"/>
    </row>
    <row r="4865" spans="1:14" s="5" customFormat="1" ht="15" customHeight="1" x14ac:dyDescent="0.25">
      <c r="A4865" s="9" t="s">
        <v>9524</v>
      </c>
      <c r="C4865" s="9" t="str">
        <f>HYPERLINK("http://www.ncbi.nlm.nih.gov/protein/166197652","Nde1")</f>
        <v>Nde1</v>
      </c>
      <c r="D4865" s="10">
        <f t="shared" si="75"/>
        <v>3.270148074849383</v>
      </c>
      <c r="F4865" s="8" t="str">
        <f>HYPERLINK("https://esbl.nhlbi.nih.gov/Databases/mpkFractions/proteomic_fractions_log_files/Yang_log_img/166197652.jpg","show blot")</f>
        <v>show blot</v>
      </c>
      <c r="H4865" s="8" t="str">
        <f>HYPERLINK("https://esbl.nhlbi.nih.gov/Databases/mpkFractions/proteomic_fractions_linear_files/Yang_linear_img/166197652.jpg","show blot")</f>
        <v>show blot</v>
      </c>
      <c r="J4865" s="5" t="s">
        <v>9525</v>
      </c>
      <c r="L4865" s="11">
        <v>3.270148074849383</v>
      </c>
      <c r="N4865" s="12"/>
    </row>
    <row r="4866" spans="1:14" s="5" customFormat="1" ht="15" customHeight="1" x14ac:dyDescent="0.25">
      <c r="A4866" s="9" t="s">
        <v>9526</v>
      </c>
      <c r="C4866" s="9" t="str">
        <f>HYPERLINK("http://www.ncbi.nlm.nih.gov/protein/166197654","Nde1")</f>
        <v>Nde1</v>
      </c>
      <c r="D4866" s="10">
        <f t="shared" si="75"/>
        <v>3.270148074849383</v>
      </c>
      <c r="F4866" s="8" t="str">
        <f>HYPERLINK("https://esbl.nhlbi.nih.gov/Databases/mpkFractions/proteomic_fractions_log_files/Yang_log_img/166197654.jpg","show blot")</f>
        <v>show blot</v>
      </c>
      <c r="H4866" s="8" t="str">
        <f>HYPERLINK("https://esbl.nhlbi.nih.gov/Databases/mpkFractions/proteomic_fractions_linear_files/Yang_linear_img/166197654.jpg","show blot")</f>
        <v>show blot</v>
      </c>
      <c r="J4866" s="5" t="s">
        <v>9527</v>
      </c>
      <c r="L4866" s="11">
        <v>3.270148074849383</v>
      </c>
      <c r="N4866" s="12"/>
    </row>
    <row r="4867" spans="1:14" s="5" customFormat="1" ht="15" customHeight="1" x14ac:dyDescent="0.25">
      <c r="A4867" s="9" t="s">
        <v>9528</v>
      </c>
      <c r="C4867" s="9" t="str">
        <f>HYPERLINK("http://www.ncbi.nlm.nih.gov/protein/238550188","Ndel1")</f>
        <v>Ndel1</v>
      </c>
      <c r="D4867" s="10">
        <f t="shared" si="75"/>
        <v>3.2466669789998601</v>
      </c>
      <c r="F4867" s="8" t="str">
        <f>HYPERLINK("https://esbl.nhlbi.nih.gov/Databases/mpkFractions/proteomic_fractions_log_files/Yang_log_img/238550188.jpg","show blot")</f>
        <v>show blot</v>
      </c>
      <c r="H4867" s="8" t="str">
        <f>HYPERLINK("https://esbl.nhlbi.nih.gov/Databases/mpkFractions/proteomic_fractions_linear_files/Yang_linear_img/238550188.jpg","show blot")</f>
        <v>show blot</v>
      </c>
      <c r="J4867" s="5" t="s">
        <v>9529</v>
      </c>
      <c r="L4867" s="11">
        <v>3.2466669789998601</v>
      </c>
      <c r="N4867" s="12"/>
    </row>
    <row r="4868" spans="1:14" s="5" customFormat="1" ht="15" customHeight="1" x14ac:dyDescent="0.25">
      <c r="A4868" s="9" t="s">
        <v>9530</v>
      </c>
      <c r="C4868" s="9" t="str">
        <f>HYPERLINK("http://www.ncbi.nlm.nih.gov/protein/12963595","Ndnl2")</f>
        <v>Ndnl2</v>
      </c>
      <c r="D4868" s="10">
        <f t="shared" si="75"/>
        <v>3.401201543015242</v>
      </c>
      <c r="F4868" s="8" t="str">
        <f>HYPERLINK("https://esbl.nhlbi.nih.gov/Databases/mpkFractions/proteomic_fractions_log_files/Yang_log_img/12963595.jpg","show blot")</f>
        <v>show blot</v>
      </c>
      <c r="H4868" s="8" t="str">
        <f>HYPERLINK("https://esbl.nhlbi.nih.gov/Databases/mpkFractions/proteomic_fractions_linear_files/Yang_linear_img/12963595.jpg","show blot")</f>
        <v>show blot</v>
      </c>
      <c r="J4868" s="5" t="s">
        <v>9531</v>
      </c>
      <c r="L4868" s="11">
        <v>3.401201543015242</v>
      </c>
      <c r="N4868" s="12"/>
    </row>
    <row r="4869" spans="1:14" s="5" customFormat="1" ht="15" customHeight="1" x14ac:dyDescent="0.25">
      <c r="A4869" s="9" t="s">
        <v>9532</v>
      </c>
      <c r="C4869" s="9" t="str">
        <f>HYPERLINK("http://www.ncbi.nlm.nih.gov/protein/118150658","Ndrg1")</f>
        <v>Ndrg1</v>
      </c>
      <c r="D4869" s="10">
        <f t="shared" ref="D4869:D4932" si="76">L4869</f>
        <v>6.3708984431435862</v>
      </c>
      <c r="F4869" s="8" t="str">
        <f>HYPERLINK("https://esbl.nhlbi.nih.gov/Databases/mpkFractions/proteomic_fractions_log_files/Yang_log_img/118150658.jpg","show blot")</f>
        <v>show blot</v>
      </c>
      <c r="H4869" s="8" t="str">
        <f>HYPERLINK("https://esbl.nhlbi.nih.gov/Databases/mpkFractions/proteomic_fractions_linear_files/Yang_linear_img/118150658.jpg","show blot")</f>
        <v>show blot</v>
      </c>
      <c r="J4869" s="5" t="s">
        <v>9533</v>
      </c>
      <c r="L4869" s="11">
        <v>6.3708984431435862</v>
      </c>
      <c r="N4869" s="12"/>
    </row>
    <row r="4870" spans="1:14" s="5" customFormat="1" ht="15" customHeight="1" x14ac:dyDescent="0.25">
      <c r="A4870" s="9" t="s">
        <v>9534</v>
      </c>
      <c r="C4870" s="9" t="str">
        <f>HYPERLINK("http://www.ncbi.nlm.nih.gov/protein/255918147","Ndrg3")</f>
        <v>Ndrg3</v>
      </c>
      <c r="D4870" s="10">
        <f t="shared" si="76"/>
        <v>5.1429677863818233</v>
      </c>
      <c r="F4870" s="8" t="str">
        <f>HYPERLINK("https://esbl.nhlbi.nih.gov/Databases/mpkFractions/proteomic_fractions_log_files/Yang_log_img/255918147.jpg","show blot")</f>
        <v>show blot</v>
      </c>
      <c r="H4870" s="8" t="str">
        <f>HYPERLINK("https://esbl.nhlbi.nih.gov/Databases/mpkFractions/proteomic_fractions_linear_files/Yang_linear_img/255918147.jpg","show blot")</f>
        <v>show blot</v>
      </c>
      <c r="J4870" s="5" t="s">
        <v>9535</v>
      </c>
      <c r="L4870" s="11">
        <v>5.1429677863818233</v>
      </c>
      <c r="N4870" s="12"/>
    </row>
    <row r="4871" spans="1:14" s="5" customFormat="1" ht="15" customHeight="1" x14ac:dyDescent="0.25">
      <c r="A4871" s="9" t="s">
        <v>9536</v>
      </c>
      <c r="C4871" s="9" t="str">
        <f>HYPERLINK("http://www.ncbi.nlm.nih.gov/protein/7305307","Ndrg3")</f>
        <v>Ndrg3</v>
      </c>
      <c r="D4871" s="10">
        <f t="shared" si="76"/>
        <v>5.1429677863818233</v>
      </c>
      <c r="F4871" s="8" t="str">
        <f>HYPERLINK("https://esbl.nhlbi.nih.gov/Databases/mpkFractions/proteomic_fractions_log_files/Yang_log_img/7305307.jpg","show blot")</f>
        <v>show blot</v>
      </c>
      <c r="H4871" s="8" t="str">
        <f>HYPERLINK("https://esbl.nhlbi.nih.gov/Databases/mpkFractions/proteomic_fractions_linear_files/Yang_linear_img/7305307.jpg","show blot")</f>
        <v>show blot</v>
      </c>
      <c r="J4871" s="5" t="s">
        <v>9537</v>
      </c>
      <c r="L4871" s="11">
        <v>5.1429677863818233</v>
      </c>
      <c r="N4871" s="12"/>
    </row>
    <row r="4872" spans="1:14" s="5" customFormat="1" ht="15" customHeight="1" x14ac:dyDescent="0.25">
      <c r="A4872" s="9" t="s">
        <v>9538</v>
      </c>
      <c r="C4872" s="9" t="str">
        <f>HYPERLINK("http://www.ncbi.nlm.nih.gov/protein/9506911","Ndufa1")</f>
        <v>Ndufa1</v>
      </c>
      <c r="D4872" s="10">
        <f t="shared" si="76"/>
        <v>4.4591381679945927</v>
      </c>
      <c r="F4872" s="8" t="str">
        <f>HYPERLINK("https://esbl.nhlbi.nih.gov/Databases/mpkFractions/proteomic_fractions_log_files/Yang_log_img/9506911.jpg","show blot")</f>
        <v>show blot</v>
      </c>
      <c r="H4872" s="8" t="str">
        <f>HYPERLINK("https://esbl.nhlbi.nih.gov/Databases/mpkFractions/proteomic_fractions_linear_files/Yang_linear_img/9506911.jpg","show blot")</f>
        <v>show blot</v>
      </c>
      <c r="J4872" s="5" t="s">
        <v>9539</v>
      </c>
      <c r="L4872" s="11">
        <v>4.4591381679945927</v>
      </c>
      <c r="N4872" s="12"/>
    </row>
    <row r="4873" spans="1:14" s="5" customFormat="1" ht="15" customHeight="1" x14ac:dyDescent="0.25">
      <c r="A4873" s="9" t="s">
        <v>9540</v>
      </c>
      <c r="C4873" s="9" t="str">
        <f>HYPERLINK("http://www.ncbi.nlm.nih.gov/protein/13195624","Ndufa10")</f>
        <v>Ndufa10</v>
      </c>
      <c r="D4873" s="10">
        <f t="shared" si="76"/>
        <v>5.3212520598728199</v>
      </c>
      <c r="F4873" s="8" t="str">
        <f>HYPERLINK("https://esbl.nhlbi.nih.gov/Databases/mpkFractions/proteomic_fractions_log_files/Yang_log_img/13195624.jpg","show blot")</f>
        <v>show blot</v>
      </c>
      <c r="H4873" s="8" t="str">
        <f>HYPERLINK("https://esbl.nhlbi.nih.gov/Databases/mpkFractions/proteomic_fractions_linear_files/Yang_linear_img/13195624.jpg","show blot")</f>
        <v>show blot</v>
      </c>
      <c r="J4873" s="5" t="s">
        <v>9541</v>
      </c>
      <c r="L4873" s="11">
        <v>5.3212520598728199</v>
      </c>
      <c r="N4873" s="12"/>
    </row>
    <row r="4874" spans="1:14" s="5" customFormat="1" ht="15" customHeight="1" x14ac:dyDescent="0.25">
      <c r="A4874" s="9" t="s">
        <v>9542</v>
      </c>
      <c r="C4874" s="9" t="str">
        <f>HYPERLINK("http://www.ncbi.nlm.nih.gov/protein/226437665","Ndufa11")</f>
        <v>Ndufa11</v>
      </c>
      <c r="D4874" s="10">
        <f t="shared" si="76"/>
        <v>4.911505143890893</v>
      </c>
      <c r="F4874" s="8" t="str">
        <f>HYPERLINK("https://esbl.nhlbi.nih.gov/Databases/mpkFractions/proteomic_fractions_log_files/Yang_log_img/226437665.jpg","show blot")</f>
        <v>show blot</v>
      </c>
      <c r="H4874" s="8" t="str">
        <f>HYPERLINK("https://esbl.nhlbi.nih.gov/Databases/mpkFractions/proteomic_fractions_linear_files/Yang_linear_img/226437665.jpg","show blot")</f>
        <v>show blot</v>
      </c>
      <c r="J4874" s="5" t="s">
        <v>9543</v>
      </c>
      <c r="L4874" s="11">
        <v>4.911505143890893</v>
      </c>
      <c r="N4874" s="12"/>
    </row>
    <row r="4875" spans="1:14" s="5" customFormat="1" ht="15" customHeight="1" x14ac:dyDescent="0.25">
      <c r="A4875" s="9" t="s">
        <v>9544</v>
      </c>
      <c r="C4875" s="9" t="str">
        <f>HYPERLINK("http://www.ncbi.nlm.nih.gov/protein/27228985","Ndufa12")</f>
        <v>Ndufa12</v>
      </c>
      <c r="D4875" s="10">
        <f t="shared" si="76"/>
        <v>5.5574733211888541</v>
      </c>
      <c r="F4875" s="8" t="str">
        <f>HYPERLINK("https://esbl.nhlbi.nih.gov/Databases/mpkFractions/proteomic_fractions_log_files/Yang_log_img/27228985.jpg","show blot")</f>
        <v>show blot</v>
      </c>
      <c r="H4875" s="8" t="str">
        <f>HYPERLINK("https://esbl.nhlbi.nih.gov/Databases/mpkFractions/proteomic_fractions_linear_files/Yang_linear_img/27228985.jpg","show blot")</f>
        <v>show blot</v>
      </c>
      <c r="J4875" s="5" t="s">
        <v>9545</v>
      </c>
      <c r="L4875" s="11">
        <v>5.5574733211888541</v>
      </c>
      <c r="N4875" s="12"/>
    </row>
    <row r="4876" spans="1:14" s="5" customFormat="1" ht="15" customHeight="1" x14ac:dyDescent="0.25">
      <c r="A4876" s="9" t="s">
        <v>9546</v>
      </c>
      <c r="C4876" s="9" t="str">
        <f>HYPERLINK("http://www.ncbi.nlm.nih.gov/protein/12963633","Ndufa13")</f>
        <v>Ndufa13</v>
      </c>
      <c r="D4876" s="10">
        <f t="shared" si="76"/>
        <v>5.9242595412073653</v>
      </c>
      <c r="F4876" s="8" t="str">
        <f>HYPERLINK("https://esbl.nhlbi.nih.gov/Databases/mpkFractions/proteomic_fractions_log_files/Yang_log_img/12963633.jpg","show blot")</f>
        <v>show blot</v>
      </c>
      <c r="H4876" s="8" t="str">
        <f>HYPERLINK("https://esbl.nhlbi.nih.gov/Databases/mpkFractions/proteomic_fractions_linear_files/Yang_linear_img/12963633.jpg","show blot")</f>
        <v>show blot</v>
      </c>
      <c r="J4876" s="5" t="s">
        <v>9547</v>
      </c>
      <c r="L4876" s="11">
        <v>5.9242595412073653</v>
      </c>
      <c r="N4876" s="12"/>
    </row>
    <row r="4877" spans="1:14" s="5" customFormat="1" ht="15" customHeight="1" x14ac:dyDescent="0.25">
      <c r="A4877" s="9" t="s">
        <v>9548</v>
      </c>
      <c r="C4877" s="9" t="str">
        <f>HYPERLINK("http://www.ncbi.nlm.nih.gov/protein/31981600","Ndufa2")</f>
        <v>Ndufa2</v>
      </c>
      <c r="D4877" s="10">
        <f t="shared" si="76"/>
        <v>5.4919750155356688</v>
      </c>
      <c r="F4877" s="8" t="str">
        <f>HYPERLINK("https://esbl.nhlbi.nih.gov/Databases/mpkFractions/proteomic_fractions_log_files/Yang_log_img/31981600.jpg","show blot")</f>
        <v>show blot</v>
      </c>
      <c r="H4877" s="8" t="str">
        <f>HYPERLINK("https://esbl.nhlbi.nih.gov/Databases/mpkFractions/proteomic_fractions_linear_files/Yang_linear_img/31981600.jpg","show blot")</f>
        <v>show blot</v>
      </c>
      <c r="J4877" s="5" t="s">
        <v>9549</v>
      </c>
      <c r="L4877" s="11">
        <v>5.4919750155356688</v>
      </c>
      <c r="N4877" s="12"/>
    </row>
    <row r="4878" spans="1:14" s="5" customFormat="1" ht="15" customHeight="1" x14ac:dyDescent="0.25">
      <c r="A4878" s="9" t="s">
        <v>9550</v>
      </c>
      <c r="C4878" s="9" t="str">
        <f>HYPERLINK("http://www.ncbi.nlm.nih.gov/protein/21539587","Ndufa3")</f>
        <v>Ndufa3</v>
      </c>
      <c r="D4878" s="10">
        <f t="shared" si="76"/>
        <v>5.0876121402044241</v>
      </c>
      <c r="F4878" s="8" t="str">
        <f>HYPERLINK("https://esbl.nhlbi.nih.gov/Databases/mpkFractions/proteomic_fractions_log_files/Yang_log_img/21539587.jpg","show blot")</f>
        <v>show blot</v>
      </c>
      <c r="H4878" s="8" t="str">
        <f>HYPERLINK("https://esbl.nhlbi.nih.gov/Databases/mpkFractions/proteomic_fractions_linear_files/Yang_linear_img/21539587.jpg","show blot")</f>
        <v>show blot</v>
      </c>
      <c r="J4878" s="5" t="s">
        <v>9551</v>
      </c>
      <c r="L4878" s="11">
        <v>5.0876121402044241</v>
      </c>
      <c r="N4878" s="12"/>
    </row>
    <row r="4879" spans="1:14" s="5" customFormat="1" ht="15" customHeight="1" x14ac:dyDescent="0.25">
      <c r="A4879" s="9" t="s">
        <v>9552</v>
      </c>
      <c r="C4879" s="9" t="str">
        <f>HYPERLINK("http://www.ncbi.nlm.nih.gov/protein/33563266","Ndufa4")</f>
        <v>Ndufa4</v>
      </c>
      <c r="D4879" s="10">
        <f t="shared" si="76"/>
        <v>6.6924905480138888</v>
      </c>
      <c r="F4879" s="8" t="str">
        <f>HYPERLINK("https://esbl.nhlbi.nih.gov/Databases/mpkFractions/proteomic_fractions_log_files/Yang_log_img/33563266.jpg","show blot")</f>
        <v>show blot</v>
      </c>
      <c r="H4879" s="8" t="str">
        <f>HYPERLINK("https://esbl.nhlbi.nih.gov/Databases/mpkFractions/proteomic_fractions_linear_files/Yang_linear_img/33563266.jpg","show blot")</f>
        <v>show blot</v>
      </c>
      <c r="J4879" s="5" t="s">
        <v>9553</v>
      </c>
      <c r="L4879" s="11">
        <v>6.6924905480138888</v>
      </c>
      <c r="N4879" s="12"/>
    </row>
    <row r="4880" spans="1:14" s="5" customFormat="1" ht="15" customHeight="1" x14ac:dyDescent="0.25">
      <c r="A4880" s="9" t="s">
        <v>9554</v>
      </c>
      <c r="C4880" s="9" t="str">
        <f>HYPERLINK("http://www.ncbi.nlm.nih.gov/protein/13386100","Ndufa5")</f>
        <v>Ndufa5</v>
      </c>
      <c r="D4880" s="10">
        <f t="shared" si="76"/>
        <v>5.3745550237645316</v>
      </c>
      <c r="F4880" s="8" t="str">
        <f>HYPERLINK("https://esbl.nhlbi.nih.gov/Databases/mpkFractions/proteomic_fractions_log_files/Yang_log_img/13386100.jpg","show blot")</f>
        <v>show blot</v>
      </c>
      <c r="H4880" s="8" t="str">
        <f>HYPERLINK("https://esbl.nhlbi.nih.gov/Databases/mpkFractions/proteomic_fractions_linear_files/Yang_linear_img/13386100.jpg","show blot")</f>
        <v>show blot</v>
      </c>
      <c r="J4880" s="5" t="s">
        <v>9555</v>
      </c>
      <c r="L4880" s="11">
        <v>5.3745550237645316</v>
      </c>
      <c r="N4880" s="12"/>
    </row>
    <row r="4881" spans="1:14" s="5" customFormat="1" ht="15" customHeight="1" x14ac:dyDescent="0.25">
      <c r="A4881" s="9" t="s">
        <v>9556</v>
      </c>
      <c r="C4881" s="9" t="str">
        <f>HYPERLINK("http://www.ncbi.nlm.nih.gov/protein/13385492","Ndufa6")</f>
        <v>Ndufa6</v>
      </c>
      <c r="D4881" s="10">
        <f t="shared" si="76"/>
        <v>5.403659794760082</v>
      </c>
      <c r="F4881" s="8" t="str">
        <f>HYPERLINK("https://esbl.nhlbi.nih.gov/Databases/mpkFractions/proteomic_fractions_log_files/Yang_log_img/13385492.jpg","show blot")</f>
        <v>show blot</v>
      </c>
      <c r="H4881" s="8" t="str">
        <f>HYPERLINK("https://esbl.nhlbi.nih.gov/Databases/mpkFractions/proteomic_fractions_linear_files/Yang_linear_img/13385492.jpg","show blot")</f>
        <v>show blot</v>
      </c>
      <c r="J4881" s="5" t="s">
        <v>9557</v>
      </c>
      <c r="L4881" s="11">
        <v>5.403659794760082</v>
      </c>
      <c r="N4881" s="12"/>
    </row>
    <row r="4882" spans="1:14" s="5" customFormat="1" ht="15" customHeight="1" x14ac:dyDescent="0.25">
      <c r="A4882" s="9" t="s">
        <v>9558</v>
      </c>
      <c r="C4882" s="9" t="str">
        <f>HYPERLINK("http://www.ncbi.nlm.nih.gov/protein/12963571","Ndufa7")</f>
        <v>Ndufa7</v>
      </c>
      <c r="D4882" s="10">
        <f t="shared" si="76"/>
        <v>5.0351992785830273</v>
      </c>
      <c r="F4882" s="8" t="str">
        <f>HYPERLINK("https://esbl.nhlbi.nih.gov/Databases/mpkFractions/proteomic_fractions_log_files/Yang_log_img/12963571.jpg","show blot")</f>
        <v>show blot</v>
      </c>
      <c r="H4882" s="8" t="str">
        <f>HYPERLINK("https://esbl.nhlbi.nih.gov/Databases/mpkFractions/proteomic_fractions_linear_files/Yang_linear_img/12963571.jpg","show blot")</f>
        <v>show blot</v>
      </c>
      <c r="J4882" s="5" t="s">
        <v>9559</v>
      </c>
      <c r="L4882" s="11">
        <v>5.0351992785830273</v>
      </c>
      <c r="N4882" s="12"/>
    </row>
    <row r="4883" spans="1:14" s="5" customFormat="1" ht="15" customHeight="1" x14ac:dyDescent="0.25">
      <c r="A4883" s="9" t="s">
        <v>9560</v>
      </c>
      <c r="C4883" s="9" t="str">
        <f>HYPERLINK("http://www.ncbi.nlm.nih.gov/protein/21312012","Ndufa8")</f>
        <v>Ndufa8</v>
      </c>
      <c r="D4883" s="10">
        <f t="shared" si="76"/>
        <v>5.8349197282310419</v>
      </c>
      <c r="F4883" s="8" t="str">
        <f>HYPERLINK("https://esbl.nhlbi.nih.gov/Databases/mpkFractions/proteomic_fractions_log_files/Yang_log_img/21312012.jpg","show blot")</f>
        <v>show blot</v>
      </c>
      <c r="H4883" s="8" t="str">
        <f>HYPERLINK("https://esbl.nhlbi.nih.gov/Databases/mpkFractions/proteomic_fractions_linear_files/Yang_linear_img/21312012.jpg","show blot")</f>
        <v>show blot</v>
      </c>
      <c r="J4883" s="5" t="s">
        <v>9561</v>
      </c>
      <c r="L4883" s="11">
        <v>5.8349197282310419</v>
      </c>
      <c r="N4883" s="12"/>
    </row>
    <row r="4884" spans="1:14" s="5" customFormat="1" ht="15" customHeight="1" x14ac:dyDescent="0.25">
      <c r="A4884" s="9" t="s">
        <v>9562</v>
      </c>
      <c r="C4884" s="9" t="str">
        <f>HYPERLINK("http://www.ncbi.nlm.nih.gov/protein/254692859","Ndufa9")</f>
        <v>Ndufa9</v>
      </c>
      <c r="D4884" s="10">
        <f t="shared" si="76"/>
        <v>5.5163731836592476</v>
      </c>
      <c r="F4884" s="8" t="str">
        <f>HYPERLINK("https://esbl.nhlbi.nih.gov/Databases/mpkFractions/proteomic_fractions_log_files/Yang_log_img/254692859.jpg","show blot")</f>
        <v>show blot</v>
      </c>
      <c r="H4884" s="8" t="str">
        <f>HYPERLINK("https://esbl.nhlbi.nih.gov/Databases/mpkFractions/proteomic_fractions_linear_files/Yang_linear_img/254692859.jpg","show blot")</f>
        <v>show blot</v>
      </c>
      <c r="J4884" s="5" t="s">
        <v>9563</v>
      </c>
      <c r="L4884" s="11">
        <v>5.5163731836592476</v>
      </c>
      <c r="N4884" s="12"/>
    </row>
    <row r="4885" spans="1:14" s="5" customFormat="1" ht="15" customHeight="1" x14ac:dyDescent="0.25">
      <c r="A4885" s="9" t="s">
        <v>9564</v>
      </c>
      <c r="C4885" s="9" t="str">
        <f>HYPERLINK("http://www.ncbi.nlm.nih.gov/protein/27754007","Ndufab1")</f>
        <v>Ndufab1</v>
      </c>
      <c r="D4885" s="10">
        <f t="shared" si="76"/>
        <v>4.4839270425295981</v>
      </c>
      <c r="F4885" s="8" t="str">
        <f>HYPERLINK("https://esbl.nhlbi.nih.gov/Databases/mpkFractions/proteomic_fractions_log_files/Yang_log_img/27754007.jpg","show blot")</f>
        <v>show blot</v>
      </c>
      <c r="H4885" s="8" t="str">
        <f>HYPERLINK("https://esbl.nhlbi.nih.gov/Databases/mpkFractions/proteomic_fractions_linear_files/Yang_linear_img/27754007.jpg","show blot")</f>
        <v>show blot</v>
      </c>
      <c r="J4885" s="5" t="s">
        <v>9565</v>
      </c>
      <c r="L4885" s="11">
        <v>4.4839270425295981</v>
      </c>
      <c r="N4885" s="12"/>
    </row>
    <row r="4886" spans="1:14" s="5" customFormat="1" ht="15" customHeight="1" x14ac:dyDescent="0.25">
      <c r="A4886" s="9" t="s">
        <v>9566</v>
      </c>
      <c r="C4886" s="9" t="str">
        <f>HYPERLINK("http://www.ncbi.nlm.nih.gov/protein/188035926","Ndufaf2")</f>
        <v>Ndufaf2</v>
      </c>
      <c r="D4886" s="10">
        <f t="shared" si="76"/>
        <v>4.1866118957474638</v>
      </c>
      <c r="F4886" s="8" t="str">
        <f>HYPERLINK("https://esbl.nhlbi.nih.gov/Databases/mpkFractions/proteomic_fractions_log_files/Yang_log_img/188035926.jpg","show blot")</f>
        <v>show blot</v>
      </c>
      <c r="H4886" s="8" t="str">
        <f>HYPERLINK("https://esbl.nhlbi.nih.gov/Databases/mpkFractions/proteomic_fractions_linear_files/Yang_linear_img/188035926.jpg","show blot")</f>
        <v>show blot</v>
      </c>
      <c r="J4886" s="5" t="s">
        <v>9567</v>
      </c>
      <c r="L4886" s="11">
        <v>4.1866118957474638</v>
      </c>
      <c r="N4886" s="12"/>
    </row>
    <row r="4887" spans="1:14" s="5" customFormat="1" ht="15" customHeight="1" x14ac:dyDescent="0.25">
      <c r="A4887" s="9" t="s">
        <v>9568</v>
      </c>
      <c r="C4887" s="9" t="str">
        <f>HYPERLINK("http://www.ncbi.nlm.nih.gov/protein/12963603","Ndufaf3")</f>
        <v>Ndufaf3</v>
      </c>
      <c r="D4887" s="10">
        <f t="shared" si="76"/>
        <v>3.292908522299705</v>
      </c>
      <c r="F4887" s="8" t="str">
        <f>HYPERLINK("https://esbl.nhlbi.nih.gov/Databases/mpkFractions/proteomic_fractions_log_files/Yang_log_img/12963603.jpg","show blot")</f>
        <v>show blot</v>
      </c>
      <c r="H4887" s="8" t="str">
        <f>HYPERLINK("https://esbl.nhlbi.nih.gov/Databases/mpkFractions/proteomic_fractions_linear_files/Yang_linear_img/12963603.jpg","show blot")</f>
        <v>show blot</v>
      </c>
      <c r="J4887" s="5" t="s">
        <v>9569</v>
      </c>
      <c r="L4887" s="11">
        <v>3.292908522299705</v>
      </c>
      <c r="N4887" s="12"/>
    </row>
    <row r="4888" spans="1:14" s="5" customFormat="1" ht="15" customHeight="1" x14ac:dyDescent="0.25">
      <c r="A4888" s="9" t="s">
        <v>9570</v>
      </c>
      <c r="C4888" s="9" t="str">
        <f>HYPERLINK("http://www.ncbi.nlm.nih.gov/protein/21624617","Ndufaf4")</f>
        <v>Ndufaf4</v>
      </c>
      <c r="D4888" s="10">
        <f t="shared" si="76"/>
        <v>3.9622544633550989</v>
      </c>
      <c r="F4888" s="8" t="str">
        <f>HYPERLINK("https://esbl.nhlbi.nih.gov/Databases/mpkFractions/proteomic_fractions_log_files/Yang_log_img/21624617.jpg","show blot")</f>
        <v>show blot</v>
      </c>
      <c r="H4888" s="8" t="str">
        <f>HYPERLINK("https://esbl.nhlbi.nih.gov/Databases/mpkFractions/proteomic_fractions_linear_files/Yang_linear_img/21624617.jpg","show blot")</f>
        <v>show blot</v>
      </c>
      <c r="J4888" s="5" t="s">
        <v>9571</v>
      </c>
      <c r="L4888" s="11">
        <v>3.9622544633550989</v>
      </c>
      <c r="N4888" s="12"/>
    </row>
    <row r="4889" spans="1:14" s="5" customFormat="1" ht="15" customHeight="1" x14ac:dyDescent="0.25">
      <c r="A4889" s="9" t="s">
        <v>9572</v>
      </c>
      <c r="C4889" s="9" t="str">
        <f>HYPERLINK("http://www.ncbi.nlm.nih.gov/protein/166295190","Ndufaf5")</f>
        <v>Ndufaf5</v>
      </c>
      <c r="D4889" s="10">
        <f t="shared" si="76"/>
        <v>3.0332712117939491</v>
      </c>
      <c r="F4889" s="8" t="str">
        <f>HYPERLINK("https://esbl.nhlbi.nih.gov/Databases/mpkFractions/proteomic_fractions_log_files/Yang_log_img/166295190.jpg","show blot")</f>
        <v>show blot</v>
      </c>
      <c r="H4889" s="8" t="str">
        <f>HYPERLINK("https://esbl.nhlbi.nih.gov/Databases/mpkFractions/proteomic_fractions_linear_files/Yang_linear_img/166295190.jpg","show blot")</f>
        <v>show blot</v>
      </c>
      <c r="J4889" s="5" t="s">
        <v>9573</v>
      </c>
      <c r="L4889" s="11">
        <v>3.0332712117939491</v>
      </c>
      <c r="N4889" s="12"/>
    </row>
    <row r="4890" spans="1:14" s="5" customFormat="1" ht="15" customHeight="1" x14ac:dyDescent="0.25">
      <c r="A4890" s="9" t="s">
        <v>9574</v>
      </c>
      <c r="C4890" s="9" t="str">
        <f>HYPERLINK("http://www.ncbi.nlm.nih.gov/protein/158937256","Ndufaf7")</f>
        <v>Ndufaf7</v>
      </c>
      <c r="D4890" s="10">
        <f t="shared" si="76"/>
        <v>3.8892244099349651</v>
      </c>
      <c r="F4890" s="8" t="str">
        <f>HYPERLINK("https://esbl.nhlbi.nih.gov/Databases/mpkFractions/proteomic_fractions_log_files/Yang_log_img/158937256.jpg","show blot")</f>
        <v>show blot</v>
      </c>
      <c r="H4890" s="8" t="str">
        <f>HYPERLINK("https://esbl.nhlbi.nih.gov/Databases/mpkFractions/proteomic_fractions_linear_files/Yang_linear_img/158937256.jpg","show blot")</f>
        <v>show blot</v>
      </c>
      <c r="J4890" s="5" t="s">
        <v>9575</v>
      </c>
      <c r="L4890" s="11">
        <v>3.8892244099349651</v>
      </c>
      <c r="N4890" s="12"/>
    </row>
    <row r="4891" spans="1:14" s="5" customFormat="1" ht="15" customHeight="1" x14ac:dyDescent="0.25">
      <c r="A4891" s="9" t="s">
        <v>9576</v>
      </c>
      <c r="C4891" s="9" t="str">
        <f>HYPERLINK("http://www.ncbi.nlm.nih.gov/protein/58037109","Ndufb10")</f>
        <v>Ndufb10</v>
      </c>
      <c r="D4891" s="10">
        <f t="shared" si="76"/>
        <v>5.5791023989580291</v>
      </c>
      <c r="F4891" s="8" t="str">
        <f>HYPERLINK("https://esbl.nhlbi.nih.gov/Databases/mpkFractions/proteomic_fractions_log_files/Yang_log_img/58037109.jpg","show blot")</f>
        <v>show blot</v>
      </c>
      <c r="H4891" s="8" t="str">
        <f>HYPERLINK("https://esbl.nhlbi.nih.gov/Databases/mpkFractions/proteomic_fractions_linear_files/Yang_linear_img/58037109.jpg","show blot")</f>
        <v>show blot</v>
      </c>
      <c r="J4891" s="5" t="s">
        <v>9577</v>
      </c>
      <c r="L4891" s="11">
        <v>5.5791023989580291</v>
      </c>
      <c r="N4891" s="12"/>
    </row>
    <row r="4892" spans="1:14" s="5" customFormat="1" ht="15" customHeight="1" x14ac:dyDescent="0.25">
      <c r="A4892" s="9" t="s">
        <v>9578</v>
      </c>
      <c r="C4892" s="9" t="str">
        <f>HYPERLINK("http://www.ncbi.nlm.nih.gov/protein/158631246","Ndufb11")</f>
        <v>Ndufb11</v>
      </c>
      <c r="D4892" s="10">
        <f t="shared" si="76"/>
        <v>4.5192738381859288</v>
      </c>
      <c r="F4892" s="8" t="str">
        <f>HYPERLINK("https://esbl.nhlbi.nih.gov/Databases/mpkFractions/proteomic_fractions_log_files/Yang_log_img/158631246.jpg","show blot")</f>
        <v>show blot</v>
      </c>
      <c r="H4892" s="8" t="str">
        <f>HYPERLINK("https://esbl.nhlbi.nih.gov/Databases/mpkFractions/proteomic_fractions_linear_files/Yang_linear_img/158631246.jpg","show blot")</f>
        <v>show blot</v>
      </c>
      <c r="J4892" s="5" t="s">
        <v>9579</v>
      </c>
      <c r="L4892" s="11">
        <v>4.5192738381859288</v>
      </c>
      <c r="N4892" s="12"/>
    </row>
    <row r="4893" spans="1:14" s="5" customFormat="1" ht="15" customHeight="1" x14ac:dyDescent="0.25">
      <c r="A4893" s="9" t="s">
        <v>9580</v>
      </c>
      <c r="C4893" s="9" t="str">
        <f>HYPERLINK("http://www.ncbi.nlm.nih.gov/protein/13385054","Ndufb3")</f>
        <v>Ndufb3</v>
      </c>
      <c r="D4893" s="10">
        <f t="shared" si="76"/>
        <v>5.4462270110416702</v>
      </c>
      <c r="F4893" s="8" t="str">
        <f>HYPERLINK("https://esbl.nhlbi.nih.gov/Databases/mpkFractions/proteomic_fractions_log_files/Yang_log_img/13385054.jpg","show blot")</f>
        <v>show blot</v>
      </c>
      <c r="H4893" s="8" t="str">
        <f>HYPERLINK("https://esbl.nhlbi.nih.gov/Databases/mpkFractions/proteomic_fractions_linear_files/Yang_linear_img/13385054.jpg","show blot")</f>
        <v>show blot</v>
      </c>
      <c r="J4893" s="5" t="s">
        <v>9581</v>
      </c>
      <c r="L4893" s="11">
        <v>5.4462270110416702</v>
      </c>
      <c r="N4893" s="12"/>
    </row>
    <row r="4894" spans="1:14" s="5" customFormat="1" ht="15" customHeight="1" x14ac:dyDescent="0.25">
      <c r="A4894" s="9" t="s">
        <v>9582</v>
      </c>
      <c r="C4894" s="9" t="str">
        <f>HYPERLINK("http://www.ncbi.nlm.nih.gov/protein/27754144","Ndufb5")</f>
        <v>Ndufb5</v>
      </c>
      <c r="D4894" s="10">
        <f t="shared" si="76"/>
        <v>5.7695902297575374</v>
      </c>
      <c r="F4894" s="8" t="str">
        <f>HYPERLINK("https://esbl.nhlbi.nih.gov/Databases/mpkFractions/proteomic_fractions_log_files/Yang_log_img/27754144.jpg","show blot")</f>
        <v>show blot</v>
      </c>
      <c r="H4894" s="8" t="str">
        <f>HYPERLINK("https://esbl.nhlbi.nih.gov/Databases/mpkFractions/proteomic_fractions_linear_files/Yang_linear_img/27754144.jpg","show blot")</f>
        <v>show blot</v>
      </c>
      <c r="J4894" s="5" t="s">
        <v>9583</v>
      </c>
      <c r="L4894" s="11">
        <v>5.7695902297575374</v>
      </c>
      <c r="N4894" s="12"/>
    </row>
    <row r="4895" spans="1:14" s="5" customFormat="1" ht="15" customHeight="1" x14ac:dyDescent="0.25">
      <c r="A4895" s="9" t="s">
        <v>9584</v>
      </c>
      <c r="C4895" s="9" t="str">
        <f>HYPERLINK("http://www.ncbi.nlm.nih.gov/protein/84781779","Ndufb6")</f>
        <v>Ndufb6</v>
      </c>
      <c r="D4895" s="10">
        <f t="shared" si="76"/>
        <v>4.7021456407309294</v>
      </c>
      <c r="F4895" s="8" t="str">
        <f>HYPERLINK("https://esbl.nhlbi.nih.gov/Databases/mpkFractions/proteomic_fractions_log_files/Yang_log_img/84781779.jpg","show blot")</f>
        <v>show blot</v>
      </c>
      <c r="H4895" s="8" t="str">
        <f>HYPERLINK("https://esbl.nhlbi.nih.gov/Databases/mpkFractions/proteomic_fractions_linear_files/Yang_linear_img/84781779.jpg","show blot")</f>
        <v>show blot</v>
      </c>
      <c r="J4895" s="5" t="s">
        <v>9585</v>
      </c>
      <c r="L4895" s="11">
        <v>4.7021456407309294</v>
      </c>
      <c r="N4895" s="12"/>
    </row>
    <row r="4896" spans="1:14" s="5" customFormat="1" ht="15" customHeight="1" x14ac:dyDescent="0.25">
      <c r="A4896" s="9" t="s">
        <v>9586</v>
      </c>
      <c r="C4896" s="9" t="str">
        <f>HYPERLINK("http://www.ncbi.nlm.nih.gov/protein/13385322","Ndufb7")</f>
        <v>Ndufb7</v>
      </c>
      <c r="D4896" s="10">
        <f t="shared" si="76"/>
        <v>5.4886187655046994</v>
      </c>
      <c r="F4896" s="8" t="str">
        <f>HYPERLINK("https://esbl.nhlbi.nih.gov/Databases/mpkFractions/proteomic_fractions_log_files/Yang_log_img/13385322.jpg","show blot")</f>
        <v>show blot</v>
      </c>
      <c r="H4896" s="8" t="str">
        <f>HYPERLINK("https://esbl.nhlbi.nih.gov/Databases/mpkFractions/proteomic_fractions_linear_files/Yang_linear_img/13385322.jpg","show blot")</f>
        <v>show blot</v>
      </c>
      <c r="J4896" s="5" t="s">
        <v>9587</v>
      </c>
      <c r="L4896" s="11">
        <v>5.4886187655046994</v>
      </c>
      <c r="N4896" s="12"/>
    </row>
    <row r="4897" spans="1:14" s="5" customFormat="1" ht="15" customHeight="1" x14ac:dyDescent="0.25">
      <c r="A4897" s="9" t="s">
        <v>9588</v>
      </c>
      <c r="C4897" s="9" t="str">
        <f>HYPERLINK("http://www.ncbi.nlm.nih.gov/protein/13385558","Ndufb8")</f>
        <v>Ndufb8</v>
      </c>
      <c r="D4897" s="10">
        <f t="shared" si="76"/>
        <v>5.064218815641639</v>
      </c>
      <c r="F4897" s="8" t="str">
        <f>HYPERLINK("https://esbl.nhlbi.nih.gov/Databases/mpkFractions/proteomic_fractions_log_files/Yang_log_img/13385558.jpg","show blot")</f>
        <v>show blot</v>
      </c>
      <c r="H4897" s="8" t="str">
        <f>HYPERLINK("https://esbl.nhlbi.nih.gov/Databases/mpkFractions/proteomic_fractions_linear_files/Yang_linear_img/13385558.jpg","show blot")</f>
        <v>show blot</v>
      </c>
      <c r="J4897" s="5" t="s">
        <v>9589</v>
      </c>
      <c r="L4897" s="11">
        <v>5.064218815641639</v>
      </c>
      <c r="N4897" s="12"/>
    </row>
    <row r="4898" spans="1:14" s="5" customFormat="1" ht="15" customHeight="1" x14ac:dyDescent="0.25">
      <c r="A4898" s="9" t="s">
        <v>9590</v>
      </c>
      <c r="C4898" s="9" t="str">
        <f>HYPERLINK("http://www.ncbi.nlm.nih.gov/protein/29789148","Ndufb9")</f>
        <v>Ndufb9</v>
      </c>
      <c r="D4898" s="10">
        <f t="shared" si="76"/>
        <v>4.609749004630137</v>
      </c>
      <c r="F4898" s="8" t="str">
        <f>HYPERLINK("https://esbl.nhlbi.nih.gov/Databases/mpkFractions/proteomic_fractions_log_files/Yang_log_img/29789148.jpg","show blot")</f>
        <v>show blot</v>
      </c>
      <c r="H4898" s="8" t="str">
        <f>HYPERLINK("https://esbl.nhlbi.nih.gov/Databases/mpkFractions/proteomic_fractions_linear_files/Yang_linear_img/29789148.jpg","show blot")</f>
        <v>show blot</v>
      </c>
      <c r="J4898" s="5" t="s">
        <v>9591</v>
      </c>
      <c r="L4898" s="11">
        <v>4.609749004630137</v>
      </c>
      <c r="N4898" s="12"/>
    </row>
    <row r="4899" spans="1:14" s="5" customFormat="1" ht="15" customHeight="1" x14ac:dyDescent="0.25">
      <c r="A4899" s="9" t="s">
        <v>9592</v>
      </c>
      <c r="C4899" s="9" t="str">
        <f>HYPERLINK("http://www.ncbi.nlm.nih.gov/protein/18859597","Ndufc2")</f>
        <v>Ndufc2</v>
      </c>
      <c r="D4899" s="10">
        <f t="shared" si="76"/>
        <v>5.3603131156047166</v>
      </c>
      <c r="F4899" s="8" t="str">
        <f>HYPERLINK("https://esbl.nhlbi.nih.gov/Databases/mpkFractions/proteomic_fractions_log_files/Yang_log_img/18859597.jpg","show blot")</f>
        <v>show blot</v>
      </c>
      <c r="H4899" s="8" t="str">
        <f>HYPERLINK("https://esbl.nhlbi.nih.gov/Databases/mpkFractions/proteomic_fractions_linear_files/Yang_linear_img/18859597.jpg","show blot")</f>
        <v>show blot</v>
      </c>
      <c r="J4899" s="5" t="s">
        <v>9593</v>
      </c>
      <c r="L4899" s="11">
        <v>5.3603131156047166</v>
      </c>
      <c r="N4899" s="12"/>
    </row>
    <row r="4900" spans="1:14" s="5" customFormat="1" ht="15" customHeight="1" x14ac:dyDescent="0.25">
      <c r="A4900" s="9" t="s">
        <v>9594</v>
      </c>
      <c r="C4900" s="9" t="str">
        <f>HYPERLINK("http://www.ncbi.nlm.nih.gov/protein/229892316","Ndufs1")</f>
        <v>Ndufs1</v>
      </c>
      <c r="D4900" s="10">
        <f t="shared" si="76"/>
        <v>5.7189395210960514</v>
      </c>
      <c r="F4900" s="8" t="str">
        <f>HYPERLINK("https://esbl.nhlbi.nih.gov/Databases/mpkFractions/proteomic_fractions_log_files/Yang_log_img/229892316.jpg","show blot")</f>
        <v>show blot</v>
      </c>
      <c r="H4900" s="8" t="str">
        <f>HYPERLINK("https://esbl.nhlbi.nih.gov/Databases/mpkFractions/proteomic_fractions_linear_files/Yang_linear_img/229892316.jpg","show blot")</f>
        <v>show blot</v>
      </c>
      <c r="J4900" s="5" t="s">
        <v>9595</v>
      </c>
      <c r="L4900" s="11">
        <v>5.7189395210960514</v>
      </c>
      <c r="N4900" s="12"/>
    </row>
    <row r="4901" spans="1:14" s="5" customFormat="1" ht="15" customHeight="1" x14ac:dyDescent="0.25">
      <c r="A4901" s="9" t="s">
        <v>9596</v>
      </c>
      <c r="C4901" s="9" t="str">
        <f>HYPERLINK("http://www.ncbi.nlm.nih.gov/protein/23346461","Ndufs2")</f>
        <v>Ndufs2</v>
      </c>
      <c r="D4901" s="10">
        <f t="shared" si="76"/>
        <v>5.1269771107181343</v>
      </c>
      <c r="F4901" s="8" t="str">
        <f>HYPERLINK("https://esbl.nhlbi.nih.gov/Databases/mpkFractions/proteomic_fractions_log_files/Yang_log_img/23346461.jpg","show blot")</f>
        <v>show blot</v>
      </c>
      <c r="H4901" s="8" t="str">
        <f>HYPERLINK("https://esbl.nhlbi.nih.gov/Databases/mpkFractions/proteomic_fractions_linear_files/Yang_linear_img/23346461.jpg","show blot")</f>
        <v>show blot</v>
      </c>
      <c r="J4901" s="5" t="s">
        <v>9597</v>
      </c>
      <c r="L4901" s="11">
        <v>5.1269771107181343</v>
      </c>
      <c r="N4901" s="12"/>
    </row>
    <row r="4902" spans="1:14" s="5" customFormat="1" ht="15" customHeight="1" x14ac:dyDescent="0.25">
      <c r="A4902" s="9" t="s">
        <v>9598</v>
      </c>
      <c r="C4902" s="9" t="str">
        <f>HYPERLINK("http://www.ncbi.nlm.nih.gov/protein/58037117","Ndufs3")</f>
        <v>Ndufs3</v>
      </c>
      <c r="D4902" s="10">
        <f t="shared" si="76"/>
        <v>5.8394300497041609</v>
      </c>
      <c r="F4902" s="8" t="str">
        <f>HYPERLINK("https://esbl.nhlbi.nih.gov/Databases/mpkFractions/proteomic_fractions_log_files/Yang_log_img/58037117.jpg","show blot")</f>
        <v>show blot</v>
      </c>
      <c r="H4902" s="8" t="str">
        <f>HYPERLINK("https://esbl.nhlbi.nih.gov/Databases/mpkFractions/proteomic_fractions_linear_files/Yang_linear_img/58037117.jpg","show blot")</f>
        <v>show blot</v>
      </c>
      <c r="J4902" s="5" t="s">
        <v>9599</v>
      </c>
      <c r="L4902" s="11">
        <v>5.8394300497041609</v>
      </c>
      <c r="N4902" s="12"/>
    </row>
    <row r="4903" spans="1:14" s="5" customFormat="1" ht="15" customHeight="1" x14ac:dyDescent="0.25">
      <c r="A4903" s="9" t="s">
        <v>9600</v>
      </c>
      <c r="C4903" s="9" t="str">
        <f>HYPERLINK("http://www.ncbi.nlm.nih.gov/protein/281485615","Ndufs4")</f>
        <v>Ndufs4</v>
      </c>
      <c r="D4903" s="10">
        <f t="shared" si="76"/>
        <v>4.9592176337902787</v>
      </c>
      <c r="F4903" s="8" t="str">
        <f>HYPERLINK("https://esbl.nhlbi.nih.gov/Databases/mpkFractions/proteomic_fractions_log_files/Yang_log_img/281485615.jpg","show blot")</f>
        <v>show blot</v>
      </c>
      <c r="H4903" s="8" t="str">
        <f>HYPERLINK("https://esbl.nhlbi.nih.gov/Databases/mpkFractions/proteomic_fractions_linear_files/Yang_linear_img/281485615.jpg","show blot")</f>
        <v>show blot</v>
      </c>
      <c r="J4903" s="5" t="s">
        <v>9601</v>
      </c>
      <c r="L4903" s="11">
        <v>4.9592176337902787</v>
      </c>
      <c r="N4903" s="12"/>
    </row>
    <row r="4904" spans="1:14" s="5" customFormat="1" ht="15" customHeight="1" x14ac:dyDescent="0.25">
      <c r="A4904" s="9" t="s">
        <v>9602</v>
      </c>
      <c r="C4904" s="9" t="str">
        <f>HYPERLINK("http://www.ncbi.nlm.nih.gov/protein/56711244","Ndufs6")</f>
        <v>Ndufs6</v>
      </c>
      <c r="D4904" s="10">
        <f t="shared" si="76"/>
        <v>5.2484471961541423</v>
      </c>
      <c r="F4904" s="8" t="str">
        <f>HYPERLINK("https://esbl.nhlbi.nih.gov/Databases/mpkFractions/proteomic_fractions_log_files/Yang_log_img/56711244.jpg","show blot")</f>
        <v>show blot</v>
      </c>
      <c r="H4904" s="8" t="str">
        <f>HYPERLINK("https://esbl.nhlbi.nih.gov/Databases/mpkFractions/proteomic_fractions_linear_files/Yang_linear_img/56711244.jpg","show blot")</f>
        <v>show blot</v>
      </c>
      <c r="J4904" s="5" t="s">
        <v>9603</v>
      </c>
      <c r="L4904" s="11">
        <v>5.2484471961541423</v>
      </c>
      <c r="N4904" s="12"/>
    </row>
    <row r="4905" spans="1:14" s="5" customFormat="1" ht="15" customHeight="1" x14ac:dyDescent="0.25">
      <c r="A4905" s="9" t="s">
        <v>9604</v>
      </c>
      <c r="C4905" s="9" t="str">
        <f>HYPERLINK("http://www.ncbi.nlm.nih.gov/protein/21312950","Ndufs7")</f>
        <v>Ndufs7</v>
      </c>
      <c r="D4905" s="10">
        <f t="shared" si="76"/>
        <v>5.6114330535664001</v>
      </c>
      <c r="F4905" s="8" t="str">
        <f>HYPERLINK("https://esbl.nhlbi.nih.gov/Databases/mpkFractions/proteomic_fractions_log_files/Yang_log_img/21312950.jpg","show blot")</f>
        <v>show blot</v>
      </c>
      <c r="H4905" s="8" t="str">
        <f>HYPERLINK("https://esbl.nhlbi.nih.gov/Databases/mpkFractions/proteomic_fractions_linear_files/Yang_linear_img/21312950.jpg","show blot")</f>
        <v>show blot</v>
      </c>
      <c r="J4905" s="5" t="s">
        <v>9605</v>
      </c>
      <c r="L4905" s="11">
        <v>5.6114330535664001</v>
      </c>
      <c r="N4905" s="12"/>
    </row>
    <row r="4906" spans="1:14" s="5" customFormat="1" ht="15" customHeight="1" x14ac:dyDescent="0.25">
      <c r="A4906" s="9" t="s">
        <v>9606</v>
      </c>
      <c r="C4906" s="9" t="str">
        <f>HYPERLINK("http://www.ncbi.nlm.nih.gov/protein/46195430","Ndufs8")</f>
        <v>Ndufs8</v>
      </c>
      <c r="D4906" s="10">
        <f t="shared" si="76"/>
        <v>4.9285137651917346</v>
      </c>
      <c r="F4906" s="8" t="str">
        <f>HYPERLINK("https://esbl.nhlbi.nih.gov/Databases/mpkFractions/proteomic_fractions_log_files/Yang_log_img/46195430.jpg","show blot")</f>
        <v>show blot</v>
      </c>
      <c r="H4906" s="8" t="str">
        <f>HYPERLINK("https://esbl.nhlbi.nih.gov/Databases/mpkFractions/proteomic_fractions_linear_files/Yang_linear_img/46195430.jpg","show blot")</f>
        <v>show blot</v>
      </c>
      <c r="J4906" s="5" t="s">
        <v>9607</v>
      </c>
      <c r="L4906" s="11">
        <v>4.9285137651917346</v>
      </c>
      <c r="N4906" s="12"/>
    </row>
    <row r="4907" spans="1:14" s="5" customFormat="1" ht="15" customHeight="1" x14ac:dyDescent="0.25">
      <c r="A4907" s="9" t="s">
        <v>9608</v>
      </c>
      <c r="C4907" s="9" t="str">
        <f>HYPERLINK("http://www.ncbi.nlm.nih.gov/protein/19526814","Ndufv1")</f>
        <v>Ndufv1</v>
      </c>
      <c r="D4907" s="10">
        <f t="shared" si="76"/>
        <v>5.4605180570099829</v>
      </c>
      <c r="F4907" s="8" t="str">
        <f>HYPERLINK("https://esbl.nhlbi.nih.gov/Databases/mpkFractions/proteomic_fractions_log_files/Yang_log_img/19526814.jpg","show blot")</f>
        <v>show blot</v>
      </c>
      <c r="H4907" s="8" t="str">
        <f>HYPERLINK("https://esbl.nhlbi.nih.gov/Databases/mpkFractions/proteomic_fractions_linear_files/Yang_linear_img/19526814.jpg","show blot")</f>
        <v>show blot</v>
      </c>
      <c r="J4907" s="5" t="s">
        <v>9609</v>
      </c>
      <c r="L4907" s="11">
        <v>5.4605180570099829</v>
      </c>
      <c r="N4907" s="12"/>
    </row>
    <row r="4908" spans="1:14" s="5" customFormat="1" ht="15" customHeight="1" x14ac:dyDescent="0.25">
      <c r="A4908" s="9" t="s">
        <v>9610</v>
      </c>
      <c r="C4908" s="9" t="str">
        <f>HYPERLINK("http://www.ncbi.nlm.nih.gov/protein/510025446","Ndufv2")</f>
        <v>Ndufv2</v>
      </c>
      <c r="D4908" s="10">
        <f t="shared" si="76"/>
        <v>5.3296946981148219</v>
      </c>
      <c r="F4908" s="8" t="str">
        <f>HYPERLINK("https://esbl.nhlbi.nih.gov/Databases/mpkFractions/proteomic_fractions_log_files/Yang_log_img/510025446.jpg","show blot")</f>
        <v>show blot</v>
      </c>
      <c r="H4908" s="8" t="str">
        <f>HYPERLINK("https://esbl.nhlbi.nih.gov/Databases/mpkFractions/proteomic_fractions_linear_files/Yang_linear_img/510025446.jpg","show blot")</f>
        <v>show blot</v>
      </c>
      <c r="J4908" s="5" t="s">
        <v>9611</v>
      </c>
      <c r="L4908" s="11">
        <v>5.3296946981148219</v>
      </c>
      <c r="N4908" s="12"/>
    </row>
    <row r="4909" spans="1:14" s="5" customFormat="1" ht="15" customHeight="1" x14ac:dyDescent="0.25">
      <c r="A4909" s="9" t="s">
        <v>9612</v>
      </c>
      <c r="C4909" s="9" t="str">
        <f>HYPERLINK("http://www.ncbi.nlm.nih.gov/protein/110625954","Ndufv2")</f>
        <v>Ndufv2</v>
      </c>
      <c r="D4909" s="10">
        <f t="shared" si="76"/>
        <v>5.3296946981148219</v>
      </c>
      <c r="F4909" s="8" t="str">
        <f>HYPERLINK("https://esbl.nhlbi.nih.gov/Databases/mpkFractions/proteomic_fractions_log_files/Yang_log_img/110625954.jpg","show blot")</f>
        <v>show blot</v>
      </c>
      <c r="H4909" s="8" t="str">
        <f>HYPERLINK("https://esbl.nhlbi.nih.gov/Databases/mpkFractions/proteomic_fractions_linear_files/Yang_linear_img/110625954.jpg","show blot")</f>
        <v>show blot</v>
      </c>
      <c r="J4909" s="5" t="s">
        <v>9613</v>
      </c>
      <c r="L4909" s="11">
        <v>5.3296946981148219</v>
      </c>
      <c r="N4909" s="12"/>
    </row>
    <row r="4910" spans="1:14" s="5" customFormat="1" ht="15" customHeight="1" x14ac:dyDescent="0.25">
      <c r="A4910" s="9" t="s">
        <v>9614</v>
      </c>
      <c r="C4910" s="9" t="str">
        <f>HYPERLINK("http://www.ncbi.nlm.nih.gov/protein/140969946","Ndufv3")</f>
        <v>Ndufv3</v>
      </c>
      <c r="D4910" s="10">
        <f t="shared" si="76"/>
        <v>4.1261635830305474</v>
      </c>
      <c r="F4910" s="8" t="str">
        <f>HYPERLINK("https://esbl.nhlbi.nih.gov/Databases/mpkFractions/proteomic_fractions_log_files/Yang_log_img/140969946.jpg","show blot")</f>
        <v>show blot</v>
      </c>
      <c r="H4910" s="8" t="str">
        <f>HYPERLINK("https://esbl.nhlbi.nih.gov/Databases/mpkFractions/proteomic_fractions_linear_files/Yang_linear_img/140969946.jpg","show blot")</f>
        <v>show blot</v>
      </c>
      <c r="J4910" s="5" t="s">
        <v>9615</v>
      </c>
      <c r="L4910" s="11">
        <v>4.1261635830305474</v>
      </c>
      <c r="N4910" s="12"/>
    </row>
    <row r="4911" spans="1:14" s="5" customFormat="1" ht="15" customHeight="1" x14ac:dyDescent="0.25">
      <c r="A4911" s="9" t="s">
        <v>9616</v>
      </c>
      <c r="C4911" s="9" t="str">
        <f>HYPERLINK("http://www.ncbi.nlm.nih.gov/protein/140972309","Ndufv3")</f>
        <v>Ndufv3</v>
      </c>
      <c r="D4911" s="10">
        <f t="shared" si="76"/>
        <v>4.1261635830305474</v>
      </c>
      <c r="F4911" s="8" t="str">
        <f>HYPERLINK("https://esbl.nhlbi.nih.gov/Databases/mpkFractions/proteomic_fractions_log_files/Yang_log_img/140972309.jpg","show blot")</f>
        <v>show blot</v>
      </c>
      <c r="H4911" s="8" t="str">
        <f>HYPERLINK("https://esbl.nhlbi.nih.gov/Databases/mpkFractions/proteomic_fractions_linear_files/Yang_linear_img/140972309.jpg","show blot")</f>
        <v>show blot</v>
      </c>
      <c r="J4911" s="5" t="s">
        <v>9617</v>
      </c>
      <c r="L4911" s="11">
        <v>4.1261635830305474</v>
      </c>
      <c r="N4911" s="12"/>
    </row>
    <row r="4912" spans="1:14" s="5" customFormat="1" ht="15" customHeight="1" x14ac:dyDescent="0.25">
      <c r="A4912" s="9" t="s">
        <v>9618</v>
      </c>
      <c r="C4912" s="9" t="str">
        <f>HYPERLINK("http://www.ncbi.nlm.nih.gov/protein/21311871","Nebl")</f>
        <v>Nebl</v>
      </c>
      <c r="D4912" s="10">
        <f t="shared" si="76"/>
        <v>3.4066786020024908</v>
      </c>
      <c r="F4912" s="8" t="str">
        <f>HYPERLINK("https://esbl.nhlbi.nih.gov/Databases/mpkFractions/proteomic_fractions_log_files/Yang_log_img/21311871.jpg","show blot")</f>
        <v>show blot</v>
      </c>
      <c r="H4912" s="8" t="str">
        <f>HYPERLINK("https://esbl.nhlbi.nih.gov/Databases/mpkFractions/proteomic_fractions_linear_files/Yang_linear_img/21311871.jpg","show blot")</f>
        <v>show blot</v>
      </c>
      <c r="J4912" s="5" t="s">
        <v>9619</v>
      </c>
      <c r="L4912" s="11">
        <v>3.4066786020024908</v>
      </c>
      <c r="N4912" s="12"/>
    </row>
    <row r="4913" spans="1:14" s="5" customFormat="1" ht="15" customHeight="1" x14ac:dyDescent="0.25">
      <c r="A4913" s="9" t="s">
        <v>9620</v>
      </c>
      <c r="C4913" s="9" t="str">
        <f>HYPERLINK("http://www.ncbi.nlm.nih.gov/protein/27229051","Necap1")</f>
        <v>Necap1</v>
      </c>
      <c r="D4913" s="10">
        <f t="shared" si="76"/>
        <v>3.887064588946505</v>
      </c>
      <c r="F4913" s="8" t="str">
        <f>HYPERLINK("https://esbl.nhlbi.nih.gov/Databases/mpkFractions/proteomic_fractions_log_files/Yang_log_img/27229051.jpg","show blot")</f>
        <v>show blot</v>
      </c>
      <c r="H4913" s="8" t="str">
        <f>HYPERLINK("https://esbl.nhlbi.nih.gov/Databases/mpkFractions/proteomic_fractions_linear_files/Yang_linear_img/27229051.jpg","show blot")</f>
        <v>show blot</v>
      </c>
      <c r="J4913" s="5" t="s">
        <v>9621</v>
      </c>
      <c r="L4913" s="11">
        <v>3.887064588946505</v>
      </c>
      <c r="N4913" s="12"/>
    </row>
    <row r="4914" spans="1:14" s="5" customFormat="1" ht="15" customHeight="1" x14ac:dyDescent="0.25">
      <c r="A4914" s="9" t="s">
        <v>9622</v>
      </c>
      <c r="C4914" s="9" t="str">
        <f>HYPERLINK("http://www.ncbi.nlm.nih.gov/protein/13384758","Necap2")</f>
        <v>Necap2</v>
      </c>
      <c r="D4914" s="10">
        <f t="shared" si="76"/>
        <v>4.6707197230537769</v>
      </c>
      <c r="F4914" s="8" t="str">
        <f>HYPERLINK("https://esbl.nhlbi.nih.gov/Databases/mpkFractions/proteomic_fractions_log_files/Yang_log_img/13384758.jpg","show blot")</f>
        <v>show blot</v>
      </c>
      <c r="H4914" s="8" t="str">
        <f>HYPERLINK("https://esbl.nhlbi.nih.gov/Databases/mpkFractions/proteomic_fractions_linear_files/Yang_linear_img/13384758.jpg","show blot")</f>
        <v>show blot</v>
      </c>
      <c r="J4914" s="5" t="s">
        <v>9623</v>
      </c>
      <c r="L4914" s="11">
        <v>4.6707197230537769</v>
      </c>
      <c r="N4914" s="12"/>
    </row>
    <row r="4915" spans="1:14" s="5" customFormat="1" ht="15" customHeight="1" x14ac:dyDescent="0.25">
      <c r="A4915" s="9" t="s">
        <v>9624</v>
      </c>
      <c r="C4915" s="9" t="str">
        <f>HYPERLINK("http://www.ncbi.nlm.nih.gov/protein/171543875","Nedd1")</f>
        <v>Nedd1</v>
      </c>
      <c r="D4915" s="10">
        <f t="shared" si="76"/>
        <v>2.8248821386421898</v>
      </c>
      <c r="F4915" s="8" t="str">
        <f>HYPERLINK("https://esbl.nhlbi.nih.gov/Databases/mpkFractions/proteomic_fractions_log_files/Yang_log_img/171543875.jpg","show blot")</f>
        <v>show blot</v>
      </c>
      <c r="H4915" s="8" t="str">
        <f>HYPERLINK("https://esbl.nhlbi.nih.gov/Databases/mpkFractions/proteomic_fractions_linear_files/Yang_linear_img/171543875.jpg","show blot")</f>
        <v>show blot</v>
      </c>
      <c r="J4915" s="5" t="s">
        <v>9625</v>
      </c>
      <c r="L4915" s="11">
        <v>2.8248821386421898</v>
      </c>
      <c r="N4915" s="12"/>
    </row>
    <row r="4916" spans="1:14" s="5" customFormat="1" ht="15" customHeight="1" x14ac:dyDescent="0.25">
      <c r="A4916" s="9" t="s">
        <v>9626</v>
      </c>
      <c r="C4916" s="9" t="str">
        <f>HYPERLINK("http://www.ncbi.nlm.nih.gov/protein/56699423","Nedd4")</f>
        <v>Nedd4</v>
      </c>
      <c r="D4916" s="10">
        <f t="shared" si="76"/>
        <v>5.4960948315711331</v>
      </c>
      <c r="F4916" s="8" t="str">
        <f>HYPERLINK("https://esbl.nhlbi.nih.gov/Databases/mpkFractions/proteomic_fractions_log_files/Yang_log_img/56699423.jpg","show blot")</f>
        <v>show blot</v>
      </c>
      <c r="H4916" s="8" t="str">
        <f>HYPERLINK("https://esbl.nhlbi.nih.gov/Databases/mpkFractions/proteomic_fractions_linear_files/Yang_linear_img/56699423.jpg","show blot")</f>
        <v>show blot</v>
      </c>
      <c r="J4916" s="5" t="s">
        <v>9627</v>
      </c>
      <c r="L4916" s="11">
        <v>5.4960948315711331</v>
      </c>
      <c r="N4916" s="12"/>
    </row>
    <row r="4917" spans="1:14" s="5" customFormat="1" ht="15" customHeight="1" x14ac:dyDescent="0.25">
      <c r="A4917" s="9" t="s">
        <v>9628</v>
      </c>
      <c r="C4917" s="9" t="str">
        <f>HYPERLINK("http://www.ncbi.nlm.nih.gov/protein/167466243","Nedd4l")</f>
        <v>Nedd4l</v>
      </c>
      <c r="D4917" s="10">
        <f t="shared" si="76"/>
        <v>4.5311626017554198</v>
      </c>
      <c r="F4917" s="8" t="str">
        <f>HYPERLINK("https://esbl.nhlbi.nih.gov/Databases/mpkFractions/proteomic_fractions_log_files/Yang_log_img/167466243.jpg","show blot")</f>
        <v>show blot</v>
      </c>
      <c r="H4917" s="8" t="str">
        <f>HYPERLINK("https://esbl.nhlbi.nih.gov/Databases/mpkFractions/proteomic_fractions_linear_files/Yang_linear_img/167466243.jpg","show blot")</f>
        <v>show blot</v>
      </c>
      <c r="J4917" s="5" t="s">
        <v>9629</v>
      </c>
      <c r="L4917" s="11">
        <v>4.5311626017554198</v>
      </c>
      <c r="N4917" s="12"/>
    </row>
    <row r="4918" spans="1:14" s="5" customFormat="1" ht="15" customHeight="1" x14ac:dyDescent="0.25">
      <c r="A4918" s="9" t="s">
        <v>9630</v>
      </c>
      <c r="C4918" s="9" t="str">
        <f>HYPERLINK("http://www.ncbi.nlm.nih.gov/protein/167466245","Nedd4l")</f>
        <v>Nedd4l</v>
      </c>
      <c r="D4918" s="10">
        <f t="shared" si="76"/>
        <v>4.5311626017554198</v>
      </c>
      <c r="F4918" s="8" t="str">
        <f>HYPERLINK("https://esbl.nhlbi.nih.gov/Databases/mpkFractions/proteomic_fractions_log_files/Yang_log_img/167466245.jpg","show blot")</f>
        <v>show blot</v>
      </c>
      <c r="H4918" s="8" t="str">
        <f>HYPERLINK("https://esbl.nhlbi.nih.gov/Databases/mpkFractions/proteomic_fractions_linear_files/Yang_linear_img/167466245.jpg","show blot")</f>
        <v>show blot</v>
      </c>
      <c r="J4918" s="5" t="s">
        <v>9631</v>
      </c>
      <c r="L4918" s="11">
        <v>4.5311626017554198</v>
      </c>
      <c r="N4918" s="12"/>
    </row>
    <row r="4919" spans="1:14" s="5" customFormat="1" ht="15" customHeight="1" x14ac:dyDescent="0.25">
      <c r="A4919" s="9" t="s">
        <v>9632</v>
      </c>
      <c r="C4919" s="9" t="str">
        <f>HYPERLINK("http://www.ncbi.nlm.nih.gov/protein/6679034","Nedd8")</f>
        <v>Nedd8</v>
      </c>
      <c r="D4919" s="10">
        <f t="shared" si="76"/>
        <v>4.0198847652047878</v>
      </c>
      <c r="F4919" s="8" t="str">
        <f>HYPERLINK("https://esbl.nhlbi.nih.gov/Databases/mpkFractions/proteomic_fractions_log_files/Yang_log_img/6679034.jpg","show blot")</f>
        <v>show blot</v>
      </c>
      <c r="H4919" s="8" t="str">
        <f>HYPERLINK("https://esbl.nhlbi.nih.gov/Databases/mpkFractions/proteomic_fractions_linear_files/Yang_linear_img/6679034.jpg","show blot")</f>
        <v>show blot</v>
      </c>
      <c r="J4919" s="5" t="s">
        <v>9633</v>
      </c>
      <c r="L4919" s="11">
        <v>4.0198847652047878</v>
      </c>
      <c r="N4919" s="12"/>
    </row>
    <row r="4920" spans="1:14" s="5" customFormat="1" ht="15" customHeight="1" x14ac:dyDescent="0.25">
      <c r="A4920" s="9" t="s">
        <v>9634</v>
      </c>
      <c r="C4920" s="9" t="str">
        <f>HYPERLINK("http://www.ncbi.nlm.nih.gov/protein/22094129","Neil1")</f>
        <v>Neil1</v>
      </c>
      <c r="D4920" s="10">
        <f t="shared" si="76"/>
        <v>2.0211892990699378</v>
      </c>
      <c r="F4920" s="8" t="str">
        <f>HYPERLINK("https://esbl.nhlbi.nih.gov/Databases/mpkFractions/proteomic_fractions_log_files/Yang_log_img/22094129.jpg","show blot")</f>
        <v>show blot</v>
      </c>
      <c r="H4920" s="8" t="str">
        <f>HYPERLINK("https://esbl.nhlbi.nih.gov/Databases/mpkFractions/proteomic_fractions_linear_files/Yang_linear_img/22094129.jpg","show blot")</f>
        <v>show blot</v>
      </c>
      <c r="J4920" s="5" t="s">
        <v>9635</v>
      </c>
      <c r="L4920" s="11">
        <v>2.0211892990699378</v>
      </c>
      <c r="N4920" s="12"/>
    </row>
    <row r="4921" spans="1:14" s="5" customFormat="1" ht="15" customHeight="1" x14ac:dyDescent="0.25">
      <c r="A4921" s="9" t="s">
        <v>9636</v>
      </c>
      <c r="C4921" s="9" t="str">
        <f>HYPERLINK("http://www.ncbi.nlm.nih.gov/protein/124107627","Nek1")</f>
        <v>Nek1</v>
      </c>
      <c r="D4921" s="10">
        <f t="shared" si="76"/>
        <v>3.845685516927138</v>
      </c>
      <c r="F4921" s="8" t="str">
        <f>HYPERLINK("https://esbl.nhlbi.nih.gov/Databases/mpkFractions/proteomic_fractions_log_files/Yang_log_img/124107627.jpg","show blot")</f>
        <v>show blot</v>
      </c>
      <c r="H4921" s="8" t="str">
        <f>HYPERLINK("https://esbl.nhlbi.nih.gov/Databases/mpkFractions/proteomic_fractions_linear_files/Yang_linear_img/124107627.jpg","show blot")</f>
        <v>show blot</v>
      </c>
      <c r="J4921" s="5" t="s">
        <v>9637</v>
      </c>
      <c r="L4921" s="11">
        <v>3.845685516927138</v>
      </c>
      <c r="N4921" s="12"/>
    </row>
    <row r="4922" spans="1:14" s="5" customFormat="1" ht="15" customHeight="1" x14ac:dyDescent="0.25">
      <c r="A4922" s="9" t="s">
        <v>9638</v>
      </c>
      <c r="C4922" s="9" t="str">
        <f>HYPERLINK("http://www.ncbi.nlm.nih.gov/protein/11037794","Nek6")</f>
        <v>Nek6</v>
      </c>
      <c r="D4922" s="10">
        <f t="shared" si="76"/>
        <v>4.3203215705920073</v>
      </c>
      <c r="F4922" s="8" t="str">
        <f>HYPERLINK("https://esbl.nhlbi.nih.gov/Databases/mpkFractions/proteomic_fractions_log_files/Yang_log_img/11037794.jpg","show blot")</f>
        <v>show blot</v>
      </c>
      <c r="H4922" s="8" t="str">
        <f>HYPERLINK("https://esbl.nhlbi.nih.gov/Databases/mpkFractions/proteomic_fractions_linear_files/Yang_linear_img/11037794.jpg","show blot")</f>
        <v>show blot</v>
      </c>
      <c r="J4922" s="5" t="s">
        <v>9639</v>
      </c>
      <c r="L4922" s="11">
        <v>4.3203215705920073</v>
      </c>
      <c r="N4922" s="12"/>
    </row>
    <row r="4923" spans="1:14" s="5" customFormat="1" ht="15" customHeight="1" x14ac:dyDescent="0.25">
      <c r="A4923" s="9" t="s">
        <v>9640</v>
      </c>
      <c r="C4923" s="9" t="str">
        <f>HYPERLINK("http://www.ncbi.nlm.nih.gov/protein/11037792","Nek7")</f>
        <v>Nek7</v>
      </c>
      <c r="D4923" s="10">
        <f t="shared" si="76"/>
        <v>5.0493809939971079</v>
      </c>
      <c r="F4923" s="8" t="str">
        <f>HYPERLINK("https://esbl.nhlbi.nih.gov/Databases/mpkFractions/proteomic_fractions_log_files/Yang_log_img/11037792.jpg","show blot")</f>
        <v>show blot</v>
      </c>
      <c r="H4923" s="8" t="str">
        <f>HYPERLINK("https://esbl.nhlbi.nih.gov/Databases/mpkFractions/proteomic_fractions_linear_files/Yang_linear_img/11037792.jpg","show blot")</f>
        <v>show blot</v>
      </c>
      <c r="J4923" s="5" t="s">
        <v>9641</v>
      </c>
      <c r="L4923" s="11">
        <v>5.0493809939971079</v>
      </c>
      <c r="N4923" s="12"/>
    </row>
    <row r="4924" spans="1:14" s="5" customFormat="1" ht="15" customHeight="1" x14ac:dyDescent="0.25">
      <c r="A4924" s="9" t="s">
        <v>9642</v>
      </c>
      <c r="C4924" s="9" t="str">
        <f>HYPERLINK("http://www.ncbi.nlm.nih.gov/protein/158631240","Nek9")</f>
        <v>Nek9</v>
      </c>
      <c r="D4924" s="10">
        <f t="shared" si="76"/>
        <v>4.3639433054077514</v>
      </c>
      <c r="F4924" s="8" t="str">
        <f>HYPERLINK("https://esbl.nhlbi.nih.gov/Databases/mpkFractions/proteomic_fractions_log_files/Yang_log_img/158631240.jpg","show blot")</f>
        <v>show blot</v>
      </c>
      <c r="H4924" s="8" t="str">
        <f>HYPERLINK("https://esbl.nhlbi.nih.gov/Databases/mpkFractions/proteomic_fractions_linear_files/Yang_linear_img/158631240.jpg","show blot")</f>
        <v>show blot</v>
      </c>
      <c r="J4924" s="5" t="s">
        <v>9643</v>
      </c>
      <c r="L4924" s="11">
        <v>4.3639433054077514</v>
      </c>
      <c r="N4924" s="12"/>
    </row>
    <row r="4925" spans="1:14" s="5" customFormat="1" ht="15" customHeight="1" x14ac:dyDescent="0.25">
      <c r="A4925" s="9" t="s">
        <v>9644</v>
      </c>
      <c r="C4925" s="9" t="str">
        <f>HYPERLINK("http://www.ncbi.nlm.nih.gov/protein/33859652","Nelfa")</f>
        <v>Nelfa</v>
      </c>
      <c r="D4925" s="10">
        <f t="shared" si="76"/>
        <v>4.0332505966503129</v>
      </c>
      <c r="F4925" s="8" t="str">
        <f>HYPERLINK("https://esbl.nhlbi.nih.gov/Databases/mpkFractions/proteomic_fractions_log_files/Yang_log_img/33859652.jpg","show blot")</f>
        <v>show blot</v>
      </c>
      <c r="H4925" s="8" t="str">
        <f>HYPERLINK("https://esbl.nhlbi.nih.gov/Databases/mpkFractions/proteomic_fractions_linear_files/Yang_linear_img/33859652.jpg","show blot")</f>
        <v>show blot</v>
      </c>
      <c r="J4925" s="5" t="s">
        <v>9645</v>
      </c>
      <c r="L4925" s="11">
        <v>4.0332505966503129</v>
      </c>
      <c r="N4925" s="12"/>
    </row>
    <row r="4926" spans="1:14" s="5" customFormat="1" ht="15" customHeight="1" x14ac:dyDescent="0.25">
      <c r="A4926" s="9" t="s">
        <v>9646</v>
      </c>
      <c r="C4926" s="9" t="str">
        <f>HYPERLINK("http://www.ncbi.nlm.nih.gov/protein/165377251","Nelfb")</f>
        <v>Nelfb</v>
      </c>
      <c r="D4926" s="10">
        <f t="shared" si="76"/>
        <v>4.8474007838131401</v>
      </c>
      <c r="F4926" s="8" t="str">
        <f>HYPERLINK("https://esbl.nhlbi.nih.gov/Databases/mpkFractions/proteomic_fractions_log_files/Yang_log_img/165377251.jpg","show blot")</f>
        <v>show blot</v>
      </c>
      <c r="H4926" s="8" t="str">
        <f>HYPERLINK("https://esbl.nhlbi.nih.gov/Databases/mpkFractions/proteomic_fractions_linear_files/Yang_linear_img/165377251.jpg","show blot")</f>
        <v>show blot</v>
      </c>
      <c r="J4926" s="5" t="s">
        <v>9647</v>
      </c>
      <c r="L4926" s="11">
        <v>4.8474007838131401</v>
      </c>
      <c r="N4926" s="12"/>
    </row>
    <row r="4927" spans="1:14" s="5" customFormat="1" ht="15" customHeight="1" x14ac:dyDescent="0.25">
      <c r="A4927" s="9" t="s">
        <v>9648</v>
      </c>
      <c r="C4927" s="9" t="str">
        <f>HYPERLINK("http://www.ncbi.nlm.nih.gov/protein/91982765","Nelfcd")</f>
        <v>Nelfcd</v>
      </c>
      <c r="D4927" s="10">
        <f t="shared" si="76"/>
        <v>4.802720054220786</v>
      </c>
      <c r="F4927" s="8" t="str">
        <f>HYPERLINK("https://esbl.nhlbi.nih.gov/Databases/mpkFractions/proteomic_fractions_log_files/Yang_log_img/91982765.jpg","show blot")</f>
        <v>show blot</v>
      </c>
      <c r="H4927" s="8" t="str">
        <f>HYPERLINK("https://esbl.nhlbi.nih.gov/Databases/mpkFractions/proteomic_fractions_linear_files/Yang_linear_img/91982765.jpg","show blot")</f>
        <v>show blot</v>
      </c>
      <c r="J4927" s="5" t="s">
        <v>9649</v>
      </c>
      <c r="L4927" s="11">
        <v>4.802720054220786</v>
      </c>
      <c r="N4927" s="12"/>
    </row>
    <row r="4928" spans="1:14" s="5" customFormat="1" ht="15" customHeight="1" x14ac:dyDescent="0.25">
      <c r="A4928" s="9" t="s">
        <v>9650</v>
      </c>
      <c r="C4928" s="9" t="str">
        <f>HYPERLINK("http://www.ncbi.nlm.nih.gov/protein/114052226","Nelfe")</f>
        <v>Nelfe</v>
      </c>
      <c r="D4928" s="10">
        <f t="shared" si="76"/>
        <v>4.6490946084173022</v>
      </c>
      <c r="F4928" s="8" t="str">
        <f>HYPERLINK("https://esbl.nhlbi.nih.gov/Databases/mpkFractions/proteomic_fractions_log_files/Yang_log_img/114052226.jpg","show blot")</f>
        <v>show blot</v>
      </c>
      <c r="H4928" s="8" t="str">
        <f>HYPERLINK("https://esbl.nhlbi.nih.gov/Databases/mpkFractions/proteomic_fractions_linear_files/Yang_linear_img/114052226.jpg","show blot")</f>
        <v>show blot</v>
      </c>
      <c r="J4928" s="5" t="s">
        <v>9651</v>
      </c>
      <c r="L4928" s="11">
        <v>4.6490946084173022</v>
      </c>
      <c r="N4928" s="12"/>
    </row>
    <row r="4929" spans="1:14" s="5" customFormat="1" ht="15" customHeight="1" x14ac:dyDescent="0.25">
      <c r="A4929" s="9" t="s">
        <v>9652</v>
      </c>
      <c r="C4929" s="9" t="str">
        <f>HYPERLINK("http://www.ncbi.nlm.nih.gov/protein/32130521","Nemf")</f>
        <v>Nemf</v>
      </c>
      <c r="D4929" s="10">
        <f t="shared" si="76"/>
        <v>4.7421576353491499</v>
      </c>
      <c r="F4929" s="8" t="str">
        <f>HYPERLINK("https://esbl.nhlbi.nih.gov/Databases/mpkFractions/proteomic_fractions_log_files/Yang_log_img/32130521.jpg","show blot")</f>
        <v>show blot</v>
      </c>
      <c r="H4929" s="8" t="str">
        <f>HYPERLINK("https://esbl.nhlbi.nih.gov/Databases/mpkFractions/proteomic_fractions_linear_files/Yang_linear_img/32130521.jpg","show blot")</f>
        <v>show blot</v>
      </c>
      <c r="J4929" s="5" t="s">
        <v>9653</v>
      </c>
      <c r="L4929" s="11">
        <v>4.7421576353491499</v>
      </c>
      <c r="N4929" s="12"/>
    </row>
    <row r="4930" spans="1:14" s="5" customFormat="1" ht="15" customHeight="1" x14ac:dyDescent="0.25">
      <c r="A4930" s="9" t="s">
        <v>9654</v>
      </c>
      <c r="C4930" s="9" t="str">
        <f>HYPERLINK("http://www.ncbi.nlm.nih.gov/protein/13384818","Nenf")</f>
        <v>Nenf</v>
      </c>
      <c r="D4930" s="10">
        <f t="shared" si="76"/>
        <v>2.7929604528158061</v>
      </c>
      <c r="F4930" s="8" t="str">
        <f>HYPERLINK("https://esbl.nhlbi.nih.gov/Databases/mpkFractions/proteomic_fractions_log_files/Yang_log_img/13384818.jpg","show blot")</f>
        <v>show blot</v>
      </c>
      <c r="H4930" s="8" t="str">
        <f>HYPERLINK("https://esbl.nhlbi.nih.gov/Databases/mpkFractions/proteomic_fractions_linear_files/Yang_linear_img/13384818.jpg","show blot")</f>
        <v>show blot</v>
      </c>
      <c r="J4930" s="5" t="s">
        <v>9655</v>
      </c>
      <c r="L4930" s="11">
        <v>2.7929604528158061</v>
      </c>
      <c r="N4930" s="12"/>
    </row>
    <row r="4931" spans="1:14" s="5" customFormat="1" ht="15" customHeight="1" x14ac:dyDescent="0.25">
      <c r="A4931" s="9" t="s">
        <v>9656</v>
      </c>
      <c r="C4931" s="9" t="str">
        <f>HYPERLINK("http://www.ncbi.nlm.nih.gov/protein/112363082","Neo1")</f>
        <v>Neo1</v>
      </c>
      <c r="D4931" s="10">
        <f t="shared" si="76"/>
        <v>2.8043572519573519</v>
      </c>
      <c r="F4931" s="8" t="str">
        <f>HYPERLINK("https://esbl.nhlbi.nih.gov/Databases/mpkFractions/proteomic_fractions_log_files/Yang_log_img/112363082.jpg","show blot")</f>
        <v>show blot</v>
      </c>
      <c r="H4931" s="8" t="str">
        <f>HYPERLINK("https://esbl.nhlbi.nih.gov/Databases/mpkFractions/proteomic_fractions_linear_files/Yang_linear_img/112363082.jpg","show blot")</f>
        <v>show blot</v>
      </c>
      <c r="J4931" s="5" t="s">
        <v>9657</v>
      </c>
      <c r="L4931" s="11">
        <v>2.8043572519573519</v>
      </c>
      <c r="N4931" s="12"/>
    </row>
    <row r="4932" spans="1:14" s="5" customFormat="1" ht="15" customHeight="1" x14ac:dyDescent="0.25">
      <c r="A4932" s="9" t="s">
        <v>9658</v>
      </c>
      <c r="C4932" s="9" t="str">
        <f>HYPERLINK("http://www.ncbi.nlm.nih.gov/protein/112363084","Neo1")</f>
        <v>Neo1</v>
      </c>
      <c r="D4932" s="10">
        <f t="shared" si="76"/>
        <v>2.8043572519573519</v>
      </c>
      <c r="F4932" s="8" t="str">
        <f>HYPERLINK("https://esbl.nhlbi.nih.gov/Databases/mpkFractions/proteomic_fractions_log_files/Yang_log_img/112363084.jpg","show blot")</f>
        <v>show blot</v>
      </c>
      <c r="H4932" s="8" t="str">
        <f>HYPERLINK("https://esbl.nhlbi.nih.gov/Databases/mpkFractions/proteomic_fractions_linear_files/Yang_linear_img/112363084.jpg","show blot")</f>
        <v>show blot</v>
      </c>
      <c r="J4932" s="5" t="s">
        <v>9659</v>
      </c>
      <c r="L4932" s="11">
        <v>2.8043572519573519</v>
      </c>
      <c r="N4932" s="12"/>
    </row>
    <row r="4933" spans="1:14" s="5" customFormat="1" ht="15" customHeight="1" x14ac:dyDescent="0.25">
      <c r="A4933" s="9" t="s">
        <v>9660</v>
      </c>
      <c r="C4933" s="9" t="str">
        <f>HYPERLINK("http://www.ncbi.nlm.nih.gov/protein/50363232","Nes")</f>
        <v>Nes</v>
      </c>
      <c r="D4933" s="10">
        <f t="shared" ref="D4933:D4996" si="77">L4933</f>
        <v>4.4935972715256662</v>
      </c>
      <c r="F4933" s="8" t="str">
        <f>HYPERLINK("https://esbl.nhlbi.nih.gov/Databases/mpkFractions/proteomic_fractions_log_files/Yang_log_img/50363232.jpg","show blot")</f>
        <v>show blot</v>
      </c>
      <c r="H4933" s="8" t="str">
        <f>HYPERLINK("https://esbl.nhlbi.nih.gov/Databases/mpkFractions/proteomic_fractions_linear_files/Yang_linear_img/50363232.jpg","show blot")</f>
        <v>show blot</v>
      </c>
      <c r="J4933" s="5" t="s">
        <v>9661</v>
      </c>
      <c r="L4933" s="11">
        <v>4.4935972715256662</v>
      </c>
      <c r="N4933" s="12"/>
    </row>
    <row r="4934" spans="1:14" s="5" customFormat="1" ht="15" customHeight="1" x14ac:dyDescent="0.25">
      <c r="A4934" s="9" t="s">
        <v>9662</v>
      </c>
      <c r="C4934" s="9" t="str">
        <f>HYPERLINK("http://www.ncbi.nlm.nih.gov/protein/254939721","Neu1")</f>
        <v>Neu1</v>
      </c>
      <c r="D4934" s="10">
        <f t="shared" si="77"/>
        <v>4.4120273815606597</v>
      </c>
      <c r="F4934" s="8" t="str">
        <f>HYPERLINK("https://esbl.nhlbi.nih.gov/Databases/mpkFractions/proteomic_fractions_log_files/Yang_log_img/254939721.jpg","show blot")</f>
        <v>show blot</v>
      </c>
      <c r="H4934" s="8" t="str">
        <f>HYPERLINK("https://esbl.nhlbi.nih.gov/Databases/mpkFractions/proteomic_fractions_linear_files/Yang_linear_img/254939721.jpg","show blot")</f>
        <v>show blot</v>
      </c>
      <c r="J4934" s="5" t="s">
        <v>9663</v>
      </c>
      <c r="L4934" s="11">
        <v>4.4120273815606597</v>
      </c>
      <c r="N4934" s="12"/>
    </row>
    <row r="4935" spans="1:14" s="5" customFormat="1" ht="15" customHeight="1" x14ac:dyDescent="0.25">
      <c r="A4935" s="9" t="s">
        <v>9664</v>
      </c>
      <c r="C4935" s="9" t="str">
        <f>HYPERLINK("http://www.ncbi.nlm.nih.gov/protein/240849436","Nexn")</f>
        <v>Nexn</v>
      </c>
      <c r="D4935" s="10">
        <f t="shared" si="77"/>
        <v>5.5032710926009774</v>
      </c>
      <c r="F4935" s="8" t="str">
        <f>HYPERLINK("https://esbl.nhlbi.nih.gov/Databases/mpkFractions/proteomic_fractions_log_files/Yang_log_img/240849436.jpg","show blot")</f>
        <v>show blot</v>
      </c>
      <c r="H4935" s="8" t="str">
        <f>HYPERLINK("https://esbl.nhlbi.nih.gov/Databases/mpkFractions/proteomic_fractions_linear_files/Yang_linear_img/240849436.jpg","show blot")</f>
        <v>show blot</v>
      </c>
      <c r="J4935" s="5" t="s">
        <v>9665</v>
      </c>
      <c r="L4935" s="11">
        <v>5.5032710926009774</v>
      </c>
      <c r="N4935" s="12"/>
    </row>
    <row r="4936" spans="1:14" s="5" customFormat="1" ht="15" customHeight="1" x14ac:dyDescent="0.25">
      <c r="A4936" s="9" t="s">
        <v>9666</v>
      </c>
      <c r="C4936" s="9" t="str">
        <f>HYPERLINK("http://www.ncbi.nlm.nih.gov/protein/34878892","Nf1")</f>
        <v>Nf1</v>
      </c>
      <c r="D4936" s="10">
        <f t="shared" si="77"/>
        <v>3.3163781456987409</v>
      </c>
      <c r="F4936" s="8" t="str">
        <f>HYPERLINK("https://esbl.nhlbi.nih.gov/Databases/mpkFractions/proteomic_fractions_log_files/Yang_log_img/34878892.jpg","show blot")</f>
        <v>show blot</v>
      </c>
      <c r="H4936" s="8" t="str">
        <f>HYPERLINK("https://esbl.nhlbi.nih.gov/Databases/mpkFractions/proteomic_fractions_linear_files/Yang_linear_img/34878892.jpg","show blot")</f>
        <v>show blot</v>
      </c>
      <c r="J4936" s="5" t="s">
        <v>9667</v>
      </c>
      <c r="L4936" s="11">
        <v>3.3163781456987409</v>
      </c>
      <c r="N4936" s="12"/>
    </row>
    <row r="4937" spans="1:14" s="5" customFormat="1" ht="15" customHeight="1" x14ac:dyDescent="0.25">
      <c r="A4937" s="9" t="s">
        <v>9668</v>
      </c>
      <c r="C4937" s="9" t="str">
        <f>HYPERLINK("http://www.ncbi.nlm.nih.gov/protein/117606364","Nfkb1")</f>
        <v>Nfkb1</v>
      </c>
      <c r="D4937" s="10">
        <f t="shared" si="77"/>
        <v>4.6205196957580617</v>
      </c>
      <c r="F4937" s="8" t="str">
        <f>HYPERLINK("https://esbl.nhlbi.nih.gov/Databases/mpkFractions/proteomic_fractions_log_files/Yang_log_img/117606364.jpg","show blot")</f>
        <v>show blot</v>
      </c>
      <c r="H4937" s="8" t="str">
        <f>HYPERLINK("https://esbl.nhlbi.nih.gov/Databases/mpkFractions/proteomic_fractions_linear_files/Yang_linear_img/117606364.jpg","show blot")</f>
        <v>show blot</v>
      </c>
      <c r="J4937" s="5" t="s">
        <v>9669</v>
      </c>
      <c r="L4937" s="11">
        <v>4.6205196957580617</v>
      </c>
      <c r="N4937" s="12"/>
    </row>
    <row r="4938" spans="1:14" s="5" customFormat="1" ht="15" customHeight="1" x14ac:dyDescent="0.25">
      <c r="A4938" s="9" t="s">
        <v>9670</v>
      </c>
      <c r="C4938" s="9" t="str">
        <f>HYPERLINK("http://www.ncbi.nlm.nih.gov/protein/293651548","Nfkb2")</f>
        <v>Nfkb2</v>
      </c>
      <c r="D4938" s="10">
        <f t="shared" si="77"/>
        <v>4.7356074945096127</v>
      </c>
      <c r="F4938" s="8" t="str">
        <f>HYPERLINK("https://esbl.nhlbi.nih.gov/Databases/mpkFractions/proteomic_fractions_log_files/Yang_log_img/293651548.jpg","show blot")</f>
        <v>show blot</v>
      </c>
      <c r="H4938" s="8" t="str">
        <f>HYPERLINK("https://esbl.nhlbi.nih.gov/Databases/mpkFractions/proteomic_fractions_linear_files/Yang_linear_img/293651548.jpg","show blot")</f>
        <v>show blot</v>
      </c>
      <c r="J4938" s="5" t="s">
        <v>9671</v>
      </c>
      <c r="L4938" s="11">
        <v>4.7356074945096127</v>
      </c>
      <c r="N4938" s="12"/>
    </row>
    <row r="4939" spans="1:14" s="5" customFormat="1" ht="15" customHeight="1" x14ac:dyDescent="0.25">
      <c r="A4939" s="9" t="s">
        <v>9672</v>
      </c>
      <c r="C4939" s="9" t="str">
        <f>HYPERLINK("http://www.ncbi.nlm.nih.gov/protein/9506921","Nfkb2")</f>
        <v>Nfkb2</v>
      </c>
      <c r="D4939" s="10">
        <f t="shared" si="77"/>
        <v>4.7356074945096127</v>
      </c>
      <c r="F4939" s="8" t="str">
        <f>HYPERLINK("https://esbl.nhlbi.nih.gov/Databases/mpkFractions/proteomic_fractions_log_files/Yang_log_img/9506921.jpg","show blot")</f>
        <v>show blot</v>
      </c>
      <c r="H4939" s="8" t="str">
        <f>HYPERLINK("https://esbl.nhlbi.nih.gov/Databases/mpkFractions/proteomic_fractions_linear_files/Yang_linear_img/9506921.jpg","show blot")</f>
        <v>show blot</v>
      </c>
      <c r="J4939" s="5" t="s">
        <v>9673</v>
      </c>
      <c r="L4939" s="11">
        <v>4.7356074945096127</v>
      </c>
      <c r="N4939" s="12"/>
    </row>
    <row r="4940" spans="1:14" s="5" customFormat="1" ht="15" customHeight="1" x14ac:dyDescent="0.25">
      <c r="A4940" s="9" t="s">
        <v>9674</v>
      </c>
      <c r="C4940" s="9" t="str">
        <f>HYPERLINK("http://www.ncbi.nlm.nih.gov/protein/226052096","Nfkbia")</f>
        <v>Nfkbia</v>
      </c>
      <c r="D4940" s="10">
        <f t="shared" si="77"/>
        <v>2.9450565359241918</v>
      </c>
      <c r="F4940" s="8" t="str">
        <f>HYPERLINK("https://esbl.nhlbi.nih.gov/Databases/mpkFractions/proteomic_fractions_log_files/Yang_log_img/226052096.jpg","show blot")</f>
        <v>show blot</v>
      </c>
      <c r="H4940" s="8" t="str">
        <f>HYPERLINK("https://esbl.nhlbi.nih.gov/Databases/mpkFractions/proteomic_fractions_linear_files/Yang_linear_img/226052096.jpg","show blot")</f>
        <v>show blot</v>
      </c>
      <c r="J4940" s="5" t="s">
        <v>9675</v>
      </c>
      <c r="L4940" s="11">
        <v>2.9450565359241918</v>
      </c>
      <c r="N4940" s="12"/>
    </row>
    <row r="4941" spans="1:14" s="5" customFormat="1" ht="15" customHeight="1" x14ac:dyDescent="0.25">
      <c r="A4941" s="9" t="s">
        <v>9676</v>
      </c>
      <c r="C4941" s="9" t="str">
        <f>HYPERLINK("http://www.ncbi.nlm.nih.gov/protein/24111253","Nfkbib")</f>
        <v>Nfkbib</v>
      </c>
      <c r="D4941" s="10">
        <f t="shared" si="77"/>
        <v>1.6769341493606771</v>
      </c>
      <c r="F4941" s="8" t="str">
        <f>HYPERLINK("https://esbl.nhlbi.nih.gov/Databases/mpkFractions/proteomic_fractions_log_files/Yang_log_img/24111253.jpg","show blot")</f>
        <v>show blot</v>
      </c>
      <c r="H4941" s="8" t="str">
        <f>HYPERLINK("https://esbl.nhlbi.nih.gov/Databases/mpkFractions/proteomic_fractions_linear_files/Yang_linear_img/24111253.jpg","show blot")</f>
        <v>show blot</v>
      </c>
      <c r="J4941" s="5" t="s">
        <v>9677</v>
      </c>
      <c r="L4941" s="11">
        <v>1.6769341493606771</v>
      </c>
      <c r="N4941" s="12"/>
    </row>
    <row r="4942" spans="1:14" s="5" customFormat="1" ht="15" customHeight="1" x14ac:dyDescent="0.25">
      <c r="A4942" s="9" t="s">
        <v>9678</v>
      </c>
      <c r="C4942" s="9" t="str">
        <f>HYPERLINK("http://www.ncbi.nlm.nih.gov/protein/161016824","Nfs1")</f>
        <v>Nfs1</v>
      </c>
      <c r="D4942" s="10">
        <f t="shared" si="77"/>
        <v>4.8964333759917444</v>
      </c>
      <c r="F4942" s="8" t="str">
        <f>HYPERLINK("https://esbl.nhlbi.nih.gov/Databases/mpkFractions/proteomic_fractions_log_files/Yang_log_img/161016824.jpg","show blot")</f>
        <v>show blot</v>
      </c>
      <c r="H4942" s="8" t="str">
        <f>HYPERLINK("https://esbl.nhlbi.nih.gov/Databases/mpkFractions/proteomic_fractions_linear_files/Yang_linear_img/161016824.jpg","show blot")</f>
        <v>show blot</v>
      </c>
      <c r="J4942" s="5" t="s">
        <v>9679</v>
      </c>
      <c r="L4942" s="11">
        <v>4.8964333759917444</v>
      </c>
      <c r="N4942" s="12"/>
    </row>
    <row r="4943" spans="1:14" s="5" customFormat="1" ht="15" customHeight="1" x14ac:dyDescent="0.25">
      <c r="A4943" s="9" t="s">
        <v>9680</v>
      </c>
      <c r="C4943" s="9" t="str">
        <f>HYPERLINK("http://www.ncbi.nlm.nih.gov/protein/282154801","Nfu1")</f>
        <v>Nfu1</v>
      </c>
      <c r="D4943" s="10">
        <f t="shared" si="77"/>
        <v>5.1160273773733298</v>
      </c>
      <c r="F4943" s="8" t="str">
        <f>HYPERLINK("https://esbl.nhlbi.nih.gov/Databases/mpkFractions/proteomic_fractions_log_files/Yang_log_img/282154801.jpg","show blot")</f>
        <v>show blot</v>
      </c>
      <c r="H4943" s="8" t="str">
        <f>HYPERLINK("https://esbl.nhlbi.nih.gov/Databases/mpkFractions/proteomic_fractions_linear_files/Yang_linear_img/282154801.jpg","show blot")</f>
        <v>show blot</v>
      </c>
      <c r="J4943" s="5" t="s">
        <v>9681</v>
      </c>
      <c r="L4943" s="11">
        <v>5.1160273773733298</v>
      </c>
      <c r="N4943" s="12"/>
    </row>
    <row r="4944" spans="1:14" s="5" customFormat="1" ht="15" customHeight="1" x14ac:dyDescent="0.25">
      <c r="A4944" s="9" t="s">
        <v>9682</v>
      </c>
      <c r="C4944" s="9" t="str">
        <f>HYPERLINK("http://www.ncbi.nlm.nih.gov/protein/282154803","Nfu1")</f>
        <v>Nfu1</v>
      </c>
      <c r="D4944" s="10">
        <f t="shared" si="77"/>
        <v>5.1160273773733298</v>
      </c>
      <c r="F4944" s="8" t="str">
        <f>HYPERLINK("https://esbl.nhlbi.nih.gov/Databases/mpkFractions/proteomic_fractions_log_files/Yang_log_img/282154803.jpg","show blot")</f>
        <v>show blot</v>
      </c>
      <c r="H4944" s="8" t="str">
        <f>HYPERLINK("https://esbl.nhlbi.nih.gov/Databases/mpkFractions/proteomic_fractions_linear_files/Yang_linear_img/282154803.jpg","show blot")</f>
        <v>show blot</v>
      </c>
      <c r="J4944" s="5" t="s">
        <v>9683</v>
      </c>
      <c r="L4944" s="11">
        <v>5.1160273773733298</v>
      </c>
      <c r="N4944" s="12"/>
    </row>
    <row r="4945" spans="1:14" s="5" customFormat="1" ht="15" customHeight="1" x14ac:dyDescent="0.25">
      <c r="A4945" s="9" t="s">
        <v>9684</v>
      </c>
      <c r="C4945" s="9" t="str">
        <f>HYPERLINK("http://www.ncbi.nlm.nih.gov/protein/124301201","Nfxl1")</f>
        <v>Nfxl1</v>
      </c>
      <c r="D4945" s="10">
        <f t="shared" si="77"/>
        <v>2.8418779969775319</v>
      </c>
      <c r="F4945" s="8" t="str">
        <f>HYPERLINK("https://esbl.nhlbi.nih.gov/Databases/mpkFractions/proteomic_fractions_log_files/Yang_log_img/124301201.jpg","show blot")</f>
        <v>show blot</v>
      </c>
      <c r="H4945" s="8" t="str">
        <f>HYPERLINK("https://esbl.nhlbi.nih.gov/Databases/mpkFractions/proteomic_fractions_linear_files/Yang_linear_img/124301201.jpg","show blot")</f>
        <v>show blot</v>
      </c>
      <c r="J4945" s="5" t="s">
        <v>9685</v>
      </c>
      <c r="L4945" s="11">
        <v>2.8418779969775319</v>
      </c>
      <c r="N4945" s="12"/>
    </row>
    <row r="4946" spans="1:14" s="5" customFormat="1" ht="15" customHeight="1" x14ac:dyDescent="0.25">
      <c r="A4946" s="9" t="s">
        <v>9686</v>
      </c>
      <c r="C4946" s="9" t="str">
        <f>HYPERLINK("http://www.ncbi.nlm.nih.gov/protein/161016831","Nfya")</f>
        <v>Nfya</v>
      </c>
      <c r="D4946" s="10">
        <f t="shared" si="77"/>
        <v>3.3393152559124459</v>
      </c>
      <c r="F4946" s="8" t="str">
        <f>HYPERLINK("https://esbl.nhlbi.nih.gov/Databases/mpkFractions/proteomic_fractions_log_files/Yang_log_img/161016831.jpg","show blot")</f>
        <v>show blot</v>
      </c>
      <c r="H4946" s="8" t="str">
        <f>HYPERLINK("https://esbl.nhlbi.nih.gov/Databases/mpkFractions/proteomic_fractions_linear_files/Yang_linear_img/161016831.jpg","show blot")</f>
        <v>show blot</v>
      </c>
      <c r="J4946" s="5" t="s">
        <v>9687</v>
      </c>
      <c r="L4946" s="11">
        <v>3.3393152559124459</v>
      </c>
      <c r="N4946" s="12"/>
    </row>
    <row r="4947" spans="1:14" s="5" customFormat="1" ht="15" customHeight="1" x14ac:dyDescent="0.25">
      <c r="A4947" s="9" t="s">
        <v>9688</v>
      </c>
      <c r="C4947" s="9" t="str">
        <f>HYPERLINK("http://www.ncbi.nlm.nih.gov/protein/6754848","Nfya")</f>
        <v>Nfya</v>
      </c>
      <c r="D4947" s="10">
        <f t="shared" si="77"/>
        <v>3.3393152559124459</v>
      </c>
      <c r="F4947" s="8" t="str">
        <f>HYPERLINK("https://esbl.nhlbi.nih.gov/Databases/mpkFractions/proteomic_fractions_log_files/Yang_log_img/6754848.jpg","show blot")</f>
        <v>show blot</v>
      </c>
      <c r="H4947" s="8" t="str">
        <f>HYPERLINK("https://esbl.nhlbi.nih.gov/Databases/mpkFractions/proteomic_fractions_linear_files/Yang_linear_img/6754848.jpg","show blot")</f>
        <v>show blot</v>
      </c>
      <c r="J4947" s="5" t="s">
        <v>9689</v>
      </c>
      <c r="L4947" s="11">
        <v>3.3393152559124459</v>
      </c>
      <c r="N4947" s="12"/>
    </row>
    <row r="4948" spans="1:14" s="5" customFormat="1" ht="15" customHeight="1" x14ac:dyDescent="0.25">
      <c r="A4948" s="9" t="s">
        <v>9690</v>
      </c>
      <c r="C4948" s="9" t="str">
        <f>HYPERLINK("http://www.ncbi.nlm.nih.gov/protein/31560663","Nfyc")</f>
        <v>Nfyc</v>
      </c>
      <c r="D4948" s="10">
        <f t="shared" si="77"/>
        <v>2.4901483681436591</v>
      </c>
      <c r="F4948" s="8" t="str">
        <f>HYPERLINK("https://esbl.nhlbi.nih.gov/Databases/mpkFractions/proteomic_fractions_log_files/Yang_log_img/31560663.jpg","show blot")</f>
        <v>show blot</v>
      </c>
      <c r="H4948" s="8" t="str">
        <f>HYPERLINK("https://esbl.nhlbi.nih.gov/Databases/mpkFractions/proteomic_fractions_linear_files/Yang_linear_img/31560663.jpg","show blot")</f>
        <v>show blot</v>
      </c>
      <c r="J4948" s="5" t="s">
        <v>9691</v>
      </c>
      <c r="L4948" s="11">
        <v>2.4901483681436591</v>
      </c>
      <c r="N4948" s="12"/>
    </row>
    <row r="4949" spans="1:14" s="5" customFormat="1" ht="15" customHeight="1" x14ac:dyDescent="0.25">
      <c r="A4949" s="9" t="s">
        <v>9692</v>
      </c>
      <c r="C4949" s="9" t="str">
        <f>HYPERLINK("http://www.ncbi.nlm.nih.gov/protein/162417957","Ngef")</f>
        <v>Ngef</v>
      </c>
      <c r="D4949" s="10">
        <f t="shared" si="77"/>
        <v>2.3262781512107868</v>
      </c>
      <c r="F4949" s="8" t="str">
        <f>HYPERLINK("https://esbl.nhlbi.nih.gov/Databases/mpkFractions/proteomic_fractions_log_files/Yang_log_img/162417957.jpg","show blot")</f>
        <v>show blot</v>
      </c>
      <c r="H4949" s="8" t="str">
        <f>HYPERLINK("https://esbl.nhlbi.nih.gov/Databases/mpkFractions/proteomic_fractions_linear_files/Yang_linear_img/162417957.jpg","show blot")</f>
        <v>show blot</v>
      </c>
      <c r="J4949" s="5" t="s">
        <v>9693</v>
      </c>
      <c r="L4949" s="11">
        <v>2.3262781512107868</v>
      </c>
      <c r="N4949" s="12"/>
    </row>
    <row r="4950" spans="1:14" s="5" customFormat="1" ht="15" customHeight="1" x14ac:dyDescent="0.25">
      <c r="A4950" s="9" t="s">
        <v>9694</v>
      </c>
      <c r="C4950" s="9" t="str">
        <f>HYPERLINK("http://www.ncbi.nlm.nih.gov/protein/162417959","Ngef")</f>
        <v>Ngef</v>
      </c>
      <c r="D4950" s="10">
        <f t="shared" si="77"/>
        <v>2.3262781512107868</v>
      </c>
      <c r="F4950" s="8" t="str">
        <f>HYPERLINK("https://esbl.nhlbi.nih.gov/Databases/mpkFractions/proteomic_fractions_log_files/Yang_log_img/162417959.jpg","show blot")</f>
        <v>show blot</v>
      </c>
      <c r="H4950" s="8" t="str">
        <f>HYPERLINK("https://esbl.nhlbi.nih.gov/Databases/mpkFractions/proteomic_fractions_linear_files/Yang_linear_img/162417959.jpg","show blot")</f>
        <v>show blot</v>
      </c>
      <c r="J4950" s="5" t="s">
        <v>9695</v>
      </c>
      <c r="L4950" s="11">
        <v>2.3262781512107868</v>
      </c>
      <c r="N4950" s="12"/>
    </row>
    <row r="4951" spans="1:14" s="5" customFormat="1" ht="15" customHeight="1" x14ac:dyDescent="0.25">
      <c r="A4951" s="9" t="s">
        <v>9696</v>
      </c>
      <c r="C4951" s="9" t="str">
        <f>HYPERLINK("http://www.ncbi.nlm.nih.gov/protein/158517917","Nhej1")</f>
        <v>Nhej1</v>
      </c>
      <c r="D4951" s="10">
        <f t="shared" si="77"/>
        <v>1.2610825513799371</v>
      </c>
      <c r="F4951" s="8" t="str">
        <f>HYPERLINK("https://esbl.nhlbi.nih.gov/Databases/mpkFractions/proteomic_fractions_log_files/Yang_log_img/158517917.jpg","show blot")</f>
        <v>show blot</v>
      </c>
      <c r="H4951" s="8" t="str">
        <f>HYPERLINK("https://esbl.nhlbi.nih.gov/Databases/mpkFractions/proteomic_fractions_linear_files/Yang_linear_img/158517917.jpg","show blot")</f>
        <v>show blot</v>
      </c>
      <c r="J4951" s="5" t="s">
        <v>9697</v>
      </c>
      <c r="L4951" s="11">
        <v>1.2610825513799371</v>
      </c>
      <c r="N4951" s="12"/>
    </row>
    <row r="4952" spans="1:14" s="5" customFormat="1" ht="15" customHeight="1" x14ac:dyDescent="0.25">
      <c r="A4952" s="9" t="s">
        <v>9698</v>
      </c>
      <c r="C4952" s="9" t="str">
        <f>HYPERLINK("http://www.ncbi.nlm.nih.gov/protein/29789158","Nhlrc2")</f>
        <v>Nhlrc2</v>
      </c>
      <c r="D4952" s="10">
        <f t="shared" si="77"/>
        <v>4.6045287513096138</v>
      </c>
      <c r="F4952" s="8" t="str">
        <f>HYPERLINK("https://esbl.nhlbi.nih.gov/Databases/mpkFractions/proteomic_fractions_log_files/Yang_log_img/29789158.jpg","show blot")</f>
        <v>show blot</v>
      </c>
      <c r="H4952" s="8" t="str">
        <f>HYPERLINK("https://esbl.nhlbi.nih.gov/Databases/mpkFractions/proteomic_fractions_linear_files/Yang_linear_img/29789158.jpg","show blot")</f>
        <v>show blot</v>
      </c>
      <c r="J4952" s="5" t="s">
        <v>9699</v>
      </c>
      <c r="L4952" s="11">
        <v>4.6045287513096138</v>
      </c>
      <c r="N4952" s="12"/>
    </row>
    <row r="4953" spans="1:14" s="5" customFormat="1" ht="15" customHeight="1" x14ac:dyDescent="0.25">
      <c r="A4953" s="9" t="s">
        <v>9700</v>
      </c>
      <c r="C4953" s="9" t="str">
        <f>HYPERLINK("http://www.ncbi.nlm.nih.gov/protein/27369692","Nhlrc3")</f>
        <v>Nhlrc3</v>
      </c>
      <c r="D4953" s="10">
        <f t="shared" si="77"/>
        <v>4.5915419540575861</v>
      </c>
      <c r="F4953" s="8" t="str">
        <f>HYPERLINK("https://esbl.nhlbi.nih.gov/Databases/mpkFractions/proteomic_fractions_log_files/Yang_log_img/27369692.jpg","show blot")</f>
        <v>show blot</v>
      </c>
      <c r="H4953" s="8" t="str">
        <f>HYPERLINK("https://esbl.nhlbi.nih.gov/Databases/mpkFractions/proteomic_fractions_linear_files/Yang_linear_img/27369692.jpg","show blot")</f>
        <v>show blot</v>
      </c>
      <c r="J4953" s="5" t="s">
        <v>9701</v>
      </c>
      <c r="L4953" s="11">
        <v>4.5915419540575861</v>
      </c>
      <c r="N4953" s="12"/>
    </row>
    <row r="4954" spans="1:14" s="5" customFormat="1" ht="15" customHeight="1" x14ac:dyDescent="0.25">
      <c r="A4954" s="9" t="s">
        <v>9702</v>
      </c>
      <c r="C4954" s="9" t="str">
        <f>HYPERLINK("http://www.ncbi.nlm.nih.gov/protein/13386120","Nhp2")</f>
        <v>Nhp2</v>
      </c>
      <c r="D4954" s="10">
        <f t="shared" si="77"/>
        <v>4.9856205113657879</v>
      </c>
      <c r="F4954" s="8" t="str">
        <f>HYPERLINK("https://esbl.nhlbi.nih.gov/Databases/mpkFractions/proteomic_fractions_log_files/Yang_log_img/13386120.jpg","show blot")</f>
        <v>show blot</v>
      </c>
      <c r="H4954" s="8" t="str">
        <f>HYPERLINK("https://esbl.nhlbi.nih.gov/Databases/mpkFractions/proteomic_fractions_linear_files/Yang_linear_img/13386120.jpg","show blot")</f>
        <v>show blot</v>
      </c>
      <c r="J4954" s="5" t="s">
        <v>9703</v>
      </c>
      <c r="L4954" s="11">
        <v>4.9856205113657879</v>
      </c>
      <c r="N4954" s="12"/>
    </row>
    <row r="4955" spans="1:14" s="5" customFormat="1" ht="15" customHeight="1" x14ac:dyDescent="0.25">
      <c r="A4955" s="9" t="s">
        <v>9704</v>
      </c>
      <c r="C4955" s="9" t="str">
        <f>HYPERLINK("http://www.ncbi.nlm.nih.gov/protein/124486678","Nhs")</f>
        <v>Nhs</v>
      </c>
      <c r="D4955" s="10">
        <f t="shared" si="77"/>
        <v>1.5552731225136129</v>
      </c>
      <c r="F4955" s="8" t="str">
        <f>HYPERLINK("https://esbl.nhlbi.nih.gov/Databases/mpkFractions/proteomic_fractions_log_files/Yang_log_img/124486678.jpg","show blot")</f>
        <v>show blot</v>
      </c>
      <c r="H4955" s="8" t="str">
        <f>HYPERLINK("https://esbl.nhlbi.nih.gov/Databases/mpkFractions/proteomic_fractions_linear_files/Yang_linear_img/124486678.jpg","show blot")</f>
        <v>show blot</v>
      </c>
      <c r="J4955" s="5" t="s">
        <v>9705</v>
      </c>
      <c r="L4955" s="11">
        <v>1.5552731225136129</v>
      </c>
      <c r="N4955" s="12"/>
    </row>
    <row r="4956" spans="1:14" s="5" customFormat="1" ht="15" customHeight="1" x14ac:dyDescent="0.25">
      <c r="A4956" s="9" t="s">
        <v>9706</v>
      </c>
      <c r="C4956" s="9" t="str">
        <f>HYPERLINK("http://www.ncbi.nlm.nih.gov/protein/41056093","Nif3l1")</f>
        <v>Nif3l1</v>
      </c>
      <c r="D4956" s="10">
        <f t="shared" si="77"/>
        <v>5.2953334393101557</v>
      </c>
      <c r="F4956" s="8" t="str">
        <f>HYPERLINK("https://esbl.nhlbi.nih.gov/Databases/mpkFractions/proteomic_fractions_log_files/Yang_log_img/41056093.jpg","show blot")</f>
        <v>show blot</v>
      </c>
      <c r="H4956" s="8" t="str">
        <f>HYPERLINK("https://esbl.nhlbi.nih.gov/Databases/mpkFractions/proteomic_fractions_linear_files/Yang_linear_img/41056093.jpg","show blot")</f>
        <v>show blot</v>
      </c>
      <c r="J4956" s="5" t="s">
        <v>9707</v>
      </c>
      <c r="L4956" s="11">
        <v>5.2953334393101557</v>
      </c>
      <c r="N4956" s="12"/>
    </row>
    <row r="4957" spans="1:14" s="5" customFormat="1" ht="15" customHeight="1" x14ac:dyDescent="0.25">
      <c r="A4957" s="9" t="s">
        <v>9708</v>
      </c>
      <c r="C4957" s="9" t="str">
        <f>HYPERLINK("http://www.ncbi.nlm.nih.gov/protein/224809384","Nifk")</f>
        <v>Nifk</v>
      </c>
      <c r="D4957" s="10">
        <f t="shared" si="77"/>
        <v>3.9772057135247829</v>
      </c>
      <c r="F4957" s="8" t="str">
        <f>HYPERLINK("https://esbl.nhlbi.nih.gov/Databases/mpkFractions/proteomic_fractions_log_files/Yang_log_img/224809384.jpg","show blot")</f>
        <v>show blot</v>
      </c>
      <c r="H4957" s="8" t="str">
        <f>HYPERLINK("https://esbl.nhlbi.nih.gov/Databases/mpkFractions/proteomic_fractions_linear_files/Yang_linear_img/224809384.jpg","show blot")</f>
        <v>show blot</v>
      </c>
      <c r="J4957" s="5" t="s">
        <v>9709</v>
      </c>
      <c r="L4957" s="11">
        <v>3.9772057135247829</v>
      </c>
      <c r="N4957" s="12"/>
    </row>
    <row r="4958" spans="1:14" s="5" customFormat="1" ht="15" customHeight="1" x14ac:dyDescent="0.25">
      <c r="A4958" s="9" t="s">
        <v>9710</v>
      </c>
      <c r="C4958" s="9" t="str">
        <f>HYPERLINK("http://www.ncbi.nlm.nih.gov/protein/7305315","Ninj1")</f>
        <v>Ninj1</v>
      </c>
      <c r="D4958" s="10">
        <f t="shared" si="77"/>
        <v>1.729766597002113</v>
      </c>
      <c r="F4958" s="8" t="str">
        <f>HYPERLINK("https://esbl.nhlbi.nih.gov/Databases/mpkFractions/proteomic_fractions_log_files/Yang_log_img/7305315.jpg","show blot")</f>
        <v>show blot</v>
      </c>
      <c r="H4958" s="8" t="str">
        <f>HYPERLINK("https://esbl.nhlbi.nih.gov/Databases/mpkFractions/proteomic_fractions_linear_files/Yang_linear_img/7305315.jpg","show blot")</f>
        <v>show blot</v>
      </c>
      <c r="J4958" s="5" t="s">
        <v>9711</v>
      </c>
      <c r="L4958" s="11">
        <v>1.729766597002113</v>
      </c>
      <c r="N4958" s="12"/>
    </row>
    <row r="4959" spans="1:14" s="5" customFormat="1" ht="15" customHeight="1" x14ac:dyDescent="0.25">
      <c r="A4959" s="9" t="s">
        <v>9712</v>
      </c>
      <c r="C4959" s="9" t="str">
        <f>HYPERLINK("http://www.ncbi.nlm.nih.gov/protein/257153334","Nip7")</f>
        <v>Nip7</v>
      </c>
      <c r="D4959" s="10">
        <f t="shared" si="77"/>
        <v>4.6795940826508913</v>
      </c>
      <c r="F4959" s="8" t="str">
        <f>HYPERLINK("https://esbl.nhlbi.nih.gov/Databases/mpkFractions/proteomic_fractions_log_files/Yang_log_img/257153334.jpg","show blot")</f>
        <v>show blot</v>
      </c>
      <c r="H4959" s="8" t="str">
        <f>HYPERLINK("https://esbl.nhlbi.nih.gov/Databases/mpkFractions/proteomic_fractions_linear_files/Yang_linear_img/257153334.jpg","show blot")</f>
        <v>show blot</v>
      </c>
      <c r="J4959" s="5" t="s">
        <v>9713</v>
      </c>
      <c r="L4959" s="11">
        <v>4.6795940826508913</v>
      </c>
      <c r="N4959" s="12"/>
    </row>
    <row r="4960" spans="1:14" s="5" customFormat="1" ht="15" customHeight="1" x14ac:dyDescent="0.25">
      <c r="A4960" s="9" t="s">
        <v>9714</v>
      </c>
      <c r="C4960" s="9" t="str">
        <f>HYPERLINK("http://www.ncbi.nlm.nih.gov/protein/257153336","Nip7")</f>
        <v>Nip7</v>
      </c>
      <c r="D4960" s="10">
        <f t="shared" si="77"/>
        <v>4.6795940826508913</v>
      </c>
      <c r="F4960" s="8" t="str">
        <f>HYPERLINK("https://esbl.nhlbi.nih.gov/Databases/mpkFractions/proteomic_fractions_log_files/Yang_log_img/257153336.jpg","show blot")</f>
        <v>show blot</v>
      </c>
      <c r="H4960" s="8" t="str">
        <f>HYPERLINK("https://esbl.nhlbi.nih.gov/Databases/mpkFractions/proteomic_fractions_linear_files/Yang_linear_img/257153336.jpg","show blot")</f>
        <v>show blot</v>
      </c>
      <c r="J4960" s="5" t="s">
        <v>9715</v>
      </c>
      <c r="L4960" s="11">
        <v>4.6795940826508913</v>
      </c>
      <c r="N4960" s="12"/>
    </row>
    <row r="4961" spans="1:14" s="5" customFormat="1" ht="15" customHeight="1" x14ac:dyDescent="0.25">
      <c r="A4961" s="9" t="s">
        <v>9716</v>
      </c>
      <c r="C4961" s="9" t="str">
        <f>HYPERLINK("http://www.ncbi.nlm.nih.gov/protein/49169845","Nipbl")</f>
        <v>Nipbl</v>
      </c>
      <c r="D4961" s="10">
        <f t="shared" si="77"/>
        <v>2.9859954661918939</v>
      </c>
      <c r="F4961" s="8" t="str">
        <f>HYPERLINK("https://esbl.nhlbi.nih.gov/Databases/mpkFractions/proteomic_fractions_log_files/Yang_log_img/49169845.jpg","show blot")</f>
        <v>show blot</v>
      </c>
      <c r="H4961" s="8" t="str">
        <f>HYPERLINK("https://esbl.nhlbi.nih.gov/Databases/mpkFractions/proteomic_fractions_linear_files/Yang_linear_img/49169845.jpg","show blot")</f>
        <v>show blot</v>
      </c>
      <c r="J4961" s="5" t="s">
        <v>9717</v>
      </c>
      <c r="L4961" s="11">
        <v>2.9859954661918939</v>
      </c>
      <c r="N4961" s="12"/>
    </row>
    <row r="4962" spans="1:14" s="5" customFormat="1" ht="15" customHeight="1" x14ac:dyDescent="0.25">
      <c r="A4962" s="9" t="s">
        <v>9718</v>
      </c>
      <c r="C4962" s="9" t="str">
        <f>HYPERLINK("http://www.ncbi.nlm.nih.gov/protein/51371928","Nipbl")</f>
        <v>Nipbl</v>
      </c>
      <c r="D4962" s="10">
        <f t="shared" si="77"/>
        <v>2.9859954661918939</v>
      </c>
      <c r="F4962" s="8" t="str">
        <f>HYPERLINK("https://esbl.nhlbi.nih.gov/Databases/mpkFractions/proteomic_fractions_log_files/Yang_log_img/51371928.jpg","show blot")</f>
        <v>show blot</v>
      </c>
      <c r="H4962" s="8" t="str">
        <f>HYPERLINK("https://esbl.nhlbi.nih.gov/Databases/mpkFractions/proteomic_fractions_linear_files/Yang_linear_img/51371928.jpg","show blot")</f>
        <v>show blot</v>
      </c>
      <c r="J4962" s="5" t="s">
        <v>9719</v>
      </c>
      <c r="L4962" s="11">
        <v>2.9859954661918939</v>
      </c>
      <c r="N4962" s="12"/>
    </row>
    <row r="4963" spans="1:14" s="5" customFormat="1" ht="15" customHeight="1" x14ac:dyDescent="0.25">
      <c r="A4963" s="9" t="s">
        <v>9720</v>
      </c>
      <c r="C4963" s="9" t="str">
        <f>HYPERLINK("http://www.ncbi.nlm.nih.gov/protein/6679066","Nipsnap1")</f>
        <v>Nipsnap1</v>
      </c>
      <c r="D4963" s="10">
        <f t="shared" si="77"/>
        <v>4.6476544806906723</v>
      </c>
      <c r="F4963" s="8" t="str">
        <f>HYPERLINK("https://esbl.nhlbi.nih.gov/Databases/mpkFractions/proteomic_fractions_log_files/Yang_log_img/6679066.jpg","show blot")</f>
        <v>show blot</v>
      </c>
      <c r="H4963" s="8" t="str">
        <f>HYPERLINK("https://esbl.nhlbi.nih.gov/Databases/mpkFractions/proteomic_fractions_linear_files/Yang_linear_img/6679066.jpg","show blot")</f>
        <v>show blot</v>
      </c>
      <c r="J4963" s="5" t="s">
        <v>9721</v>
      </c>
      <c r="L4963" s="11">
        <v>4.6476544806906723</v>
      </c>
      <c r="N4963" s="12"/>
    </row>
    <row r="4964" spans="1:14" s="5" customFormat="1" ht="15" customHeight="1" x14ac:dyDescent="0.25">
      <c r="A4964" s="9" t="s">
        <v>9722</v>
      </c>
      <c r="C4964" s="9" t="str">
        <f>HYPERLINK("http://www.ncbi.nlm.nih.gov/protein/13385084","Nipsnap3b")</f>
        <v>Nipsnap3b</v>
      </c>
      <c r="D4964" s="10">
        <f t="shared" si="77"/>
        <v>3.8898490694916359</v>
      </c>
      <c r="F4964" s="8" t="str">
        <f>HYPERLINK("https://esbl.nhlbi.nih.gov/Databases/mpkFractions/proteomic_fractions_log_files/Yang_log_img/13385084.jpg","show blot")</f>
        <v>show blot</v>
      </c>
      <c r="H4964" s="8" t="str">
        <f>HYPERLINK("https://esbl.nhlbi.nih.gov/Databases/mpkFractions/proteomic_fractions_linear_files/Yang_linear_img/13385084.jpg","show blot")</f>
        <v>show blot</v>
      </c>
      <c r="J4964" s="5" t="s">
        <v>9723</v>
      </c>
      <c r="L4964" s="11">
        <v>3.8898490694916359</v>
      </c>
      <c r="N4964" s="12"/>
    </row>
    <row r="4965" spans="1:14" s="5" customFormat="1" ht="15" customHeight="1" x14ac:dyDescent="0.25">
      <c r="A4965" s="9" t="s">
        <v>9724</v>
      </c>
      <c r="C4965" s="9" t="str">
        <f>HYPERLINK("http://www.ncbi.nlm.nih.gov/protein/114158672","Nisch")</f>
        <v>Nisch</v>
      </c>
      <c r="D4965" s="10">
        <f t="shared" si="77"/>
        <v>4.3235335455307897</v>
      </c>
      <c r="F4965" s="8" t="str">
        <f>HYPERLINK("https://esbl.nhlbi.nih.gov/Databases/mpkFractions/proteomic_fractions_log_files/Yang_log_img/114158672.jpg","show blot")</f>
        <v>show blot</v>
      </c>
      <c r="H4965" s="8" t="str">
        <f>HYPERLINK("https://esbl.nhlbi.nih.gov/Databases/mpkFractions/proteomic_fractions_linear_files/Yang_linear_img/114158672.jpg","show blot")</f>
        <v>show blot</v>
      </c>
      <c r="J4965" s="5" t="s">
        <v>9725</v>
      </c>
      <c r="L4965" s="11">
        <v>4.3235335455307897</v>
      </c>
      <c r="N4965" s="12"/>
    </row>
    <row r="4966" spans="1:14" s="5" customFormat="1" ht="15" customHeight="1" x14ac:dyDescent="0.25">
      <c r="A4966" s="9" t="s">
        <v>9726</v>
      </c>
      <c r="C4966" s="9" t="str">
        <f>HYPERLINK("http://www.ncbi.nlm.nih.gov/protein/336088630","Nit1")</f>
        <v>Nit1</v>
      </c>
      <c r="D4966" s="10">
        <f t="shared" si="77"/>
        <v>5.3793170661927867</v>
      </c>
      <c r="F4966" s="8" t="str">
        <f>HYPERLINK("https://esbl.nhlbi.nih.gov/Databases/mpkFractions/proteomic_fractions_log_files/Yang_log_img/336088630.jpg","show blot")</f>
        <v>show blot</v>
      </c>
      <c r="H4966" s="8" t="str">
        <f>HYPERLINK("https://esbl.nhlbi.nih.gov/Databases/mpkFractions/proteomic_fractions_linear_files/Yang_linear_img/336088630.jpg","show blot")</f>
        <v>show blot</v>
      </c>
      <c r="J4966" s="5" t="s">
        <v>9727</v>
      </c>
      <c r="L4966" s="11">
        <v>5.3793170661927867</v>
      </c>
      <c r="N4966" s="12"/>
    </row>
    <row r="4967" spans="1:14" s="5" customFormat="1" ht="15" customHeight="1" x14ac:dyDescent="0.25">
      <c r="A4967" s="9" t="s">
        <v>9728</v>
      </c>
      <c r="C4967" s="9" t="str">
        <f>HYPERLINK("http://www.ncbi.nlm.nih.gov/protein/6754856","Nit1")</f>
        <v>Nit1</v>
      </c>
      <c r="D4967" s="10">
        <f t="shared" si="77"/>
        <v>5.3793170661927867</v>
      </c>
      <c r="F4967" s="8" t="str">
        <f>HYPERLINK("https://esbl.nhlbi.nih.gov/Databases/mpkFractions/proteomic_fractions_log_files/Yang_log_img/6754856.jpg","show blot")</f>
        <v>show blot</v>
      </c>
      <c r="H4967" s="8" t="str">
        <f>HYPERLINK("https://esbl.nhlbi.nih.gov/Databases/mpkFractions/proteomic_fractions_linear_files/Yang_linear_img/6754856.jpg","show blot")</f>
        <v>show blot</v>
      </c>
      <c r="J4967" s="5" t="s">
        <v>9729</v>
      </c>
      <c r="L4967" s="11">
        <v>5.3793170661927867</v>
      </c>
      <c r="N4967" s="12"/>
    </row>
    <row r="4968" spans="1:14" s="5" customFormat="1" ht="15" customHeight="1" x14ac:dyDescent="0.25">
      <c r="A4968" s="9" t="s">
        <v>9730</v>
      </c>
      <c r="C4968" s="9" t="str">
        <f>HYPERLINK("http://www.ncbi.nlm.nih.gov/protein/12963555","Nit2")</f>
        <v>Nit2</v>
      </c>
      <c r="D4968" s="10">
        <f t="shared" si="77"/>
        <v>5.4090808917513833</v>
      </c>
      <c r="F4968" s="8" t="str">
        <f>HYPERLINK("https://esbl.nhlbi.nih.gov/Databases/mpkFractions/proteomic_fractions_log_files/Yang_log_img/12963555.jpg","show blot")</f>
        <v>show blot</v>
      </c>
      <c r="H4968" s="8" t="str">
        <f>HYPERLINK("https://esbl.nhlbi.nih.gov/Databases/mpkFractions/proteomic_fractions_linear_files/Yang_linear_img/12963555.jpg","show blot")</f>
        <v>show blot</v>
      </c>
      <c r="J4968" s="5" t="s">
        <v>9731</v>
      </c>
      <c r="L4968" s="11">
        <v>5.4090808917513833</v>
      </c>
      <c r="N4968" s="12"/>
    </row>
    <row r="4969" spans="1:14" s="5" customFormat="1" ht="15" customHeight="1" x14ac:dyDescent="0.25">
      <c r="A4969" s="9" t="s">
        <v>9732</v>
      </c>
      <c r="C4969" s="9" t="str">
        <f>HYPERLINK("http://www.ncbi.nlm.nih.gov/protein/257153408","Nkap")</f>
        <v>Nkap</v>
      </c>
      <c r="D4969" s="10">
        <f t="shared" si="77"/>
        <v>3.6286570276940662</v>
      </c>
      <c r="F4969" s="8" t="str">
        <f>HYPERLINK("https://esbl.nhlbi.nih.gov/Databases/mpkFractions/proteomic_fractions_log_files/Yang_log_img/257153408.jpg","show blot")</f>
        <v>show blot</v>
      </c>
      <c r="H4969" s="8" t="str">
        <f>HYPERLINK("https://esbl.nhlbi.nih.gov/Databases/mpkFractions/proteomic_fractions_linear_files/Yang_linear_img/257153408.jpg","show blot")</f>
        <v>show blot</v>
      </c>
      <c r="J4969" s="5" t="s">
        <v>9733</v>
      </c>
      <c r="L4969" s="11">
        <v>3.6286570276940662</v>
      </c>
      <c r="N4969" s="12"/>
    </row>
    <row r="4970" spans="1:14" s="5" customFormat="1" ht="15" customHeight="1" x14ac:dyDescent="0.25">
      <c r="A4970" s="9" t="s">
        <v>9734</v>
      </c>
      <c r="C4970" s="9" t="str">
        <f>HYPERLINK("http://www.ncbi.nlm.nih.gov/protein/254553396","Nkapl")</f>
        <v>Nkapl</v>
      </c>
      <c r="D4970" s="10">
        <f t="shared" si="77"/>
        <v>3.6475423718544389</v>
      </c>
      <c r="F4970" s="8" t="str">
        <f>HYPERLINK("https://esbl.nhlbi.nih.gov/Databases/mpkFractions/proteomic_fractions_log_files/Yang_log_img/254553396.jpg","show blot")</f>
        <v>show blot</v>
      </c>
      <c r="H4970" s="8" t="str">
        <f>HYPERLINK("https://esbl.nhlbi.nih.gov/Databases/mpkFractions/proteomic_fractions_linear_files/Yang_linear_img/254553396.jpg","show blot")</f>
        <v>show blot</v>
      </c>
      <c r="J4970" s="5" t="s">
        <v>9735</v>
      </c>
      <c r="L4970" s="11">
        <v>3.6475423718544389</v>
      </c>
      <c r="N4970" s="12"/>
    </row>
    <row r="4971" spans="1:14" s="5" customFormat="1" ht="15" customHeight="1" x14ac:dyDescent="0.25">
      <c r="A4971" s="9" t="s">
        <v>9736</v>
      </c>
      <c r="C4971" s="9" t="str">
        <f>HYPERLINK("http://www.ncbi.nlm.nih.gov/protein/21312616","Nkiras2")</f>
        <v>Nkiras2</v>
      </c>
      <c r="D4971" s="10">
        <f t="shared" si="77"/>
        <v>4.6947110203497768</v>
      </c>
      <c r="F4971" s="8" t="str">
        <f>HYPERLINK("https://esbl.nhlbi.nih.gov/Databases/mpkFractions/proteomic_fractions_log_files/Yang_log_img/21312616.jpg","show blot")</f>
        <v>show blot</v>
      </c>
      <c r="H4971" s="8" t="str">
        <f>HYPERLINK("https://esbl.nhlbi.nih.gov/Databases/mpkFractions/proteomic_fractions_linear_files/Yang_linear_img/21312616.jpg","show blot")</f>
        <v>show blot</v>
      </c>
      <c r="J4971" s="5" t="s">
        <v>9737</v>
      </c>
      <c r="L4971" s="11">
        <v>4.6947110203497768</v>
      </c>
      <c r="N4971" s="12"/>
    </row>
    <row r="4972" spans="1:14" s="5" customFormat="1" ht="15" customHeight="1" x14ac:dyDescent="0.25">
      <c r="A4972" s="9" t="s">
        <v>9738</v>
      </c>
      <c r="C4972" s="9" t="str">
        <f>HYPERLINK("http://www.ncbi.nlm.nih.gov/protein/62526130","Nktr")</f>
        <v>Nktr</v>
      </c>
      <c r="D4972" s="10">
        <f t="shared" si="77"/>
        <v>3.1063929731894602</v>
      </c>
      <c r="F4972" s="8" t="str">
        <f>HYPERLINK("https://esbl.nhlbi.nih.gov/Databases/mpkFractions/proteomic_fractions_log_files/Yang_log_img/62526130.jpg","show blot")</f>
        <v>show blot</v>
      </c>
      <c r="H4972" s="8" t="str">
        <f>HYPERLINK("https://esbl.nhlbi.nih.gov/Databases/mpkFractions/proteomic_fractions_linear_files/Yang_linear_img/62526130.jpg","show blot")</f>
        <v>show blot</v>
      </c>
      <c r="J4972" s="5" t="s">
        <v>9739</v>
      </c>
      <c r="L4972" s="11">
        <v>3.1063929731894602</v>
      </c>
      <c r="N4972" s="12"/>
    </row>
    <row r="4973" spans="1:14" s="5" customFormat="1" ht="15" customHeight="1" x14ac:dyDescent="0.25">
      <c r="A4973" s="9" t="s">
        <v>9740</v>
      </c>
      <c r="C4973" s="9" t="str">
        <f>HYPERLINK("http://www.ncbi.nlm.nih.gov/protein/21450629","Nkx6-1")</f>
        <v>Nkx6-1</v>
      </c>
      <c r="D4973" s="10">
        <f t="shared" si="77"/>
        <v>4.6209224379503526</v>
      </c>
      <c r="F4973" s="8" t="str">
        <f>HYPERLINK("https://esbl.nhlbi.nih.gov/Databases/mpkFractions/proteomic_fractions_log_files/Yang_log_img/21450629.jpg","show blot")</f>
        <v>show blot</v>
      </c>
      <c r="H4973" s="8" t="str">
        <f>HYPERLINK("https://esbl.nhlbi.nih.gov/Databases/mpkFractions/proteomic_fractions_linear_files/Yang_linear_img/21450629.jpg","show blot")</f>
        <v>show blot</v>
      </c>
      <c r="J4973" s="5" t="s">
        <v>9741</v>
      </c>
      <c r="L4973" s="11">
        <v>4.6209224379503526</v>
      </c>
      <c r="N4973" s="12"/>
    </row>
    <row r="4974" spans="1:14" s="5" customFormat="1" ht="15" customHeight="1" x14ac:dyDescent="0.25">
      <c r="A4974" s="9" t="s">
        <v>9742</v>
      </c>
      <c r="C4974" s="9" t="str">
        <f>HYPERLINK("http://www.ncbi.nlm.nih.gov/protein/238624156","Nle1")</f>
        <v>Nle1</v>
      </c>
      <c r="D4974" s="10">
        <f t="shared" si="77"/>
        <v>4.0383267636932301</v>
      </c>
      <c r="F4974" s="8" t="str">
        <f>HYPERLINK("https://esbl.nhlbi.nih.gov/Databases/mpkFractions/proteomic_fractions_log_files/Yang_log_img/238624156.jpg","show blot")</f>
        <v>show blot</v>
      </c>
      <c r="H4974" s="8" t="str">
        <f>HYPERLINK("https://esbl.nhlbi.nih.gov/Databases/mpkFractions/proteomic_fractions_linear_files/Yang_linear_img/238624156.jpg","show blot")</f>
        <v>show blot</v>
      </c>
      <c r="J4974" s="5" t="s">
        <v>9743</v>
      </c>
      <c r="L4974" s="11">
        <v>4.0383267636932301</v>
      </c>
      <c r="N4974" s="12"/>
    </row>
    <row r="4975" spans="1:14" s="5" customFormat="1" ht="15" customHeight="1" x14ac:dyDescent="0.25">
      <c r="A4975" s="9" t="s">
        <v>9744</v>
      </c>
      <c r="C4975" s="9" t="str">
        <f>HYPERLINK("http://www.ncbi.nlm.nih.gov/protein/149408132","Nlk")</f>
        <v>Nlk</v>
      </c>
      <c r="D4975" s="10">
        <f t="shared" si="77"/>
        <v>5.6153063811393613</v>
      </c>
      <c r="F4975" s="8" t="str">
        <f>HYPERLINK("https://esbl.nhlbi.nih.gov/Databases/mpkFractions/proteomic_fractions_log_files/Yang_log_img/149408132.jpg","show blot")</f>
        <v>show blot</v>
      </c>
      <c r="H4975" s="8" t="str">
        <f>HYPERLINK("https://esbl.nhlbi.nih.gov/Databases/mpkFractions/proteomic_fractions_linear_files/Yang_linear_img/149408132.jpg","show blot")</f>
        <v>show blot</v>
      </c>
      <c r="J4975" s="5" t="s">
        <v>9745</v>
      </c>
      <c r="L4975" s="11">
        <v>5.6153063811393613</v>
      </c>
      <c r="N4975" s="12"/>
    </row>
    <row r="4976" spans="1:14" s="5" customFormat="1" ht="15" customHeight="1" x14ac:dyDescent="0.25">
      <c r="A4976" s="9" t="s">
        <v>9746</v>
      </c>
      <c r="C4976" s="9" t="str">
        <f>HYPERLINK("http://www.ncbi.nlm.nih.gov/protein/28077051","Nln")</f>
        <v>Nln</v>
      </c>
      <c r="D4976" s="10">
        <f t="shared" si="77"/>
        <v>3.4916364500182309</v>
      </c>
      <c r="F4976" s="8" t="str">
        <f>HYPERLINK("https://esbl.nhlbi.nih.gov/Databases/mpkFractions/proteomic_fractions_log_files/Yang_log_img/28077051.jpg","show blot")</f>
        <v>show blot</v>
      </c>
      <c r="H4976" s="8" t="str">
        <f>HYPERLINK("https://esbl.nhlbi.nih.gov/Databases/mpkFractions/proteomic_fractions_linear_files/Yang_linear_img/28077051.jpg","show blot")</f>
        <v>show blot</v>
      </c>
      <c r="J4976" s="5" t="s">
        <v>9747</v>
      </c>
      <c r="L4976" s="11">
        <v>3.4916364500182309</v>
      </c>
      <c r="N4976" s="12"/>
    </row>
    <row r="4977" spans="1:14" s="5" customFormat="1" ht="15" customHeight="1" x14ac:dyDescent="0.25">
      <c r="A4977" s="9" t="s">
        <v>9748</v>
      </c>
      <c r="C4977" s="9" t="str">
        <f>HYPERLINK("http://www.ncbi.nlm.nih.gov/protein/241666421","Nlrp1a")</f>
        <v>Nlrp1a</v>
      </c>
      <c r="D4977" s="10">
        <f t="shared" si="77"/>
        <v>4.488898298187622</v>
      </c>
      <c r="F4977" s="8" t="str">
        <f>HYPERLINK("https://esbl.nhlbi.nih.gov/Databases/mpkFractions/proteomic_fractions_log_files/Yang_log_img/241666421.jpg","show blot")</f>
        <v>show blot</v>
      </c>
      <c r="H4977" s="8" t="str">
        <f>HYPERLINK("https://esbl.nhlbi.nih.gov/Databases/mpkFractions/proteomic_fractions_linear_files/Yang_linear_img/241666421.jpg","show blot")</f>
        <v>show blot</v>
      </c>
      <c r="J4977" s="5" t="s">
        <v>9749</v>
      </c>
      <c r="L4977" s="11">
        <v>4.488898298187622</v>
      </c>
      <c r="N4977" s="12"/>
    </row>
    <row r="4978" spans="1:14" s="5" customFormat="1" ht="15" customHeight="1" x14ac:dyDescent="0.25">
      <c r="A4978" s="9" t="s">
        <v>9750</v>
      </c>
      <c r="C4978" s="9" t="str">
        <f>HYPERLINK("http://www.ncbi.nlm.nih.gov/protein/22003870","Nlrp3")</f>
        <v>Nlrp3</v>
      </c>
      <c r="D4978" s="10">
        <f t="shared" si="77"/>
        <v>3.0236848294086172</v>
      </c>
      <c r="F4978" s="8" t="str">
        <f>HYPERLINK("https://esbl.nhlbi.nih.gov/Databases/mpkFractions/proteomic_fractions_log_files/Yang_log_img/22003870.jpg","show blot")</f>
        <v>show blot</v>
      </c>
      <c r="H4978" s="8" t="str">
        <f>HYPERLINK("https://esbl.nhlbi.nih.gov/Databases/mpkFractions/proteomic_fractions_linear_files/Yang_linear_img/22003870.jpg","show blot")</f>
        <v>show blot</v>
      </c>
      <c r="J4978" s="5" t="s">
        <v>9751</v>
      </c>
      <c r="L4978" s="11">
        <v>3.0236848294086172</v>
      </c>
      <c r="N4978" s="12"/>
    </row>
    <row r="4979" spans="1:14" s="5" customFormat="1" ht="15" customHeight="1" x14ac:dyDescent="0.25">
      <c r="A4979" s="9" t="s">
        <v>9752</v>
      </c>
      <c r="C4979" s="9" t="str">
        <f>HYPERLINK("http://www.ncbi.nlm.nih.gov/protein/7106379","Nlrp5")</f>
        <v>Nlrp5</v>
      </c>
      <c r="D4979" s="10">
        <f t="shared" si="77"/>
        <v>4.4218433232635812</v>
      </c>
      <c r="F4979" s="8" t="str">
        <f>HYPERLINK("https://esbl.nhlbi.nih.gov/Databases/mpkFractions/proteomic_fractions_log_files/Yang_log_img/7106379.jpg","show blot")</f>
        <v>show blot</v>
      </c>
      <c r="H4979" s="8" t="str">
        <f>HYPERLINK("https://esbl.nhlbi.nih.gov/Databases/mpkFractions/proteomic_fractions_linear_files/Yang_linear_img/7106379.jpg","show blot")</f>
        <v>show blot</v>
      </c>
      <c r="J4979" s="5" t="s">
        <v>9753</v>
      </c>
      <c r="L4979" s="11">
        <v>4.4218433232635812</v>
      </c>
      <c r="N4979" s="12"/>
    </row>
    <row r="4980" spans="1:14" s="5" customFormat="1" ht="15" customHeight="1" x14ac:dyDescent="0.25">
      <c r="A4980" s="9" t="s">
        <v>9754</v>
      </c>
      <c r="C4980" s="9" t="str">
        <f>HYPERLINK("http://www.ncbi.nlm.nih.gov/protein/85362740","Nlrp5")</f>
        <v>Nlrp5</v>
      </c>
      <c r="D4980" s="10">
        <f t="shared" si="77"/>
        <v>4.4218433232635812</v>
      </c>
      <c r="F4980" s="8" t="str">
        <f>HYPERLINK("https://esbl.nhlbi.nih.gov/Databases/mpkFractions/proteomic_fractions_log_files/Yang_log_img/85362740.jpg","show blot")</f>
        <v>show blot</v>
      </c>
      <c r="H4980" s="8" t="str">
        <f>HYPERLINK("https://esbl.nhlbi.nih.gov/Databases/mpkFractions/proteomic_fractions_linear_files/Yang_linear_img/85362740.jpg","show blot")</f>
        <v>show blot</v>
      </c>
      <c r="J4980" s="5" t="s">
        <v>9755</v>
      </c>
      <c r="L4980" s="11">
        <v>4.4218433232635812</v>
      </c>
      <c r="N4980" s="12"/>
    </row>
    <row r="4981" spans="1:14" s="5" customFormat="1" ht="15" customHeight="1" x14ac:dyDescent="0.25">
      <c r="A4981" s="9" t="s">
        <v>9756</v>
      </c>
      <c r="C4981" s="9" t="str">
        <f>HYPERLINK("http://www.ncbi.nlm.nih.gov/protein/37700232","Nme1")</f>
        <v>Nme1</v>
      </c>
      <c r="D4981" s="10">
        <f t="shared" si="77"/>
        <v>7.0651428877457807</v>
      </c>
      <c r="F4981" s="8" t="str">
        <f>HYPERLINK("https://esbl.nhlbi.nih.gov/Databases/mpkFractions/proteomic_fractions_log_files/Yang_log_img/37700232.jpg","show blot")</f>
        <v>show blot</v>
      </c>
      <c r="H4981" s="8" t="str">
        <f>HYPERLINK("https://esbl.nhlbi.nih.gov/Databases/mpkFractions/proteomic_fractions_linear_files/Yang_linear_img/37700232.jpg","show blot")</f>
        <v>show blot</v>
      </c>
      <c r="J4981" s="5" t="s">
        <v>9757</v>
      </c>
      <c r="L4981" s="11">
        <v>7.0651428877457807</v>
      </c>
      <c r="N4981" s="12"/>
    </row>
    <row r="4982" spans="1:14" s="5" customFormat="1" ht="15" customHeight="1" x14ac:dyDescent="0.25">
      <c r="A4982" s="9" t="s">
        <v>9758</v>
      </c>
      <c r="C4982" s="9" t="str">
        <f>HYPERLINK("http://www.ncbi.nlm.nih.gov/protein/6679078","Nme2")</f>
        <v>Nme2</v>
      </c>
      <c r="D4982" s="10">
        <f t="shared" si="77"/>
        <v>7.1374288228153979</v>
      </c>
      <c r="F4982" s="8" t="str">
        <f>HYPERLINK("https://esbl.nhlbi.nih.gov/Databases/mpkFractions/proteomic_fractions_log_files/Yang_log_img/6679078.jpg","show blot")</f>
        <v>show blot</v>
      </c>
      <c r="H4982" s="8" t="str">
        <f>HYPERLINK("https://esbl.nhlbi.nih.gov/Databases/mpkFractions/proteomic_fractions_linear_files/Yang_linear_img/6679078.jpg","show blot")</f>
        <v>show blot</v>
      </c>
      <c r="J4982" s="5" t="s">
        <v>9759</v>
      </c>
      <c r="L4982" s="11">
        <v>7.1374288228153979</v>
      </c>
      <c r="N4982" s="12"/>
    </row>
    <row r="4983" spans="1:14" s="5" customFormat="1" ht="15" customHeight="1" x14ac:dyDescent="0.25">
      <c r="A4983" s="9" t="s">
        <v>9760</v>
      </c>
      <c r="C4983" s="9" t="str">
        <f>HYPERLINK("http://www.ncbi.nlm.nih.gov/protein/255308888","Nme3")</f>
        <v>Nme3</v>
      </c>
      <c r="D4983" s="10">
        <f t="shared" si="77"/>
        <v>5.1299402280768494</v>
      </c>
      <c r="F4983" s="8" t="str">
        <f>HYPERLINK("https://esbl.nhlbi.nih.gov/Databases/mpkFractions/proteomic_fractions_log_files/Yang_log_img/255308888.jpg","show blot")</f>
        <v>show blot</v>
      </c>
      <c r="H4983" s="8" t="str">
        <f>HYPERLINK("https://esbl.nhlbi.nih.gov/Databases/mpkFractions/proteomic_fractions_linear_files/Yang_linear_img/255308888.jpg","show blot")</f>
        <v>show blot</v>
      </c>
      <c r="J4983" s="5" t="s">
        <v>9761</v>
      </c>
      <c r="L4983" s="11">
        <v>5.1299402280768494</v>
      </c>
      <c r="N4983" s="12"/>
    </row>
    <row r="4984" spans="1:14" s="5" customFormat="1" ht="15" customHeight="1" x14ac:dyDescent="0.25">
      <c r="A4984" s="9" t="s">
        <v>9762</v>
      </c>
      <c r="C4984" s="9" t="str">
        <f>HYPERLINK("http://www.ncbi.nlm.nih.gov/protein/9055290","Nme6")</f>
        <v>Nme6</v>
      </c>
      <c r="D4984" s="10">
        <f t="shared" si="77"/>
        <v>3.234916575322019</v>
      </c>
      <c r="F4984" s="8" t="str">
        <f>HYPERLINK("https://esbl.nhlbi.nih.gov/Databases/mpkFractions/proteomic_fractions_log_files/Yang_log_img/9055290.jpg","show blot")</f>
        <v>show blot</v>
      </c>
      <c r="H4984" s="8" t="str">
        <f>HYPERLINK("https://esbl.nhlbi.nih.gov/Databases/mpkFractions/proteomic_fractions_linear_files/Yang_linear_img/9055290.jpg","show blot")</f>
        <v>show blot</v>
      </c>
      <c r="J4984" s="5" t="s">
        <v>9763</v>
      </c>
      <c r="L4984" s="11">
        <v>3.234916575322019</v>
      </c>
      <c r="N4984" s="12"/>
    </row>
    <row r="4985" spans="1:14" s="5" customFormat="1" ht="15" customHeight="1" x14ac:dyDescent="0.25">
      <c r="A4985" s="9" t="s">
        <v>9764</v>
      </c>
      <c r="C4985" s="9" t="str">
        <f>HYPERLINK("http://www.ncbi.nlm.nih.gov/protein/167000069","Nme8")</f>
        <v>Nme8</v>
      </c>
      <c r="D4985" s="10">
        <f t="shared" si="77"/>
        <v>2.7865088833426368</v>
      </c>
      <c r="F4985" s="8" t="str">
        <f>HYPERLINK("https://esbl.nhlbi.nih.gov/Databases/mpkFractions/proteomic_fractions_log_files/Yang_log_img/167000069.jpg","show blot")</f>
        <v>show blot</v>
      </c>
      <c r="H4985" s="8" t="str">
        <f>HYPERLINK("https://esbl.nhlbi.nih.gov/Databases/mpkFractions/proteomic_fractions_linear_files/Yang_linear_img/167000069.jpg","show blot")</f>
        <v>show blot</v>
      </c>
      <c r="J4985" s="5" t="s">
        <v>9765</v>
      </c>
      <c r="L4985" s="11">
        <v>2.7865088833426368</v>
      </c>
      <c r="N4985" s="12"/>
    </row>
    <row r="4986" spans="1:14" s="5" customFormat="1" ht="15" customHeight="1" x14ac:dyDescent="0.25">
      <c r="A4986" s="9" t="s">
        <v>9766</v>
      </c>
      <c r="C4986" s="9" t="str">
        <f>HYPERLINK("http://www.ncbi.nlm.nih.gov/protein/268836142","Nme8")</f>
        <v>Nme8</v>
      </c>
      <c r="D4986" s="10">
        <f t="shared" si="77"/>
        <v>2.7865088833426368</v>
      </c>
      <c r="F4986" s="8" t="str">
        <f>HYPERLINK("https://esbl.nhlbi.nih.gov/Databases/mpkFractions/proteomic_fractions_log_files/Yang_log_img/268836142.jpg","show blot")</f>
        <v>show blot</v>
      </c>
      <c r="H4986" s="8" t="str">
        <f>HYPERLINK("https://esbl.nhlbi.nih.gov/Databases/mpkFractions/proteomic_fractions_linear_files/Yang_linear_img/268836142.jpg","show blot")</f>
        <v>show blot</v>
      </c>
      <c r="J4986" s="5" t="s">
        <v>9767</v>
      </c>
      <c r="L4986" s="11">
        <v>2.7865088833426368</v>
      </c>
      <c r="N4986" s="12"/>
    </row>
    <row r="4987" spans="1:14" s="5" customFormat="1" ht="15" customHeight="1" x14ac:dyDescent="0.25">
      <c r="A4987" s="9" t="s">
        <v>9768</v>
      </c>
      <c r="C4987" s="9" t="str">
        <f>HYPERLINK("http://www.ncbi.nlm.nih.gov/protein/33469125","Nmi")</f>
        <v>Nmi</v>
      </c>
      <c r="D4987" s="10">
        <f t="shared" si="77"/>
        <v>5.2795589951858002</v>
      </c>
      <c r="F4987" s="8" t="str">
        <f>HYPERLINK("https://esbl.nhlbi.nih.gov/Databases/mpkFractions/proteomic_fractions_log_files/Yang_log_img/33469125.jpg","show blot")</f>
        <v>show blot</v>
      </c>
      <c r="H4987" s="8" t="str">
        <f>HYPERLINK("https://esbl.nhlbi.nih.gov/Databases/mpkFractions/proteomic_fractions_linear_files/Yang_linear_img/33469125.jpg","show blot")</f>
        <v>show blot</v>
      </c>
      <c r="J4987" s="5" t="s">
        <v>9769</v>
      </c>
      <c r="L4987" s="11">
        <v>5.2795589951858002</v>
      </c>
      <c r="N4987" s="12"/>
    </row>
    <row r="4988" spans="1:14" s="5" customFormat="1" ht="15" customHeight="1" x14ac:dyDescent="0.25">
      <c r="A4988" s="9" t="s">
        <v>9770</v>
      </c>
      <c r="C4988" s="9" t="str">
        <f>HYPERLINK("http://www.ncbi.nlm.nih.gov/protein/57527870","Nmnat1")</f>
        <v>Nmnat1</v>
      </c>
      <c r="D4988" s="10">
        <f t="shared" si="77"/>
        <v>4.0335065207820699</v>
      </c>
      <c r="F4988" s="8" t="str">
        <f>HYPERLINK("https://esbl.nhlbi.nih.gov/Databases/mpkFractions/proteomic_fractions_log_files/Yang_log_img/57527870.jpg","show blot")</f>
        <v>show blot</v>
      </c>
      <c r="H4988" s="8" t="str">
        <f>HYPERLINK("https://esbl.nhlbi.nih.gov/Databases/mpkFractions/proteomic_fractions_linear_files/Yang_linear_img/57527870.jpg","show blot")</f>
        <v>show blot</v>
      </c>
      <c r="J4988" s="5" t="s">
        <v>9771</v>
      </c>
      <c r="L4988" s="11">
        <v>4.0335065207820699</v>
      </c>
      <c r="N4988" s="12"/>
    </row>
    <row r="4989" spans="1:14" s="5" customFormat="1" ht="15" customHeight="1" x14ac:dyDescent="0.25">
      <c r="A4989" s="9" t="s">
        <v>9772</v>
      </c>
      <c r="C4989" s="9" t="str">
        <f>HYPERLINK("http://www.ncbi.nlm.nih.gov/protein/21362329","Nmnat3")</f>
        <v>Nmnat3</v>
      </c>
      <c r="D4989" s="10">
        <f t="shared" si="77"/>
        <v>4.1446955150471618</v>
      </c>
      <c r="F4989" s="8" t="str">
        <f>HYPERLINK("https://esbl.nhlbi.nih.gov/Databases/mpkFractions/proteomic_fractions_log_files/Yang_log_img/21362329.jpg","show blot")</f>
        <v>show blot</v>
      </c>
      <c r="H4989" s="8" t="str">
        <f>HYPERLINK("https://esbl.nhlbi.nih.gov/Databases/mpkFractions/proteomic_fractions_linear_files/Yang_linear_img/21362329.jpg","show blot")</f>
        <v>show blot</v>
      </c>
      <c r="J4989" s="5" t="s">
        <v>9773</v>
      </c>
      <c r="L4989" s="11">
        <v>4.1446955150471618</v>
      </c>
      <c r="N4989" s="12"/>
    </row>
    <row r="4990" spans="1:14" s="5" customFormat="1" ht="15" customHeight="1" x14ac:dyDescent="0.25">
      <c r="A4990" s="9" t="s">
        <v>9774</v>
      </c>
      <c r="C4990" s="9" t="str">
        <f>HYPERLINK("http://www.ncbi.nlm.nih.gov/protein/24431937","Nmral1")</f>
        <v>Nmral1</v>
      </c>
      <c r="D4990" s="10">
        <f t="shared" si="77"/>
        <v>5.4322338234637906</v>
      </c>
      <c r="F4990" s="8" t="str">
        <f>HYPERLINK("https://esbl.nhlbi.nih.gov/Databases/mpkFractions/proteomic_fractions_log_files/Yang_log_img/24431937.jpg","show blot")</f>
        <v>show blot</v>
      </c>
      <c r="H4990" s="8" t="str">
        <f>HYPERLINK("https://esbl.nhlbi.nih.gov/Databases/mpkFractions/proteomic_fractions_linear_files/Yang_linear_img/24431937.jpg","show blot")</f>
        <v>show blot</v>
      </c>
      <c r="J4990" s="5" t="s">
        <v>9775</v>
      </c>
      <c r="L4990" s="11">
        <v>5.4322338234637906</v>
      </c>
      <c r="N4990" s="12"/>
    </row>
    <row r="4991" spans="1:14" s="5" customFormat="1" ht="15" customHeight="1" x14ac:dyDescent="0.25">
      <c r="A4991" s="9" t="s">
        <v>9776</v>
      </c>
      <c r="C4991" s="9" t="str">
        <f>HYPERLINK("http://www.ncbi.nlm.nih.gov/protein/21703978","Nmrk1")</f>
        <v>Nmrk1</v>
      </c>
      <c r="D4991" s="10">
        <f t="shared" si="77"/>
        <v>4.5889082886447392</v>
      </c>
      <c r="F4991" s="8" t="str">
        <f>HYPERLINK("https://esbl.nhlbi.nih.gov/Databases/mpkFractions/proteomic_fractions_log_files/Yang_log_img/21703978.jpg","show blot")</f>
        <v>show blot</v>
      </c>
      <c r="H4991" s="8" t="str">
        <f>HYPERLINK("https://esbl.nhlbi.nih.gov/Databases/mpkFractions/proteomic_fractions_linear_files/Yang_linear_img/21703978.jpg","show blot")</f>
        <v>show blot</v>
      </c>
      <c r="J4991" s="5" t="s">
        <v>9777</v>
      </c>
      <c r="L4991" s="11">
        <v>4.5889082886447392</v>
      </c>
      <c r="N4991" s="12"/>
    </row>
    <row r="4992" spans="1:14" s="5" customFormat="1" ht="15" customHeight="1" x14ac:dyDescent="0.25">
      <c r="A4992" s="9" t="s">
        <v>9778</v>
      </c>
      <c r="C4992" s="9" t="str">
        <f>HYPERLINK("http://www.ncbi.nlm.nih.gov/protein/6679082","Nmt1")</f>
        <v>Nmt1</v>
      </c>
      <c r="D4992" s="10">
        <f t="shared" si="77"/>
        <v>5.7736015609781006</v>
      </c>
      <c r="F4992" s="8" t="str">
        <f>HYPERLINK("https://esbl.nhlbi.nih.gov/Databases/mpkFractions/proteomic_fractions_log_files/Yang_log_img/6679082.jpg","show blot")</f>
        <v>show blot</v>
      </c>
      <c r="H4992" s="8" t="str">
        <f>HYPERLINK("https://esbl.nhlbi.nih.gov/Databases/mpkFractions/proteomic_fractions_linear_files/Yang_linear_img/6679082.jpg","show blot")</f>
        <v>show blot</v>
      </c>
      <c r="J4992" s="5" t="s">
        <v>9779</v>
      </c>
      <c r="L4992" s="11">
        <v>5.7736015609781006</v>
      </c>
      <c r="N4992" s="12"/>
    </row>
    <row r="4993" spans="1:14" s="5" customFormat="1" ht="15" customHeight="1" x14ac:dyDescent="0.25">
      <c r="A4993" s="9" t="s">
        <v>9780</v>
      </c>
      <c r="C4993" s="9" t="str">
        <f>HYPERLINK("http://www.ncbi.nlm.nih.gov/protein/6679084","Nmt2")</f>
        <v>Nmt2</v>
      </c>
      <c r="D4993" s="10">
        <f t="shared" si="77"/>
        <v>5.4045489309984722</v>
      </c>
      <c r="F4993" s="8" t="str">
        <f>HYPERLINK("https://esbl.nhlbi.nih.gov/Databases/mpkFractions/proteomic_fractions_log_files/Yang_log_img/6679084.jpg","show blot")</f>
        <v>show blot</v>
      </c>
      <c r="H4993" s="8" t="str">
        <f>HYPERLINK("https://esbl.nhlbi.nih.gov/Databases/mpkFractions/proteomic_fractions_linear_files/Yang_linear_img/6679084.jpg","show blot")</f>
        <v>show blot</v>
      </c>
      <c r="J4993" s="5" t="s">
        <v>9781</v>
      </c>
      <c r="L4993" s="11">
        <v>5.4045489309984722</v>
      </c>
      <c r="N4993" s="12"/>
    </row>
    <row r="4994" spans="1:14" s="5" customFormat="1" ht="15" customHeight="1" x14ac:dyDescent="0.25">
      <c r="A4994" s="9" t="s">
        <v>9782</v>
      </c>
      <c r="C4994" s="9" t="str">
        <f>HYPERLINK("http://www.ncbi.nlm.nih.gov/protein/9790049","Noa1")</f>
        <v>Noa1</v>
      </c>
      <c r="D4994" s="10">
        <f t="shared" si="77"/>
        <v>2.9793619692137279</v>
      </c>
      <c r="F4994" s="8" t="str">
        <f>HYPERLINK("https://esbl.nhlbi.nih.gov/Databases/mpkFractions/proteomic_fractions_log_files/Yang_log_img/9790049.jpg","show blot")</f>
        <v>show blot</v>
      </c>
      <c r="H4994" s="8" t="str">
        <f>HYPERLINK("https://esbl.nhlbi.nih.gov/Databases/mpkFractions/proteomic_fractions_linear_files/Yang_linear_img/9790049.jpg","show blot")</f>
        <v>show blot</v>
      </c>
      <c r="J4994" s="5" t="s">
        <v>9783</v>
      </c>
      <c r="L4994" s="11">
        <v>2.9793619692137279</v>
      </c>
      <c r="N4994" s="12"/>
    </row>
    <row r="4995" spans="1:14" s="5" customFormat="1" ht="15" customHeight="1" x14ac:dyDescent="0.25">
      <c r="A4995" s="9" t="s">
        <v>9784</v>
      </c>
      <c r="C4995" s="9" t="str">
        <f>HYPERLINK("http://www.ncbi.nlm.nih.gov/protein/30794454","Nob1")</f>
        <v>Nob1</v>
      </c>
      <c r="D4995" s="10">
        <f t="shared" si="77"/>
        <v>2.7981966683451351</v>
      </c>
      <c r="F4995" s="8" t="str">
        <f>HYPERLINK("https://esbl.nhlbi.nih.gov/Databases/mpkFractions/proteomic_fractions_log_files/Yang_log_img/30794454.jpg","show blot")</f>
        <v>show blot</v>
      </c>
      <c r="H4995" s="8" t="str">
        <f>HYPERLINK("https://esbl.nhlbi.nih.gov/Databases/mpkFractions/proteomic_fractions_linear_files/Yang_linear_img/30794454.jpg","show blot")</f>
        <v>show blot</v>
      </c>
      <c r="J4995" s="5" t="s">
        <v>9785</v>
      </c>
      <c r="L4995" s="11">
        <v>2.7981966683451351</v>
      </c>
      <c r="N4995" s="12"/>
    </row>
    <row r="4996" spans="1:14" s="5" customFormat="1" ht="15" customHeight="1" x14ac:dyDescent="0.25">
      <c r="A4996" s="9" t="s">
        <v>9786</v>
      </c>
      <c r="C4996" s="9" t="str">
        <f>HYPERLINK("http://www.ncbi.nlm.nih.gov/protein/124301227","Noc2l")</f>
        <v>Noc2l</v>
      </c>
      <c r="D4996" s="10">
        <f t="shared" si="77"/>
        <v>2.7541752892592419</v>
      </c>
      <c r="F4996" s="8" t="str">
        <f>HYPERLINK("https://esbl.nhlbi.nih.gov/Databases/mpkFractions/proteomic_fractions_log_files/Yang_log_img/124301227.jpg","show blot")</f>
        <v>show blot</v>
      </c>
      <c r="H4996" s="8" t="str">
        <f>HYPERLINK("https://esbl.nhlbi.nih.gov/Databases/mpkFractions/proteomic_fractions_linear_files/Yang_linear_img/124301227.jpg","show blot")</f>
        <v>show blot</v>
      </c>
      <c r="J4996" s="5" t="s">
        <v>9787</v>
      </c>
      <c r="L4996" s="11">
        <v>2.7541752892592419</v>
      </c>
      <c r="N4996" s="12"/>
    </row>
    <row r="4997" spans="1:14" s="5" customFormat="1" ht="15" customHeight="1" x14ac:dyDescent="0.25">
      <c r="A4997" s="9" t="s">
        <v>9788</v>
      </c>
      <c r="C4997" s="9" t="str">
        <f>HYPERLINK("http://www.ncbi.nlm.nih.gov/protein/83977454","Nod2")</f>
        <v>Nod2</v>
      </c>
      <c r="D4997" s="10">
        <f t="shared" ref="D4997:D5060" si="78">L4997</f>
        <v>3.2194808480428159</v>
      </c>
      <c r="F4997" s="8" t="str">
        <f>HYPERLINK("https://esbl.nhlbi.nih.gov/Databases/mpkFractions/proteomic_fractions_log_files/Yang_log_img/83977454.jpg","show blot")</f>
        <v>show blot</v>
      </c>
      <c r="H4997" s="8" t="str">
        <f>HYPERLINK("https://esbl.nhlbi.nih.gov/Databases/mpkFractions/proteomic_fractions_linear_files/Yang_linear_img/83977454.jpg","show blot")</f>
        <v>show blot</v>
      </c>
      <c r="J4997" s="5" t="s">
        <v>9789</v>
      </c>
      <c r="L4997" s="11">
        <v>3.2194808480428159</v>
      </c>
      <c r="N4997" s="12"/>
    </row>
    <row r="4998" spans="1:14" s="5" customFormat="1" ht="15" customHeight="1" x14ac:dyDescent="0.25">
      <c r="A4998" s="9" t="s">
        <v>9790</v>
      </c>
      <c r="C4998" s="9" t="str">
        <f>HYPERLINK("http://www.ncbi.nlm.nih.gov/protein/227430356","Nol9")</f>
        <v>Nol9</v>
      </c>
      <c r="D4998" s="10">
        <f t="shared" si="78"/>
        <v>2.7248577016778599</v>
      </c>
      <c r="F4998" s="8" t="str">
        <f>HYPERLINK("https://esbl.nhlbi.nih.gov/Databases/mpkFractions/proteomic_fractions_log_files/Yang_log_img/227430356.jpg","show blot")</f>
        <v>show blot</v>
      </c>
      <c r="H4998" s="8" t="str">
        <f>HYPERLINK("https://esbl.nhlbi.nih.gov/Databases/mpkFractions/proteomic_fractions_linear_files/Yang_linear_img/227430356.jpg","show blot")</f>
        <v>show blot</v>
      </c>
      <c r="J4998" s="5" t="s">
        <v>9791</v>
      </c>
      <c r="L4998" s="11">
        <v>2.7248577016778599</v>
      </c>
      <c r="N4998" s="12"/>
    </row>
    <row r="4999" spans="1:14" s="5" customFormat="1" ht="15" customHeight="1" x14ac:dyDescent="0.25">
      <c r="A4999" s="9" t="s">
        <v>9792</v>
      </c>
      <c r="C4999" s="9" t="str">
        <f>HYPERLINK("http://www.ncbi.nlm.nih.gov/protein/227430358","Nol9")</f>
        <v>Nol9</v>
      </c>
      <c r="D4999" s="10">
        <f t="shared" si="78"/>
        <v>2.7248577016778599</v>
      </c>
      <c r="F4999" s="8" t="str">
        <f>HYPERLINK("https://esbl.nhlbi.nih.gov/Databases/mpkFractions/proteomic_fractions_log_files/Yang_log_img/227430358.jpg","show blot")</f>
        <v>show blot</v>
      </c>
      <c r="H4999" s="8" t="str">
        <f>HYPERLINK("https://esbl.nhlbi.nih.gov/Databases/mpkFractions/proteomic_fractions_linear_files/Yang_linear_img/227430358.jpg","show blot")</f>
        <v>show blot</v>
      </c>
      <c r="J4999" s="5" t="s">
        <v>9793</v>
      </c>
      <c r="L4999" s="11">
        <v>2.7248577016778599</v>
      </c>
      <c r="N4999" s="12"/>
    </row>
    <row r="5000" spans="1:14" s="5" customFormat="1" ht="15" customHeight="1" x14ac:dyDescent="0.25">
      <c r="A5000" s="9" t="s">
        <v>9794</v>
      </c>
      <c r="C5000" s="9" t="str">
        <f>HYPERLINK("http://www.ncbi.nlm.nih.gov/protein/86198327","Nolc1")</f>
        <v>Nolc1</v>
      </c>
      <c r="D5000" s="10">
        <f t="shared" si="78"/>
        <v>4.3062722194458578</v>
      </c>
      <c r="F5000" s="8" t="str">
        <f>HYPERLINK("https://esbl.nhlbi.nih.gov/Databases/mpkFractions/proteomic_fractions_log_files/Yang_log_img/86198327.jpg","show blot")</f>
        <v>show blot</v>
      </c>
      <c r="H5000" s="8" t="str">
        <f>HYPERLINK("https://esbl.nhlbi.nih.gov/Databases/mpkFractions/proteomic_fractions_linear_files/Yang_linear_img/86198327.jpg","show blot")</f>
        <v>show blot</v>
      </c>
      <c r="J5000" s="5" t="s">
        <v>9795</v>
      </c>
      <c r="L5000" s="11">
        <v>4.3062722194458578</v>
      </c>
      <c r="N5000" s="12"/>
    </row>
    <row r="5001" spans="1:14" s="5" customFormat="1" ht="15" customHeight="1" x14ac:dyDescent="0.25">
      <c r="A5001" s="9" t="s">
        <v>9796</v>
      </c>
      <c r="C5001" s="9" t="str">
        <f>HYPERLINK("http://www.ncbi.nlm.nih.gov/protein/86198329","Nolc1")</f>
        <v>Nolc1</v>
      </c>
      <c r="D5001" s="10">
        <f t="shared" si="78"/>
        <v>4.3062722194458578</v>
      </c>
      <c r="F5001" s="8" t="str">
        <f>HYPERLINK("https://esbl.nhlbi.nih.gov/Databases/mpkFractions/proteomic_fractions_log_files/Yang_log_img/86198329.jpg","show blot")</f>
        <v>show blot</v>
      </c>
      <c r="H5001" s="8" t="str">
        <f>HYPERLINK("https://esbl.nhlbi.nih.gov/Databases/mpkFractions/proteomic_fractions_linear_files/Yang_linear_img/86198329.jpg","show blot")</f>
        <v>show blot</v>
      </c>
      <c r="J5001" s="5" t="s">
        <v>9797</v>
      </c>
      <c r="L5001" s="11">
        <v>4.3062722194458578</v>
      </c>
      <c r="N5001" s="12"/>
    </row>
    <row r="5002" spans="1:14" s="5" customFormat="1" ht="15" customHeight="1" x14ac:dyDescent="0.25">
      <c r="A5002" s="9" t="s">
        <v>9798</v>
      </c>
      <c r="C5002" s="9" t="str">
        <f>HYPERLINK("http://www.ncbi.nlm.nih.gov/protein/86198331","Nolc1")</f>
        <v>Nolc1</v>
      </c>
      <c r="D5002" s="10">
        <f t="shared" si="78"/>
        <v>4.3062722194458578</v>
      </c>
      <c r="F5002" s="8" t="str">
        <f>HYPERLINK("https://esbl.nhlbi.nih.gov/Databases/mpkFractions/proteomic_fractions_log_files/Yang_log_img/86198331.jpg","show blot")</f>
        <v>show blot</v>
      </c>
      <c r="H5002" s="8" t="str">
        <f>HYPERLINK("https://esbl.nhlbi.nih.gov/Databases/mpkFractions/proteomic_fractions_linear_files/Yang_linear_img/86198331.jpg","show blot")</f>
        <v>show blot</v>
      </c>
      <c r="J5002" s="5" t="s">
        <v>9799</v>
      </c>
      <c r="L5002" s="11">
        <v>4.3062722194458578</v>
      </c>
      <c r="N5002" s="12"/>
    </row>
    <row r="5003" spans="1:14" s="5" customFormat="1" ht="15" customHeight="1" x14ac:dyDescent="0.25">
      <c r="A5003" s="9" t="s">
        <v>9800</v>
      </c>
      <c r="C5003" s="9" t="str">
        <f>HYPERLINK("http://www.ncbi.nlm.nih.gov/protein/86198333","Nolc1")</f>
        <v>Nolc1</v>
      </c>
      <c r="D5003" s="10">
        <f t="shared" si="78"/>
        <v>4.3062722194458578</v>
      </c>
      <c r="F5003" s="8" t="str">
        <f>HYPERLINK("https://esbl.nhlbi.nih.gov/Databases/mpkFractions/proteomic_fractions_log_files/Yang_log_img/86198333.jpg","show blot")</f>
        <v>show blot</v>
      </c>
      <c r="H5003" s="8" t="str">
        <f>HYPERLINK("https://esbl.nhlbi.nih.gov/Databases/mpkFractions/proteomic_fractions_linear_files/Yang_linear_img/86198333.jpg","show blot")</f>
        <v>show blot</v>
      </c>
      <c r="J5003" s="5" t="s">
        <v>9801</v>
      </c>
      <c r="L5003" s="11">
        <v>4.3062722194458578</v>
      </c>
      <c r="N5003" s="12"/>
    </row>
    <row r="5004" spans="1:14" s="5" customFormat="1" ht="15" customHeight="1" x14ac:dyDescent="0.25">
      <c r="A5004" s="9" t="s">
        <v>9802</v>
      </c>
      <c r="C5004" s="9" t="str">
        <f>HYPERLINK("http://www.ncbi.nlm.nih.gov/protein/134288861","Nom1")</f>
        <v>Nom1</v>
      </c>
      <c r="D5004" s="10">
        <f t="shared" si="78"/>
        <v>1.6424232982325131</v>
      </c>
      <c r="F5004" s="8" t="str">
        <f>HYPERLINK("https://esbl.nhlbi.nih.gov/Databases/mpkFractions/proteomic_fractions_log_files/Yang_log_img/134288861.jpg","show blot")</f>
        <v>show blot</v>
      </c>
      <c r="H5004" s="8" t="str">
        <f>HYPERLINK("https://esbl.nhlbi.nih.gov/Databases/mpkFractions/proteomic_fractions_linear_files/Yang_linear_img/134288861.jpg","show blot")</f>
        <v>show blot</v>
      </c>
      <c r="J5004" s="5" t="s">
        <v>9803</v>
      </c>
      <c r="L5004" s="11">
        <v>1.6424232982325131</v>
      </c>
      <c r="N5004" s="12"/>
    </row>
    <row r="5005" spans="1:14" s="5" customFormat="1" ht="15" customHeight="1" x14ac:dyDescent="0.25">
      <c r="A5005" s="9" t="s">
        <v>9804</v>
      </c>
      <c r="C5005" s="9" t="str">
        <f>HYPERLINK("http://www.ncbi.nlm.nih.gov/protein/227908803","Nomo1")</f>
        <v>Nomo1</v>
      </c>
      <c r="D5005" s="10">
        <f t="shared" si="78"/>
        <v>4.4087662951800368</v>
      </c>
      <c r="F5005" s="8" t="str">
        <f>HYPERLINK("https://esbl.nhlbi.nih.gov/Databases/mpkFractions/proteomic_fractions_log_files/Yang_log_img/227908803.jpg","show blot")</f>
        <v>show blot</v>
      </c>
      <c r="H5005" s="8" t="str">
        <f>HYPERLINK("https://esbl.nhlbi.nih.gov/Databases/mpkFractions/proteomic_fractions_linear_files/Yang_linear_img/227908803.jpg","show blot")</f>
        <v>show blot</v>
      </c>
      <c r="J5005" s="5" t="s">
        <v>9805</v>
      </c>
      <c r="L5005" s="11">
        <v>4.4087662951800368</v>
      </c>
      <c r="N5005" s="12"/>
    </row>
    <row r="5006" spans="1:14" s="5" customFormat="1" ht="15" customHeight="1" x14ac:dyDescent="0.25">
      <c r="A5006" s="9" t="s">
        <v>9806</v>
      </c>
      <c r="C5006" s="9" t="str">
        <f>HYPERLINK("http://www.ncbi.nlm.nih.gov/protein/357394934;255958247","Nono")</f>
        <v>Nono</v>
      </c>
      <c r="D5006" s="10">
        <f t="shared" si="78"/>
        <v>6.0258336895608604</v>
      </c>
      <c r="F5006" s="8" t="str">
        <f>HYPERLINK("https://esbl.nhlbi.nih.gov/Databases/mpkFractions/proteomic_fractions_log_files/Yang_log_img/357394934;255958247.jpg","show blot")</f>
        <v>show blot</v>
      </c>
      <c r="H5006" s="8" t="str">
        <f>HYPERLINK("https://esbl.nhlbi.nih.gov/Databases/mpkFractions/proteomic_fractions_linear_files/Yang_linear_img/357394934;255958247.jpg","show blot")</f>
        <v>show blot</v>
      </c>
      <c r="J5006" s="5" t="s">
        <v>9807</v>
      </c>
      <c r="L5006" s="11">
        <v>6.0258336895608604</v>
      </c>
      <c r="N5006" s="12"/>
    </row>
    <row r="5007" spans="1:14" s="5" customFormat="1" ht="15" customHeight="1" x14ac:dyDescent="0.25">
      <c r="A5007" s="9" t="s">
        <v>9808</v>
      </c>
      <c r="C5007" s="9" t="str">
        <f>HYPERLINK("http://www.ncbi.nlm.nih.gov/protein/255958247","Nono")</f>
        <v>Nono</v>
      </c>
      <c r="D5007" s="10">
        <f t="shared" si="78"/>
        <v>6.0258336895608604</v>
      </c>
      <c r="F5007" s="8" t="str">
        <f>HYPERLINK("https://esbl.nhlbi.nih.gov/Databases/mpkFractions/proteomic_fractions_log_files/Yang_log_img/255958247.jpg","show blot")</f>
        <v>show blot</v>
      </c>
      <c r="H5007" s="8" t="str">
        <f>HYPERLINK("https://esbl.nhlbi.nih.gov/Databases/mpkFractions/proteomic_fractions_linear_files/Yang_linear_img/255958247.jpg","show blot")</f>
        <v>show blot</v>
      </c>
      <c r="J5007" s="5" t="s">
        <v>9807</v>
      </c>
      <c r="L5007" s="11">
        <v>6.0258336895608604</v>
      </c>
      <c r="N5007" s="12"/>
    </row>
    <row r="5008" spans="1:14" s="5" customFormat="1" ht="15" customHeight="1" x14ac:dyDescent="0.25">
      <c r="A5008" s="9" t="s">
        <v>9809</v>
      </c>
      <c r="C5008" s="9" t="str">
        <f>HYPERLINK("http://www.ncbi.nlm.nih.gov/protein/13384790","Nop10")</f>
        <v>Nop10</v>
      </c>
      <c r="D5008" s="10">
        <f t="shared" si="78"/>
        <v>2.32318575561191</v>
      </c>
      <c r="F5008" s="8" t="str">
        <f>HYPERLINK("https://esbl.nhlbi.nih.gov/Databases/mpkFractions/proteomic_fractions_log_files/Yang_log_img/13384790.jpg","show blot")</f>
        <v>show blot</v>
      </c>
      <c r="H5008" s="8" t="str">
        <f>HYPERLINK("https://esbl.nhlbi.nih.gov/Databases/mpkFractions/proteomic_fractions_linear_files/Yang_linear_img/13384790.jpg","show blot")</f>
        <v>show blot</v>
      </c>
      <c r="J5008" s="5" t="s">
        <v>9810</v>
      </c>
      <c r="L5008" s="11">
        <v>2.32318575561191</v>
      </c>
      <c r="N5008" s="12"/>
    </row>
    <row r="5009" spans="1:14" s="5" customFormat="1" ht="15" customHeight="1" x14ac:dyDescent="0.25">
      <c r="A5009" s="9" t="s">
        <v>9811</v>
      </c>
      <c r="C5009" s="9" t="str">
        <f>HYPERLINK("http://www.ncbi.nlm.nih.gov/protein/30519925","Nop16")</f>
        <v>Nop16</v>
      </c>
      <c r="D5009" s="10">
        <f t="shared" si="78"/>
        <v>3.6162162011362629</v>
      </c>
      <c r="F5009" s="8" t="str">
        <f>HYPERLINK("https://esbl.nhlbi.nih.gov/Databases/mpkFractions/proteomic_fractions_log_files/Yang_log_img/30519925.jpg","show blot")</f>
        <v>show blot</v>
      </c>
      <c r="H5009" s="8" t="str">
        <f>HYPERLINK("https://esbl.nhlbi.nih.gov/Databases/mpkFractions/proteomic_fractions_linear_files/Yang_linear_img/30519925.jpg","show blot")</f>
        <v>show blot</v>
      </c>
      <c r="J5009" s="5" t="s">
        <v>9812</v>
      </c>
      <c r="L5009" s="11">
        <v>3.6162162011362629</v>
      </c>
      <c r="N5009" s="12"/>
    </row>
    <row r="5010" spans="1:14" s="5" customFormat="1" ht="15" customHeight="1" x14ac:dyDescent="0.25">
      <c r="A5010" s="9" t="s">
        <v>9813</v>
      </c>
      <c r="C5010" s="9" t="str">
        <f>HYPERLINK("http://www.ncbi.nlm.nih.gov/protein/158966689","Nop2")</f>
        <v>Nop2</v>
      </c>
      <c r="D5010" s="10">
        <f t="shared" si="78"/>
        <v>4.429236823454179</v>
      </c>
      <c r="F5010" s="8" t="str">
        <f>HYPERLINK("https://esbl.nhlbi.nih.gov/Databases/mpkFractions/proteomic_fractions_log_files/Yang_log_img/158966689.jpg","show blot")</f>
        <v>show blot</v>
      </c>
      <c r="H5010" s="8" t="str">
        <f>HYPERLINK("https://esbl.nhlbi.nih.gov/Databases/mpkFractions/proteomic_fractions_linear_files/Yang_linear_img/158966689.jpg","show blot")</f>
        <v>show blot</v>
      </c>
      <c r="J5010" s="5" t="s">
        <v>9814</v>
      </c>
      <c r="L5010" s="11">
        <v>4.429236823454179</v>
      </c>
      <c r="N5010" s="12"/>
    </row>
    <row r="5011" spans="1:14" s="5" customFormat="1" ht="15" customHeight="1" x14ac:dyDescent="0.25">
      <c r="A5011" s="9" t="s">
        <v>9815</v>
      </c>
      <c r="C5011" s="9" t="str">
        <f>HYPERLINK("http://www.ncbi.nlm.nih.gov/protein/126090932","Nop56")</f>
        <v>Nop56</v>
      </c>
      <c r="D5011" s="10">
        <f t="shared" si="78"/>
        <v>6.0684658711740687</v>
      </c>
      <c r="F5011" s="8" t="str">
        <f>HYPERLINK("https://esbl.nhlbi.nih.gov/Databases/mpkFractions/proteomic_fractions_log_files/Yang_log_img/126090932.jpg","show blot")</f>
        <v>show blot</v>
      </c>
      <c r="H5011" s="8" t="str">
        <f>HYPERLINK("https://esbl.nhlbi.nih.gov/Databases/mpkFractions/proteomic_fractions_linear_files/Yang_linear_img/126090932.jpg","show blot")</f>
        <v>show blot</v>
      </c>
      <c r="J5011" s="5" t="s">
        <v>9816</v>
      </c>
      <c r="L5011" s="11">
        <v>6.0684658711740687</v>
      </c>
      <c r="N5011" s="12"/>
    </row>
    <row r="5012" spans="1:14" s="5" customFormat="1" ht="15" customHeight="1" x14ac:dyDescent="0.25">
      <c r="A5012" s="9" t="s">
        <v>9817</v>
      </c>
      <c r="C5012" s="9" t="str">
        <f>HYPERLINK("http://www.ncbi.nlm.nih.gov/protein/120407050","Nop58")</f>
        <v>Nop58</v>
      </c>
      <c r="D5012" s="10">
        <f t="shared" si="78"/>
        <v>5.9753931401488822</v>
      </c>
      <c r="F5012" s="8" t="str">
        <f>HYPERLINK("https://esbl.nhlbi.nih.gov/Databases/mpkFractions/proteomic_fractions_log_files/Yang_log_img/120407050.jpg","show blot")</f>
        <v>show blot</v>
      </c>
      <c r="H5012" s="8" t="str">
        <f>HYPERLINK("https://esbl.nhlbi.nih.gov/Databases/mpkFractions/proteomic_fractions_linear_files/Yang_linear_img/120407050.jpg","show blot")</f>
        <v>show blot</v>
      </c>
      <c r="J5012" s="5" t="s">
        <v>9818</v>
      </c>
      <c r="L5012" s="11">
        <v>5.9753931401488822</v>
      </c>
      <c r="N5012" s="12"/>
    </row>
    <row r="5013" spans="1:14" s="5" customFormat="1" ht="15" customHeight="1" x14ac:dyDescent="0.25">
      <c r="A5013" s="9" t="s">
        <v>9819</v>
      </c>
      <c r="C5013" s="9" t="str">
        <f>HYPERLINK("http://www.ncbi.nlm.nih.gov/protein/169646352","Nop9")</f>
        <v>Nop9</v>
      </c>
      <c r="D5013" s="10">
        <f t="shared" si="78"/>
        <v>4.2485275403127716</v>
      </c>
      <c r="F5013" s="8" t="str">
        <f>HYPERLINK("https://esbl.nhlbi.nih.gov/Databases/mpkFractions/proteomic_fractions_log_files/Yang_log_img/169646352.jpg","show blot")</f>
        <v>show blot</v>
      </c>
      <c r="H5013" s="8" t="str">
        <f>HYPERLINK("https://esbl.nhlbi.nih.gov/Databases/mpkFractions/proteomic_fractions_linear_files/Yang_linear_img/169646352.jpg","show blot")</f>
        <v>show blot</v>
      </c>
      <c r="J5013" s="5" t="s">
        <v>9820</v>
      </c>
      <c r="L5013" s="11">
        <v>4.2485275403127716</v>
      </c>
      <c r="N5013" s="12"/>
    </row>
    <row r="5014" spans="1:14" s="5" customFormat="1" ht="15" customHeight="1" x14ac:dyDescent="0.25">
      <c r="A5014" s="9" t="s">
        <v>9821</v>
      </c>
      <c r="C5014" s="9" t="str">
        <f>HYPERLINK("http://www.ncbi.nlm.nih.gov/protein/110625798","Nos1ap")</f>
        <v>Nos1ap</v>
      </c>
      <c r="D5014" s="10">
        <f t="shared" si="78"/>
        <v>2.363173076891774</v>
      </c>
      <c r="F5014" s="8" t="str">
        <f>HYPERLINK("https://esbl.nhlbi.nih.gov/Databases/mpkFractions/proteomic_fractions_log_files/Yang_log_img/110625798.jpg","show blot")</f>
        <v>show blot</v>
      </c>
      <c r="H5014" s="8" t="str">
        <f>HYPERLINK("https://esbl.nhlbi.nih.gov/Databases/mpkFractions/proteomic_fractions_linear_files/Yang_linear_img/110625798.jpg","show blot")</f>
        <v>show blot</v>
      </c>
      <c r="J5014" s="5" t="s">
        <v>9822</v>
      </c>
      <c r="L5014" s="11">
        <v>2.363173076891774</v>
      </c>
      <c r="N5014" s="12"/>
    </row>
    <row r="5015" spans="1:14" s="5" customFormat="1" ht="15" customHeight="1" x14ac:dyDescent="0.25">
      <c r="A5015" s="9" t="s">
        <v>9823</v>
      </c>
      <c r="C5015" s="9" t="str">
        <f>HYPERLINK("http://www.ncbi.nlm.nih.gov/protein/158508485","Nos1ap")</f>
        <v>Nos1ap</v>
      </c>
      <c r="D5015" s="10">
        <f t="shared" si="78"/>
        <v>2.363173076891774</v>
      </c>
      <c r="F5015" s="8" t="str">
        <f>HYPERLINK("https://esbl.nhlbi.nih.gov/Databases/mpkFractions/proteomic_fractions_log_files/Yang_log_img/158508485.jpg","show blot")</f>
        <v>show blot</v>
      </c>
      <c r="H5015" s="8" t="str">
        <f>HYPERLINK("https://esbl.nhlbi.nih.gov/Databases/mpkFractions/proteomic_fractions_linear_files/Yang_linear_img/158508485.jpg","show blot")</f>
        <v>show blot</v>
      </c>
      <c r="J5015" s="5" t="s">
        <v>9824</v>
      </c>
      <c r="L5015" s="11">
        <v>2.363173076891774</v>
      </c>
      <c r="N5015" s="12"/>
    </row>
    <row r="5016" spans="1:14" s="5" customFormat="1" ht="15" customHeight="1" x14ac:dyDescent="0.25">
      <c r="A5016" s="9" t="s">
        <v>9825</v>
      </c>
      <c r="C5016" s="9" t="str">
        <f>HYPERLINK("http://www.ncbi.nlm.nih.gov/protein/254826728","Nosip")</f>
        <v>Nosip</v>
      </c>
      <c r="D5016" s="10">
        <f t="shared" si="78"/>
        <v>4.8155423029145057</v>
      </c>
      <c r="F5016" s="8" t="str">
        <f>HYPERLINK("https://esbl.nhlbi.nih.gov/Databases/mpkFractions/proteomic_fractions_log_files/Yang_log_img/254826728.jpg","show blot")</f>
        <v>show blot</v>
      </c>
      <c r="H5016" s="8" t="str">
        <f>HYPERLINK("https://esbl.nhlbi.nih.gov/Databases/mpkFractions/proteomic_fractions_linear_files/Yang_linear_img/254826728.jpg","show blot")</f>
        <v>show blot</v>
      </c>
      <c r="J5016" s="5" t="s">
        <v>9826</v>
      </c>
      <c r="L5016" s="11">
        <v>4.8155423029145057</v>
      </c>
      <c r="N5016" s="12"/>
    </row>
    <row r="5017" spans="1:14" s="5" customFormat="1" ht="15" customHeight="1" x14ac:dyDescent="0.25">
      <c r="A5017" s="9" t="s">
        <v>9827</v>
      </c>
      <c r="C5017" s="9" t="str">
        <f>HYPERLINK("http://www.ncbi.nlm.nih.gov/protein/13384956","Nosip")</f>
        <v>Nosip</v>
      </c>
      <c r="D5017" s="10">
        <f t="shared" si="78"/>
        <v>4.8155423029145057</v>
      </c>
      <c r="F5017" s="8" t="str">
        <f>HYPERLINK("https://esbl.nhlbi.nih.gov/Databases/mpkFractions/proteomic_fractions_log_files/Yang_log_img/13384956.jpg","show blot")</f>
        <v>show blot</v>
      </c>
      <c r="H5017" s="8" t="str">
        <f>HYPERLINK("https://esbl.nhlbi.nih.gov/Databases/mpkFractions/proteomic_fractions_linear_files/Yang_linear_img/13384956.jpg","show blot")</f>
        <v>show blot</v>
      </c>
      <c r="J5017" s="5" t="s">
        <v>9828</v>
      </c>
      <c r="L5017" s="11">
        <v>4.8155423029145057</v>
      </c>
      <c r="N5017" s="12"/>
    </row>
    <row r="5018" spans="1:14" s="5" customFormat="1" ht="15" customHeight="1" x14ac:dyDescent="0.25">
      <c r="A5018" s="9" t="s">
        <v>9829</v>
      </c>
      <c r="C5018" s="9" t="str">
        <f>HYPERLINK("http://www.ncbi.nlm.nih.gov/protein/134288853","Notch2")</f>
        <v>Notch2</v>
      </c>
      <c r="D5018" s="10">
        <f t="shared" si="78"/>
        <v>2.3413564649729302</v>
      </c>
      <c r="F5018" s="8" t="str">
        <f>HYPERLINK("https://esbl.nhlbi.nih.gov/Databases/mpkFractions/proteomic_fractions_log_files/Yang_log_img/134288853.jpg","show blot")</f>
        <v>show blot</v>
      </c>
      <c r="H5018" s="8" t="str">
        <f>HYPERLINK("https://esbl.nhlbi.nih.gov/Databases/mpkFractions/proteomic_fractions_linear_files/Yang_linear_img/134288853.jpg","show blot")</f>
        <v>show blot</v>
      </c>
      <c r="J5018" s="5" t="s">
        <v>9830</v>
      </c>
      <c r="L5018" s="11">
        <v>2.3413564649729302</v>
      </c>
      <c r="N5018" s="12"/>
    </row>
    <row r="5019" spans="1:14" s="5" customFormat="1" ht="15" customHeight="1" x14ac:dyDescent="0.25">
      <c r="A5019" s="9" t="s">
        <v>9831</v>
      </c>
      <c r="C5019" s="9" t="str">
        <f>HYPERLINK("http://www.ncbi.nlm.nih.gov/protein/6679096","Notch3")</f>
        <v>Notch3</v>
      </c>
      <c r="D5019" s="10">
        <f t="shared" si="78"/>
        <v>2.9450565359241918</v>
      </c>
      <c r="F5019" s="8" t="str">
        <f>HYPERLINK("https://esbl.nhlbi.nih.gov/Databases/mpkFractions/proteomic_fractions_log_files/Yang_log_img/6679096.jpg","show blot")</f>
        <v>show blot</v>
      </c>
      <c r="H5019" s="8" t="str">
        <f>HYPERLINK("https://esbl.nhlbi.nih.gov/Databases/mpkFractions/proteomic_fractions_linear_files/Yang_linear_img/6679096.jpg","show blot")</f>
        <v>show blot</v>
      </c>
      <c r="J5019" s="5" t="s">
        <v>9832</v>
      </c>
      <c r="L5019" s="11">
        <v>2.9450565359241918</v>
      </c>
      <c r="N5019" s="12"/>
    </row>
    <row r="5020" spans="1:14" s="5" customFormat="1" ht="15" customHeight="1" x14ac:dyDescent="0.25">
      <c r="A5020" s="9" t="s">
        <v>9833</v>
      </c>
      <c r="C5020" s="9" t="str">
        <f>HYPERLINK("http://www.ncbi.nlm.nih.gov/protein/24233564","Npas4")</f>
        <v>Npas4</v>
      </c>
      <c r="D5020" s="10">
        <f t="shared" si="78"/>
        <v>5.5162243632497923</v>
      </c>
      <c r="F5020" s="8" t="str">
        <f>HYPERLINK("https://esbl.nhlbi.nih.gov/Databases/mpkFractions/proteomic_fractions_log_files/Yang_log_img/24233564.jpg","show blot")</f>
        <v>show blot</v>
      </c>
      <c r="H5020" s="8" t="str">
        <f>HYPERLINK("https://esbl.nhlbi.nih.gov/Databases/mpkFractions/proteomic_fractions_linear_files/Yang_linear_img/24233564.jpg","show blot")</f>
        <v>show blot</v>
      </c>
      <c r="J5020" s="5" t="s">
        <v>9834</v>
      </c>
      <c r="L5020" s="11">
        <v>5.5162243632497923</v>
      </c>
      <c r="N5020" s="12"/>
    </row>
    <row r="5021" spans="1:14" s="5" customFormat="1" ht="15" customHeight="1" x14ac:dyDescent="0.25">
      <c r="A5021" s="9" t="s">
        <v>9835</v>
      </c>
      <c r="C5021" s="9" t="str">
        <f>HYPERLINK("http://www.ncbi.nlm.nih.gov/protein/89242146","Npc1")</f>
        <v>Npc1</v>
      </c>
      <c r="D5021" s="10">
        <f t="shared" si="78"/>
        <v>3.4102178500280509</v>
      </c>
      <c r="F5021" s="8" t="str">
        <f>HYPERLINK("https://esbl.nhlbi.nih.gov/Databases/mpkFractions/proteomic_fractions_log_files/Yang_log_img/89242146.jpg","show blot")</f>
        <v>show blot</v>
      </c>
      <c r="H5021" s="8" t="str">
        <f>HYPERLINK("https://esbl.nhlbi.nih.gov/Databases/mpkFractions/proteomic_fractions_linear_files/Yang_linear_img/89242146.jpg","show blot")</f>
        <v>show blot</v>
      </c>
      <c r="J5021" s="5" t="s">
        <v>9836</v>
      </c>
      <c r="L5021" s="11">
        <v>3.4102178500280509</v>
      </c>
      <c r="N5021" s="12"/>
    </row>
    <row r="5022" spans="1:14" s="5" customFormat="1" ht="15" customHeight="1" x14ac:dyDescent="0.25">
      <c r="A5022" s="9" t="s">
        <v>9837</v>
      </c>
      <c r="C5022" s="9" t="str">
        <f>HYPERLINK("http://www.ncbi.nlm.nih.gov/protein/12963667","Npc2")</f>
        <v>Npc2</v>
      </c>
      <c r="D5022" s="10">
        <f t="shared" si="78"/>
        <v>6.4846063304205366</v>
      </c>
      <c r="F5022" s="8" t="str">
        <f>HYPERLINK("https://esbl.nhlbi.nih.gov/Databases/mpkFractions/proteomic_fractions_log_files/Yang_log_img/12963667.jpg","show blot")</f>
        <v>show blot</v>
      </c>
      <c r="H5022" s="8" t="str">
        <f>HYPERLINK("https://esbl.nhlbi.nih.gov/Databases/mpkFractions/proteomic_fractions_linear_files/Yang_linear_img/12963667.jpg","show blot")</f>
        <v>show blot</v>
      </c>
      <c r="J5022" s="5" t="s">
        <v>9838</v>
      </c>
      <c r="L5022" s="11">
        <v>6.4846063304205366</v>
      </c>
      <c r="N5022" s="12"/>
    </row>
    <row r="5023" spans="1:14" s="5" customFormat="1" ht="15" customHeight="1" x14ac:dyDescent="0.25">
      <c r="A5023" s="9" t="s">
        <v>9839</v>
      </c>
      <c r="C5023" s="9" t="str">
        <f>HYPERLINK("http://www.ncbi.nlm.nih.gov/protein/47523981","Npepl1")</f>
        <v>Npepl1</v>
      </c>
      <c r="D5023" s="10">
        <f t="shared" si="78"/>
        <v>5.2028124398455082</v>
      </c>
      <c r="F5023" s="8" t="str">
        <f>HYPERLINK("https://esbl.nhlbi.nih.gov/Databases/mpkFractions/proteomic_fractions_log_files/Yang_log_img/47523981.jpg","show blot")</f>
        <v>show blot</v>
      </c>
      <c r="H5023" s="8" t="str">
        <f>HYPERLINK("https://esbl.nhlbi.nih.gov/Databases/mpkFractions/proteomic_fractions_linear_files/Yang_linear_img/47523981.jpg","show blot")</f>
        <v>show blot</v>
      </c>
      <c r="J5023" s="5" t="s">
        <v>9840</v>
      </c>
      <c r="L5023" s="11">
        <v>5.2028124398455082</v>
      </c>
      <c r="N5023" s="12"/>
    </row>
    <row r="5024" spans="1:14" s="5" customFormat="1" ht="15" customHeight="1" x14ac:dyDescent="0.25">
      <c r="A5024" s="9" t="s">
        <v>9841</v>
      </c>
      <c r="C5024" s="9" t="str">
        <f>HYPERLINK("http://www.ncbi.nlm.nih.gov/protein/68226731","Npepps")</f>
        <v>Npepps</v>
      </c>
      <c r="D5024" s="10">
        <f t="shared" si="78"/>
        <v>5.7165712162049083</v>
      </c>
      <c r="F5024" s="8" t="str">
        <f>HYPERLINK("https://esbl.nhlbi.nih.gov/Databases/mpkFractions/proteomic_fractions_log_files/Yang_log_img/68226731.jpg","show blot")</f>
        <v>show blot</v>
      </c>
      <c r="H5024" s="8" t="str">
        <f>HYPERLINK("https://esbl.nhlbi.nih.gov/Databases/mpkFractions/proteomic_fractions_linear_files/Yang_linear_img/68226731.jpg","show blot")</f>
        <v>show blot</v>
      </c>
      <c r="J5024" s="5" t="s">
        <v>9842</v>
      </c>
      <c r="L5024" s="11">
        <v>5.7165712162049083</v>
      </c>
      <c r="N5024" s="12"/>
    </row>
    <row r="5025" spans="1:14" s="5" customFormat="1" ht="15" customHeight="1" x14ac:dyDescent="0.25">
      <c r="A5025" s="9" t="s">
        <v>9843</v>
      </c>
      <c r="C5025" s="9" t="str">
        <f>HYPERLINK("http://www.ncbi.nlm.nih.gov/protein/303324586","Nploc4")</f>
        <v>Nploc4</v>
      </c>
      <c r="D5025" s="10">
        <f t="shared" si="78"/>
        <v>4.3485395178057047</v>
      </c>
      <c r="F5025" s="8" t="str">
        <f>HYPERLINK("https://esbl.nhlbi.nih.gov/Databases/mpkFractions/proteomic_fractions_log_files/Yang_log_img/303324586.jpg","show blot")</f>
        <v>show blot</v>
      </c>
      <c r="H5025" s="8" t="str">
        <f>HYPERLINK("https://esbl.nhlbi.nih.gov/Databases/mpkFractions/proteomic_fractions_linear_files/Yang_linear_img/303324586.jpg","show blot")</f>
        <v>show blot</v>
      </c>
      <c r="J5025" s="5" t="s">
        <v>9844</v>
      </c>
      <c r="L5025" s="11">
        <v>4.3485395178057047</v>
      </c>
      <c r="N5025" s="12"/>
    </row>
    <row r="5026" spans="1:14" s="5" customFormat="1" ht="15" customHeight="1" x14ac:dyDescent="0.25">
      <c r="A5026" s="9" t="s">
        <v>9845</v>
      </c>
      <c r="C5026" s="9" t="str">
        <f>HYPERLINK("http://www.ncbi.nlm.nih.gov/protein/41054974","Nploc4")</f>
        <v>Nploc4</v>
      </c>
      <c r="D5026" s="10">
        <f t="shared" si="78"/>
        <v>4.3485395178057047</v>
      </c>
      <c r="F5026" s="8" t="str">
        <f>HYPERLINK("https://esbl.nhlbi.nih.gov/Databases/mpkFractions/proteomic_fractions_log_files/Yang_log_img/41054974.jpg","show blot")</f>
        <v>show blot</v>
      </c>
      <c r="H5026" s="8" t="str">
        <f>HYPERLINK("https://esbl.nhlbi.nih.gov/Databases/mpkFractions/proteomic_fractions_linear_files/Yang_linear_img/41054974.jpg","show blot")</f>
        <v>show blot</v>
      </c>
      <c r="J5026" s="5" t="s">
        <v>9846</v>
      </c>
      <c r="L5026" s="11">
        <v>4.3485395178057047</v>
      </c>
      <c r="N5026" s="12"/>
    </row>
    <row r="5027" spans="1:14" s="5" customFormat="1" ht="15" customHeight="1" x14ac:dyDescent="0.25">
      <c r="A5027" s="9" t="s">
        <v>9847</v>
      </c>
      <c r="C5027" s="9" t="str">
        <f>HYPERLINK("http://www.ncbi.nlm.nih.gov/protein/356582423","Npm1")</f>
        <v>Npm1</v>
      </c>
      <c r="D5027" s="10">
        <f t="shared" si="78"/>
        <v>6.6313526154979838</v>
      </c>
      <c r="F5027" s="8" t="str">
        <f>HYPERLINK("https://esbl.nhlbi.nih.gov/Databases/mpkFractions/proteomic_fractions_log_files/Yang_log_img/356582423.jpg","show blot")</f>
        <v>show blot</v>
      </c>
      <c r="H5027" s="8" t="str">
        <f>HYPERLINK("https://esbl.nhlbi.nih.gov/Databases/mpkFractions/proteomic_fractions_linear_files/Yang_linear_img/356582423.jpg","show blot")</f>
        <v>show blot</v>
      </c>
      <c r="J5027" s="5" t="s">
        <v>9848</v>
      </c>
      <c r="L5027" s="11">
        <v>6.6313526154979838</v>
      </c>
      <c r="N5027" s="12"/>
    </row>
    <row r="5028" spans="1:14" s="5" customFormat="1" ht="15" customHeight="1" x14ac:dyDescent="0.25">
      <c r="A5028" s="9" t="s">
        <v>9849</v>
      </c>
      <c r="C5028" s="9" t="str">
        <f>HYPERLINK("http://www.ncbi.nlm.nih.gov/protein/356582426","Npm1")</f>
        <v>Npm1</v>
      </c>
      <c r="D5028" s="10">
        <f t="shared" si="78"/>
        <v>6.6313526154979838</v>
      </c>
      <c r="F5028" s="8" t="str">
        <f>HYPERLINK("https://esbl.nhlbi.nih.gov/Databases/mpkFractions/proteomic_fractions_log_files/Yang_log_img/356582426.jpg","show blot")</f>
        <v>show blot</v>
      </c>
      <c r="H5028" s="8" t="str">
        <f>HYPERLINK("https://esbl.nhlbi.nih.gov/Databases/mpkFractions/proteomic_fractions_linear_files/Yang_linear_img/356582426.jpg","show blot")</f>
        <v>show blot</v>
      </c>
      <c r="J5028" s="5" t="s">
        <v>9850</v>
      </c>
      <c r="L5028" s="11">
        <v>6.6313526154979838</v>
      </c>
      <c r="N5028" s="12"/>
    </row>
    <row r="5029" spans="1:14" s="5" customFormat="1" ht="15" customHeight="1" x14ac:dyDescent="0.25">
      <c r="A5029" s="9" t="s">
        <v>9851</v>
      </c>
      <c r="C5029" s="9" t="str">
        <f>HYPERLINK("http://www.ncbi.nlm.nih.gov/protein/6679108","Npm1")</f>
        <v>Npm1</v>
      </c>
      <c r="D5029" s="10">
        <f t="shared" si="78"/>
        <v>6.6313526154979838</v>
      </c>
      <c r="F5029" s="8" t="str">
        <f>HYPERLINK("https://esbl.nhlbi.nih.gov/Databases/mpkFractions/proteomic_fractions_log_files/Yang_log_img/6679108.jpg","show blot")</f>
        <v>show blot</v>
      </c>
      <c r="H5029" s="8" t="str">
        <f>HYPERLINK("https://esbl.nhlbi.nih.gov/Databases/mpkFractions/proteomic_fractions_linear_files/Yang_linear_img/6679108.jpg","show blot")</f>
        <v>show blot</v>
      </c>
      <c r="J5029" s="5" t="s">
        <v>9852</v>
      </c>
      <c r="L5029" s="11">
        <v>6.6313526154979838</v>
      </c>
      <c r="N5029" s="12"/>
    </row>
    <row r="5030" spans="1:14" s="5" customFormat="1" ht="15" customHeight="1" x14ac:dyDescent="0.25">
      <c r="A5030" s="9" t="s">
        <v>9853</v>
      </c>
      <c r="C5030" s="9" t="str">
        <f>HYPERLINK("http://www.ncbi.nlm.nih.gov/protein/6679110","Npm3")</f>
        <v>Npm3</v>
      </c>
      <c r="D5030" s="10">
        <f t="shared" si="78"/>
        <v>5.0712048811393649</v>
      </c>
      <c r="F5030" s="8" t="str">
        <f>HYPERLINK("https://esbl.nhlbi.nih.gov/Databases/mpkFractions/proteomic_fractions_log_files/Yang_log_img/6679110.jpg","show blot")</f>
        <v>show blot</v>
      </c>
      <c r="H5030" s="8" t="str">
        <f>HYPERLINK("https://esbl.nhlbi.nih.gov/Databases/mpkFractions/proteomic_fractions_linear_files/Yang_linear_img/6679110.jpg","show blot")</f>
        <v>show blot</v>
      </c>
      <c r="J5030" s="5" t="s">
        <v>9854</v>
      </c>
      <c r="L5030" s="11">
        <v>5.0712048811393649</v>
      </c>
      <c r="N5030" s="12"/>
    </row>
    <row r="5031" spans="1:14" s="5" customFormat="1" ht="15" customHeight="1" x14ac:dyDescent="0.25">
      <c r="A5031" s="9" t="s">
        <v>9855</v>
      </c>
      <c r="C5031" s="9" t="str">
        <f>HYPERLINK("http://www.ncbi.nlm.nih.gov/protein/71067128","Npnt")</f>
        <v>Npnt</v>
      </c>
      <c r="D5031" s="10">
        <f t="shared" si="78"/>
        <v>2.4457699406369122</v>
      </c>
      <c r="F5031" s="8" t="str">
        <f>HYPERLINK("https://esbl.nhlbi.nih.gov/Databases/mpkFractions/proteomic_fractions_log_files/Yang_log_img/71067128.jpg","show blot")</f>
        <v>show blot</v>
      </c>
      <c r="H5031" s="8" t="str">
        <f>HYPERLINK("https://esbl.nhlbi.nih.gov/Databases/mpkFractions/proteomic_fractions_linear_files/Yang_linear_img/71067128.jpg","show blot")</f>
        <v>show blot</v>
      </c>
      <c r="J5031" s="5" t="s">
        <v>9856</v>
      </c>
      <c r="L5031" s="11">
        <v>2.4457699406369122</v>
      </c>
      <c r="N5031" s="12"/>
    </row>
    <row r="5032" spans="1:14" s="5" customFormat="1" ht="15" customHeight="1" x14ac:dyDescent="0.25">
      <c r="A5032" s="9" t="s">
        <v>9857</v>
      </c>
      <c r="C5032" s="9" t="str">
        <f>HYPERLINK("http://www.ncbi.nlm.nih.gov/protein/73088940","Npnt")</f>
        <v>Npnt</v>
      </c>
      <c r="D5032" s="10">
        <f t="shared" si="78"/>
        <v>2.4457699406369122</v>
      </c>
      <c r="F5032" s="8" t="str">
        <f>HYPERLINK("https://esbl.nhlbi.nih.gov/Databases/mpkFractions/proteomic_fractions_log_files/Yang_log_img/73088940.jpg","show blot")</f>
        <v>show blot</v>
      </c>
      <c r="H5032" s="8" t="str">
        <f>HYPERLINK("https://esbl.nhlbi.nih.gov/Databases/mpkFractions/proteomic_fractions_linear_files/Yang_linear_img/73088940.jpg","show blot")</f>
        <v>show blot</v>
      </c>
      <c r="J5032" s="5" t="s">
        <v>9858</v>
      </c>
      <c r="L5032" s="11">
        <v>2.4457699406369122</v>
      </c>
      <c r="N5032" s="12"/>
    </row>
    <row r="5033" spans="1:14" s="5" customFormat="1" ht="15" customHeight="1" x14ac:dyDescent="0.25">
      <c r="A5033" s="9" t="s">
        <v>9859</v>
      </c>
      <c r="C5033" s="9" t="str">
        <f>HYPERLINK("http://www.ncbi.nlm.nih.gov/protein/38194222","Nprl3")</f>
        <v>Nprl3</v>
      </c>
      <c r="D5033" s="10">
        <f t="shared" si="78"/>
        <v>1.582315933132205</v>
      </c>
      <c r="F5033" s="8" t="str">
        <f>HYPERLINK("https://esbl.nhlbi.nih.gov/Databases/mpkFractions/proteomic_fractions_log_files/Yang_log_img/38194222.jpg","show blot")</f>
        <v>show blot</v>
      </c>
      <c r="H5033" s="8" t="str">
        <f>HYPERLINK("https://esbl.nhlbi.nih.gov/Databases/mpkFractions/proteomic_fractions_linear_files/Yang_linear_img/38194222.jpg","show blot")</f>
        <v>show blot</v>
      </c>
      <c r="J5033" s="5" t="s">
        <v>9860</v>
      </c>
      <c r="L5033" s="11">
        <v>1.582315933132205</v>
      </c>
      <c r="N5033" s="12"/>
    </row>
    <row r="5034" spans="1:14" s="5" customFormat="1" ht="15" customHeight="1" x14ac:dyDescent="0.25">
      <c r="A5034" s="9" t="s">
        <v>9861</v>
      </c>
      <c r="C5034" s="9" t="str">
        <f>HYPERLINK("http://www.ncbi.nlm.nih.gov/protein/153945724","Nptn")</f>
        <v>Nptn</v>
      </c>
      <c r="D5034" s="10">
        <f t="shared" si="78"/>
        <v>3.651482366634256</v>
      </c>
      <c r="F5034" s="8" t="str">
        <f>HYPERLINK("https://esbl.nhlbi.nih.gov/Databases/mpkFractions/proteomic_fractions_log_files/Yang_log_img/153945724.jpg","show blot")</f>
        <v>show blot</v>
      </c>
      <c r="H5034" s="8" t="str">
        <f>HYPERLINK("https://esbl.nhlbi.nih.gov/Databases/mpkFractions/proteomic_fractions_linear_files/Yang_linear_img/153945724.jpg","show blot")</f>
        <v>show blot</v>
      </c>
      <c r="J5034" s="5" t="s">
        <v>9862</v>
      </c>
      <c r="L5034" s="11">
        <v>3.651482366634256</v>
      </c>
      <c r="N5034" s="12"/>
    </row>
    <row r="5035" spans="1:14" s="5" customFormat="1" ht="15" customHeight="1" x14ac:dyDescent="0.25">
      <c r="A5035" s="9" t="s">
        <v>9863</v>
      </c>
      <c r="C5035" s="9" t="str">
        <f>HYPERLINK("http://www.ncbi.nlm.nih.gov/protein/94400773","Nqo1")</f>
        <v>Nqo1</v>
      </c>
      <c r="D5035" s="10">
        <f t="shared" si="78"/>
        <v>5.9258459044777556</v>
      </c>
      <c r="F5035" s="8" t="str">
        <f>HYPERLINK("https://esbl.nhlbi.nih.gov/Databases/mpkFractions/proteomic_fractions_log_files/Yang_log_img/94400773.jpg","show blot")</f>
        <v>show blot</v>
      </c>
      <c r="H5035" s="8" t="str">
        <f>HYPERLINK("https://esbl.nhlbi.nih.gov/Databases/mpkFractions/proteomic_fractions_linear_files/Yang_linear_img/94400773.jpg","show blot")</f>
        <v>show blot</v>
      </c>
      <c r="J5035" s="5" t="s">
        <v>9864</v>
      </c>
      <c r="L5035" s="11">
        <v>5.9258459044777556</v>
      </c>
      <c r="N5035" s="12"/>
    </row>
    <row r="5036" spans="1:14" s="5" customFormat="1" ht="15" customHeight="1" x14ac:dyDescent="0.25">
      <c r="A5036" s="9" t="s">
        <v>9865</v>
      </c>
      <c r="C5036" s="9" t="str">
        <f>HYPERLINK("http://www.ncbi.nlm.nih.gov/protein/253795451","Nqo2")</f>
        <v>Nqo2</v>
      </c>
      <c r="D5036" s="10">
        <f t="shared" si="78"/>
        <v>5.1872073637055927</v>
      </c>
      <c r="F5036" s="8" t="str">
        <f>HYPERLINK("https://esbl.nhlbi.nih.gov/Databases/mpkFractions/proteomic_fractions_log_files/Yang_log_img/253795451.jpg","show blot")</f>
        <v>show blot</v>
      </c>
      <c r="H5036" s="8" t="str">
        <f>HYPERLINK("https://esbl.nhlbi.nih.gov/Databases/mpkFractions/proteomic_fractions_linear_files/Yang_linear_img/253795451.jpg","show blot")</f>
        <v>show blot</v>
      </c>
      <c r="J5036" s="5" t="s">
        <v>9866</v>
      </c>
      <c r="L5036" s="11">
        <v>5.1872073637055927</v>
      </c>
      <c r="N5036" s="12"/>
    </row>
    <row r="5037" spans="1:14" s="5" customFormat="1" ht="15" customHeight="1" x14ac:dyDescent="0.25">
      <c r="A5037" s="9" t="s">
        <v>9867</v>
      </c>
      <c r="C5037" s="9" t="str">
        <f>HYPERLINK("http://www.ncbi.nlm.nih.gov/protein/253795453","Nqo2")</f>
        <v>Nqo2</v>
      </c>
      <c r="D5037" s="10">
        <f t="shared" si="78"/>
        <v>5.1872073637055927</v>
      </c>
      <c r="F5037" s="8" t="str">
        <f>HYPERLINK("https://esbl.nhlbi.nih.gov/Databases/mpkFractions/proteomic_fractions_log_files/Yang_log_img/253795453.jpg","show blot")</f>
        <v>show blot</v>
      </c>
      <c r="H5037" s="8" t="str">
        <f>HYPERLINK("https://esbl.nhlbi.nih.gov/Databases/mpkFractions/proteomic_fractions_linear_files/Yang_linear_img/253795453.jpg","show blot")</f>
        <v>show blot</v>
      </c>
      <c r="J5037" s="5" t="s">
        <v>9868</v>
      </c>
      <c r="L5037" s="11">
        <v>5.1872073637055927</v>
      </c>
      <c r="N5037" s="12"/>
    </row>
    <row r="5038" spans="1:14" s="5" customFormat="1" ht="15" customHeight="1" x14ac:dyDescent="0.25">
      <c r="A5038" s="9" t="s">
        <v>9869</v>
      </c>
      <c r="C5038" s="9" t="str">
        <f>HYPERLINK("http://www.ncbi.nlm.nih.gov/protein/70980537","Nr2c2ap")</f>
        <v>Nr2c2ap</v>
      </c>
      <c r="D5038" s="10">
        <f t="shared" si="78"/>
        <v>2.9763982693872539</v>
      </c>
      <c r="F5038" s="8" t="str">
        <f>HYPERLINK("https://esbl.nhlbi.nih.gov/Databases/mpkFractions/proteomic_fractions_log_files/Yang_log_img/70980537.jpg","show blot")</f>
        <v>show blot</v>
      </c>
      <c r="H5038" s="8" t="str">
        <f>HYPERLINK("https://esbl.nhlbi.nih.gov/Databases/mpkFractions/proteomic_fractions_linear_files/Yang_linear_img/70980537.jpg","show blot")</f>
        <v>show blot</v>
      </c>
      <c r="J5038" s="5" t="s">
        <v>9870</v>
      </c>
      <c r="L5038" s="11">
        <v>2.9763982693872539</v>
      </c>
      <c r="N5038" s="12"/>
    </row>
    <row r="5039" spans="1:14" s="5" customFormat="1" ht="15" customHeight="1" x14ac:dyDescent="0.25">
      <c r="A5039" s="9" t="s">
        <v>9871</v>
      </c>
      <c r="C5039" s="9" t="str">
        <f>HYPERLINK("http://www.ncbi.nlm.nih.gov/protein/121247453","Nr3c1")</f>
        <v>Nr3c1</v>
      </c>
      <c r="D5039" s="10">
        <f t="shared" si="78"/>
        <v>3.8831359203906008</v>
      </c>
      <c r="F5039" s="8" t="str">
        <f>HYPERLINK("https://esbl.nhlbi.nih.gov/Databases/mpkFractions/proteomic_fractions_log_files/Yang_log_img/121247453.jpg","show blot")</f>
        <v>show blot</v>
      </c>
      <c r="H5039" s="8" t="str">
        <f>HYPERLINK("https://esbl.nhlbi.nih.gov/Databases/mpkFractions/proteomic_fractions_linear_files/Yang_linear_img/121247453.jpg","show blot")</f>
        <v>show blot</v>
      </c>
      <c r="J5039" s="5" t="s">
        <v>9872</v>
      </c>
      <c r="L5039" s="11">
        <v>3.8831359203906008</v>
      </c>
      <c r="N5039" s="12"/>
    </row>
    <row r="5040" spans="1:14" s="5" customFormat="1" ht="15" customHeight="1" x14ac:dyDescent="0.25">
      <c r="A5040" s="9" t="s">
        <v>9873</v>
      </c>
      <c r="C5040" s="9" t="str">
        <f>HYPERLINK("http://www.ncbi.nlm.nih.gov/protein/111154109","Nras")</f>
        <v>Nras</v>
      </c>
      <c r="D5040" s="10">
        <f t="shared" si="78"/>
        <v>5.82516896969363</v>
      </c>
      <c r="F5040" s="8" t="str">
        <f>HYPERLINK("https://esbl.nhlbi.nih.gov/Databases/mpkFractions/proteomic_fractions_log_files/Yang_log_img/111154109.jpg","show blot")</f>
        <v>show blot</v>
      </c>
      <c r="H5040" s="8" t="str">
        <f>HYPERLINK("https://esbl.nhlbi.nih.gov/Databases/mpkFractions/proteomic_fractions_linear_files/Yang_linear_img/111154109.jpg","show blot")</f>
        <v>show blot</v>
      </c>
      <c r="J5040" s="5" t="s">
        <v>9874</v>
      </c>
      <c r="L5040" s="11">
        <v>5.82516896969363</v>
      </c>
      <c r="N5040" s="12"/>
    </row>
    <row r="5041" spans="1:14" s="5" customFormat="1" ht="15" customHeight="1" x14ac:dyDescent="0.25">
      <c r="A5041" s="9" t="s">
        <v>9875</v>
      </c>
      <c r="C5041" s="9" t="str">
        <f>HYPERLINK("http://www.ncbi.nlm.nih.gov/protein/22219434","Nrbp1")</f>
        <v>Nrbp1</v>
      </c>
      <c r="D5041" s="10">
        <f t="shared" si="78"/>
        <v>3.8475550453038529</v>
      </c>
      <c r="F5041" s="8" t="str">
        <f>HYPERLINK("https://esbl.nhlbi.nih.gov/Databases/mpkFractions/proteomic_fractions_log_files/Yang_log_img/22219434.jpg","show blot")</f>
        <v>show blot</v>
      </c>
      <c r="H5041" s="8" t="str">
        <f>HYPERLINK("https://esbl.nhlbi.nih.gov/Databases/mpkFractions/proteomic_fractions_linear_files/Yang_linear_img/22219434.jpg","show blot")</f>
        <v>show blot</v>
      </c>
      <c r="J5041" s="5" t="s">
        <v>9876</v>
      </c>
      <c r="L5041" s="11">
        <v>3.8475550453038529</v>
      </c>
      <c r="N5041" s="12"/>
    </row>
    <row r="5042" spans="1:14" s="5" customFormat="1" ht="15" customHeight="1" x14ac:dyDescent="0.25">
      <c r="A5042" s="9" t="s">
        <v>9877</v>
      </c>
      <c r="C5042" s="9" t="str">
        <f>HYPERLINK("http://www.ncbi.nlm.nih.gov/protein/21450055","Nrbp2")</f>
        <v>Nrbp2</v>
      </c>
      <c r="D5042" s="10">
        <f t="shared" si="78"/>
        <v>3.9633839170137239</v>
      </c>
      <c r="F5042" s="8" t="str">
        <f>HYPERLINK("https://esbl.nhlbi.nih.gov/Databases/mpkFractions/proteomic_fractions_log_files/Yang_log_img/21450055.jpg","show blot")</f>
        <v>show blot</v>
      </c>
      <c r="H5042" s="8" t="str">
        <f>HYPERLINK("https://esbl.nhlbi.nih.gov/Databases/mpkFractions/proteomic_fractions_linear_files/Yang_linear_img/21450055.jpg","show blot")</f>
        <v>show blot</v>
      </c>
      <c r="J5042" s="5" t="s">
        <v>9878</v>
      </c>
      <c r="L5042" s="11">
        <v>3.9633839170137239</v>
      </c>
      <c r="N5042" s="12"/>
    </row>
    <row r="5043" spans="1:14" s="5" customFormat="1" ht="15" customHeight="1" x14ac:dyDescent="0.25">
      <c r="A5043" s="9" t="s">
        <v>9879</v>
      </c>
      <c r="C5043" s="9" t="str">
        <f>HYPERLINK("http://www.ncbi.nlm.nih.gov/protein/31559918","Nrd1")</f>
        <v>Nrd1</v>
      </c>
      <c r="D5043" s="10">
        <f t="shared" si="78"/>
        <v>4.7143449961045736</v>
      </c>
      <c r="F5043" s="8" t="str">
        <f>HYPERLINK("https://esbl.nhlbi.nih.gov/Databases/mpkFractions/proteomic_fractions_log_files/Yang_log_img/31559918.jpg","show blot")</f>
        <v>show blot</v>
      </c>
      <c r="H5043" s="8" t="str">
        <f>HYPERLINK("https://esbl.nhlbi.nih.gov/Databases/mpkFractions/proteomic_fractions_linear_files/Yang_linear_img/31559918.jpg","show blot")</f>
        <v>show blot</v>
      </c>
      <c r="J5043" s="5" t="s">
        <v>9880</v>
      </c>
      <c r="L5043" s="11">
        <v>4.7143449961045736</v>
      </c>
      <c r="N5043" s="12"/>
    </row>
    <row r="5044" spans="1:14" s="5" customFormat="1" ht="15" customHeight="1" x14ac:dyDescent="0.25">
      <c r="A5044" s="9" t="s">
        <v>9881</v>
      </c>
      <c r="C5044" s="9" t="str">
        <f>HYPERLINK("http://www.ncbi.nlm.nih.gov/protein/6679132","Nrl")</f>
        <v>Nrl</v>
      </c>
      <c r="D5044" s="10">
        <f t="shared" si="78"/>
        <v>4.7548105505300731</v>
      </c>
      <c r="F5044" s="8" t="str">
        <f>HYPERLINK("https://esbl.nhlbi.nih.gov/Databases/mpkFractions/proteomic_fractions_log_files/Yang_log_img/6679132.jpg","show blot")</f>
        <v>show blot</v>
      </c>
      <c r="H5044" s="8" t="str">
        <f>HYPERLINK("https://esbl.nhlbi.nih.gov/Databases/mpkFractions/proteomic_fractions_linear_files/Yang_linear_img/6679132.jpg","show blot")</f>
        <v>show blot</v>
      </c>
      <c r="J5044" s="5" t="s">
        <v>9882</v>
      </c>
      <c r="L5044" s="11">
        <v>4.7548105505300731</v>
      </c>
      <c r="N5044" s="12"/>
    </row>
    <row r="5045" spans="1:14" s="5" customFormat="1" ht="15" customHeight="1" x14ac:dyDescent="0.25">
      <c r="A5045" s="9" t="s">
        <v>9883</v>
      </c>
      <c r="C5045" s="9" t="str">
        <f>HYPERLINK("http://www.ncbi.nlm.nih.gov/protein/19527352","Nrm")</f>
        <v>Nrm</v>
      </c>
      <c r="D5045" s="10">
        <f t="shared" si="78"/>
        <v>4.7377050990395571</v>
      </c>
      <c r="F5045" s="8" t="str">
        <f>HYPERLINK("https://esbl.nhlbi.nih.gov/Databases/mpkFractions/proteomic_fractions_log_files/Yang_log_img/19527352.jpg","show blot")</f>
        <v>show blot</v>
      </c>
      <c r="H5045" s="8" t="str">
        <f>HYPERLINK("https://esbl.nhlbi.nih.gov/Databases/mpkFractions/proteomic_fractions_linear_files/Yang_linear_img/19527352.jpg","show blot")</f>
        <v>show blot</v>
      </c>
      <c r="J5045" s="5" t="s">
        <v>9884</v>
      </c>
      <c r="L5045" s="11">
        <v>4.7377050990395571</v>
      </c>
      <c r="N5045" s="12"/>
    </row>
    <row r="5046" spans="1:14" s="5" customFormat="1" ht="15" customHeight="1" x14ac:dyDescent="0.25">
      <c r="A5046" s="9" t="s">
        <v>9885</v>
      </c>
      <c r="C5046" s="9" t="str">
        <f>HYPERLINK("http://www.ncbi.nlm.nih.gov/protein/244792700","Nrp1")</f>
        <v>Nrp1</v>
      </c>
      <c r="D5046" s="10">
        <f t="shared" si="78"/>
        <v>2.3872803615031448</v>
      </c>
      <c r="F5046" s="8" t="str">
        <f>HYPERLINK("https://esbl.nhlbi.nih.gov/Databases/mpkFractions/proteomic_fractions_log_files/Yang_log_img/244792700.jpg","show blot")</f>
        <v>show blot</v>
      </c>
      <c r="H5046" s="8" t="str">
        <f>HYPERLINK("https://esbl.nhlbi.nih.gov/Databases/mpkFractions/proteomic_fractions_linear_files/Yang_linear_img/244792700.jpg","show blot")</f>
        <v>show blot</v>
      </c>
      <c r="J5046" s="5" t="s">
        <v>9886</v>
      </c>
      <c r="L5046" s="11">
        <v>2.3872803615031448</v>
      </c>
      <c r="N5046" s="12"/>
    </row>
    <row r="5047" spans="1:14" s="5" customFormat="1" ht="15" customHeight="1" x14ac:dyDescent="0.25">
      <c r="A5047" s="9" t="s">
        <v>9887</v>
      </c>
      <c r="C5047" s="9" t="str">
        <f>HYPERLINK("http://www.ncbi.nlm.nih.gov/protein/31982437","Nsdhl")</f>
        <v>Nsdhl</v>
      </c>
      <c r="D5047" s="10">
        <f t="shared" si="78"/>
        <v>4.807303392730276</v>
      </c>
      <c r="F5047" s="8" t="str">
        <f>HYPERLINK("https://esbl.nhlbi.nih.gov/Databases/mpkFractions/proteomic_fractions_log_files/Yang_log_img/31982437.jpg","show blot")</f>
        <v>show blot</v>
      </c>
      <c r="H5047" s="8" t="str">
        <f>HYPERLINK("https://esbl.nhlbi.nih.gov/Databases/mpkFractions/proteomic_fractions_linear_files/Yang_linear_img/31982437.jpg","show blot")</f>
        <v>show blot</v>
      </c>
      <c r="J5047" s="5" t="s">
        <v>9888</v>
      </c>
      <c r="L5047" s="11">
        <v>4.807303392730276</v>
      </c>
      <c r="N5047" s="12"/>
    </row>
    <row r="5048" spans="1:14" s="5" customFormat="1" ht="15" customHeight="1" x14ac:dyDescent="0.25">
      <c r="A5048" s="9" t="s">
        <v>9889</v>
      </c>
      <c r="C5048" s="9" t="str">
        <f>HYPERLINK("http://www.ncbi.nlm.nih.gov/protein/31543349","Nsf")</f>
        <v>Nsf</v>
      </c>
      <c r="D5048" s="10">
        <f t="shared" si="78"/>
        <v>5.2668334033228597</v>
      </c>
      <c r="F5048" s="8" t="str">
        <f>HYPERLINK("https://esbl.nhlbi.nih.gov/Databases/mpkFractions/proteomic_fractions_log_files/Yang_log_img/31543349.jpg","show blot")</f>
        <v>show blot</v>
      </c>
      <c r="H5048" s="8" t="str">
        <f>HYPERLINK("https://esbl.nhlbi.nih.gov/Databases/mpkFractions/proteomic_fractions_linear_files/Yang_linear_img/31543349.jpg","show blot")</f>
        <v>show blot</v>
      </c>
      <c r="J5048" s="5" t="s">
        <v>9890</v>
      </c>
      <c r="L5048" s="11">
        <v>5.2668334033228597</v>
      </c>
      <c r="N5048" s="12"/>
    </row>
    <row r="5049" spans="1:14" s="5" customFormat="1" ht="15" customHeight="1" x14ac:dyDescent="0.25">
      <c r="A5049" s="9" t="s">
        <v>9891</v>
      </c>
      <c r="C5049" s="9" t="str">
        <f>HYPERLINK("http://www.ncbi.nlm.nih.gov/protein/38198665","Nsfl1c")</f>
        <v>Nsfl1c</v>
      </c>
      <c r="D5049" s="10">
        <f t="shared" si="78"/>
        <v>6.0094953041488024</v>
      </c>
      <c r="F5049" s="8" t="str">
        <f>HYPERLINK("https://esbl.nhlbi.nih.gov/Databases/mpkFractions/proteomic_fractions_log_files/Yang_log_img/38198665.jpg","show blot")</f>
        <v>show blot</v>
      </c>
      <c r="H5049" s="8" t="str">
        <f>HYPERLINK("https://esbl.nhlbi.nih.gov/Databases/mpkFractions/proteomic_fractions_linear_files/Yang_linear_img/38198665.jpg","show blot")</f>
        <v>show blot</v>
      </c>
      <c r="J5049" s="5" t="s">
        <v>9892</v>
      </c>
      <c r="L5049" s="11">
        <v>6.0094953041488024</v>
      </c>
      <c r="N5049" s="12"/>
    </row>
    <row r="5050" spans="1:14" s="5" customFormat="1" ht="15" customHeight="1" x14ac:dyDescent="0.25">
      <c r="A5050" s="9" t="s">
        <v>9893</v>
      </c>
      <c r="C5050" s="9" t="str">
        <f>HYPERLINK("http://www.ncbi.nlm.nih.gov/protein/257196205","Nsmce2")</f>
        <v>Nsmce2</v>
      </c>
      <c r="D5050" s="10">
        <f t="shared" si="78"/>
        <v>3.8188590497891388</v>
      </c>
      <c r="F5050" s="8" t="str">
        <f>HYPERLINK("https://esbl.nhlbi.nih.gov/Databases/mpkFractions/proteomic_fractions_log_files/Yang_log_img/257196205.jpg","show blot")</f>
        <v>show blot</v>
      </c>
      <c r="H5050" s="8" t="str">
        <f>HYPERLINK("https://esbl.nhlbi.nih.gov/Databases/mpkFractions/proteomic_fractions_linear_files/Yang_linear_img/257196205.jpg","show blot")</f>
        <v>show blot</v>
      </c>
      <c r="J5050" s="5" t="s">
        <v>9894</v>
      </c>
      <c r="L5050" s="11">
        <v>3.8188590497891388</v>
      </c>
      <c r="N5050" s="12"/>
    </row>
    <row r="5051" spans="1:14" s="5" customFormat="1" ht="15" customHeight="1" x14ac:dyDescent="0.25">
      <c r="A5051" s="9" t="s">
        <v>9895</v>
      </c>
      <c r="C5051" s="9" t="str">
        <f>HYPERLINK("http://www.ncbi.nlm.nih.gov/protein/257196207","Nsmce2")</f>
        <v>Nsmce2</v>
      </c>
      <c r="D5051" s="10">
        <f t="shared" si="78"/>
        <v>3.8188590497891388</v>
      </c>
      <c r="F5051" s="8" t="str">
        <f>HYPERLINK("https://esbl.nhlbi.nih.gov/Databases/mpkFractions/proteomic_fractions_log_files/Yang_log_img/257196207.jpg","show blot")</f>
        <v>show blot</v>
      </c>
      <c r="H5051" s="8" t="str">
        <f>HYPERLINK("https://esbl.nhlbi.nih.gov/Databases/mpkFractions/proteomic_fractions_linear_files/Yang_linear_img/257196207.jpg","show blot")</f>
        <v>show blot</v>
      </c>
      <c r="J5051" s="5" t="s">
        <v>9896</v>
      </c>
      <c r="L5051" s="11">
        <v>3.8188590497891388</v>
      </c>
      <c r="N5051" s="12"/>
    </row>
    <row r="5052" spans="1:14" s="5" customFormat="1" ht="15" customHeight="1" x14ac:dyDescent="0.25">
      <c r="A5052" s="9" t="s">
        <v>9897</v>
      </c>
      <c r="C5052" s="9" t="str">
        <f>HYPERLINK("http://www.ncbi.nlm.nih.gov/protein/242246981","Nsmce4a")</f>
        <v>Nsmce4a</v>
      </c>
      <c r="D5052" s="10">
        <f t="shared" si="78"/>
        <v>3.534428315944619</v>
      </c>
      <c r="F5052" s="8" t="str">
        <f>HYPERLINK("https://esbl.nhlbi.nih.gov/Databases/mpkFractions/proteomic_fractions_log_files/Yang_log_img/242246981.jpg","show blot")</f>
        <v>show blot</v>
      </c>
      <c r="H5052" s="8" t="str">
        <f>HYPERLINK("https://esbl.nhlbi.nih.gov/Databases/mpkFractions/proteomic_fractions_linear_files/Yang_linear_img/242246981.jpg","show blot")</f>
        <v>show blot</v>
      </c>
      <c r="J5052" s="5" t="s">
        <v>9898</v>
      </c>
      <c r="L5052" s="11">
        <v>3.534428315944619</v>
      </c>
      <c r="N5052" s="12"/>
    </row>
    <row r="5053" spans="1:14" s="5" customFormat="1" ht="15" customHeight="1" x14ac:dyDescent="0.25">
      <c r="A5053" s="9" t="s">
        <v>9899</v>
      </c>
      <c r="C5053" s="9" t="str">
        <f>HYPERLINK("http://www.ncbi.nlm.nih.gov/protein/295054316","Nsun2")</f>
        <v>Nsun2</v>
      </c>
      <c r="D5053" s="10">
        <f t="shared" si="78"/>
        <v>5.201049930864138</v>
      </c>
      <c r="F5053" s="8" t="str">
        <f>HYPERLINK("https://esbl.nhlbi.nih.gov/Databases/mpkFractions/proteomic_fractions_log_files/Yang_log_img/295054316.jpg","show blot")</f>
        <v>show blot</v>
      </c>
      <c r="H5053" s="8" t="str">
        <f>HYPERLINK("https://esbl.nhlbi.nih.gov/Databases/mpkFractions/proteomic_fractions_linear_files/Yang_linear_img/295054316.jpg","show blot")</f>
        <v>show blot</v>
      </c>
      <c r="J5053" s="5" t="s">
        <v>9900</v>
      </c>
      <c r="L5053" s="11">
        <v>5.201049930864138</v>
      </c>
      <c r="N5053" s="12"/>
    </row>
    <row r="5054" spans="1:14" s="5" customFormat="1" ht="15" customHeight="1" x14ac:dyDescent="0.25">
      <c r="A5054" s="9" t="s">
        <v>9901</v>
      </c>
      <c r="C5054" s="9" t="str">
        <f>HYPERLINK("http://www.ncbi.nlm.nih.gov/protein/154146245","Nsun5")</f>
        <v>Nsun5</v>
      </c>
      <c r="D5054" s="10">
        <f t="shared" si="78"/>
        <v>2.7963021847606768</v>
      </c>
      <c r="F5054" s="8" t="str">
        <f>HYPERLINK("https://esbl.nhlbi.nih.gov/Databases/mpkFractions/proteomic_fractions_log_files/Yang_log_img/154146245.jpg","show blot")</f>
        <v>show blot</v>
      </c>
      <c r="H5054" s="8" t="str">
        <f>HYPERLINK("https://esbl.nhlbi.nih.gov/Databases/mpkFractions/proteomic_fractions_linear_files/Yang_linear_img/154146245.jpg","show blot")</f>
        <v>show blot</v>
      </c>
      <c r="J5054" s="5" t="s">
        <v>9902</v>
      </c>
      <c r="L5054" s="11">
        <v>2.7963021847606768</v>
      </c>
      <c r="N5054" s="12"/>
    </row>
    <row r="5055" spans="1:14" s="5" customFormat="1" ht="15" customHeight="1" x14ac:dyDescent="0.25">
      <c r="A5055" s="9" t="s">
        <v>9903</v>
      </c>
      <c r="C5055" s="9" t="str">
        <f>HYPERLINK("http://www.ncbi.nlm.nih.gov/protein/260099658","Nsun6")</f>
        <v>Nsun6</v>
      </c>
      <c r="D5055" s="10">
        <f t="shared" si="78"/>
        <v>4.3749110288717121</v>
      </c>
      <c r="F5055" s="8" t="str">
        <f>HYPERLINK("https://esbl.nhlbi.nih.gov/Databases/mpkFractions/proteomic_fractions_log_files/Yang_log_img/260099658.jpg","show blot")</f>
        <v>show blot</v>
      </c>
      <c r="H5055" s="8" t="str">
        <f>HYPERLINK("https://esbl.nhlbi.nih.gov/Databases/mpkFractions/proteomic_fractions_linear_files/Yang_linear_img/260099658.jpg","show blot")</f>
        <v>show blot</v>
      </c>
      <c r="J5055" s="5" t="s">
        <v>9904</v>
      </c>
      <c r="L5055" s="11">
        <v>4.3749110288717121</v>
      </c>
      <c r="N5055" s="12"/>
    </row>
    <row r="5056" spans="1:14" s="5" customFormat="1" ht="15" customHeight="1" x14ac:dyDescent="0.25">
      <c r="A5056" s="9" t="s">
        <v>9905</v>
      </c>
      <c r="C5056" s="9" t="str">
        <f>HYPERLINK("http://www.ncbi.nlm.nih.gov/protein/260099662","Nsun6")</f>
        <v>Nsun6</v>
      </c>
      <c r="D5056" s="10">
        <f t="shared" si="78"/>
        <v>4.3749110288717121</v>
      </c>
      <c r="F5056" s="8" t="str">
        <f>HYPERLINK("https://esbl.nhlbi.nih.gov/Databases/mpkFractions/proteomic_fractions_log_files/Yang_log_img/260099662.jpg","show blot")</f>
        <v>show blot</v>
      </c>
      <c r="H5056" s="8" t="str">
        <f>HYPERLINK("https://esbl.nhlbi.nih.gov/Databases/mpkFractions/proteomic_fractions_linear_files/Yang_linear_img/260099662.jpg","show blot")</f>
        <v>show blot</v>
      </c>
      <c r="J5056" s="5" t="s">
        <v>9906</v>
      </c>
      <c r="L5056" s="11">
        <v>4.3749110288717121</v>
      </c>
      <c r="N5056" s="12"/>
    </row>
    <row r="5057" spans="1:14" s="5" customFormat="1" ht="15" customHeight="1" x14ac:dyDescent="0.25">
      <c r="A5057" s="9" t="s">
        <v>9907</v>
      </c>
      <c r="C5057" s="9" t="str">
        <f>HYPERLINK("http://www.ncbi.nlm.nih.gov/protein/260099664","Nsun6")</f>
        <v>Nsun6</v>
      </c>
      <c r="D5057" s="10">
        <f t="shared" si="78"/>
        <v>4.3749110288717121</v>
      </c>
      <c r="F5057" s="8" t="str">
        <f>HYPERLINK("https://esbl.nhlbi.nih.gov/Databases/mpkFractions/proteomic_fractions_log_files/Yang_log_img/260099664.jpg","show blot")</f>
        <v>show blot</v>
      </c>
      <c r="H5057" s="8" t="str">
        <f>HYPERLINK("https://esbl.nhlbi.nih.gov/Databases/mpkFractions/proteomic_fractions_linear_files/Yang_linear_img/260099664.jpg","show blot")</f>
        <v>show blot</v>
      </c>
      <c r="J5057" s="5" t="s">
        <v>9908</v>
      </c>
      <c r="L5057" s="11">
        <v>4.3749110288717121</v>
      </c>
      <c r="N5057" s="12"/>
    </row>
    <row r="5058" spans="1:14" s="5" customFormat="1" ht="15" customHeight="1" x14ac:dyDescent="0.25">
      <c r="A5058" s="9" t="s">
        <v>9909</v>
      </c>
      <c r="C5058" s="9" t="str">
        <f>HYPERLINK("http://www.ncbi.nlm.nih.gov/protein/7657031","Nt5c")</f>
        <v>Nt5c</v>
      </c>
      <c r="D5058" s="10">
        <f t="shared" si="78"/>
        <v>4.7355976216123068</v>
      </c>
      <c r="F5058" s="8" t="str">
        <f>HYPERLINK("https://esbl.nhlbi.nih.gov/Databases/mpkFractions/proteomic_fractions_log_files/Yang_log_img/7657031.jpg","show blot")</f>
        <v>show blot</v>
      </c>
      <c r="H5058" s="8" t="str">
        <f>HYPERLINK("https://esbl.nhlbi.nih.gov/Databases/mpkFractions/proteomic_fractions_linear_files/Yang_linear_img/7657031.jpg","show blot")</f>
        <v>show blot</v>
      </c>
      <c r="J5058" s="5" t="s">
        <v>9910</v>
      </c>
      <c r="L5058" s="11">
        <v>4.7355976216123068</v>
      </c>
      <c r="N5058" s="12"/>
    </row>
    <row r="5059" spans="1:14" s="5" customFormat="1" ht="15" customHeight="1" x14ac:dyDescent="0.25">
      <c r="A5059" s="9" t="s">
        <v>9911</v>
      </c>
      <c r="C5059" s="9" t="str">
        <f>HYPERLINK("http://www.ncbi.nlm.nih.gov/protein/256665234","Nt5c2")</f>
        <v>Nt5c2</v>
      </c>
      <c r="D5059" s="10">
        <f t="shared" si="78"/>
        <v>5.7390640634217682</v>
      </c>
      <c r="F5059" s="8" t="str">
        <f>HYPERLINK("https://esbl.nhlbi.nih.gov/Databases/mpkFractions/proteomic_fractions_log_files/Yang_log_img/256665234.jpg","show blot")</f>
        <v>show blot</v>
      </c>
      <c r="H5059" s="8" t="str">
        <f>HYPERLINK("https://esbl.nhlbi.nih.gov/Databases/mpkFractions/proteomic_fractions_linear_files/Yang_linear_img/256665234.jpg","show blot")</f>
        <v>show blot</v>
      </c>
      <c r="J5059" s="5" t="s">
        <v>9912</v>
      </c>
      <c r="L5059" s="11">
        <v>5.7390640634217682</v>
      </c>
      <c r="N5059" s="12"/>
    </row>
    <row r="5060" spans="1:14" s="5" customFormat="1" ht="15" customHeight="1" x14ac:dyDescent="0.25">
      <c r="A5060" s="9" t="s">
        <v>9913</v>
      </c>
      <c r="C5060" s="9" t="str">
        <f>HYPERLINK("http://www.ncbi.nlm.nih.gov/protein/256665236","Nt5c2")</f>
        <v>Nt5c2</v>
      </c>
      <c r="D5060" s="10">
        <f t="shared" si="78"/>
        <v>5.7390640634217682</v>
      </c>
      <c r="F5060" s="8" t="str">
        <f>HYPERLINK("https://esbl.nhlbi.nih.gov/Databases/mpkFractions/proteomic_fractions_log_files/Yang_log_img/256665236.jpg","show blot")</f>
        <v>show blot</v>
      </c>
      <c r="H5060" s="8" t="str">
        <f>HYPERLINK("https://esbl.nhlbi.nih.gov/Databases/mpkFractions/proteomic_fractions_linear_files/Yang_linear_img/256665236.jpg","show blot")</f>
        <v>show blot</v>
      </c>
      <c r="J5060" s="5" t="s">
        <v>9914</v>
      </c>
      <c r="L5060" s="11">
        <v>5.7390640634217682</v>
      </c>
      <c r="N5060" s="12"/>
    </row>
    <row r="5061" spans="1:14" s="5" customFormat="1" ht="15" customHeight="1" x14ac:dyDescent="0.25">
      <c r="A5061" s="9" t="s">
        <v>9915</v>
      </c>
      <c r="C5061" s="9" t="str">
        <f>HYPERLINK("http://www.ncbi.nlm.nih.gov/protein/256665238","Nt5c2")</f>
        <v>Nt5c2</v>
      </c>
      <c r="D5061" s="10">
        <f t="shared" ref="D5061:D5124" si="79">L5061</f>
        <v>5.7390640634217682</v>
      </c>
      <c r="F5061" s="8" t="str">
        <f>HYPERLINK("https://esbl.nhlbi.nih.gov/Databases/mpkFractions/proteomic_fractions_log_files/Yang_log_img/256665238.jpg","show blot")</f>
        <v>show blot</v>
      </c>
      <c r="H5061" s="8" t="str">
        <f>HYPERLINK("https://esbl.nhlbi.nih.gov/Databases/mpkFractions/proteomic_fractions_linear_files/Yang_linear_img/256665238.jpg","show blot")</f>
        <v>show blot</v>
      </c>
      <c r="J5061" s="5" t="s">
        <v>9916</v>
      </c>
      <c r="L5061" s="11">
        <v>5.7390640634217682</v>
      </c>
      <c r="N5061" s="12"/>
    </row>
    <row r="5062" spans="1:14" s="5" customFormat="1" ht="15" customHeight="1" x14ac:dyDescent="0.25">
      <c r="A5062" s="9" t="s">
        <v>9917</v>
      </c>
      <c r="C5062" s="9" t="str">
        <f>HYPERLINK("http://www.ncbi.nlm.nih.gov/protein/172072627","Nt5c3")</f>
        <v>Nt5c3</v>
      </c>
      <c r="D5062" s="10">
        <f t="shared" si="79"/>
        <v>4.5076771971659948</v>
      </c>
      <c r="F5062" s="8" t="str">
        <f>HYPERLINK("https://esbl.nhlbi.nih.gov/Databases/mpkFractions/proteomic_fractions_log_files/Yang_log_img/172072627.jpg","show blot")</f>
        <v>show blot</v>
      </c>
      <c r="H5062" s="8" t="str">
        <f>HYPERLINK("https://esbl.nhlbi.nih.gov/Databases/mpkFractions/proteomic_fractions_linear_files/Yang_linear_img/172072627.jpg","show blot")</f>
        <v>show blot</v>
      </c>
      <c r="J5062" s="5" t="s">
        <v>9918</v>
      </c>
      <c r="L5062" s="11">
        <v>4.5076771971659948</v>
      </c>
      <c r="N5062" s="12"/>
    </row>
    <row r="5063" spans="1:14" s="5" customFormat="1" ht="15" customHeight="1" x14ac:dyDescent="0.25">
      <c r="A5063" s="9" t="s">
        <v>9919</v>
      </c>
      <c r="C5063" s="9" t="str">
        <f>HYPERLINK("http://www.ncbi.nlm.nih.gov/protein/356991161","Nt5c3")</f>
        <v>Nt5c3</v>
      </c>
      <c r="D5063" s="10">
        <f t="shared" si="79"/>
        <v>4.5076771971659948</v>
      </c>
      <c r="F5063" s="8" t="str">
        <f>HYPERLINK("https://esbl.nhlbi.nih.gov/Databases/mpkFractions/proteomic_fractions_log_files/Yang_log_img/356991161.jpg","show blot")</f>
        <v>show blot</v>
      </c>
      <c r="H5063" s="8" t="str">
        <f>HYPERLINK("https://esbl.nhlbi.nih.gov/Databases/mpkFractions/proteomic_fractions_linear_files/Yang_linear_img/356991161.jpg","show blot")</f>
        <v>show blot</v>
      </c>
      <c r="J5063" s="5" t="s">
        <v>9920</v>
      </c>
      <c r="L5063" s="11">
        <v>4.5076771971659948</v>
      </c>
      <c r="N5063" s="12"/>
    </row>
    <row r="5064" spans="1:14" s="5" customFormat="1" ht="15" customHeight="1" x14ac:dyDescent="0.25">
      <c r="A5064" s="9" t="s">
        <v>9921</v>
      </c>
      <c r="C5064" s="9" t="str">
        <f>HYPERLINK("http://www.ncbi.nlm.nih.gov/protein/156627551","Nt5c3b")</f>
        <v>Nt5c3b</v>
      </c>
      <c r="D5064" s="10">
        <f t="shared" si="79"/>
        <v>5.0097605095721729</v>
      </c>
      <c r="F5064" s="8" t="str">
        <f>HYPERLINK("https://esbl.nhlbi.nih.gov/Databases/mpkFractions/proteomic_fractions_log_files/Yang_log_img/156627551.jpg","show blot")</f>
        <v>show blot</v>
      </c>
      <c r="H5064" s="8" t="str">
        <f>HYPERLINK("https://esbl.nhlbi.nih.gov/Databases/mpkFractions/proteomic_fractions_linear_files/Yang_linear_img/156627551.jpg","show blot")</f>
        <v>show blot</v>
      </c>
      <c r="J5064" s="5" t="s">
        <v>9922</v>
      </c>
      <c r="L5064" s="11">
        <v>5.0097605095721729</v>
      </c>
      <c r="N5064" s="12"/>
    </row>
    <row r="5065" spans="1:14" s="5" customFormat="1" ht="15" customHeight="1" x14ac:dyDescent="0.25">
      <c r="A5065" s="9" t="s">
        <v>9923</v>
      </c>
      <c r="C5065" s="9" t="str">
        <f>HYPERLINK("http://www.ncbi.nlm.nih.gov/protein/156627553","Nt5c3b")</f>
        <v>Nt5c3b</v>
      </c>
      <c r="D5065" s="10">
        <f t="shared" si="79"/>
        <v>5.0097605095721729</v>
      </c>
      <c r="F5065" s="8" t="str">
        <f>HYPERLINK("https://esbl.nhlbi.nih.gov/Databases/mpkFractions/proteomic_fractions_log_files/Yang_log_img/156627553.jpg","show blot")</f>
        <v>show blot</v>
      </c>
      <c r="H5065" s="8" t="str">
        <f>HYPERLINK("https://esbl.nhlbi.nih.gov/Databases/mpkFractions/proteomic_fractions_linear_files/Yang_linear_img/156627553.jpg","show blot")</f>
        <v>show blot</v>
      </c>
      <c r="J5065" s="5" t="s">
        <v>9924</v>
      </c>
      <c r="L5065" s="11">
        <v>5.0097605095721729</v>
      </c>
      <c r="N5065" s="12"/>
    </row>
    <row r="5066" spans="1:14" s="5" customFormat="1" ht="15" customHeight="1" x14ac:dyDescent="0.25">
      <c r="A5066" s="9" t="s">
        <v>9925</v>
      </c>
      <c r="C5066" s="9" t="str">
        <f>HYPERLINK("http://www.ncbi.nlm.nih.gov/protein/110626010","Nt5dc1")</f>
        <v>Nt5dc1</v>
      </c>
      <c r="D5066" s="10">
        <f t="shared" si="79"/>
        <v>5.368347916975627</v>
      </c>
      <c r="F5066" s="8" t="str">
        <f>HYPERLINK("https://esbl.nhlbi.nih.gov/Databases/mpkFractions/proteomic_fractions_log_files/Yang_log_img/110626010.jpg","show blot")</f>
        <v>show blot</v>
      </c>
      <c r="H5066" s="8" t="str">
        <f>HYPERLINK("https://esbl.nhlbi.nih.gov/Databases/mpkFractions/proteomic_fractions_linear_files/Yang_linear_img/110626010.jpg","show blot")</f>
        <v>show blot</v>
      </c>
      <c r="J5066" s="5" t="s">
        <v>9926</v>
      </c>
      <c r="L5066" s="11">
        <v>5.368347916975627</v>
      </c>
      <c r="N5066" s="12"/>
    </row>
    <row r="5067" spans="1:14" s="5" customFormat="1" ht="15" customHeight="1" x14ac:dyDescent="0.25">
      <c r="A5067" s="9" t="s">
        <v>9927</v>
      </c>
      <c r="C5067" s="9" t="str">
        <f>HYPERLINK("http://www.ncbi.nlm.nih.gov/protein/110625755","Nt5dc2")</f>
        <v>Nt5dc2</v>
      </c>
      <c r="D5067" s="10">
        <f t="shared" si="79"/>
        <v>3.3261246095056052</v>
      </c>
      <c r="F5067" s="8" t="str">
        <f>HYPERLINK("https://esbl.nhlbi.nih.gov/Databases/mpkFractions/proteomic_fractions_log_files/Yang_log_img/110625755.jpg","show blot")</f>
        <v>show blot</v>
      </c>
      <c r="H5067" s="8" t="str">
        <f>HYPERLINK("https://esbl.nhlbi.nih.gov/Databases/mpkFractions/proteomic_fractions_linear_files/Yang_linear_img/110625755.jpg","show blot")</f>
        <v>show blot</v>
      </c>
      <c r="J5067" s="5" t="s">
        <v>9928</v>
      </c>
      <c r="L5067" s="11">
        <v>3.3261246095056052</v>
      </c>
      <c r="N5067" s="12"/>
    </row>
    <row r="5068" spans="1:14" s="5" customFormat="1" ht="15" customHeight="1" x14ac:dyDescent="0.25">
      <c r="A5068" s="9" t="s">
        <v>9929</v>
      </c>
      <c r="C5068" s="9" t="str">
        <f>HYPERLINK("http://www.ncbi.nlm.nih.gov/protein/111494223","Nt5dc3")</f>
        <v>Nt5dc3</v>
      </c>
      <c r="D5068" s="10">
        <f t="shared" si="79"/>
        <v>3.2600272959050498</v>
      </c>
      <c r="F5068" s="8" t="str">
        <f>HYPERLINK("https://esbl.nhlbi.nih.gov/Databases/mpkFractions/proteomic_fractions_log_files/Yang_log_img/111494223.jpg","show blot")</f>
        <v>show blot</v>
      </c>
      <c r="H5068" s="8" t="str">
        <f>HYPERLINK("https://esbl.nhlbi.nih.gov/Databases/mpkFractions/proteomic_fractions_linear_files/Yang_linear_img/111494223.jpg","show blot")</f>
        <v>show blot</v>
      </c>
      <c r="J5068" s="5" t="s">
        <v>9930</v>
      </c>
      <c r="L5068" s="11">
        <v>3.2600272959050498</v>
      </c>
      <c r="N5068" s="12"/>
    </row>
    <row r="5069" spans="1:14" s="5" customFormat="1" ht="15" customHeight="1" x14ac:dyDescent="0.25">
      <c r="A5069" s="9" t="s">
        <v>9931</v>
      </c>
      <c r="C5069" s="9" t="str">
        <f>HYPERLINK("http://www.ncbi.nlm.nih.gov/protein/6754902","Ntan1")</f>
        <v>Ntan1</v>
      </c>
      <c r="D5069" s="10">
        <f t="shared" si="79"/>
        <v>4.7565687548878781</v>
      </c>
      <c r="F5069" s="8" t="str">
        <f>HYPERLINK("https://esbl.nhlbi.nih.gov/Databases/mpkFractions/proteomic_fractions_log_files/Yang_log_img/6754902.jpg","show blot")</f>
        <v>show blot</v>
      </c>
      <c r="H5069" s="8" t="str">
        <f>HYPERLINK("https://esbl.nhlbi.nih.gov/Databases/mpkFractions/proteomic_fractions_linear_files/Yang_linear_img/6754902.jpg","show blot")</f>
        <v>show blot</v>
      </c>
      <c r="J5069" s="5" t="s">
        <v>9932</v>
      </c>
      <c r="L5069" s="11">
        <v>4.7565687548878781</v>
      </c>
      <c r="N5069" s="12"/>
    </row>
    <row r="5070" spans="1:14" s="5" customFormat="1" ht="15" customHeight="1" x14ac:dyDescent="0.25">
      <c r="A5070" s="9" t="s">
        <v>9933</v>
      </c>
      <c r="C5070" s="9" t="str">
        <f>HYPERLINK("http://www.ncbi.nlm.nih.gov/protein/24528555","Ntmt1")</f>
        <v>Ntmt1</v>
      </c>
      <c r="D5070" s="10">
        <f t="shared" si="79"/>
        <v>4.7226381983279406</v>
      </c>
      <c r="F5070" s="8" t="str">
        <f>HYPERLINK("https://esbl.nhlbi.nih.gov/Databases/mpkFractions/proteomic_fractions_log_files/Yang_log_img/24528555.jpg","show blot")</f>
        <v>show blot</v>
      </c>
      <c r="H5070" s="8" t="str">
        <f>HYPERLINK("https://esbl.nhlbi.nih.gov/Databases/mpkFractions/proteomic_fractions_linear_files/Yang_linear_img/24528555.jpg","show blot")</f>
        <v>show blot</v>
      </c>
      <c r="J5070" s="5" t="s">
        <v>9934</v>
      </c>
      <c r="L5070" s="11">
        <v>4.7226381983279406</v>
      </c>
      <c r="N5070" s="12"/>
    </row>
    <row r="5071" spans="1:14" s="5" customFormat="1" ht="15" customHeight="1" x14ac:dyDescent="0.25">
      <c r="A5071" s="9" t="s">
        <v>9935</v>
      </c>
      <c r="C5071" s="9" t="str">
        <f>HYPERLINK("http://www.ncbi.nlm.nih.gov/protein/13385098","Ntpcr")</f>
        <v>Ntpcr</v>
      </c>
      <c r="D5071" s="10">
        <f t="shared" si="79"/>
        <v>3.959681385392305</v>
      </c>
      <c r="F5071" s="8" t="str">
        <f>HYPERLINK("https://esbl.nhlbi.nih.gov/Databases/mpkFractions/proteomic_fractions_log_files/Yang_log_img/13385098.jpg","show blot")</f>
        <v>show blot</v>
      </c>
      <c r="H5071" s="8" t="str">
        <f>HYPERLINK("https://esbl.nhlbi.nih.gov/Databases/mpkFractions/proteomic_fractions_linear_files/Yang_linear_img/13385098.jpg","show blot")</f>
        <v>show blot</v>
      </c>
      <c r="J5071" s="5" t="s">
        <v>9936</v>
      </c>
      <c r="L5071" s="11">
        <v>3.959681385392305</v>
      </c>
      <c r="N5071" s="12"/>
    </row>
    <row r="5072" spans="1:14" s="5" customFormat="1" ht="15" customHeight="1" x14ac:dyDescent="0.25">
      <c r="A5072" s="9" t="s">
        <v>9937</v>
      </c>
      <c r="C5072" s="9" t="str">
        <f>HYPERLINK("http://www.ncbi.nlm.nih.gov/protein/119360354","Nub1")</f>
        <v>Nub1</v>
      </c>
      <c r="D5072" s="10">
        <f t="shared" si="79"/>
        <v>4.9333033068723191</v>
      </c>
      <c r="F5072" s="8" t="str">
        <f>HYPERLINK("https://esbl.nhlbi.nih.gov/Databases/mpkFractions/proteomic_fractions_log_files/Yang_log_img/119360354.jpg","show blot")</f>
        <v>show blot</v>
      </c>
      <c r="H5072" s="8" t="str">
        <f>HYPERLINK("https://esbl.nhlbi.nih.gov/Databases/mpkFractions/proteomic_fractions_linear_files/Yang_linear_img/119360354.jpg","show blot")</f>
        <v>show blot</v>
      </c>
      <c r="J5072" s="5" t="s">
        <v>9938</v>
      </c>
      <c r="L5072" s="11">
        <v>4.9333033068723191</v>
      </c>
      <c r="N5072" s="12"/>
    </row>
    <row r="5073" spans="1:14" s="5" customFormat="1" ht="15" customHeight="1" x14ac:dyDescent="0.25">
      <c r="A5073" s="9" t="s">
        <v>9939</v>
      </c>
      <c r="C5073" s="9" t="str">
        <f>HYPERLINK("http://www.ncbi.nlm.nih.gov/protein/6754906","Nubp1")</f>
        <v>Nubp1</v>
      </c>
      <c r="D5073" s="10">
        <f t="shared" si="79"/>
        <v>4.8098523022660693</v>
      </c>
      <c r="F5073" s="8" t="str">
        <f>HYPERLINK("https://esbl.nhlbi.nih.gov/Databases/mpkFractions/proteomic_fractions_log_files/Yang_log_img/6754906.jpg","show blot")</f>
        <v>show blot</v>
      </c>
      <c r="H5073" s="8" t="str">
        <f>HYPERLINK("https://esbl.nhlbi.nih.gov/Databases/mpkFractions/proteomic_fractions_linear_files/Yang_linear_img/6754906.jpg","show blot")</f>
        <v>show blot</v>
      </c>
      <c r="J5073" s="5" t="s">
        <v>9940</v>
      </c>
      <c r="L5073" s="11">
        <v>4.8098523022660693</v>
      </c>
      <c r="N5073" s="12"/>
    </row>
    <row r="5074" spans="1:14" s="5" customFormat="1" ht="15" customHeight="1" x14ac:dyDescent="0.25">
      <c r="A5074" s="9" t="s">
        <v>9941</v>
      </c>
      <c r="C5074" s="9" t="str">
        <f>HYPERLINK("http://www.ncbi.nlm.nih.gov/protein/6754908","Nubp2")</f>
        <v>Nubp2</v>
      </c>
      <c r="D5074" s="10">
        <f t="shared" si="79"/>
        <v>4.9084539916056844</v>
      </c>
      <c r="F5074" s="8" t="str">
        <f>HYPERLINK("https://esbl.nhlbi.nih.gov/Databases/mpkFractions/proteomic_fractions_log_files/Yang_log_img/6754908.jpg","show blot")</f>
        <v>show blot</v>
      </c>
      <c r="H5074" s="8" t="str">
        <f>HYPERLINK("https://esbl.nhlbi.nih.gov/Databases/mpkFractions/proteomic_fractions_linear_files/Yang_linear_img/6754908.jpg","show blot")</f>
        <v>show blot</v>
      </c>
      <c r="J5074" s="5" t="s">
        <v>9942</v>
      </c>
      <c r="L5074" s="11">
        <v>4.9084539916056844</v>
      </c>
      <c r="N5074" s="12"/>
    </row>
    <row r="5075" spans="1:14" s="5" customFormat="1" ht="15" customHeight="1" x14ac:dyDescent="0.25">
      <c r="A5075" s="9" t="s">
        <v>9943</v>
      </c>
      <c r="C5075" s="9" t="str">
        <f>HYPERLINK("http://www.ncbi.nlm.nih.gov/protein/167234411","Nubpl")</f>
        <v>Nubpl</v>
      </c>
      <c r="D5075" s="10">
        <f t="shared" si="79"/>
        <v>2.5870990934333808</v>
      </c>
      <c r="F5075" s="8" t="str">
        <f>HYPERLINK("https://esbl.nhlbi.nih.gov/Databases/mpkFractions/proteomic_fractions_log_files/Yang_log_img/167234411.jpg","show blot")</f>
        <v>show blot</v>
      </c>
      <c r="H5075" s="8" t="str">
        <f>HYPERLINK("https://esbl.nhlbi.nih.gov/Databases/mpkFractions/proteomic_fractions_linear_files/Yang_linear_img/167234411.jpg","show blot")</f>
        <v>show blot</v>
      </c>
      <c r="J5075" s="5" t="s">
        <v>9944</v>
      </c>
      <c r="L5075" s="11">
        <v>2.5870990934333808</v>
      </c>
      <c r="N5075" s="12"/>
    </row>
    <row r="5076" spans="1:14" s="5" customFormat="1" ht="15" customHeight="1" x14ac:dyDescent="0.25">
      <c r="A5076" s="9" t="s">
        <v>9945</v>
      </c>
      <c r="C5076" s="9" t="str">
        <f>HYPERLINK("http://www.ncbi.nlm.nih.gov/protein/254750698","Nucb1")</f>
        <v>Nucb1</v>
      </c>
      <c r="D5076" s="10">
        <f t="shared" si="79"/>
        <v>4.9422115873023484</v>
      </c>
      <c r="F5076" s="8" t="str">
        <f>HYPERLINK("https://esbl.nhlbi.nih.gov/Databases/mpkFractions/proteomic_fractions_log_files/Yang_log_img/254750698.jpg","show blot")</f>
        <v>show blot</v>
      </c>
      <c r="H5076" s="8" t="str">
        <f>HYPERLINK("https://esbl.nhlbi.nih.gov/Databases/mpkFractions/proteomic_fractions_linear_files/Yang_linear_img/254750698.jpg","show blot")</f>
        <v>show blot</v>
      </c>
      <c r="J5076" s="5" t="s">
        <v>9946</v>
      </c>
      <c r="L5076" s="11">
        <v>4.9422115873023484</v>
      </c>
      <c r="N5076" s="12"/>
    </row>
    <row r="5077" spans="1:14" s="5" customFormat="1" ht="15" customHeight="1" x14ac:dyDescent="0.25">
      <c r="A5077" s="9" t="s">
        <v>9947</v>
      </c>
      <c r="C5077" s="9" t="str">
        <f>HYPERLINK("http://www.ncbi.nlm.nih.gov/protein/6679158","Nucb1")</f>
        <v>Nucb1</v>
      </c>
      <c r="D5077" s="10">
        <f t="shared" si="79"/>
        <v>4.9422115873023484</v>
      </c>
      <c r="F5077" s="8" t="str">
        <f>HYPERLINK("https://esbl.nhlbi.nih.gov/Databases/mpkFractions/proteomic_fractions_log_files/Yang_log_img/6679158.jpg","show blot")</f>
        <v>show blot</v>
      </c>
      <c r="H5077" s="8" t="str">
        <f>HYPERLINK("https://esbl.nhlbi.nih.gov/Databases/mpkFractions/proteomic_fractions_linear_files/Yang_linear_img/6679158.jpg","show blot")</f>
        <v>show blot</v>
      </c>
      <c r="J5077" s="5" t="s">
        <v>9948</v>
      </c>
      <c r="L5077" s="11">
        <v>4.9422115873023484</v>
      </c>
      <c r="N5077" s="12"/>
    </row>
    <row r="5078" spans="1:14" s="5" customFormat="1" ht="15" customHeight="1" x14ac:dyDescent="0.25">
      <c r="A5078" s="9" t="s">
        <v>9949</v>
      </c>
      <c r="C5078" s="9" t="str">
        <f>HYPERLINK("http://www.ncbi.nlm.nih.gov/protein/194440700","Nucb2")</f>
        <v>Nucb2</v>
      </c>
      <c r="D5078" s="10">
        <f t="shared" si="79"/>
        <v>4.2184263521650012</v>
      </c>
      <c r="F5078" s="8" t="str">
        <f>HYPERLINK("https://esbl.nhlbi.nih.gov/Databases/mpkFractions/proteomic_fractions_log_files/Yang_log_img/194440700.jpg","show blot")</f>
        <v>show blot</v>
      </c>
      <c r="H5078" s="8" t="str">
        <f>HYPERLINK("https://esbl.nhlbi.nih.gov/Databases/mpkFractions/proteomic_fractions_linear_files/Yang_linear_img/194440700.jpg","show blot")</f>
        <v>show blot</v>
      </c>
      <c r="J5078" s="5" t="s">
        <v>9950</v>
      </c>
      <c r="L5078" s="11">
        <v>4.2184263521650012</v>
      </c>
      <c r="N5078" s="12"/>
    </row>
    <row r="5079" spans="1:14" s="5" customFormat="1" ht="15" customHeight="1" x14ac:dyDescent="0.25">
      <c r="A5079" s="9" t="s">
        <v>9951</v>
      </c>
      <c r="C5079" s="9" t="str">
        <f>HYPERLINK("http://www.ncbi.nlm.nih.gov/protein/224809559","Nucks1")</f>
        <v>Nucks1</v>
      </c>
      <c r="D5079" s="10">
        <f t="shared" si="79"/>
        <v>2.8311131836173549</v>
      </c>
      <c r="F5079" s="8" t="str">
        <f>HYPERLINK("https://esbl.nhlbi.nih.gov/Databases/mpkFractions/proteomic_fractions_log_files/Yang_log_img/224809559.jpg","show blot")</f>
        <v>show blot</v>
      </c>
      <c r="H5079" s="8" t="str">
        <f>HYPERLINK("https://esbl.nhlbi.nih.gov/Databases/mpkFractions/proteomic_fractions_linear_files/Yang_linear_img/224809559.jpg","show blot")</f>
        <v>show blot</v>
      </c>
      <c r="J5079" s="5" t="s">
        <v>9952</v>
      </c>
      <c r="L5079" s="11">
        <v>2.8311131836173549</v>
      </c>
      <c r="N5079" s="12"/>
    </row>
    <row r="5080" spans="1:14" s="5" customFormat="1" ht="15" customHeight="1" x14ac:dyDescent="0.25">
      <c r="A5080" s="9" t="s">
        <v>9953</v>
      </c>
      <c r="C5080" s="9" t="str">
        <f>HYPERLINK("http://www.ncbi.nlm.nih.gov/protein/224809563","Nucks1")</f>
        <v>Nucks1</v>
      </c>
      <c r="D5080" s="10">
        <f t="shared" si="79"/>
        <v>2.8311131836173549</v>
      </c>
      <c r="F5080" s="8" t="str">
        <f>HYPERLINK("https://esbl.nhlbi.nih.gov/Databases/mpkFractions/proteomic_fractions_log_files/Yang_log_img/224809563.jpg","show blot")</f>
        <v>show blot</v>
      </c>
      <c r="H5080" s="8" t="str">
        <f>HYPERLINK("https://esbl.nhlbi.nih.gov/Databases/mpkFractions/proteomic_fractions_linear_files/Yang_linear_img/224809563.jpg","show blot")</f>
        <v>show blot</v>
      </c>
      <c r="J5080" s="5" t="s">
        <v>9954</v>
      </c>
      <c r="L5080" s="11">
        <v>2.8311131836173549</v>
      </c>
      <c r="N5080" s="12"/>
    </row>
    <row r="5081" spans="1:14" s="5" customFormat="1" ht="15" customHeight="1" x14ac:dyDescent="0.25">
      <c r="A5081" s="9" t="s">
        <v>9955</v>
      </c>
      <c r="C5081" s="9" t="str">
        <f>HYPERLINK("http://www.ncbi.nlm.nih.gov/protein/6754910","Nudc")</f>
        <v>Nudc</v>
      </c>
      <c r="D5081" s="10">
        <f t="shared" si="79"/>
        <v>5.8928972087583702</v>
      </c>
      <c r="F5081" s="8" t="str">
        <f>HYPERLINK("https://esbl.nhlbi.nih.gov/Databases/mpkFractions/proteomic_fractions_log_files/Yang_log_img/6754910.jpg","show blot")</f>
        <v>show blot</v>
      </c>
      <c r="H5081" s="8" t="str">
        <f>HYPERLINK("https://esbl.nhlbi.nih.gov/Databases/mpkFractions/proteomic_fractions_linear_files/Yang_linear_img/6754910.jpg","show blot")</f>
        <v>show blot</v>
      </c>
      <c r="J5081" s="5" t="s">
        <v>9956</v>
      </c>
      <c r="L5081" s="11">
        <v>5.8928972087583702</v>
      </c>
      <c r="N5081" s="12"/>
    </row>
    <row r="5082" spans="1:14" s="5" customFormat="1" ht="15" customHeight="1" x14ac:dyDescent="0.25">
      <c r="A5082" s="9" t="s">
        <v>9957</v>
      </c>
      <c r="C5082" s="9" t="str">
        <f>HYPERLINK("http://www.ncbi.nlm.nih.gov/protein/165905633","Nudcd1")</f>
        <v>Nudcd1</v>
      </c>
      <c r="D5082" s="10">
        <f t="shared" si="79"/>
        <v>5.148840466114792</v>
      </c>
      <c r="F5082" s="8" t="str">
        <f>HYPERLINK("https://esbl.nhlbi.nih.gov/Databases/mpkFractions/proteomic_fractions_log_files/Yang_log_img/165905633.jpg","show blot")</f>
        <v>show blot</v>
      </c>
      <c r="H5082" s="8" t="str">
        <f>HYPERLINK("https://esbl.nhlbi.nih.gov/Databases/mpkFractions/proteomic_fractions_linear_files/Yang_linear_img/165905633.jpg","show blot")</f>
        <v>show blot</v>
      </c>
      <c r="J5082" s="5" t="s">
        <v>9958</v>
      </c>
      <c r="L5082" s="11">
        <v>5.148840466114792</v>
      </c>
      <c r="N5082" s="12"/>
    </row>
    <row r="5083" spans="1:14" s="5" customFormat="1" ht="15" customHeight="1" x14ac:dyDescent="0.25">
      <c r="A5083" s="9" t="s">
        <v>9959</v>
      </c>
      <c r="C5083" s="9" t="str">
        <f>HYPERLINK("http://www.ncbi.nlm.nih.gov/protein/165905635","Nudcd1")</f>
        <v>Nudcd1</v>
      </c>
      <c r="D5083" s="10">
        <f t="shared" si="79"/>
        <v>5.148840466114792</v>
      </c>
      <c r="F5083" s="8" t="str">
        <f>HYPERLINK("https://esbl.nhlbi.nih.gov/Databases/mpkFractions/proteomic_fractions_log_files/Yang_log_img/165905635.jpg","show blot")</f>
        <v>show blot</v>
      </c>
      <c r="H5083" s="8" t="str">
        <f>HYPERLINK("https://esbl.nhlbi.nih.gov/Databases/mpkFractions/proteomic_fractions_linear_files/Yang_linear_img/165905635.jpg","show blot")</f>
        <v>show blot</v>
      </c>
      <c r="J5083" s="5" t="s">
        <v>9960</v>
      </c>
      <c r="L5083" s="11">
        <v>5.148840466114792</v>
      </c>
      <c r="N5083" s="12"/>
    </row>
    <row r="5084" spans="1:14" s="5" customFormat="1" ht="15" customHeight="1" x14ac:dyDescent="0.25">
      <c r="A5084" s="9" t="s">
        <v>9961</v>
      </c>
      <c r="C5084" s="9" t="str">
        <f>HYPERLINK("http://www.ncbi.nlm.nih.gov/protein/133922575","Nudcd2")</f>
        <v>Nudcd2</v>
      </c>
      <c r="D5084" s="10">
        <f t="shared" si="79"/>
        <v>5.3211881934028673</v>
      </c>
      <c r="F5084" s="8" t="str">
        <f>HYPERLINK("https://esbl.nhlbi.nih.gov/Databases/mpkFractions/proteomic_fractions_log_files/Yang_log_img/133922575.jpg","show blot")</f>
        <v>show blot</v>
      </c>
      <c r="H5084" s="8" t="str">
        <f>HYPERLINK("https://esbl.nhlbi.nih.gov/Databases/mpkFractions/proteomic_fractions_linear_files/Yang_linear_img/133922575.jpg","show blot")</f>
        <v>show blot</v>
      </c>
      <c r="J5084" s="5" t="s">
        <v>9962</v>
      </c>
      <c r="L5084" s="11">
        <v>5.3211881934028673</v>
      </c>
      <c r="N5084" s="12"/>
    </row>
    <row r="5085" spans="1:14" s="5" customFormat="1" ht="15" customHeight="1" x14ac:dyDescent="0.25">
      <c r="A5085" s="9" t="s">
        <v>9963</v>
      </c>
      <c r="C5085" s="9" t="str">
        <f>HYPERLINK("http://www.ncbi.nlm.nih.gov/protein/30424587","Nudcd3")</f>
        <v>Nudcd3</v>
      </c>
      <c r="D5085" s="10">
        <f t="shared" si="79"/>
        <v>4.103249739417091</v>
      </c>
      <c r="F5085" s="8" t="str">
        <f>HYPERLINK("https://esbl.nhlbi.nih.gov/Databases/mpkFractions/proteomic_fractions_log_files/Yang_log_img/30424587.jpg","show blot")</f>
        <v>show blot</v>
      </c>
      <c r="H5085" s="8" t="str">
        <f>HYPERLINK("https://esbl.nhlbi.nih.gov/Databases/mpkFractions/proteomic_fractions_linear_files/Yang_linear_img/30424587.jpg","show blot")</f>
        <v>show blot</v>
      </c>
      <c r="J5085" s="5" t="s">
        <v>9964</v>
      </c>
      <c r="L5085" s="11">
        <v>4.103249739417091</v>
      </c>
      <c r="N5085" s="12"/>
    </row>
    <row r="5086" spans="1:14" s="5" customFormat="1" ht="15" customHeight="1" x14ac:dyDescent="0.25">
      <c r="A5086" s="9" t="s">
        <v>9965</v>
      </c>
      <c r="C5086" s="9" t="str">
        <f>HYPERLINK("http://www.ncbi.nlm.nih.gov/protein/6678950","Nudt1")</f>
        <v>Nudt1</v>
      </c>
      <c r="D5086" s="10">
        <f t="shared" si="79"/>
        <v>3.595492109148704</v>
      </c>
      <c r="F5086" s="8" t="str">
        <f>HYPERLINK("https://esbl.nhlbi.nih.gov/Databases/mpkFractions/proteomic_fractions_log_files/Yang_log_img/6678950.jpg","show blot")</f>
        <v>show blot</v>
      </c>
      <c r="H5086" s="8" t="str">
        <f>HYPERLINK("https://esbl.nhlbi.nih.gov/Databases/mpkFractions/proteomic_fractions_linear_files/Yang_linear_img/6678950.jpg","show blot")</f>
        <v>show blot</v>
      </c>
      <c r="J5086" s="5" t="s">
        <v>9966</v>
      </c>
      <c r="L5086" s="11">
        <v>3.595492109148704</v>
      </c>
      <c r="N5086" s="12"/>
    </row>
    <row r="5087" spans="1:14" s="5" customFormat="1" ht="15" customHeight="1" x14ac:dyDescent="0.25">
      <c r="A5087" s="9" t="s">
        <v>9967</v>
      </c>
      <c r="C5087" s="9" t="str">
        <f>HYPERLINK("http://www.ncbi.nlm.nih.gov/protein/72384357","Nudt10")</f>
        <v>Nudt10</v>
      </c>
      <c r="D5087" s="10">
        <f t="shared" si="79"/>
        <v>4.8335792346666526</v>
      </c>
      <c r="F5087" s="8" t="str">
        <f>HYPERLINK("https://esbl.nhlbi.nih.gov/Databases/mpkFractions/proteomic_fractions_log_files/Yang_log_img/72384357.jpg","show blot")</f>
        <v>show blot</v>
      </c>
      <c r="H5087" s="8" t="str">
        <f>HYPERLINK("https://esbl.nhlbi.nih.gov/Databases/mpkFractions/proteomic_fractions_linear_files/Yang_linear_img/72384357.jpg","show blot")</f>
        <v>show blot</v>
      </c>
      <c r="J5087" s="5" t="s">
        <v>9968</v>
      </c>
      <c r="L5087" s="11">
        <v>4.8335792346666526</v>
      </c>
      <c r="N5087" s="12"/>
    </row>
    <row r="5088" spans="1:14" s="5" customFormat="1" ht="15" customHeight="1" x14ac:dyDescent="0.25">
      <c r="A5088" s="9" t="s">
        <v>9969</v>
      </c>
      <c r="C5088" s="9" t="str">
        <f>HYPERLINK("http://www.ncbi.nlm.nih.gov/protein/21312664","Nudt12")</f>
        <v>Nudt12</v>
      </c>
      <c r="D5088" s="10">
        <f t="shared" si="79"/>
        <v>4.2862501110536231</v>
      </c>
      <c r="F5088" s="8" t="str">
        <f>HYPERLINK("https://esbl.nhlbi.nih.gov/Databases/mpkFractions/proteomic_fractions_log_files/Yang_log_img/21312664.jpg","show blot")</f>
        <v>show blot</v>
      </c>
      <c r="H5088" s="8" t="str">
        <f>HYPERLINK("https://esbl.nhlbi.nih.gov/Databases/mpkFractions/proteomic_fractions_linear_files/Yang_linear_img/21312664.jpg","show blot")</f>
        <v>show blot</v>
      </c>
      <c r="J5088" s="5" t="s">
        <v>9970</v>
      </c>
      <c r="L5088" s="11">
        <v>4.2862501110536231</v>
      </c>
      <c r="N5088" s="12"/>
    </row>
    <row r="5089" spans="1:14" s="5" customFormat="1" ht="15" customHeight="1" x14ac:dyDescent="0.25">
      <c r="A5089" s="9" t="s">
        <v>9971</v>
      </c>
      <c r="C5089" s="9" t="str">
        <f>HYPERLINK("http://www.ncbi.nlm.nih.gov/protein/23956126","Nudt14")</f>
        <v>Nudt14</v>
      </c>
      <c r="D5089" s="10">
        <f t="shared" si="79"/>
        <v>5.5486740726934016</v>
      </c>
      <c r="F5089" s="8" t="str">
        <f>HYPERLINK("https://esbl.nhlbi.nih.gov/Databases/mpkFractions/proteomic_fractions_log_files/Yang_log_img/23956126.jpg","show blot")</f>
        <v>show blot</v>
      </c>
      <c r="H5089" s="8" t="str">
        <f>HYPERLINK("https://esbl.nhlbi.nih.gov/Databases/mpkFractions/proteomic_fractions_linear_files/Yang_linear_img/23956126.jpg","show blot")</f>
        <v>show blot</v>
      </c>
      <c r="J5089" s="5" t="s">
        <v>9972</v>
      </c>
      <c r="L5089" s="11">
        <v>5.5486740726934016</v>
      </c>
      <c r="N5089" s="12"/>
    </row>
    <row r="5090" spans="1:14" s="5" customFormat="1" ht="15" customHeight="1" x14ac:dyDescent="0.25">
      <c r="A5090" s="9" t="s">
        <v>9973</v>
      </c>
      <c r="C5090" s="9" t="str">
        <f>HYPERLINK("http://www.ncbi.nlm.nih.gov/protein/125656157","Nudt16")</f>
        <v>Nudt16</v>
      </c>
      <c r="D5090" s="10">
        <f t="shared" si="79"/>
        <v>2.2500871670784739</v>
      </c>
      <c r="F5090" s="8" t="str">
        <f>HYPERLINK("https://esbl.nhlbi.nih.gov/Databases/mpkFractions/proteomic_fractions_log_files/Yang_log_img/125656157.jpg","show blot")</f>
        <v>show blot</v>
      </c>
      <c r="H5090" s="8" t="str">
        <f>HYPERLINK("https://esbl.nhlbi.nih.gov/Databases/mpkFractions/proteomic_fractions_linear_files/Yang_linear_img/125656157.jpg","show blot")</f>
        <v>show blot</v>
      </c>
      <c r="J5090" s="5" t="s">
        <v>9974</v>
      </c>
      <c r="L5090" s="11">
        <v>2.2500871670784739</v>
      </c>
      <c r="N5090" s="12"/>
    </row>
    <row r="5091" spans="1:14" s="5" customFormat="1" ht="15" customHeight="1" x14ac:dyDescent="0.25">
      <c r="A5091" s="9" t="s">
        <v>9975</v>
      </c>
      <c r="C5091" s="9" t="str">
        <f>HYPERLINK("http://www.ncbi.nlm.nih.gov/protein/13385314","Nudt16l1")</f>
        <v>Nudt16l1</v>
      </c>
      <c r="D5091" s="10">
        <f t="shared" si="79"/>
        <v>5.2410684078032439</v>
      </c>
      <c r="F5091" s="8" t="str">
        <f>HYPERLINK("https://esbl.nhlbi.nih.gov/Databases/mpkFractions/proteomic_fractions_log_files/Yang_log_img/13385314.jpg","show blot")</f>
        <v>show blot</v>
      </c>
      <c r="H5091" s="8" t="str">
        <f>HYPERLINK("https://esbl.nhlbi.nih.gov/Databases/mpkFractions/proteomic_fractions_linear_files/Yang_linear_img/13385314.jpg","show blot")</f>
        <v>show blot</v>
      </c>
      <c r="J5091" s="5" t="s">
        <v>9976</v>
      </c>
      <c r="L5091" s="11">
        <v>5.2410684078032439</v>
      </c>
      <c r="N5091" s="12"/>
    </row>
    <row r="5092" spans="1:14" s="5" customFormat="1" ht="15" customHeight="1" x14ac:dyDescent="0.25">
      <c r="A5092" s="9" t="s">
        <v>9977</v>
      </c>
      <c r="C5092" s="9" t="str">
        <f>HYPERLINK("http://www.ncbi.nlm.nih.gov/protein/86198335","Nudt2")</f>
        <v>Nudt2</v>
      </c>
      <c r="D5092" s="10">
        <f t="shared" si="79"/>
        <v>4.8472035437587531</v>
      </c>
      <c r="F5092" s="8" t="str">
        <f>HYPERLINK("https://esbl.nhlbi.nih.gov/Databases/mpkFractions/proteomic_fractions_log_files/Yang_log_img/86198335.jpg","show blot")</f>
        <v>show blot</v>
      </c>
      <c r="H5092" s="8" t="str">
        <f>HYPERLINK("https://esbl.nhlbi.nih.gov/Databases/mpkFractions/proteomic_fractions_linear_files/Yang_linear_img/86198335.jpg","show blot")</f>
        <v>show blot</v>
      </c>
      <c r="J5092" s="5" t="s">
        <v>9978</v>
      </c>
      <c r="L5092" s="11">
        <v>4.8472035437587531</v>
      </c>
      <c r="N5092" s="12"/>
    </row>
    <row r="5093" spans="1:14" s="5" customFormat="1" ht="15" customHeight="1" x14ac:dyDescent="0.25">
      <c r="A5093" s="9" t="s">
        <v>9979</v>
      </c>
      <c r="C5093" s="9" t="str">
        <f>HYPERLINK("http://www.ncbi.nlm.nih.gov/protein/13386106","Nudt21")</f>
        <v>Nudt21</v>
      </c>
      <c r="D5093" s="10">
        <f t="shared" si="79"/>
        <v>6.0498864211487904</v>
      </c>
      <c r="F5093" s="8" t="str">
        <f>HYPERLINK("https://esbl.nhlbi.nih.gov/Databases/mpkFractions/proteomic_fractions_log_files/Yang_log_img/13386106.jpg","show blot")</f>
        <v>show blot</v>
      </c>
      <c r="H5093" s="8" t="str">
        <f>HYPERLINK("https://esbl.nhlbi.nih.gov/Databases/mpkFractions/proteomic_fractions_linear_files/Yang_linear_img/13386106.jpg","show blot")</f>
        <v>show blot</v>
      </c>
      <c r="J5093" s="5" t="s">
        <v>9980</v>
      </c>
      <c r="L5093" s="11">
        <v>6.0498864211487904</v>
      </c>
      <c r="N5093" s="12"/>
    </row>
    <row r="5094" spans="1:14" s="5" customFormat="1" ht="15" customHeight="1" x14ac:dyDescent="0.25">
      <c r="A5094" s="9" t="s">
        <v>9981</v>
      </c>
      <c r="C5094" s="9" t="str">
        <f>HYPERLINK("http://www.ncbi.nlm.nih.gov/protein/9789933","Nudt3")</f>
        <v>Nudt3</v>
      </c>
      <c r="D5094" s="10">
        <f t="shared" si="79"/>
        <v>5.4824881531528238</v>
      </c>
      <c r="F5094" s="8" t="str">
        <f>HYPERLINK("https://esbl.nhlbi.nih.gov/Databases/mpkFractions/proteomic_fractions_log_files/Yang_log_img/9789933.jpg","show blot")</f>
        <v>show blot</v>
      </c>
      <c r="H5094" s="8" t="str">
        <f>HYPERLINK("https://esbl.nhlbi.nih.gov/Databases/mpkFractions/proteomic_fractions_linear_files/Yang_linear_img/9789933.jpg","show blot")</f>
        <v>show blot</v>
      </c>
      <c r="J5094" s="5" t="s">
        <v>9982</v>
      </c>
      <c r="L5094" s="11">
        <v>5.4824881531528238</v>
      </c>
      <c r="N5094" s="12"/>
    </row>
    <row r="5095" spans="1:14" s="5" customFormat="1" ht="15" customHeight="1" x14ac:dyDescent="0.25">
      <c r="A5095" s="9" t="s">
        <v>9983</v>
      </c>
      <c r="C5095" s="9" t="str">
        <f>HYPERLINK("http://www.ncbi.nlm.nih.gov/protein/169808397","Nudt4")</f>
        <v>Nudt4</v>
      </c>
      <c r="D5095" s="10">
        <f t="shared" si="79"/>
        <v>5.2009318093156587</v>
      </c>
      <c r="F5095" s="8" t="str">
        <f>HYPERLINK("https://esbl.nhlbi.nih.gov/Databases/mpkFractions/proteomic_fractions_log_files/Yang_log_img/169808397.jpg","show blot")</f>
        <v>show blot</v>
      </c>
      <c r="H5095" s="8" t="str">
        <f>HYPERLINK("https://esbl.nhlbi.nih.gov/Databases/mpkFractions/proteomic_fractions_linear_files/Yang_linear_img/169808397.jpg","show blot")</f>
        <v>show blot</v>
      </c>
      <c r="J5095" s="5" t="s">
        <v>9984</v>
      </c>
      <c r="L5095" s="11">
        <v>5.2009318093156587</v>
      </c>
      <c r="N5095" s="12"/>
    </row>
    <row r="5096" spans="1:14" s="5" customFormat="1" ht="15" customHeight="1" x14ac:dyDescent="0.25">
      <c r="A5096" s="9" t="s">
        <v>9985</v>
      </c>
      <c r="C5096" s="9" t="str">
        <f>HYPERLINK("http://www.ncbi.nlm.nih.gov/protein/8393853","Nudt5")</f>
        <v>Nudt5</v>
      </c>
      <c r="D5096" s="10">
        <f t="shared" si="79"/>
        <v>5.7683909643043929</v>
      </c>
      <c r="F5096" s="8" t="str">
        <f>HYPERLINK("https://esbl.nhlbi.nih.gov/Databases/mpkFractions/proteomic_fractions_log_files/Yang_log_img/8393853.jpg","show blot")</f>
        <v>show blot</v>
      </c>
      <c r="H5096" s="8" t="str">
        <f>HYPERLINK("https://esbl.nhlbi.nih.gov/Databases/mpkFractions/proteomic_fractions_linear_files/Yang_linear_img/8393853.jpg","show blot")</f>
        <v>show blot</v>
      </c>
      <c r="J5096" s="5" t="s">
        <v>9986</v>
      </c>
      <c r="L5096" s="11">
        <v>5.7683909643043929</v>
      </c>
      <c r="N5096" s="12"/>
    </row>
    <row r="5097" spans="1:14" s="5" customFormat="1" ht="15" customHeight="1" x14ac:dyDescent="0.25">
      <c r="A5097" s="9" t="s">
        <v>9987</v>
      </c>
      <c r="C5097" s="9" t="str">
        <f>HYPERLINK("http://www.ncbi.nlm.nih.gov/protein/13384950","Nudt8")</f>
        <v>Nudt8</v>
      </c>
      <c r="D5097" s="10">
        <f t="shared" si="79"/>
        <v>3.9758074251083988</v>
      </c>
      <c r="F5097" s="8" t="str">
        <f>HYPERLINK("https://esbl.nhlbi.nih.gov/Databases/mpkFractions/proteomic_fractions_log_files/Yang_log_img/13384950.jpg","show blot")</f>
        <v>show blot</v>
      </c>
      <c r="H5097" s="8" t="str">
        <f>HYPERLINK("https://esbl.nhlbi.nih.gov/Databases/mpkFractions/proteomic_fractions_linear_files/Yang_linear_img/13384950.jpg","show blot")</f>
        <v>show blot</v>
      </c>
      <c r="J5097" s="5" t="s">
        <v>9988</v>
      </c>
      <c r="L5097" s="11">
        <v>3.9758074251083988</v>
      </c>
      <c r="N5097" s="12"/>
    </row>
    <row r="5098" spans="1:14" s="5" customFormat="1" ht="15" customHeight="1" x14ac:dyDescent="0.25">
      <c r="A5098" s="9" t="s">
        <v>9989</v>
      </c>
      <c r="C5098" s="9" t="str">
        <f>HYPERLINK("http://www.ncbi.nlm.nih.gov/protein/27753998","Nudt9")</f>
        <v>Nudt9</v>
      </c>
      <c r="D5098" s="10">
        <f t="shared" si="79"/>
        <v>4.6094772712911709</v>
      </c>
      <c r="F5098" s="8" t="str">
        <f>HYPERLINK("https://esbl.nhlbi.nih.gov/Databases/mpkFractions/proteomic_fractions_log_files/Yang_log_img/27753998.jpg","show blot")</f>
        <v>show blot</v>
      </c>
      <c r="H5098" s="8" t="str">
        <f>HYPERLINK("https://esbl.nhlbi.nih.gov/Databases/mpkFractions/proteomic_fractions_linear_files/Yang_linear_img/27753998.jpg","show blot")</f>
        <v>show blot</v>
      </c>
      <c r="J5098" s="5" t="s">
        <v>9990</v>
      </c>
      <c r="L5098" s="11">
        <v>4.6094772712911709</v>
      </c>
      <c r="N5098" s="12"/>
    </row>
    <row r="5099" spans="1:14" s="5" customFormat="1" ht="15" customHeight="1" x14ac:dyDescent="0.25">
      <c r="A5099" s="9" t="s">
        <v>9991</v>
      </c>
      <c r="C5099" s="9" t="str">
        <f>HYPERLINK("http://www.ncbi.nlm.nih.gov/protein/110625714","Nuf2")</f>
        <v>Nuf2</v>
      </c>
      <c r="D5099" s="10">
        <f t="shared" si="79"/>
        <v>1.047202731434856</v>
      </c>
      <c r="F5099" s="8" t="str">
        <f>HYPERLINK("https://esbl.nhlbi.nih.gov/Databases/mpkFractions/proteomic_fractions_log_files/Yang_log_img/110625714.jpg","show blot")</f>
        <v>show blot</v>
      </c>
      <c r="H5099" s="8" t="str">
        <f>HYPERLINK("https://esbl.nhlbi.nih.gov/Databases/mpkFractions/proteomic_fractions_linear_files/Yang_linear_img/110625714.jpg","show blot")</f>
        <v>show blot</v>
      </c>
      <c r="J5099" s="5" t="s">
        <v>9992</v>
      </c>
      <c r="L5099" s="11">
        <v>1.047202731434856</v>
      </c>
      <c r="N5099" s="12"/>
    </row>
    <row r="5100" spans="1:14" s="5" customFormat="1" ht="15" customHeight="1" x14ac:dyDescent="0.25">
      <c r="A5100" s="9" t="s">
        <v>9993</v>
      </c>
      <c r="C5100" s="9" t="str">
        <f>HYPERLINK("http://www.ncbi.nlm.nih.gov/protein/66730553","Nufip2")</f>
        <v>Nufip2</v>
      </c>
      <c r="D5100" s="10">
        <f t="shared" si="79"/>
        <v>4.2507246916707047</v>
      </c>
      <c r="F5100" s="8" t="str">
        <f>HYPERLINK("https://esbl.nhlbi.nih.gov/Databases/mpkFractions/proteomic_fractions_log_files/Yang_log_img/66730553.jpg","show blot")</f>
        <v>show blot</v>
      </c>
      <c r="H5100" s="8" t="str">
        <f>HYPERLINK("https://esbl.nhlbi.nih.gov/Databases/mpkFractions/proteomic_fractions_linear_files/Yang_linear_img/66730553.jpg","show blot")</f>
        <v>show blot</v>
      </c>
      <c r="J5100" s="5" t="s">
        <v>9994</v>
      </c>
      <c r="L5100" s="11">
        <v>4.2507246916707047</v>
      </c>
      <c r="N5100" s="12"/>
    </row>
    <row r="5101" spans="1:14" s="5" customFormat="1" ht="15" customHeight="1" x14ac:dyDescent="0.25">
      <c r="A5101" s="9" t="s">
        <v>9995</v>
      </c>
      <c r="C5101" s="9" t="str">
        <f>HYPERLINK("http://www.ncbi.nlm.nih.gov/protein/254675300","Numa1")</f>
        <v>Numa1</v>
      </c>
      <c r="D5101" s="10">
        <f t="shared" si="79"/>
        <v>5.0643205008249943</v>
      </c>
      <c r="F5101" s="8" t="str">
        <f>HYPERLINK("https://esbl.nhlbi.nih.gov/Databases/mpkFractions/proteomic_fractions_log_files/Yang_log_img/254675300.jpg","show blot")</f>
        <v>show blot</v>
      </c>
      <c r="H5101" s="8" t="str">
        <f>HYPERLINK("https://esbl.nhlbi.nih.gov/Databases/mpkFractions/proteomic_fractions_linear_files/Yang_linear_img/254675300.jpg","show blot")</f>
        <v>show blot</v>
      </c>
      <c r="J5101" s="5" t="s">
        <v>9996</v>
      </c>
      <c r="L5101" s="11">
        <v>5.0643205008249943</v>
      </c>
      <c r="N5101" s="12"/>
    </row>
    <row r="5102" spans="1:14" s="5" customFormat="1" ht="15" customHeight="1" x14ac:dyDescent="0.25">
      <c r="A5102" s="9" t="s">
        <v>9997</v>
      </c>
      <c r="C5102" s="9" t="str">
        <f>HYPERLINK("http://www.ncbi.nlm.nih.gov/protein/209862959","Numb")</f>
        <v>Numb</v>
      </c>
      <c r="D5102" s="10">
        <f t="shared" si="79"/>
        <v>3.0378745065008559</v>
      </c>
      <c r="F5102" s="8" t="str">
        <f>HYPERLINK("https://esbl.nhlbi.nih.gov/Databases/mpkFractions/proteomic_fractions_log_files/Yang_log_img/209862959.jpg","show blot")</f>
        <v>show blot</v>
      </c>
      <c r="H5102" s="8" t="str">
        <f>HYPERLINK("https://esbl.nhlbi.nih.gov/Databases/mpkFractions/proteomic_fractions_linear_files/Yang_linear_img/209862959.jpg","show blot")</f>
        <v>show blot</v>
      </c>
      <c r="J5102" s="5" t="s">
        <v>9998</v>
      </c>
      <c r="L5102" s="11">
        <v>3.0378745065008559</v>
      </c>
      <c r="N5102" s="12"/>
    </row>
    <row r="5103" spans="1:14" s="5" customFormat="1" ht="15" customHeight="1" x14ac:dyDescent="0.25">
      <c r="A5103" s="9" t="s">
        <v>9999</v>
      </c>
      <c r="C5103" s="9" t="str">
        <f>HYPERLINK("http://www.ncbi.nlm.nih.gov/protein/440546408","Numb")</f>
        <v>Numb</v>
      </c>
      <c r="D5103" s="10">
        <f t="shared" si="79"/>
        <v>3.0378745065008559</v>
      </c>
      <c r="F5103" s="8" t="str">
        <f>HYPERLINK("https://esbl.nhlbi.nih.gov/Databases/mpkFractions/proteomic_fractions_log_files/Yang_log_img/440546408.jpg","show blot")</f>
        <v>show blot</v>
      </c>
      <c r="H5103" s="8" t="str">
        <f>HYPERLINK("https://esbl.nhlbi.nih.gov/Databases/mpkFractions/proteomic_fractions_linear_files/Yang_linear_img/440546408.jpg","show blot")</f>
        <v>show blot</v>
      </c>
      <c r="J5103" s="5" t="s">
        <v>10000</v>
      </c>
      <c r="L5103" s="11">
        <v>3.0378745065008559</v>
      </c>
      <c r="N5103" s="12"/>
    </row>
    <row r="5104" spans="1:14" s="5" customFormat="1" ht="15" customHeight="1" x14ac:dyDescent="0.25">
      <c r="A5104" s="9" t="s">
        <v>10001</v>
      </c>
      <c r="C5104" s="9" t="str">
        <f>HYPERLINK("http://www.ncbi.nlm.nih.gov/protein/440546411","Numb")</f>
        <v>Numb</v>
      </c>
      <c r="D5104" s="10">
        <f t="shared" si="79"/>
        <v>3.0378745065008559</v>
      </c>
      <c r="F5104" s="8" t="str">
        <f>HYPERLINK("https://esbl.nhlbi.nih.gov/Databases/mpkFractions/proteomic_fractions_log_files/Yang_log_img/440546411.jpg","show blot")</f>
        <v>show blot</v>
      </c>
      <c r="H5104" s="8" t="str">
        <f>HYPERLINK("https://esbl.nhlbi.nih.gov/Databases/mpkFractions/proteomic_fractions_linear_files/Yang_linear_img/440546411.jpg","show blot")</f>
        <v>show blot</v>
      </c>
      <c r="J5104" s="5" t="s">
        <v>10002</v>
      </c>
      <c r="L5104" s="11">
        <v>3.0378745065008559</v>
      </c>
      <c r="N5104" s="12"/>
    </row>
    <row r="5105" spans="1:14" s="5" customFormat="1" ht="15" customHeight="1" x14ac:dyDescent="0.25">
      <c r="A5105" s="9" t="s">
        <v>10003</v>
      </c>
      <c r="C5105" s="9" t="str">
        <f>HYPERLINK("http://www.ncbi.nlm.nih.gov/protein/6754912","Numb")</f>
        <v>Numb</v>
      </c>
      <c r="D5105" s="10">
        <f t="shared" si="79"/>
        <v>3.0378745065008559</v>
      </c>
      <c r="F5105" s="8" t="str">
        <f>HYPERLINK("https://esbl.nhlbi.nih.gov/Databases/mpkFractions/proteomic_fractions_log_files/Yang_log_img/6754912.jpg","show blot")</f>
        <v>show blot</v>
      </c>
      <c r="H5105" s="8" t="str">
        <f>HYPERLINK("https://esbl.nhlbi.nih.gov/Databases/mpkFractions/proteomic_fractions_linear_files/Yang_linear_img/6754912.jpg","show blot")</f>
        <v>show blot</v>
      </c>
      <c r="J5105" s="5" t="s">
        <v>10004</v>
      </c>
      <c r="L5105" s="11">
        <v>3.0378745065008559</v>
      </c>
      <c r="N5105" s="12"/>
    </row>
    <row r="5106" spans="1:14" s="5" customFormat="1" ht="15" customHeight="1" x14ac:dyDescent="0.25">
      <c r="A5106" s="9" t="s">
        <v>10005</v>
      </c>
      <c r="C5106" s="9" t="str">
        <f>HYPERLINK("http://www.ncbi.nlm.nih.gov/protein/29789351","Nup107")</f>
        <v>Nup107</v>
      </c>
      <c r="D5106" s="10">
        <f t="shared" si="79"/>
        <v>3.3526171974015222</v>
      </c>
      <c r="F5106" s="8" t="str">
        <f>HYPERLINK("https://esbl.nhlbi.nih.gov/Databases/mpkFractions/proteomic_fractions_log_files/Yang_log_img/29789351.jpg","show blot")</f>
        <v>show blot</v>
      </c>
      <c r="H5106" s="8" t="str">
        <f>HYPERLINK("https://esbl.nhlbi.nih.gov/Databases/mpkFractions/proteomic_fractions_linear_files/Yang_linear_img/29789351.jpg","show blot")</f>
        <v>show blot</v>
      </c>
      <c r="J5106" s="5" t="s">
        <v>10006</v>
      </c>
      <c r="L5106" s="11">
        <v>3.3526171974015222</v>
      </c>
      <c r="N5106" s="12"/>
    </row>
    <row r="5107" spans="1:14" s="5" customFormat="1" ht="15" customHeight="1" x14ac:dyDescent="0.25">
      <c r="A5107" s="9" t="s">
        <v>10007</v>
      </c>
      <c r="C5107" s="9" t="str">
        <f>HYPERLINK("http://www.ncbi.nlm.nih.gov/protein/283806543","Nup133")</f>
        <v>Nup133</v>
      </c>
      <c r="D5107" s="10">
        <f t="shared" si="79"/>
        <v>3.9435761148750021</v>
      </c>
      <c r="F5107" s="8" t="str">
        <f>HYPERLINK("https://esbl.nhlbi.nih.gov/Databases/mpkFractions/proteomic_fractions_log_files/Yang_log_img/283806543.jpg","show blot")</f>
        <v>show blot</v>
      </c>
      <c r="H5107" s="8" t="str">
        <f>HYPERLINK("https://esbl.nhlbi.nih.gov/Databases/mpkFractions/proteomic_fractions_linear_files/Yang_linear_img/283806543.jpg","show blot")</f>
        <v>show blot</v>
      </c>
      <c r="J5107" s="5" t="s">
        <v>10008</v>
      </c>
      <c r="L5107" s="11">
        <v>3.9435761148750021</v>
      </c>
      <c r="N5107" s="12"/>
    </row>
    <row r="5108" spans="1:14" s="5" customFormat="1" ht="15" customHeight="1" x14ac:dyDescent="0.25">
      <c r="A5108" s="9" t="s">
        <v>10009</v>
      </c>
      <c r="C5108" s="9" t="str">
        <f>HYPERLINK("http://www.ncbi.nlm.nih.gov/protein/165932389","Nup155")</f>
        <v>Nup155</v>
      </c>
      <c r="D5108" s="10">
        <f t="shared" si="79"/>
        <v>4.4053987399423589</v>
      </c>
      <c r="F5108" s="8" t="str">
        <f>HYPERLINK("https://esbl.nhlbi.nih.gov/Databases/mpkFractions/proteomic_fractions_log_files/Yang_log_img/165932389.jpg","show blot")</f>
        <v>show blot</v>
      </c>
      <c r="H5108" s="8" t="str">
        <f>HYPERLINK("https://esbl.nhlbi.nih.gov/Databases/mpkFractions/proteomic_fractions_linear_files/Yang_linear_img/165932389.jpg","show blot")</f>
        <v>show blot</v>
      </c>
      <c r="J5108" s="5" t="s">
        <v>10010</v>
      </c>
      <c r="L5108" s="11">
        <v>4.4053987399423589</v>
      </c>
      <c r="N5108" s="12"/>
    </row>
    <row r="5109" spans="1:14" s="5" customFormat="1" ht="15" customHeight="1" x14ac:dyDescent="0.25">
      <c r="A5109" s="9" t="s">
        <v>10011</v>
      </c>
      <c r="C5109" s="9" t="str">
        <f>HYPERLINK("http://www.ncbi.nlm.nih.gov/protein/10946932","Nup160")</f>
        <v>Nup160</v>
      </c>
      <c r="D5109" s="10">
        <f t="shared" si="79"/>
        <v>4.1215808115976937</v>
      </c>
      <c r="F5109" s="8" t="str">
        <f>HYPERLINK("https://esbl.nhlbi.nih.gov/Databases/mpkFractions/proteomic_fractions_log_files/Yang_log_img/10946932.jpg","show blot")</f>
        <v>show blot</v>
      </c>
      <c r="H5109" s="8" t="str">
        <f>HYPERLINK("https://esbl.nhlbi.nih.gov/Databases/mpkFractions/proteomic_fractions_linear_files/Yang_linear_img/10946932.jpg","show blot")</f>
        <v>show blot</v>
      </c>
      <c r="J5109" s="5" t="s">
        <v>10012</v>
      </c>
      <c r="L5109" s="11">
        <v>4.1215808115976937</v>
      </c>
      <c r="N5109" s="12"/>
    </row>
    <row r="5110" spans="1:14" s="5" customFormat="1" ht="15" customHeight="1" x14ac:dyDescent="0.25">
      <c r="A5110" s="9" t="s">
        <v>10013</v>
      </c>
      <c r="C5110" s="9" t="str">
        <f>HYPERLINK("http://www.ncbi.nlm.nih.gov/protein/38678526","Nup188")</f>
        <v>Nup188</v>
      </c>
      <c r="D5110" s="10">
        <f t="shared" si="79"/>
        <v>3.0003343196025889</v>
      </c>
      <c r="F5110" s="8" t="str">
        <f>HYPERLINK("https://esbl.nhlbi.nih.gov/Databases/mpkFractions/proteomic_fractions_log_files/Yang_log_img/38678526.jpg","show blot")</f>
        <v>show blot</v>
      </c>
      <c r="H5110" s="8" t="str">
        <f>HYPERLINK("https://esbl.nhlbi.nih.gov/Databases/mpkFractions/proteomic_fractions_linear_files/Yang_linear_img/38678526.jpg","show blot")</f>
        <v>show blot</v>
      </c>
      <c r="J5110" s="5" t="s">
        <v>10014</v>
      </c>
      <c r="L5110" s="11">
        <v>3.0003343196025889</v>
      </c>
      <c r="N5110" s="12"/>
    </row>
    <row r="5111" spans="1:14" s="5" customFormat="1" ht="15" customHeight="1" x14ac:dyDescent="0.25">
      <c r="A5111" s="9" t="s">
        <v>10015</v>
      </c>
      <c r="C5111" s="9" t="str">
        <f>HYPERLINK("http://www.ncbi.nlm.nih.gov/protein/226437676","Nup205")</f>
        <v>Nup205</v>
      </c>
      <c r="D5111" s="10">
        <f t="shared" si="79"/>
        <v>3.8564626634571222</v>
      </c>
      <c r="F5111" s="8" t="str">
        <f>HYPERLINK("https://esbl.nhlbi.nih.gov/Databases/mpkFractions/proteomic_fractions_log_files/Yang_log_img/226437676.jpg","show blot")</f>
        <v>show blot</v>
      </c>
      <c r="H5111" s="8" t="str">
        <f>HYPERLINK("https://esbl.nhlbi.nih.gov/Databases/mpkFractions/proteomic_fractions_linear_files/Yang_linear_img/226437676.jpg","show blot")</f>
        <v>show blot</v>
      </c>
      <c r="J5111" s="5" t="s">
        <v>10016</v>
      </c>
      <c r="L5111" s="11">
        <v>3.8564626634571222</v>
      </c>
      <c r="N5111" s="12"/>
    </row>
    <row r="5112" spans="1:14" s="5" customFormat="1" ht="15" customHeight="1" x14ac:dyDescent="0.25">
      <c r="A5112" s="9" t="s">
        <v>10017</v>
      </c>
      <c r="C5112" s="9" t="str">
        <f>HYPERLINK("http://www.ncbi.nlm.nih.gov/protein/172073152","Nup210")</f>
        <v>Nup210</v>
      </c>
      <c r="D5112" s="10">
        <f t="shared" si="79"/>
        <v>3.8716356300666641</v>
      </c>
      <c r="F5112" s="8" t="str">
        <f>HYPERLINK("https://esbl.nhlbi.nih.gov/Databases/mpkFractions/proteomic_fractions_log_files/Yang_log_img/172073152.jpg","show blot")</f>
        <v>show blot</v>
      </c>
      <c r="H5112" s="8" t="str">
        <f>HYPERLINK("https://esbl.nhlbi.nih.gov/Databases/mpkFractions/proteomic_fractions_linear_files/Yang_linear_img/172073152.jpg","show blot")</f>
        <v>show blot</v>
      </c>
      <c r="J5112" s="5" t="s">
        <v>10018</v>
      </c>
      <c r="L5112" s="11">
        <v>3.8716356300666641</v>
      </c>
      <c r="N5112" s="12"/>
    </row>
    <row r="5113" spans="1:14" s="5" customFormat="1" ht="15" customHeight="1" x14ac:dyDescent="0.25">
      <c r="A5113" s="9" t="s">
        <v>10019</v>
      </c>
      <c r="C5113" s="9" t="str">
        <f>HYPERLINK("http://www.ncbi.nlm.nih.gov/protein/124378033","Nup214")</f>
        <v>Nup214</v>
      </c>
      <c r="D5113" s="10">
        <f t="shared" si="79"/>
        <v>3.2808651531510571</v>
      </c>
      <c r="F5113" s="8" t="str">
        <f>HYPERLINK("https://esbl.nhlbi.nih.gov/Databases/mpkFractions/proteomic_fractions_log_files/Yang_log_img/124378033.jpg","show blot")</f>
        <v>show blot</v>
      </c>
      <c r="H5113" s="8" t="str">
        <f>HYPERLINK("https://esbl.nhlbi.nih.gov/Databases/mpkFractions/proteomic_fractions_linear_files/Yang_linear_img/124378033.jpg","show blot")</f>
        <v>show blot</v>
      </c>
      <c r="J5113" s="5" t="s">
        <v>10020</v>
      </c>
      <c r="L5113" s="11">
        <v>3.2808651531510571</v>
      </c>
      <c r="N5113" s="12"/>
    </row>
    <row r="5114" spans="1:14" s="5" customFormat="1" ht="15" customHeight="1" x14ac:dyDescent="0.25">
      <c r="A5114" s="9" t="s">
        <v>10021</v>
      </c>
      <c r="C5114" s="9" t="str">
        <f>HYPERLINK("http://www.ncbi.nlm.nih.gov/protein/298231198","Nup35")</f>
        <v>Nup35</v>
      </c>
      <c r="D5114" s="10">
        <f t="shared" si="79"/>
        <v>5.0701106284769013</v>
      </c>
      <c r="F5114" s="8" t="str">
        <f>HYPERLINK("https://esbl.nhlbi.nih.gov/Databases/mpkFractions/proteomic_fractions_log_files/Yang_log_img/298231198.jpg","show blot")</f>
        <v>show blot</v>
      </c>
      <c r="H5114" s="8" t="str">
        <f>HYPERLINK("https://esbl.nhlbi.nih.gov/Databases/mpkFractions/proteomic_fractions_linear_files/Yang_linear_img/298231198.jpg","show blot")</f>
        <v>show blot</v>
      </c>
      <c r="J5114" s="5" t="s">
        <v>10022</v>
      </c>
      <c r="L5114" s="11">
        <v>5.0701106284769013</v>
      </c>
      <c r="N5114" s="12"/>
    </row>
    <row r="5115" spans="1:14" s="5" customFormat="1" ht="15" customHeight="1" x14ac:dyDescent="0.25">
      <c r="A5115" s="9" t="s">
        <v>10023</v>
      </c>
      <c r="C5115" s="9" t="str">
        <f>HYPERLINK("http://www.ncbi.nlm.nih.gov/protein/58037163","Nup35")</f>
        <v>Nup35</v>
      </c>
      <c r="D5115" s="10">
        <f t="shared" si="79"/>
        <v>5.0701106284769013</v>
      </c>
      <c r="F5115" s="8" t="str">
        <f>HYPERLINK("https://esbl.nhlbi.nih.gov/Databases/mpkFractions/proteomic_fractions_log_files/Yang_log_img/58037163.jpg","show blot")</f>
        <v>show blot</v>
      </c>
      <c r="H5115" s="8" t="str">
        <f>HYPERLINK("https://esbl.nhlbi.nih.gov/Databases/mpkFractions/proteomic_fractions_linear_files/Yang_linear_img/58037163.jpg","show blot")</f>
        <v>show blot</v>
      </c>
      <c r="J5115" s="5" t="s">
        <v>10024</v>
      </c>
      <c r="L5115" s="11">
        <v>5.0701106284769013</v>
      </c>
      <c r="N5115" s="12"/>
    </row>
    <row r="5116" spans="1:14" s="5" customFormat="1" ht="15" customHeight="1" x14ac:dyDescent="0.25">
      <c r="A5116" s="9" t="s">
        <v>10025</v>
      </c>
      <c r="C5116" s="9" t="str">
        <f>HYPERLINK("http://www.ncbi.nlm.nih.gov/protein/210032861","Nup37")</f>
        <v>Nup37</v>
      </c>
      <c r="D5116" s="10">
        <f t="shared" si="79"/>
        <v>4.0032942008028973</v>
      </c>
      <c r="F5116" s="8" t="str">
        <f>HYPERLINK("https://esbl.nhlbi.nih.gov/Databases/mpkFractions/proteomic_fractions_log_files/Yang_log_img/210032861.jpg","show blot")</f>
        <v>show blot</v>
      </c>
      <c r="H5116" s="8" t="str">
        <f>HYPERLINK("https://esbl.nhlbi.nih.gov/Databases/mpkFractions/proteomic_fractions_linear_files/Yang_linear_img/210032861.jpg","show blot")</f>
        <v>show blot</v>
      </c>
      <c r="J5116" s="5" t="s">
        <v>10026</v>
      </c>
      <c r="L5116" s="11">
        <v>4.0032942008028973</v>
      </c>
      <c r="N5116" s="12"/>
    </row>
    <row r="5117" spans="1:14" s="5" customFormat="1" ht="15" customHeight="1" x14ac:dyDescent="0.25">
      <c r="A5117" s="9" t="s">
        <v>10027</v>
      </c>
      <c r="C5117" s="9" t="str">
        <f>HYPERLINK("http://www.ncbi.nlm.nih.gov/protein/166295220","Nup43")</f>
        <v>Nup43</v>
      </c>
      <c r="D5117" s="10">
        <f t="shared" si="79"/>
        <v>4.3029460281669518</v>
      </c>
      <c r="F5117" s="8" t="str">
        <f>HYPERLINK("https://esbl.nhlbi.nih.gov/Databases/mpkFractions/proteomic_fractions_log_files/Yang_log_img/166295220.jpg","show blot")</f>
        <v>show blot</v>
      </c>
      <c r="H5117" s="8" t="str">
        <f>HYPERLINK("https://esbl.nhlbi.nih.gov/Databases/mpkFractions/proteomic_fractions_linear_files/Yang_linear_img/166295220.jpg","show blot")</f>
        <v>show blot</v>
      </c>
      <c r="J5117" s="5" t="s">
        <v>10028</v>
      </c>
      <c r="L5117" s="11">
        <v>4.3029460281669518</v>
      </c>
      <c r="N5117" s="12"/>
    </row>
    <row r="5118" spans="1:14" s="5" customFormat="1" ht="15" customHeight="1" x14ac:dyDescent="0.25">
      <c r="A5118" s="9" t="s">
        <v>10029</v>
      </c>
      <c r="C5118" s="9" t="str">
        <f>HYPERLINK("http://www.ncbi.nlm.nih.gov/protein/38016154","Nup50")</f>
        <v>Nup50</v>
      </c>
      <c r="D5118" s="10">
        <f t="shared" si="79"/>
        <v>4.4981424018944409</v>
      </c>
      <c r="F5118" s="8" t="str">
        <f>HYPERLINK("https://esbl.nhlbi.nih.gov/Databases/mpkFractions/proteomic_fractions_log_files/Yang_log_img/38016154.jpg","show blot")</f>
        <v>show blot</v>
      </c>
      <c r="H5118" s="8" t="str">
        <f>HYPERLINK("https://esbl.nhlbi.nih.gov/Databases/mpkFractions/proteomic_fractions_linear_files/Yang_linear_img/38016154.jpg","show blot")</f>
        <v>show blot</v>
      </c>
      <c r="J5118" s="5" t="s">
        <v>10030</v>
      </c>
      <c r="L5118" s="11">
        <v>4.4981424018944409</v>
      </c>
      <c r="N5118" s="12"/>
    </row>
    <row r="5119" spans="1:14" s="5" customFormat="1" ht="15" customHeight="1" x14ac:dyDescent="0.25">
      <c r="A5119" s="9" t="s">
        <v>10031</v>
      </c>
      <c r="C5119" s="9" t="str">
        <f>HYPERLINK("http://www.ncbi.nlm.nih.gov/protein/39930543","Nup54")</f>
        <v>Nup54</v>
      </c>
      <c r="D5119" s="10">
        <f t="shared" si="79"/>
        <v>3.448703843758985</v>
      </c>
      <c r="F5119" s="8" t="str">
        <f>HYPERLINK("https://esbl.nhlbi.nih.gov/Databases/mpkFractions/proteomic_fractions_log_files/Yang_log_img/39930543.jpg","show blot")</f>
        <v>show blot</v>
      </c>
      <c r="H5119" s="8" t="str">
        <f>HYPERLINK("https://esbl.nhlbi.nih.gov/Databases/mpkFractions/proteomic_fractions_linear_files/Yang_linear_img/39930543.jpg","show blot")</f>
        <v>show blot</v>
      </c>
      <c r="J5119" s="5" t="s">
        <v>10032</v>
      </c>
      <c r="L5119" s="11">
        <v>3.448703843758985</v>
      </c>
      <c r="N5119" s="12"/>
    </row>
    <row r="5120" spans="1:14" s="5" customFormat="1" ht="15" customHeight="1" x14ac:dyDescent="0.25">
      <c r="A5120" s="9" t="s">
        <v>10033</v>
      </c>
      <c r="C5120" s="9" t="str">
        <f>HYPERLINK("http://www.ncbi.nlm.nih.gov/protein/108773813","Nup85")</f>
        <v>Nup85</v>
      </c>
      <c r="D5120" s="10">
        <f t="shared" si="79"/>
        <v>3.5615810104375329</v>
      </c>
      <c r="F5120" s="8" t="str">
        <f>HYPERLINK("https://esbl.nhlbi.nih.gov/Databases/mpkFractions/proteomic_fractions_log_files/Yang_log_img/108773813.jpg","show blot")</f>
        <v>show blot</v>
      </c>
      <c r="H5120" s="8" t="str">
        <f>HYPERLINK("https://esbl.nhlbi.nih.gov/Databases/mpkFractions/proteomic_fractions_linear_files/Yang_linear_img/108773813.jpg","show blot")</f>
        <v>show blot</v>
      </c>
      <c r="J5120" s="5" t="s">
        <v>10034</v>
      </c>
      <c r="L5120" s="11">
        <v>3.5615810104375329</v>
      </c>
      <c r="N5120" s="12"/>
    </row>
    <row r="5121" spans="1:14" s="5" customFormat="1" ht="15" customHeight="1" x14ac:dyDescent="0.25">
      <c r="A5121" s="9" t="s">
        <v>10035</v>
      </c>
      <c r="C5121" s="9" t="str">
        <f>HYPERLINK("http://www.ncbi.nlm.nih.gov/protein/27369533","Nup93")</f>
        <v>Nup93</v>
      </c>
      <c r="D5121" s="10">
        <f t="shared" si="79"/>
        <v>5.0989620926869801</v>
      </c>
      <c r="F5121" s="8" t="str">
        <f>HYPERLINK("https://esbl.nhlbi.nih.gov/Databases/mpkFractions/proteomic_fractions_log_files/Yang_log_img/27369533.jpg","show blot")</f>
        <v>show blot</v>
      </c>
      <c r="H5121" s="8" t="str">
        <f>HYPERLINK("https://esbl.nhlbi.nih.gov/Databases/mpkFractions/proteomic_fractions_linear_files/Yang_linear_img/27369533.jpg","show blot")</f>
        <v>show blot</v>
      </c>
      <c r="J5121" s="5" t="s">
        <v>10036</v>
      </c>
      <c r="L5121" s="11">
        <v>5.0989620926869801</v>
      </c>
      <c r="N5121" s="12"/>
    </row>
    <row r="5122" spans="1:14" s="5" customFormat="1" ht="15" customHeight="1" x14ac:dyDescent="0.25">
      <c r="A5122" s="9" t="s">
        <v>10037</v>
      </c>
      <c r="C5122" s="9" t="str">
        <f>HYPERLINK("http://www.ncbi.nlm.nih.gov/protein/13384840","Nus1")</f>
        <v>Nus1</v>
      </c>
      <c r="D5122" s="10">
        <f t="shared" si="79"/>
        <v>2.60389288805874</v>
      </c>
      <c r="F5122" s="8" t="str">
        <f>HYPERLINK("https://esbl.nhlbi.nih.gov/Databases/mpkFractions/proteomic_fractions_log_files/Yang_log_img/13384840.jpg","show blot")</f>
        <v>show blot</v>
      </c>
      <c r="H5122" s="8" t="str">
        <f>HYPERLINK("https://esbl.nhlbi.nih.gov/Databases/mpkFractions/proteomic_fractions_linear_files/Yang_linear_img/13384840.jpg","show blot")</f>
        <v>show blot</v>
      </c>
      <c r="J5122" s="5" t="s">
        <v>10038</v>
      </c>
      <c r="L5122" s="11">
        <v>2.60389288805874</v>
      </c>
      <c r="N5122" s="12"/>
    </row>
    <row r="5123" spans="1:14" s="5" customFormat="1" ht="15" customHeight="1" x14ac:dyDescent="0.25">
      <c r="A5123" s="9" t="s">
        <v>10039</v>
      </c>
      <c r="C5123" s="9" t="str">
        <f>HYPERLINK("http://www.ncbi.nlm.nih.gov/protein/111118996","Nusap1")</f>
        <v>Nusap1</v>
      </c>
      <c r="D5123" s="10">
        <f t="shared" si="79"/>
        <v>3.5755786736514068</v>
      </c>
      <c r="F5123" s="8" t="str">
        <f>HYPERLINK("https://esbl.nhlbi.nih.gov/Databases/mpkFractions/proteomic_fractions_log_files/Yang_log_img/111118996.jpg","show blot")</f>
        <v>show blot</v>
      </c>
      <c r="H5123" s="8" t="str">
        <f>HYPERLINK("https://esbl.nhlbi.nih.gov/Databases/mpkFractions/proteomic_fractions_linear_files/Yang_linear_img/111118996.jpg","show blot")</f>
        <v>show blot</v>
      </c>
      <c r="J5123" s="5" t="s">
        <v>10040</v>
      </c>
      <c r="L5123" s="11">
        <v>3.5755786736514068</v>
      </c>
      <c r="N5123" s="12"/>
    </row>
    <row r="5124" spans="1:14" s="5" customFormat="1" ht="15" customHeight="1" x14ac:dyDescent="0.25">
      <c r="A5124" s="9" t="s">
        <v>10041</v>
      </c>
      <c r="C5124" s="9" t="str">
        <f>HYPERLINK("http://www.ncbi.nlm.nih.gov/protein/19527068","Nusap1")</f>
        <v>Nusap1</v>
      </c>
      <c r="D5124" s="10">
        <f t="shared" si="79"/>
        <v>3.5755786736514068</v>
      </c>
      <c r="F5124" s="8" t="str">
        <f>HYPERLINK("https://esbl.nhlbi.nih.gov/Databases/mpkFractions/proteomic_fractions_log_files/Yang_log_img/19527068.jpg","show blot")</f>
        <v>show blot</v>
      </c>
      <c r="H5124" s="8" t="str">
        <f>HYPERLINK("https://esbl.nhlbi.nih.gov/Databases/mpkFractions/proteomic_fractions_linear_files/Yang_linear_img/19527068.jpg","show blot")</f>
        <v>show blot</v>
      </c>
      <c r="J5124" s="5" t="s">
        <v>10042</v>
      </c>
      <c r="L5124" s="11">
        <v>3.5755786736514068</v>
      </c>
      <c r="N5124" s="12"/>
    </row>
    <row r="5125" spans="1:14" s="5" customFormat="1" ht="15" customHeight="1" x14ac:dyDescent="0.25">
      <c r="A5125" s="9" t="s">
        <v>10043</v>
      </c>
      <c r="C5125" s="9" t="str">
        <f>HYPERLINK("http://www.ncbi.nlm.nih.gov/protein/33468981","Nvl")</f>
        <v>Nvl</v>
      </c>
      <c r="D5125" s="10">
        <f t="shared" ref="D5125:D5188" si="80">L5125</f>
        <v>4.0302240913153673</v>
      </c>
      <c r="F5125" s="8" t="str">
        <f>HYPERLINK("https://esbl.nhlbi.nih.gov/Databases/mpkFractions/proteomic_fractions_log_files/Yang_log_img/33468981.jpg","show blot")</f>
        <v>show blot</v>
      </c>
      <c r="H5125" s="8" t="str">
        <f>HYPERLINK("https://esbl.nhlbi.nih.gov/Databases/mpkFractions/proteomic_fractions_linear_files/Yang_linear_img/33468981.jpg","show blot")</f>
        <v>show blot</v>
      </c>
      <c r="J5125" s="5" t="s">
        <v>10044</v>
      </c>
      <c r="L5125" s="11">
        <v>4.0302240913153673</v>
      </c>
      <c r="N5125" s="12"/>
    </row>
    <row r="5126" spans="1:14" s="5" customFormat="1" ht="15" customHeight="1" x14ac:dyDescent="0.25">
      <c r="A5126" s="9" t="s">
        <v>10045</v>
      </c>
      <c r="C5126" s="9" t="str">
        <f>HYPERLINK("http://www.ncbi.nlm.nih.gov/protein/452401033","Nxf1")</f>
        <v>Nxf1</v>
      </c>
      <c r="D5126" s="10">
        <f t="shared" si="80"/>
        <v>4.7518435937674024</v>
      </c>
      <c r="F5126" s="8" t="str">
        <f>HYPERLINK("https://esbl.nhlbi.nih.gov/Databases/mpkFractions/proteomic_fractions_log_files/Yang_log_img/452401033.jpg","show blot")</f>
        <v>show blot</v>
      </c>
      <c r="H5126" s="8" t="str">
        <f>HYPERLINK("https://esbl.nhlbi.nih.gov/Databases/mpkFractions/proteomic_fractions_linear_files/Yang_linear_img/452401033.jpg","show blot")</f>
        <v>show blot</v>
      </c>
      <c r="J5126" s="5" t="s">
        <v>10046</v>
      </c>
      <c r="L5126" s="11">
        <v>4.7518435937674024</v>
      </c>
      <c r="N5126" s="12"/>
    </row>
    <row r="5127" spans="1:14" s="5" customFormat="1" ht="15" customHeight="1" x14ac:dyDescent="0.25">
      <c r="A5127" s="9" t="s">
        <v>10047</v>
      </c>
      <c r="C5127" s="9" t="str">
        <f>HYPERLINK("http://www.ncbi.nlm.nih.gov/protein/31980798","Nxf1")</f>
        <v>Nxf1</v>
      </c>
      <c r="D5127" s="10">
        <f t="shared" si="80"/>
        <v>4.7518435937674024</v>
      </c>
      <c r="F5127" s="8" t="str">
        <f>HYPERLINK("https://esbl.nhlbi.nih.gov/Databases/mpkFractions/proteomic_fractions_log_files/Yang_log_img/31980798.jpg","show blot")</f>
        <v>show blot</v>
      </c>
      <c r="H5127" s="8" t="str">
        <f>HYPERLINK("https://esbl.nhlbi.nih.gov/Databases/mpkFractions/proteomic_fractions_linear_files/Yang_linear_img/31980798.jpg","show blot")</f>
        <v>show blot</v>
      </c>
      <c r="J5127" s="5" t="s">
        <v>10048</v>
      </c>
      <c r="L5127" s="11">
        <v>4.7518435937674024</v>
      </c>
      <c r="N5127" s="12"/>
    </row>
    <row r="5128" spans="1:14" s="5" customFormat="1" ht="15" customHeight="1" x14ac:dyDescent="0.25">
      <c r="A5128" s="9" t="s">
        <v>10049</v>
      </c>
      <c r="C5128" s="9" t="str">
        <f>HYPERLINK("http://www.ncbi.nlm.nih.gov/protein/6679160","Nxn")</f>
        <v>Nxn</v>
      </c>
      <c r="D5128" s="10">
        <f t="shared" si="80"/>
        <v>3.9684989389351171</v>
      </c>
      <c r="F5128" s="8" t="str">
        <f>HYPERLINK("https://esbl.nhlbi.nih.gov/Databases/mpkFractions/proteomic_fractions_log_files/Yang_log_img/6679160.jpg","show blot")</f>
        <v>show blot</v>
      </c>
      <c r="H5128" s="8" t="str">
        <f>HYPERLINK("https://esbl.nhlbi.nih.gov/Databases/mpkFractions/proteomic_fractions_linear_files/Yang_linear_img/6679160.jpg","show blot")</f>
        <v>show blot</v>
      </c>
      <c r="J5128" s="5" t="s">
        <v>10050</v>
      </c>
      <c r="L5128" s="11">
        <v>3.9684989389351171</v>
      </c>
      <c r="N5128" s="12"/>
    </row>
    <row r="5129" spans="1:14" s="5" customFormat="1" ht="15" customHeight="1" x14ac:dyDescent="0.25">
      <c r="A5129" s="9" t="s">
        <v>10051</v>
      </c>
      <c r="C5129" s="9" t="str">
        <f>HYPERLINK("http://www.ncbi.nlm.nih.gov/protein/158749549","Nxt1")</f>
        <v>Nxt1</v>
      </c>
      <c r="D5129" s="10">
        <f t="shared" si="80"/>
        <v>3.4761144876616288</v>
      </c>
      <c r="F5129" s="8" t="str">
        <f>HYPERLINK("https://esbl.nhlbi.nih.gov/Databases/mpkFractions/proteomic_fractions_log_files/Yang_log_img/158749549.jpg","show blot")</f>
        <v>show blot</v>
      </c>
      <c r="H5129" s="8" t="str">
        <f>HYPERLINK("https://esbl.nhlbi.nih.gov/Databases/mpkFractions/proteomic_fractions_linear_files/Yang_linear_img/158749549.jpg","show blot")</f>
        <v>show blot</v>
      </c>
      <c r="J5129" s="5" t="s">
        <v>10052</v>
      </c>
      <c r="L5129" s="11">
        <v>3.4761144876616288</v>
      </c>
      <c r="N5129" s="12"/>
    </row>
    <row r="5130" spans="1:14" s="5" customFormat="1" ht="15" customHeight="1" x14ac:dyDescent="0.25">
      <c r="A5130" s="9" t="s">
        <v>10053</v>
      </c>
      <c r="C5130" s="9" t="str">
        <f>HYPERLINK("http://www.ncbi.nlm.nih.gov/protein/238637332;238637330","Nxt2")</f>
        <v>Nxt2</v>
      </c>
      <c r="D5130" s="10">
        <f t="shared" si="80"/>
        <v>3.4761144876616288</v>
      </c>
      <c r="F5130" s="8" t="str">
        <f>HYPERLINK("https://esbl.nhlbi.nih.gov/Databases/mpkFractions/proteomic_fractions_log_files/Yang_log_img/238637332;238637330.jpg","show blot")</f>
        <v>show blot</v>
      </c>
      <c r="H5130" s="8" t="str">
        <f>HYPERLINK("https://esbl.nhlbi.nih.gov/Databases/mpkFractions/proteomic_fractions_linear_files/Yang_linear_img/238637332;238637330.jpg","show blot")</f>
        <v>show blot</v>
      </c>
      <c r="J5130" s="5" t="s">
        <v>10054</v>
      </c>
      <c r="L5130" s="11">
        <v>3.4761144876616288</v>
      </c>
      <c r="N5130" s="12"/>
    </row>
    <row r="5131" spans="1:14" s="5" customFormat="1" ht="15" customHeight="1" x14ac:dyDescent="0.25">
      <c r="A5131" s="9" t="s">
        <v>10055</v>
      </c>
      <c r="C5131" s="9" t="str">
        <f>HYPERLINK("http://www.ncbi.nlm.nih.gov/protein/256220954","Nynrin")</f>
        <v>Nynrin</v>
      </c>
      <c r="D5131" s="10">
        <f t="shared" si="80"/>
        <v>3.0529018031094002</v>
      </c>
      <c r="F5131" s="8" t="str">
        <f>HYPERLINK("https://esbl.nhlbi.nih.gov/Databases/mpkFractions/proteomic_fractions_log_files/Yang_log_img/256220954.jpg","show blot")</f>
        <v>show blot</v>
      </c>
      <c r="H5131" s="8" t="str">
        <f>HYPERLINK("https://esbl.nhlbi.nih.gov/Databases/mpkFractions/proteomic_fractions_linear_files/Yang_linear_img/256220954.jpg","show blot")</f>
        <v>show blot</v>
      </c>
      <c r="J5131" s="5" t="s">
        <v>10056</v>
      </c>
      <c r="L5131" s="11">
        <v>3.0529018031094002</v>
      </c>
      <c r="N5131" s="12"/>
    </row>
    <row r="5132" spans="1:14" s="5" customFormat="1" ht="15" customHeight="1" x14ac:dyDescent="0.25">
      <c r="A5132" s="9" t="s">
        <v>10057</v>
      </c>
      <c r="C5132" s="9" t="str">
        <f>HYPERLINK("http://www.ncbi.nlm.nih.gov/protein/110625732","Oard1")</f>
        <v>Oard1</v>
      </c>
      <c r="D5132" s="10">
        <f t="shared" si="80"/>
        <v>5.4602742068357157</v>
      </c>
      <c r="F5132" s="8" t="str">
        <f>HYPERLINK("https://esbl.nhlbi.nih.gov/Databases/mpkFractions/proteomic_fractions_log_files/Yang_log_img/110625732.jpg","show blot")</f>
        <v>show blot</v>
      </c>
      <c r="H5132" s="8" t="str">
        <f>HYPERLINK("https://esbl.nhlbi.nih.gov/Databases/mpkFractions/proteomic_fractions_linear_files/Yang_linear_img/110625732.jpg","show blot")</f>
        <v>show blot</v>
      </c>
      <c r="J5132" s="5" t="s">
        <v>10058</v>
      </c>
      <c r="L5132" s="11">
        <v>5.4602742068357157</v>
      </c>
      <c r="N5132" s="12"/>
    </row>
    <row r="5133" spans="1:14" s="5" customFormat="1" ht="15" customHeight="1" x14ac:dyDescent="0.25">
      <c r="A5133" s="9" t="s">
        <v>10059</v>
      </c>
      <c r="C5133" s="9" t="str">
        <f>HYPERLINK("http://www.ncbi.nlm.nih.gov/protein/281332108","Oas1a")</f>
        <v>Oas1a</v>
      </c>
      <c r="D5133" s="10">
        <f t="shared" si="80"/>
        <v>3.6849130326172141</v>
      </c>
      <c r="F5133" s="8" t="str">
        <f>HYPERLINK("https://esbl.nhlbi.nih.gov/Databases/mpkFractions/proteomic_fractions_log_files/Yang_log_img/281332108.jpg","show blot")</f>
        <v>show blot</v>
      </c>
      <c r="H5133" s="8" t="str">
        <f>HYPERLINK("https://esbl.nhlbi.nih.gov/Databases/mpkFractions/proteomic_fractions_linear_files/Yang_linear_img/281332108.jpg","show blot")</f>
        <v>show blot</v>
      </c>
      <c r="J5133" s="5" t="s">
        <v>10060</v>
      </c>
      <c r="L5133" s="11">
        <v>3.6849130326172141</v>
      </c>
      <c r="N5133" s="12"/>
    </row>
    <row r="5134" spans="1:14" s="5" customFormat="1" ht="15" customHeight="1" x14ac:dyDescent="0.25">
      <c r="A5134" s="9" t="s">
        <v>10061</v>
      </c>
      <c r="C5134" s="9" t="str">
        <f>HYPERLINK("http://www.ncbi.nlm.nih.gov/protein/31560524","Oas1g")</f>
        <v>Oas1g</v>
      </c>
      <c r="D5134" s="10">
        <f t="shared" si="80"/>
        <v>3.6849130326172141</v>
      </c>
      <c r="F5134" s="8" t="str">
        <f>HYPERLINK("https://esbl.nhlbi.nih.gov/Databases/mpkFractions/proteomic_fractions_log_files/Yang_log_img/31560524.jpg","show blot")</f>
        <v>show blot</v>
      </c>
      <c r="H5134" s="8" t="str">
        <f>HYPERLINK("https://esbl.nhlbi.nih.gov/Databases/mpkFractions/proteomic_fractions_linear_files/Yang_linear_img/31560524.jpg","show blot")</f>
        <v>show blot</v>
      </c>
      <c r="J5134" s="5" t="s">
        <v>10062</v>
      </c>
      <c r="L5134" s="11">
        <v>3.6849130326172141</v>
      </c>
      <c r="N5134" s="12"/>
    </row>
    <row r="5135" spans="1:14" s="5" customFormat="1" ht="15" customHeight="1" x14ac:dyDescent="0.25">
      <c r="A5135" s="9" t="s">
        <v>10063</v>
      </c>
      <c r="C5135" s="9" t="str">
        <f>HYPERLINK("http://www.ncbi.nlm.nih.gov/protein/28827826","Obfc1")</f>
        <v>Obfc1</v>
      </c>
      <c r="D5135" s="10">
        <f t="shared" si="80"/>
        <v>5.2084983011574151</v>
      </c>
      <c r="F5135" s="8" t="str">
        <f>HYPERLINK("https://esbl.nhlbi.nih.gov/Databases/mpkFractions/proteomic_fractions_log_files/Yang_log_img/28827826.jpg","show blot")</f>
        <v>show blot</v>
      </c>
      <c r="H5135" s="8" t="str">
        <f>HYPERLINK("https://esbl.nhlbi.nih.gov/Databases/mpkFractions/proteomic_fractions_linear_files/Yang_linear_img/28827826.jpg","show blot")</f>
        <v>show blot</v>
      </c>
      <c r="J5135" s="5" t="s">
        <v>10064</v>
      </c>
      <c r="L5135" s="11">
        <v>5.2084983011574151</v>
      </c>
      <c r="N5135" s="12"/>
    </row>
    <row r="5136" spans="1:14" s="5" customFormat="1" ht="15" customHeight="1" x14ac:dyDescent="0.25">
      <c r="A5136" s="9" t="s">
        <v>10065</v>
      </c>
      <c r="C5136" s="9" t="str">
        <f>HYPERLINK("http://www.ncbi.nlm.nih.gov/protein/170763522","Obsl1")</f>
        <v>Obsl1</v>
      </c>
      <c r="D5136" s="10">
        <f t="shared" si="80"/>
        <v>4.1295399463609703</v>
      </c>
      <c r="F5136" s="8" t="str">
        <f>HYPERLINK("https://esbl.nhlbi.nih.gov/Databases/mpkFractions/proteomic_fractions_log_files/Yang_log_img/170763522.jpg","show blot")</f>
        <v>show blot</v>
      </c>
      <c r="H5136" s="8" t="str">
        <f>HYPERLINK("https://esbl.nhlbi.nih.gov/Databases/mpkFractions/proteomic_fractions_linear_files/Yang_linear_img/170763522.jpg","show blot")</f>
        <v>show blot</v>
      </c>
      <c r="J5136" s="5" t="s">
        <v>10066</v>
      </c>
      <c r="L5136" s="11">
        <v>4.1295399463609703</v>
      </c>
      <c r="N5136" s="12"/>
    </row>
    <row r="5137" spans="1:14" s="5" customFormat="1" ht="15" customHeight="1" x14ac:dyDescent="0.25">
      <c r="A5137" s="9" t="s">
        <v>10067</v>
      </c>
      <c r="C5137" s="9" t="str">
        <f>HYPERLINK("http://www.ncbi.nlm.nih.gov/protein/12963675","Ociad1")</f>
        <v>Ociad1</v>
      </c>
      <c r="D5137" s="10">
        <f t="shared" si="80"/>
        <v>4.8739215128729132</v>
      </c>
      <c r="F5137" s="8" t="str">
        <f>HYPERLINK("https://esbl.nhlbi.nih.gov/Databases/mpkFractions/proteomic_fractions_log_files/Yang_log_img/12963675.jpg","show blot")</f>
        <v>show blot</v>
      </c>
      <c r="H5137" s="8" t="str">
        <f>HYPERLINK("https://esbl.nhlbi.nih.gov/Databases/mpkFractions/proteomic_fractions_linear_files/Yang_linear_img/12963675.jpg","show blot")</f>
        <v>show blot</v>
      </c>
      <c r="J5137" s="5" t="s">
        <v>10068</v>
      </c>
      <c r="L5137" s="11">
        <v>4.8739215128729132</v>
      </c>
      <c r="N5137" s="12"/>
    </row>
    <row r="5138" spans="1:14" s="5" customFormat="1" ht="15" customHeight="1" x14ac:dyDescent="0.25">
      <c r="A5138" s="9" t="s">
        <v>10069</v>
      </c>
      <c r="C5138" s="9" t="str">
        <f>HYPERLINK("http://www.ncbi.nlm.nih.gov/protein/229577356","Ociad1")</f>
        <v>Ociad1</v>
      </c>
      <c r="D5138" s="10">
        <f t="shared" si="80"/>
        <v>4.8739215128729132</v>
      </c>
      <c r="F5138" s="8" t="str">
        <f>HYPERLINK("https://esbl.nhlbi.nih.gov/Databases/mpkFractions/proteomic_fractions_log_files/Yang_log_img/229577356.jpg","show blot")</f>
        <v>show blot</v>
      </c>
      <c r="H5138" s="8" t="str">
        <f>HYPERLINK("https://esbl.nhlbi.nih.gov/Databases/mpkFractions/proteomic_fractions_linear_files/Yang_linear_img/229577356.jpg","show blot")</f>
        <v>show blot</v>
      </c>
      <c r="J5138" s="5" t="s">
        <v>10070</v>
      </c>
      <c r="L5138" s="11">
        <v>4.8739215128729132</v>
      </c>
      <c r="N5138" s="12"/>
    </row>
    <row r="5139" spans="1:14" s="5" customFormat="1" ht="15" customHeight="1" x14ac:dyDescent="0.25">
      <c r="A5139" s="9" t="s">
        <v>10071</v>
      </c>
      <c r="C5139" s="9" t="str">
        <f>HYPERLINK("http://www.ncbi.nlm.nih.gov/protein/229577358","Ociad1")</f>
        <v>Ociad1</v>
      </c>
      <c r="D5139" s="10">
        <f t="shared" si="80"/>
        <v>4.8739215128729132</v>
      </c>
      <c r="F5139" s="8" t="str">
        <f>HYPERLINK("https://esbl.nhlbi.nih.gov/Databases/mpkFractions/proteomic_fractions_log_files/Yang_log_img/229577358.jpg","show blot")</f>
        <v>show blot</v>
      </c>
      <c r="H5139" s="8" t="str">
        <f>HYPERLINK("https://esbl.nhlbi.nih.gov/Databases/mpkFractions/proteomic_fractions_linear_files/Yang_linear_img/229577358.jpg","show blot")</f>
        <v>show blot</v>
      </c>
      <c r="J5139" s="5" t="s">
        <v>10072</v>
      </c>
      <c r="L5139" s="11">
        <v>4.8739215128729132</v>
      </c>
      <c r="N5139" s="12"/>
    </row>
    <row r="5140" spans="1:14" s="5" customFormat="1" ht="15" customHeight="1" x14ac:dyDescent="0.25">
      <c r="A5140" s="9" t="s">
        <v>10073</v>
      </c>
      <c r="C5140" s="9" t="str">
        <f>HYPERLINK("http://www.ncbi.nlm.nih.gov/protein/38348576","Odf3l1")</f>
        <v>Odf3l1</v>
      </c>
      <c r="D5140" s="10">
        <f t="shared" si="80"/>
        <v>4.6851718050783671</v>
      </c>
      <c r="F5140" s="8" t="str">
        <f>HYPERLINK("https://esbl.nhlbi.nih.gov/Databases/mpkFractions/proteomic_fractions_log_files/Yang_log_img/38348576.jpg","show blot")</f>
        <v>show blot</v>
      </c>
      <c r="H5140" s="8" t="str">
        <f>HYPERLINK("https://esbl.nhlbi.nih.gov/Databases/mpkFractions/proteomic_fractions_linear_files/Yang_linear_img/38348576.jpg","show blot")</f>
        <v>show blot</v>
      </c>
      <c r="J5140" s="5" t="s">
        <v>10074</v>
      </c>
      <c r="L5140" s="11">
        <v>4.6851718050783671</v>
      </c>
      <c r="N5140" s="12"/>
    </row>
    <row r="5141" spans="1:14" s="5" customFormat="1" ht="15" customHeight="1" x14ac:dyDescent="0.25">
      <c r="A5141" s="9" t="s">
        <v>10075</v>
      </c>
      <c r="C5141" s="9" t="str">
        <f>HYPERLINK("http://www.ncbi.nlm.nih.gov/protein/225007605","Ofd1")</f>
        <v>Ofd1</v>
      </c>
      <c r="D5141" s="10">
        <f t="shared" si="80"/>
        <v>3.7554143766368902</v>
      </c>
      <c r="F5141" s="8" t="str">
        <f>HYPERLINK("https://esbl.nhlbi.nih.gov/Databases/mpkFractions/proteomic_fractions_log_files/Yang_log_img/225007605.jpg","show blot")</f>
        <v>show blot</v>
      </c>
      <c r="H5141" s="8" t="str">
        <f>HYPERLINK("https://esbl.nhlbi.nih.gov/Databases/mpkFractions/proteomic_fractions_linear_files/Yang_linear_img/225007605.jpg","show blot")</f>
        <v>show blot</v>
      </c>
      <c r="J5141" s="5" t="s">
        <v>10076</v>
      </c>
      <c r="L5141" s="11">
        <v>3.7554143766368902</v>
      </c>
      <c r="N5141" s="12"/>
    </row>
    <row r="5142" spans="1:14" s="5" customFormat="1" ht="15" customHeight="1" x14ac:dyDescent="0.25">
      <c r="A5142" s="9" t="s">
        <v>10077</v>
      </c>
      <c r="C5142" s="9" t="str">
        <f>HYPERLINK("http://www.ncbi.nlm.nih.gov/protein/85861164;356582489","Ogdh")</f>
        <v>Ogdh</v>
      </c>
      <c r="D5142" s="10">
        <f t="shared" si="80"/>
        <v>5.5020470417364287</v>
      </c>
      <c r="F5142" s="8" t="str">
        <f>HYPERLINK("https://esbl.nhlbi.nih.gov/Databases/mpkFractions/proteomic_fractions_log_files/Yang_log_img/85861164;356582489.jpg","show blot")</f>
        <v>show blot</v>
      </c>
      <c r="H5142" s="8" t="str">
        <f>HYPERLINK("https://esbl.nhlbi.nih.gov/Databases/mpkFractions/proteomic_fractions_linear_files/Yang_linear_img/85861164;356582489.jpg","show blot")</f>
        <v>show blot</v>
      </c>
      <c r="J5142" s="5" t="s">
        <v>10078</v>
      </c>
      <c r="L5142" s="11">
        <v>5.5020470417364287</v>
      </c>
      <c r="N5142" s="12"/>
    </row>
    <row r="5143" spans="1:14" s="5" customFormat="1" ht="15" customHeight="1" x14ac:dyDescent="0.25">
      <c r="A5143" s="9" t="s">
        <v>10079</v>
      </c>
      <c r="C5143" s="9" t="str">
        <f>HYPERLINK("http://www.ncbi.nlm.nih.gov/protein/85861164","Ogdh")</f>
        <v>Ogdh</v>
      </c>
      <c r="D5143" s="10">
        <f t="shared" si="80"/>
        <v>5.5020470417364287</v>
      </c>
      <c r="F5143" s="8" t="str">
        <f>HYPERLINK("https://esbl.nhlbi.nih.gov/Databases/mpkFractions/proteomic_fractions_log_files/Yang_log_img/85861164.jpg","show blot")</f>
        <v>show blot</v>
      </c>
      <c r="H5143" s="8" t="str">
        <f>HYPERLINK("https://esbl.nhlbi.nih.gov/Databases/mpkFractions/proteomic_fractions_linear_files/Yang_linear_img/85861164.jpg","show blot")</f>
        <v>show blot</v>
      </c>
      <c r="J5143" s="5" t="s">
        <v>10080</v>
      </c>
      <c r="L5143" s="11">
        <v>5.5020470417364287</v>
      </c>
      <c r="N5143" s="12"/>
    </row>
    <row r="5144" spans="1:14" s="5" customFormat="1" ht="15" customHeight="1" x14ac:dyDescent="0.25">
      <c r="A5144" s="9" t="s">
        <v>10081</v>
      </c>
      <c r="C5144" s="9" t="str">
        <f>HYPERLINK("http://www.ncbi.nlm.nih.gov/protein/356582477","Ogdh")</f>
        <v>Ogdh</v>
      </c>
      <c r="D5144" s="10">
        <f t="shared" si="80"/>
        <v>5.5020470417364287</v>
      </c>
      <c r="F5144" s="8" t="str">
        <f>HYPERLINK("https://esbl.nhlbi.nih.gov/Databases/mpkFractions/proteomic_fractions_log_files/Yang_log_img/356582477.jpg","show blot")</f>
        <v>show blot</v>
      </c>
      <c r="H5144" s="8" t="str">
        <f>HYPERLINK("https://esbl.nhlbi.nih.gov/Databases/mpkFractions/proteomic_fractions_linear_files/Yang_linear_img/356582477.jpg","show blot")</f>
        <v>show blot</v>
      </c>
      <c r="J5144" s="5" t="s">
        <v>10082</v>
      </c>
      <c r="L5144" s="11">
        <v>5.5020470417364287</v>
      </c>
      <c r="N5144" s="12"/>
    </row>
    <row r="5145" spans="1:14" s="5" customFormat="1" ht="15" customHeight="1" x14ac:dyDescent="0.25">
      <c r="A5145" s="9" t="s">
        <v>10083</v>
      </c>
      <c r="C5145" s="9" t="str">
        <f>HYPERLINK("http://www.ncbi.nlm.nih.gov/protein/356582479","Ogdh")</f>
        <v>Ogdh</v>
      </c>
      <c r="D5145" s="10">
        <f t="shared" si="80"/>
        <v>5.5020470417364287</v>
      </c>
      <c r="F5145" s="8" t="str">
        <f>HYPERLINK("https://esbl.nhlbi.nih.gov/Databases/mpkFractions/proteomic_fractions_log_files/Yang_log_img/356582479.jpg","show blot")</f>
        <v>show blot</v>
      </c>
      <c r="H5145" s="8" t="str">
        <f>HYPERLINK("https://esbl.nhlbi.nih.gov/Databases/mpkFractions/proteomic_fractions_linear_files/Yang_linear_img/356582479.jpg","show blot")</f>
        <v>show blot</v>
      </c>
      <c r="J5145" s="5" t="s">
        <v>10084</v>
      </c>
      <c r="L5145" s="11">
        <v>5.5020470417364287</v>
      </c>
      <c r="N5145" s="12"/>
    </row>
    <row r="5146" spans="1:14" s="5" customFormat="1" ht="15" customHeight="1" x14ac:dyDescent="0.25">
      <c r="A5146" s="9" t="s">
        <v>10085</v>
      </c>
      <c r="C5146" s="9" t="str">
        <f>HYPERLINK("http://www.ncbi.nlm.nih.gov/protein/356582492","Ogdh")</f>
        <v>Ogdh</v>
      </c>
      <c r="D5146" s="10">
        <f t="shared" si="80"/>
        <v>5.5020470417364287</v>
      </c>
      <c r="F5146" s="8" t="str">
        <f>HYPERLINK("https://esbl.nhlbi.nih.gov/Databases/mpkFractions/proteomic_fractions_log_files/Yang_log_img/356582492.jpg","show blot")</f>
        <v>show blot</v>
      </c>
      <c r="H5146" s="8" t="str">
        <f>HYPERLINK("https://esbl.nhlbi.nih.gov/Databases/mpkFractions/proteomic_fractions_linear_files/Yang_linear_img/356582492.jpg","show blot")</f>
        <v>show blot</v>
      </c>
      <c r="J5146" s="5" t="s">
        <v>10086</v>
      </c>
      <c r="L5146" s="11">
        <v>5.5020470417364287</v>
      </c>
      <c r="N5146" s="12"/>
    </row>
    <row r="5147" spans="1:14" s="5" customFormat="1" ht="15" customHeight="1" x14ac:dyDescent="0.25">
      <c r="A5147" s="9" t="s">
        <v>10087</v>
      </c>
      <c r="C5147" s="9" t="str">
        <f>HYPERLINK("http://www.ncbi.nlm.nih.gov/protein/124487483","Ogdhl")</f>
        <v>Ogdhl</v>
      </c>
      <c r="D5147" s="10">
        <f t="shared" si="80"/>
        <v>4.8178375577779882</v>
      </c>
      <c r="F5147" s="8" t="str">
        <f>HYPERLINK("https://esbl.nhlbi.nih.gov/Databases/mpkFractions/proteomic_fractions_log_files/Yang_log_img/124487483.jpg","show blot")</f>
        <v>show blot</v>
      </c>
      <c r="H5147" s="8" t="str">
        <f>HYPERLINK("https://esbl.nhlbi.nih.gov/Databases/mpkFractions/proteomic_fractions_linear_files/Yang_linear_img/124487483.jpg","show blot")</f>
        <v>show blot</v>
      </c>
      <c r="J5147" s="5" t="s">
        <v>10088</v>
      </c>
      <c r="L5147" s="11">
        <v>4.8178375577779882</v>
      </c>
      <c r="N5147" s="12"/>
    </row>
    <row r="5148" spans="1:14" s="5" customFormat="1" ht="15" customHeight="1" x14ac:dyDescent="0.25">
      <c r="A5148" s="9" t="s">
        <v>10089</v>
      </c>
      <c r="C5148" s="9" t="str">
        <f>HYPERLINK("http://www.ncbi.nlm.nih.gov/protein/147901538","Ogfod1")</f>
        <v>Ogfod1</v>
      </c>
      <c r="D5148" s="10">
        <f t="shared" si="80"/>
        <v>3.0238506423067162</v>
      </c>
      <c r="F5148" s="8" t="str">
        <f>HYPERLINK("https://esbl.nhlbi.nih.gov/Databases/mpkFractions/proteomic_fractions_log_files/Yang_log_img/147901538.jpg","show blot")</f>
        <v>show blot</v>
      </c>
      <c r="H5148" s="8" t="str">
        <f>HYPERLINK("https://esbl.nhlbi.nih.gov/Databases/mpkFractions/proteomic_fractions_linear_files/Yang_linear_img/147901538.jpg","show blot")</f>
        <v>show blot</v>
      </c>
      <c r="J5148" s="5" t="s">
        <v>10090</v>
      </c>
      <c r="L5148" s="11">
        <v>3.0238506423067162</v>
      </c>
      <c r="N5148" s="12"/>
    </row>
    <row r="5149" spans="1:14" s="5" customFormat="1" ht="15" customHeight="1" x14ac:dyDescent="0.25">
      <c r="A5149" s="9" t="s">
        <v>10091</v>
      </c>
      <c r="C5149" s="9" t="str">
        <f>HYPERLINK("http://www.ncbi.nlm.nih.gov/protein/148224284","Ogfod1")</f>
        <v>Ogfod1</v>
      </c>
      <c r="D5149" s="10">
        <f t="shared" si="80"/>
        <v>3.0238506423067162</v>
      </c>
      <c r="F5149" s="8" t="str">
        <f>HYPERLINK("https://esbl.nhlbi.nih.gov/Databases/mpkFractions/proteomic_fractions_log_files/Yang_log_img/148224284.jpg","show blot")</f>
        <v>show blot</v>
      </c>
      <c r="H5149" s="8" t="str">
        <f>HYPERLINK("https://esbl.nhlbi.nih.gov/Databases/mpkFractions/proteomic_fractions_linear_files/Yang_linear_img/148224284.jpg","show blot")</f>
        <v>show blot</v>
      </c>
      <c r="J5149" s="5" t="s">
        <v>10092</v>
      </c>
      <c r="L5149" s="11">
        <v>3.0238506423067162</v>
      </c>
      <c r="N5149" s="12"/>
    </row>
    <row r="5150" spans="1:14" s="5" customFormat="1" ht="15" customHeight="1" x14ac:dyDescent="0.25">
      <c r="A5150" s="9" t="s">
        <v>10093</v>
      </c>
      <c r="C5150" s="9" t="str">
        <f>HYPERLINK("http://www.ncbi.nlm.nih.gov/protein/258679484","Ogfr")</f>
        <v>Ogfr</v>
      </c>
      <c r="D5150" s="10">
        <f t="shared" si="80"/>
        <v>4.8022190873398296</v>
      </c>
      <c r="F5150" s="8" t="str">
        <f>HYPERLINK("https://esbl.nhlbi.nih.gov/Databases/mpkFractions/proteomic_fractions_log_files/Yang_log_img/258679484.jpg","show blot")</f>
        <v>show blot</v>
      </c>
      <c r="H5150" s="8" t="str">
        <f>HYPERLINK("https://esbl.nhlbi.nih.gov/Databases/mpkFractions/proteomic_fractions_linear_files/Yang_linear_img/258679484.jpg","show blot")</f>
        <v>show blot</v>
      </c>
      <c r="J5150" s="5" t="s">
        <v>10094</v>
      </c>
      <c r="L5150" s="11">
        <v>4.8022190873398296</v>
      </c>
      <c r="N5150" s="12"/>
    </row>
    <row r="5151" spans="1:14" s="5" customFormat="1" ht="15" customHeight="1" x14ac:dyDescent="0.25">
      <c r="A5151" s="9" t="s">
        <v>10095</v>
      </c>
      <c r="C5151" s="9" t="str">
        <f>HYPERLINK("http://www.ncbi.nlm.nih.gov/protein/46909607","Ogt")</f>
        <v>Ogt</v>
      </c>
      <c r="D5151" s="10">
        <f t="shared" si="80"/>
        <v>4.2905329675570174</v>
      </c>
      <c r="F5151" s="8" t="str">
        <f>HYPERLINK("https://esbl.nhlbi.nih.gov/Databases/mpkFractions/proteomic_fractions_log_files/Yang_log_img/46909607.jpg","show blot")</f>
        <v>show blot</v>
      </c>
      <c r="H5151" s="8" t="str">
        <f>HYPERLINK("https://esbl.nhlbi.nih.gov/Databases/mpkFractions/proteomic_fractions_linear_files/Yang_linear_img/46909607.jpg","show blot")</f>
        <v>show blot</v>
      </c>
      <c r="J5151" s="5" t="s">
        <v>10096</v>
      </c>
      <c r="L5151" s="11">
        <v>4.2905329675570174</v>
      </c>
      <c r="N5151" s="12"/>
    </row>
    <row r="5152" spans="1:14" s="5" customFormat="1" ht="15" customHeight="1" x14ac:dyDescent="0.25">
      <c r="A5152" s="9" t="s">
        <v>10097</v>
      </c>
      <c r="C5152" s="9" t="str">
        <f>HYPERLINK("http://www.ncbi.nlm.nih.gov/protein/22164770","Oit1")</f>
        <v>Oit1</v>
      </c>
      <c r="D5152" s="10">
        <f t="shared" si="80"/>
        <v>3.7265965502126059</v>
      </c>
      <c r="F5152" s="8" t="str">
        <f>HYPERLINK("https://esbl.nhlbi.nih.gov/Databases/mpkFractions/proteomic_fractions_log_files/Yang_log_img/22164770.jpg","show blot")</f>
        <v>show blot</v>
      </c>
      <c r="H5152" s="8" t="str">
        <f>HYPERLINK("https://esbl.nhlbi.nih.gov/Databases/mpkFractions/proteomic_fractions_linear_files/Yang_linear_img/22164770.jpg","show blot")</f>
        <v>show blot</v>
      </c>
      <c r="J5152" s="5" t="s">
        <v>10098</v>
      </c>
      <c r="L5152" s="11">
        <v>3.7265965502126059</v>
      </c>
      <c r="N5152" s="12"/>
    </row>
    <row r="5153" spans="1:14" s="5" customFormat="1" ht="15" customHeight="1" x14ac:dyDescent="0.25">
      <c r="A5153" s="9" t="s">
        <v>10099</v>
      </c>
      <c r="C5153" s="9" t="str">
        <f>HYPERLINK("http://www.ncbi.nlm.nih.gov/protein/21313144","Ola1")</f>
        <v>Ola1</v>
      </c>
      <c r="D5153" s="10">
        <f t="shared" si="80"/>
        <v>6.0836136296492649</v>
      </c>
      <c r="F5153" s="8" t="str">
        <f>HYPERLINK("https://esbl.nhlbi.nih.gov/Databases/mpkFractions/proteomic_fractions_log_files/Yang_log_img/21313144.jpg","show blot")</f>
        <v>show blot</v>
      </c>
      <c r="H5153" s="8" t="str">
        <f>HYPERLINK("https://esbl.nhlbi.nih.gov/Databases/mpkFractions/proteomic_fractions_linear_files/Yang_linear_img/21313144.jpg","show blot")</f>
        <v>show blot</v>
      </c>
      <c r="J5153" s="5" t="s">
        <v>10100</v>
      </c>
      <c r="L5153" s="11">
        <v>6.0836136296492649</v>
      </c>
      <c r="N5153" s="12"/>
    </row>
    <row r="5154" spans="1:14" s="5" customFormat="1" ht="15" customHeight="1" x14ac:dyDescent="0.25">
      <c r="A5154" s="9" t="s">
        <v>10101</v>
      </c>
      <c r="C5154" s="9" t="str">
        <f>HYPERLINK("http://www.ncbi.nlm.nih.gov/protein/76677915","Ola1")</f>
        <v>Ola1</v>
      </c>
      <c r="D5154" s="10">
        <f t="shared" si="80"/>
        <v>6.0836136296492649</v>
      </c>
      <c r="F5154" s="8" t="str">
        <f>HYPERLINK("https://esbl.nhlbi.nih.gov/Databases/mpkFractions/proteomic_fractions_log_files/Yang_log_img/76677915.jpg","show blot")</f>
        <v>show blot</v>
      </c>
      <c r="H5154" s="8" t="str">
        <f>HYPERLINK("https://esbl.nhlbi.nih.gov/Databases/mpkFractions/proteomic_fractions_linear_files/Yang_linear_img/76677915.jpg","show blot")</f>
        <v>show blot</v>
      </c>
      <c r="J5154" s="5" t="s">
        <v>10102</v>
      </c>
      <c r="L5154" s="11">
        <v>6.0836136296492649</v>
      </c>
      <c r="N5154" s="12"/>
    </row>
    <row r="5155" spans="1:14" s="5" customFormat="1" ht="15" customHeight="1" x14ac:dyDescent="0.25">
      <c r="A5155" s="9" t="s">
        <v>10103</v>
      </c>
      <c r="C5155" s="9" t="str">
        <f>HYPERLINK("http://www.ncbi.nlm.nih.gov/protein/121583683","Olfr1126")</f>
        <v>Olfr1126</v>
      </c>
      <c r="D5155" s="10">
        <f t="shared" si="80"/>
        <v>4.1968685089179916</v>
      </c>
      <c r="F5155" s="8" t="str">
        <f>HYPERLINK("https://esbl.nhlbi.nih.gov/Databases/mpkFractions/proteomic_fractions_log_files/Yang_log_img/121583683.jpg","show blot")</f>
        <v>show blot</v>
      </c>
      <c r="H5155" s="8" t="str">
        <f>HYPERLINK("https://esbl.nhlbi.nih.gov/Databases/mpkFractions/proteomic_fractions_linear_files/Yang_linear_img/121583683.jpg","show blot")</f>
        <v>show blot</v>
      </c>
      <c r="J5155" s="5" t="s">
        <v>10104</v>
      </c>
      <c r="L5155" s="11">
        <v>4.1968685089179916</v>
      </c>
      <c r="N5155" s="12"/>
    </row>
    <row r="5156" spans="1:14" s="5" customFormat="1" ht="15" customHeight="1" x14ac:dyDescent="0.25">
      <c r="A5156" s="9" t="s">
        <v>10105</v>
      </c>
      <c r="C5156" s="9" t="str">
        <f>HYPERLINK("http://www.ncbi.nlm.nih.gov/protein/22129387","Olfr516")</f>
        <v>Olfr516</v>
      </c>
      <c r="D5156" s="10">
        <f t="shared" si="80"/>
        <v>3.426802101560932</v>
      </c>
      <c r="F5156" s="8" t="str">
        <f>HYPERLINK("https://esbl.nhlbi.nih.gov/Databases/mpkFractions/proteomic_fractions_log_files/Yang_log_img/22129387.jpg","show blot")</f>
        <v>show blot</v>
      </c>
      <c r="H5156" s="8" t="str">
        <f>HYPERLINK("https://esbl.nhlbi.nih.gov/Databases/mpkFractions/proteomic_fractions_linear_files/Yang_linear_img/22129387.jpg","show blot")</f>
        <v>show blot</v>
      </c>
      <c r="J5156" s="5" t="s">
        <v>10106</v>
      </c>
      <c r="L5156" s="11">
        <v>3.426802101560932</v>
      </c>
      <c r="N5156" s="12"/>
    </row>
    <row r="5157" spans="1:14" s="5" customFormat="1" ht="15" customHeight="1" x14ac:dyDescent="0.25">
      <c r="A5157" s="9" t="s">
        <v>10107</v>
      </c>
      <c r="C5157" s="9" t="str">
        <f>HYPERLINK("http://www.ncbi.nlm.nih.gov/protein/22129679","Olfr518")</f>
        <v>Olfr518</v>
      </c>
      <c r="D5157" s="10">
        <f t="shared" si="80"/>
        <v>3.4149028782612239</v>
      </c>
      <c r="F5157" s="8" t="str">
        <f>HYPERLINK("https://esbl.nhlbi.nih.gov/Databases/mpkFractions/proteomic_fractions_log_files/Yang_log_img/22129679.jpg","show blot")</f>
        <v>show blot</v>
      </c>
      <c r="H5157" s="8" t="str">
        <f>HYPERLINK("https://esbl.nhlbi.nih.gov/Databases/mpkFractions/proteomic_fractions_linear_files/Yang_linear_img/22129679.jpg","show blot")</f>
        <v>show blot</v>
      </c>
      <c r="J5157" s="5" t="s">
        <v>10108</v>
      </c>
      <c r="L5157" s="11">
        <v>3.4149028782612239</v>
      </c>
      <c r="N5157" s="12"/>
    </row>
    <row r="5158" spans="1:14" s="5" customFormat="1" ht="15" customHeight="1" x14ac:dyDescent="0.25">
      <c r="A5158" s="9" t="s">
        <v>10109</v>
      </c>
      <c r="C5158" s="9" t="str">
        <f>HYPERLINK("http://www.ncbi.nlm.nih.gov/protein/121247462","Olfr554")</f>
        <v>Olfr554</v>
      </c>
      <c r="D5158" s="10">
        <f t="shared" si="80"/>
        <v>4.565776510583083</v>
      </c>
      <c r="F5158" s="8" t="str">
        <f>HYPERLINK("https://esbl.nhlbi.nih.gov/Databases/mpkFractions/proteomic_fractions_log_files/Yang_log_img/121247462.jpg","show blot")</f>
        <v>show blot</v>
      </c>
      <c r="H5158" s="8" t="str">
        <f>HYPERLINK("https://esbl.nhlbi.nih.gov/Databases/mpkFractions/proteomic_fractions_linear_files/Yang_linear_img/121247462.jpg","show blot")</f>
        <v>show blot</v>
      </c>
      <c r="J5158" s="5" t="s">
        <v>10110</v>
      </c>
      <c r="L5158" s="11">
        <v>4.565776510583083</v>
      </c>
      <c r="N5158" s="12"/>
    </row>
    <row r="5159" spans="1:14" s="5" customFormat="1" ht="15" customHeight="1" x14ac:dyDescent="0.25">
      <c r="A5159" s="9" t="s">
        <v>10111</v>
      </c>
      <c r="C5159" s="9" t="str">
        <f>HYPERLINK("http://www.ncbi.nlm.nih.gov/protein/22128813","Olfr643")</f>
        <v>Olfr643</v>
      </c>
      <c r="D5159" s="10">
        <f t="shared" si="80"/>
        <v>4.1827438662263852</v>
      </c>
      <c r="F5159" s="8" t="str">
        <f>HYPERLINK("https://esbl.nhlbi.nih.gov/Databases/mpkFractions/proteomic_fractions_log_files/Yang_log_img/22128813.jpg","show blot")</f>
        <v>show blot</v>
      </c>
      <c r="H5159" s="8" t="str">
        <f>HYPERLINK("https://esbl.nhlbi.nih.gov/Databases/mpkFractions/proteomic_fractions_linear_files/Yang_linear_img/22128813.jpg","show blot")</f>
        <v>show blot</v>
      </c>
      <c r="J5159" s="5" t="s">
        <v>10112</v>
      </c>
      <c r="L5159" s="11">
        <v>4.1827438662263852</v>
      </c>
      <c r="N5159" s="12"/>
    </row>
    <row r="5160" spans="1:14" s="5" customFormat="1" ht="15" customHeight="1" x14ac:dyDescent="0.25">
      <c r="A5160" s="9" t="s">
        <v>10113</v>
      </c>
      <c r="C5160" s="9" t="str">
        <f>HYPERLINK("http://www.ncbi.nlm.nih.gov/protein/120407031","Olfr67")</f>
        <v>Olfr67</v>
      </c>
      <c r="D5160" s="10">
        <f t="shared" si="80"/>
        <v>3.4108147113270002</v>
      </c>
      <c r="F5160" s="8" t="str">
        <f>HYPERLINK("https://esbl.nhlbi.nih.gov/Databases/mpkFractions/proteomic_fractions_log_files/Yang_log_img/120407031.jpg","show blot")</f>
        <v>show blot</v>
      </c>
      <c r="H5160" s="8" t="str">
        <f>HYPERLINK("https://esbl.nhlbi.nih.gov/Databases/mpkFractions/proteomic_fractions_linear_files/Yang_linear_img/120407031.jpg","show blot")</f>
        <v>show blot</v>
      </c>
      <c r="J5160" s="5" t="s">
        <v>10114</v>
      </c>
      <c r="L5160" s="11">
        <v>3.4108147113270002</v>
      </c>
      <c r="N5160" s="12"/>
    </row>
    <row r="5161" spans="1:14" s="5" customFormat="1" ht="15" customHeight="1" x14ac:dyDescent="0.25">
      <c r="A5161" s="9" t="s">
        <v>10115</v>
      </c>
      <c r="C5161" s="9" t="str">
        <f>HYPERLINK("http://www.ncbi.nlm.nih.gov/protein/33239332","Olfr810")</f>
        <v>Olfr810</v>
      </c>
      <c r="D5161" s="10">
        <f t="shared" si="80"/>
        <v>3.5842583352567212</v>
      </c>
      <c r="F5161" s="8" t="str">
        <f>HYPERLINK("https://esbl.nhlbi.nih.gov/Databases/mpkFractions/proteomic_fractions_log_files/Yang_log_img/33239332.jpg","show blot")</f>
        <v>show blot</v>
      </c>
      <c r="H5161" s="8" t="str">
        <f>HYPERLINK("https://esbl.nhlbi.nih.gov/Databases/mpkFractions/proteomic_fractions_linear_files/Yang_linear_img/33239332.jpg","show blot")</f>
        <v>show blot</v>
      </c>
      <c r="J5161" s="5" t="s">
        <v>10116</v>
      </c>
      <c r="L5161" s="11">
        <v>3.5842583352567212</v>
      </c>
      <c r="N5161" s="12"/>
    </row>
    <row r="5162" spans="1:14" s="5" customFormat="1" ht="15" customHeight="1" x14ac:dyDescent="0.25">
      <c r="A5162" s="9" t="s">
        <v>10117</v>
      </c>
      <c r="C5162" s="9" t="str">
        <f>HYPERLINK("http://www.ncbi.nlm.nih.gov/protein/33239334","Olfr816")</f>
        <v>Olfr816</v>
      </c>
      <c r="D5162" s="10">
        <f t="shared" si="80"/>
        <v>3.5842583352567212</v>
      </c>
      <c r="F5162" s="8" t="str">
        <f>HYPERLINK("https://esbl.nhlbi.nih.gov/Databases/mpkFractions/proteomic_fractions_log_files/Yang_log_img/33239334.jpg","show blot")</f>
        <v>show blot</v>
      </c>
      <c r="H5162" s="8" t="str">
        <f>HYPERLINK("https://esbl.nhlbi.nih.gov/Databases/mpkFractions/proteomic_fractions_linear_files/Yang_linear_img/33239334.jpg","show blot")</f>
        <v>show blot</v>
      </c>
      <c r="J5162" s="5" t="s">
        <v>10118</v>
      </c>
      <c r="L5162" s="11">
        <v>3.5842583352567212</v>
      </c>
      <c r="N5162" s="12"/>
    </row>
    <row r="5163" spans="1:14" s="5" customFormat="1" ht="15" customHeight="1" x14ac:dyDescent="0.25">
      <c r="A5163" s="9" t="s">
        <v>10119</v>
      </c>
      <c r="C5163" s="9" t="str">
        <f>HYPERLINK("http://www.ncbi.nlm.nih.gov/protein/33239336","Olfr822")</f>
        <v>Olfr822</v>
      </c>
      <c r="D5163" s="10">
        <f t="shared" si="80"/>
        <v>3.5842583352567212</v>
      </c>
      <c r="F5163" s="8" t="str">
        <f>HYPERLINK("https://esbl.nhlbi.nih.gov/Databases/mpkFractions/proteomic_fractions_log_files/Yang_log_img/33239336.jpg","show blot")</f>
        <v>show blot</v>
      </c>
      <c r="H5163" s="8" t="str">
        <f>HYPERLINK("https://esbl.nhlbi.nih.gov/Databases/mpkFractions/proteomic_fractions_linear_files/Yang_linear_img/33239336.jpg","show blot")</f>
        <v>show blot</v>
      </c>
      <c r="J5163" s="5" t="s">
        <v>10120</v>
      </c>
      <c r="L5163" s="11">
        <v>3.5842583352567212</v>
      </c>
      <c r="N5163" s="12"/>
    </row>
    <row r="5164" spans="1:14" s="5" customFormat="1" ht="15" customHeight="1" x14ac:dyDescent="0.25">
      <c r="A5164" s="9" t="s">
        <v>10121</v>
      </c>
      <c r="C5164" s="9" t="str">
        <f>HYPERLINK("http://www.ncbi.nlm.nih.gov/protein/22380661","Olfr870")</f>
        <v>Olfr870</v>
      </c>
      <c r="D5164" s="10">
        <f t="shared" si="80"/>
        <v>2.256717745977487</v>
      </c>
      <c r="F5164" s="8" t="str">
        <f>HYPERLINK("https://esbl.nhlbi.nih.gov/Databases/mpkFractions/proteomic_fractions_log_files/Yang_log_img/22380661.jpg","show blot")</f>
        <v>show blot</v>
      </c>
      <c r="H5164" s="8" t="str">
        <f>HYPERLINK("https://esbl.nhlbi.nih.gov/Databases/mpkFractions/proteomic_fractions_linear_files/Yang_linear_img/22380661.jpg","show blot")</f>
        <v>show blot</v>
      </c>
      <c r="J5164" s="5" t="s">
        <v>10122</v>
      </c>
      <c r="L5164" s="11">
        <v>2.256717745977487</v>
      </c>
      <c r="N5164" s="12"/>
    </row>
    <row r="5165" spans="1:14" s="5" customFormat="1" ht="15" customHeight="1" x14ac:dyDescent="0.25">
      <c r="A5165" s="9" t="s">
        <v>10123</v>
      </c>
      <c r="C5165" s="9" t="str">
        <f>HYPERLINK("http://www.ncbi.nlm.nih.gov/protein/257196219","Olfr871")</f>
        <v>Olfr871</v>
      </c>
      <c r="D5165" s="10">
        <f t="shared" si="80"/>
        <v>2.256717745977487</v>
      </c>
      <c r="F5165" s="8" t="str">
        <f>HYPERLINK("https://esbl.nhlbi.nih.gov/Databases/mpkFractions/proteomic_fractions_log_files/Yang_log_img/257196219.jpg","show blot")</f>
        <v>show blot</v>
      </c>
      <c r="H5165" s="8" t="str">
        <f>HYPERLINK("https://esbl.nhlbi.nih.gov/Databases/mpkFractions/proteomic_fractions_linear_files/Yang_linear_img/257196219.jpg","show blot")</f>
        <v>show blot</v>
      </c>
      <c r="J5165" s="5" t="s">
        <v>10124</v>
      </c>
      <c r="L5165" s="11">
        <v>2.256717745977487</v>
      </c>
      <c r="N5165" s="12"/>
    </row>
    <row r="5166" spans="1:14" s="5" customFormat="1" ht="15" customHeight="1" x14ac:dyDescent="0.25">
      <c r="A5166" s="9" t="s">
        <v>10125</v>
      </c>
      <c r="C5166" s="9" t="str">
        <f>HYPERLINK("http://www.ncbi.nlm.nih.gov/protein/289629197","Olfr923")</f>
        <v>Olfr923</v>
      </c>
      <c r="D5166" s="10">
        <f t="shared" si="80"/>
        <v>3.4457699406369122</v>
      </c>
      <c r="F5166" s="8" t="str">
        <f>HYPERLINK("https://esbl.nhlbi.nih.gov/Databases/mpkFractions/proteomic_fractions_log_files/Yang_log_img/289629197.jpg","show blot")</f>
        <v>show blot</v>
      </c>
      <c r="H5166" s="8" t="str">
        <f>HYPERLINK("https://esbl.nhlbi.nih.gov/Databases/mpkFractions/proteomic_fractions_linear_files/Yang_linear_img/289629197.jpg","show blot")</f>
        <v>show blot</v>
      </c>
      <c r="J5166" s="5" t="s">
        <v>10126</v>
      </c>
      <c r="L5166" s="11">
        <v>3.4457699406369122</v>
      </c>
      <c r="N5166" s="12"/>
    </row>
    <row r="5167" spans="1:14" s="5" customFormat="1" ht="15" customHeight="1" x14ac:dyDescent="0.25">
      <c r="A5167" s="9" t="s">
        <v>10127</v>
      </c>
      <c r="C5167" s="9" t="str">
        <f>HYPERLINK("http://www.ncbi.nlm.nih.gov/protein/19526960","Opa1")</f>
        <v>Opa1</v>
      </c>
      <c r="D5167" s="10">
        <f t="shared" si="80"/>
        <v>3.8258157683370331</v>
      </c>
      <c r="F5167" s="8" t="str">
        <f>HYPERLINK("https://esbl.nhlbi.nih.gov/Databases/mpkFractions/proteomic_fractions_log_files/Yang_log_img/19526960.jpg","show blot")</f>
        <v>show blot</v>
      </c>
      <c r="H5167" s="8" t="str">
        <f>HYPERLINK("https://esbl.nhlbi.nih.gov/Databases/mpkFractions/proteomic_fractions_linear_files/Yang_linear_img/19526960.jpg","show blot")</f>
        <v>show blot</v>
      </c>
      <c r="J5167" s="5" t="s">
        <v>10128</v>
      </c>
      <c r="L5167" s="11">
        <v>3.8258157683370331</v>
      </c>
      <c r="N5167" s="12"/>
    </row>
    <row r="5168" spans="1:14" s="5" customFormat="1" ht="15" customHeight="1" x14ac:dyDescent="0.25">
      <c r="A5168" s="9" t="s">
        <v>10129</v>
      </c>
      <c r="C5168" s="9" t="str">
        <f>HYPERLINK("http://www.ncbi.nlm.nih.gov/protein/312836758","Opa1")</f>
        <v>Opa1</v>
      </c>
      <c r="D5168" s="10">
        <f t="shared" si="80"/>
        <v>3.8258157683370331</v>
      </c>
      <c r="F5168" s="8" t="str">
        <f>HYPERLINK("https://esbl.nhlbi.nih.gov/Databases/mpkFractions/proteomic_fractions_log_files/Yang_log_img/312836758.jpg","show blot")</f>
        <v>show blot</v>
      </c>
      <c r="H5168" s="8" t="str">
        <f>HYPERLINK("https://esbl.nhlbi.nih.gov/Databases/mpkFractions/proteomic_fractions_linear_files/Yang_linear_img/312836758.jpg","show blot")</f>
        <v>show blot</v>
      </c>
      <c r="J5168" s="5" t="s">
        <v>10130</v>
      </c>
      <c r="L5168" s="11">
        <v>3.8258157683370331</v>
      </c>
      <c r="N5168" s="12"/>
    </row>
    <row r="5169" spans="1:14" s="5" customFormat="1" ht="15" customHeight="1" x14ac:dyDescent="0.25">
      <c r="A5169" s="9" t="s">
        <v>10131</v>
      </c>
      <c r="C5169" s="9" t="str">
        <f>HYPERLINK("http://www.ncbi.nlm.nih.gov/protein/110625722","Opa3")</f>
        <v>Opa3</v>
      </c>
      <c r="D5169" s="10">
        <f t="shared" si="80"/>
        <v>3.8808298503558629</v>
      </c>
      <c r="F5169" s="8" t="str">
        <f>HYPERLINK("https://esbl.nhlbi.nih.gov/Databases/mpkFractions/proteomic_fractions_log_files/Yang_log_img/110625722.jpg","show blot")</f>
        <v>show blot</v>
      </c>
      <c r="H5169" s="8" t="str">
        <f>HYPERLINK("https://esbl.nhlbi.nih.gov/Databases/mpkFractions/proteomic_fractions_linear_files/Yang_linear_img/110625722.jpg","show blot")</f>
        <v>show blot</v>
      </c>
      <c r="J5169" s="5" t="s">
        <v>10132</v>
      </c>
      <c r="L5169" s="11">
        <v>3.8808298503558629</v>
      </c>
      <c r="N5169" s="12"/>
    </row>
    <row r="5170" spans="1:14" s="5" customFormat="1" ht="15" customHeight="1" x14ac:dyDescent="0.25">
      <c r="A5170" s="9" t="s">
        <v>10133</v>
      </c>
      <c r="C5170" s="9" t="str">
        <f>HYPERLINK("http://www.ncbi.nlm.nih.gov/protein/32469491","Optn")</f>
        <v>Optn</v>
      </c>
      <c r="D5170" s="10">
        <f t="shared" si="80"/>
        <v>4.3203788575438171</v>
      </c>
      <c r="F5170" s="8" t="str">
        <f>HYPERLINK("https://esbl.nhlbi.nih.gov/Databases/mpkFractions/proteomic_fractions_log_files/Yang_log_img/32469491.jpg","show blot")</f>
        <v>show blot</v>
      </c>
      <c r="H5170" s="8" t="str">
        <f>HYPERLINK("https://esbl.nhlbi.nih.gov/Databases/mpkFractions/proteomic_fractions_linear_files/Yang_linear_img/32469491.jpg","show blot")</f>
        <v>show blot</v>
      </c>
      <c r="J5170" s="5" t="s">
        <v>10134</v>
      </c>
      <c r="L5170" s="11">
        <v>4.3203788575438171</v>
      </c>
      <c r="N5170" s="12"/>
    </row>
    <row r="5171" spans="1:14" s="5" customFormat="1" ht="15" customHeight="1" x14ac:dyDescent="0.25">
      <c r="A5171" s="9" t="s">
        <v>10135</v>
      </c>
      <c r="C5171" s="9" t="str">
        <f>HYPERLINK("http://www.ncbi.nlm.nih.gov/protein/21313282","Ormdl2")</f>
        <v>Ormdl2</v>
      </c>
      <c r="D5171" s="10">
        <f t="shared" si="80"/>
        <v>4.191612090121672</v>
      </c>
      <c r="F5171" s="8" t="str">
        <f>HYPERLINK("https://esbl.nhlbi.nih.gov/Databases/mpkFractions/proteomic_fractions_log_files/Yang_log_img/21313282.jpg","show blot")</f>
        <v>show blot</v>
      </c>
      <c r="H5171" s="8" t="str">
        <f>HYPERLINK("https://esbl.nhlbi.nih.gov/Databases/mpkFractions/proteomic_fractions_linear_files/Yang_linear_img/21313282.jpg","show blot")</f>
        <v>show blot</v>
      </c>
      <c r="J5171" s="5" t="s">
        <v>10136</v>
      </c>
      <c r="L5171" s="11">
        <v>4.191612090121672</v>
      </c>
      <c r="N5171" s="12"/>
    </row>
    <row r="5172" spans="1:14" s="5" customFormat="1" ht="15" customHeight="1" x14ac:dyDescent="0.25">
      <c r="A5172" s="9" t="s">
        <v>10137</v>
      </c>
      <c r="C5172" s="9" t="str">
        <f>HYPERLINK("http://www.ncbi.nlm.nih.gov/protein/13385128","Ormdl3")</f>
        <v>Ormdl3</v>
      </c>
      <c r="D5172" s="10">
        <f t="shared" si="80"/>
        <v>4.191612090121672</v>
      </c>
      <c r="F5172" s="8" t="str">
        <f>HYPERLINK("https://esbl.nhlbi.nih.gov/Databases/mpkFractions/proteomic_fractions_log_files/Yang_log_img/13385128.jpg","show blot")</f>
        <v>show blot</v>
      </c>
      <c r="H5172" s="8" t="str">
        <f>HYPERLINK("https://esbl.nhlbi.nih.gov/Databases/mpkFractions/proteomic_fractions_linear_files/Yang_linear_img/13385128.jpg","show blot")</f>
        <v>show blot</v>
      </c>
      <c r="J5172" s="5" t="s">
        <v>10138</v>
      </c>
      <c r="L5172" s="11">
        <v>4.191612090121672</v>
      </c>
      <c r="N5172" s="12"/>
    </row>
    <row r="5173" spans="1:14" s="5" customFormat="1" ht="15" customHeight="1" x14ac:dyDescent="0.25">
      <c r="A5173" s="9" t="s">
        <v>10139</v>
      </c>
      <c r="C5173" s="9" t="str">
        <f>HYPERLINK("http://www.ncbi.nlm.nih.gov/protein/283837907","Os9")</f>
        <v>Os9</v>
      </c>
      <c r="D5173" s="10">
        <f t="shared" si="80"/>
        <v>4.1472138580164648</v>
      </c>
      <c r="F5173" s="8" t="str">
        <f>HYPERLINK("https://esbl.nhlbi.nih.gov/Databases/mpkFractions/proteomic_fractions_log_files/Yang_log_img/283837907.jpg","show blot")</f>
        <v>show blot</v>
      </c>
      <c r="H5173" s="8" t="str">
        <f>HYPERLINK("https://esbl.nhlbi.nih.gov/Databases/mpkFractions/proteomic_fractions_linear_files/Yang_linear_img/283837907.jpg","show blot")</f>
        <v>show blot</v>
      </c>
      <c r="J5173" s="5" t="s">
        <v>10140</v>
      </c>
      <c r="L5173" s="11">
        <v>4.1472138580164648</v>
      </c>
      <c r="N5173" s="12"/>
    </row>
    <row r="5174" spans="1:14" s="5" customFormat="1" ht="15" customHeight="1" x14ac:dyDescent="0.25">
      <c r="A5174" s="9" t="s">
        <v>10141</v>
      </c>
      <c r="C5174" s="9" t="str">
        <f>HYPERLINK("http://www.ncbi.nlm.nih.gov/protein/283837911","Os9")</f>
        <v>Os9</v>
      </c>
      <c r="D5174" s="10">
        <f t="shared" si="80"/>
        <v>4.1472138580164648</v>
      </c>
      <c r="F5174" s="8" t="str">
        <f>HYPERLINK("https://esbl.nhlbi.nih.gov/Databases/mpkFractions/proteomic_fractions_log_files/Yang_log_img/283837911.jpg","show blot")</f>
        <v>show blot</v>
      </c>
      <c r="H5174" s="8" t="str">
        <f>HYPERLINK("https://esbl.nhlbi.nih.gov/Databases/mpkFractions/proteomic_fractions_linear_files/Yang_linear_img/283837911.jpg","show blot")</f>
        <v>show blot</v>
      </c>
      <c r="J5174" s="5" t="s">
        <v>10142</v>
      </c>
      <c r="L5174" s="11">
        <v>4.1472138580164648</v>
      </c>
      <c r="N5174" s="12"/>
    </row>
    <row r="5175" spans="1:14" s="5" customFormat="1" ht="15" customHeight="1" x14ac:dyDescent="0.25">
      <c r="A5175" s="9" t="s">
        <v>10143</v>
      </c>
      <c r="C5175" s="9" t="str">
        <f>HYPERLINK("http://www.ncbi.nlm.nih.gov/protein/133504509","Osbp")</f>
        <v>Osbp</v>
      </c>
      <c r="D5175" s="10">
        <f t="shared" si="80"/>
        <v>5.1495685088904928</v>
      </c>
      <c r="F5175" s="8" t="str">
        <f>HYPERLINK("https://esbl.nhlbi.nih.gov/Databases/mpkFractions/proteomic_fractions_log_files/Yang_log_img/133504509.jpg","show blot")</f>
        <v>show blot</v>
      </c>
      <c r="H5175" s="8" t="str">
        <f>HYPERLINK("https://esbl.nhlbi.nih.gov/Databases/mpkFractions/proteomic_fractions_linear_files/Yang_linear_img/133504509.jpg","show blot")</f>
        <v>show blot</v>
      </c>
      <c r="J5175" s="5" t="s">
        <v>10144</v>
      </c>
      <c r="L5175" s="11">
        <v>5.1495685088904928</v>
      </c>
      <c r="N5175" s="12"/>
    </row>
    <row r="5176" spans="1:14" s="5" customFormat="1" ht="15" customHeight="1" x14ac:dyDescent="0.25">
      <c r="A5176" s="9" t="s">
        <v>10145</v>
      </c>
      <c r="C5176" s="9" t="str">
        <f>HYPERLINK("http://www.ncbi.nlm.nih.gov/protein/61744458","Osbp2")</f>
        <v>Osbp2</v>
      </c>
      <c r="D5176" s="10">
        <f t="shared" si="80"/>
        <v>4.7645563920391991</v>
      </c>
      <c r="F5176" s="8" t="str">
        <f>HYPERLINK("https://esbl.nhlbi.nih.gov/Databases/mpkFractions/proteomic_fractions_log_files/Yang_log_img/61744458.jpg","show blot")</f>
        <v>show blot</v>
      </c>
      <c r="H5176" s="8" t="str">
        <f>HYPERLINK("https://esbl.nhlbi.nih.gov/Databases/mpkFractions/proteomic_fractions_linear_files/Yang_linear_img/61744458.jpg","show blot")</f>
        <v>show blot</v>
      </c>
      <c r="J5176" s="5" t="s">
        <v>10146</v>
      </c>
      <c r="L5176" s="11">
        <v>4.7645563920391991</v>
      </c>
      <c r="N5176" s="12"/>
    </row>
    <row r="5177" spans="1:14" s="5" customFormat="1" ht="15" customHeight="1" x14ac:dyDescent="0.25">
      <c r="A5177" s="9" t="s">
        <v>10147</v>
      </c>
      <c r="C5177" s="9" t="str">
        <f>HYPERLINK("http://www.ncbi.nlm.nih.gov/protein/22507367","Osbpl10")</f>
        <v>Osbpl10</v>
      </c>
      <c r="D5177" s="10">
        <f t="shared" si="80"/>
        <v>3.3776964273364078</v>
      </c>
      <c r="F5177" s="8" t="str">
        <f>HYPERLINK("https://esbl.nhlbi.nih.gov/Databases/mpkFractions/proteomic_fractions_log_files/Yang_log_img/22507367.jpg","show blot")</f>
        <v>show blot</v>
      </c>
      <c r="H5177" s="8" t="str">
        <f>HYPERLINK("https://esbl.nhlbi.nih.gov/Databases/mpkFractions/proteomic_fractions_linear_files/Yang_linear_img/22507367.jpg","show blot")</f>
        <v>show blot</v>
      </c>
      <c r="J5177" s="5" t="s">
        <v>10148</v>
      </c>
      <c r="L5177" s="11">
        <v>3.3776964273364078</v>
      </c>
      <c r="N5177" s="12"/>
    </row>
    <row r="5178" spans="1:14" s="5" customFormat="1" ht="15" customHeight="1" x14ac:dyDescent="0.25">
      <c r="A5178" s="9" t="s">
        <v>10149</v>
      </c>
      <c r="C5178" s="9" t="str">
        <f>HYPERLINK("http://www.ncbi.nlm.nih.gov/protein/257196261","Osbpl11")</f>
        <v>Osbpl11</v>
      </c>
      <c r="D5178" s="10">
        <f t="shared" si="80"/>
        <v>3.280368108018954</v>
      </c>
      <c r="F5178" s="8" t="str">
        <f>HYPERLINK("https://esbl.nhlbi.nih.gov/Databases/mpkFractions/proteomic_fractions_log_files/Yang_log_img/257196261.jpg","show blot")</f>
        <v>show blot</v>
      </c>
      <c r="H5178" s="8" t="str">
        <f>HYPERLINK("https://esbl.nhlbi.nih.gov/Databases/mpkFractions/proteomic_fractions_linear_files/Yang_linear_img/257196261.jpg","show blot")</f>
        <v>show blot</v>
      </c>
      <c r="J5178" s="5" t="s">
        <v>10150</v>
      </c>
      <c r="L5178" s="11">
        <v>3.280368108018954</v>
      </c>
      <c r="N5178" s="12"/>
    </row>
    <row r="5179" spans="1:14" s="5" customFormat="1" ht="15" customHeight="1" x14ac:dyDescent="0.25">
      <c r="A5179" s="9" t="s">
        <v>10151</v>
      </c>
      <c r="C5179" s="9" t="str">
        <f>HYPERLINK("http://www.ncbi.nlm.nih.gov/protein/110625879","Osbpl2")</f>
        <v>Osbpl2</v>
      </c>
      <c r="D5179" s="10">
        <f t="shared" si="80"/>
        <v>3.37800765580009</v>
      </c>
      <c r="F5179" s="8" t="str">
        <f>HYPERLINK("https://esbl.nhlbi.nih.gov/Databases/mpkFractions/proteomic_fractions_log_files/Yang_log_img/110625879.jpg","show blot")</f>
        <v>show blot</v>
      </c>
      <c r="H5179" s="8" t="str">
        <f>HYPERLINK("https://esbl.nhlbi.nih.gov/Databases/mpkFractions/proteomic_fractions_linear_files/Yang_linear_img/110625879.jpg","show blot")</f>
        <v>show blot</v>
      </c>
      <c r="J5179" s="5" t="s">
        <v>10152</v>
      </c>
      <c r="L5179" s="11">
        <v>3.37800765580009</v>
      </c>
      <c r="N5179" s="12"/>
    </row>
    <row r="5180" spans="1:14" s="5" customFormat="1" ht="15" customHeight="1" x14ac:dyDescent="0.25">
      <c r="A5180" s="9" t="s">
        <v>10153</v>
      </c>
      <c r="C5180" s="9" t="str">
        <f>HYPERLINK("http://www.ncbi.nlm.nih.gov/protein/254692962","Osbpl3")</f>
        <v>Osbpl3</v>
      </c>
      <c r="D5180" s="10">
        <f t="shared" si="80"/>
        <v>4.7587758657527912</v>
      </c>
      <c r="F5180" s="8" t="str">
        <f>HYPERLINK("https://esbl.nhlbi.nih.gov/Databases/mpkFractions/proteomic_fractions_log_files/Yang_log_img/254692962.jpg","show blot")</f>
        <v>show blot</v>
      </c>
      <c r="H5180" s="8" t="str">
        <f>HYPERLINK("https://esbl.nhlbi.nih.gov/Databases/mpkFractions/proteomic_fractions_linear_files/Yang_linear_img/254692962.jpg","show blot")</f>
        <v>show blot</v>
      </c>
      <c r="J5180" s="5" t="s">
        <v>10154</v>
      </c>
      <c r="L5180" s="11">
        <v>4.7587758657527912</v>
      </c>
      <c r="N5180" s="12"/>
    </row>
    <row r="5181" spans="1:14" s="5" customFormat="1" ht="15" customHeight="1" x14ac:dyDescent="0.25">
      <c r="A5181" s="9" t="s">
        <v>10155</v>
      </c>
      <c r="C5181" s="9" t="str">
        <f>HYPERLINK("http://www.ncbi.nlm.nih.gov/protein/254692964","Osbpl3")</f>
        <v>Osbpl3</v>
      </c>
      <c r="D5181" s="10">
        <f t="shared" si="80"/>
        <v>4.7587758657527912</v>
      </c>
      <c r="F5181" s="8" t="str">
        <f>HYPERLINK("https://esbl.nhlbi.nih.gov/Databases/mpkFractions/proteomic_fractions_log_files/Yang_log_img/254692964.jpg","show blot")</f>
        <v>show blot</v>
      </c>
      <c r="H5181" s="8" t="str">
        <f>HYPERLINK("https://esbl.nhlbi.nih.gov/Databases/mpkFractions/proteomic_fractions_linear_files/Yang_linear_img/254692964.jpg","show blot")</f>
        <v>show blot</v>
      </c>
      <c r="J5181" s="5" t="s">
        <v>10156</v>
      </c>
      <c r="L5181" s="11">
        <v>4.7587758657527912</v>
      </c>
      <c r="N5181" s="12"/>
    </row>
    <row r="5182" spans="1:14" s="5" customFormat="1" ht="15" customHeight="1" x14ac:dyDescent="0.25">
      <c r="A5182" s="9" t="s">
        <v>10157</v>
      </c>
      <c r="C5182" s="9" t="str">
        <f>HYPERLINK("http://www.ncbi.nlm.nih.gov/protein/51243034","Osbpl8")</f>
        <v>Osbpl8</v>
      </c>
      <c r="D5182" s="10">
        <f t="shared" si="80"/>
        <v>3.3814749161149829</v>
      </c>
      <c r="F5182" s="8" t="str">
        <f>HYPERLINK("https://esbl.nhlbi.nih.gov/Databases/mpkFractions/proteomic_fractions_log_files/Yang_log_img/51243034.jpg","show blot")</f>
        <v>show blot</v>
      </c>
      <c r="H5182" s="8" t="str">
        <f>HYPERLINK("https://esbl.nhlbi.nih.gov/Databases/mpkFractions/proteomic_fractions_linear_files/Yang_linear_img/51243034.jpg","show blot")</f>
        <v>show blot</v>
      </c>
      <c r="J5182" s="5" t="s">
        <v>10158</v>
      </c>
      <c r="L5182" s="11">
        <v>3.3814749161149829</v>
      </c>
      <c r="N5182" s="12"/>
    </row>
    <row r="5183" spans="1:14" s="5" customFormat="1" ht="15" customHeight="1" x14ac:dyDescent="0.25">
      <c r="A5183" s="9" t="s">
        <v>10159</v>
      </c>
      <c r="C5183" s="9" t="str">
        <f>HYPERLINK("http://www.ncbi.nlm.nih.gov/protein/51243036","Osbpl8")</f>
        <v>Osbpl8</v>
      </c>
      <c r="D5183" s="10">
        <f t="shared" si="80"/>
        <v>3.3814749161149829</v>
      </c>
      <c r="F5183" s="8" t="str">
        <f>HYPERLINK("https://esbl.nhlbi.nih.gov/Databases/mpkFractions/proteomic_fractions_log_files/Yang_log_img/51243036.jpg","show blot")</f>
        <v>show blot</v>
      </c>
      <c r="H5183" s="8" t="str">
        <f>HYPERLINK("https://esbl.nhlbi.nih.gov/Databases/mpkFractions/proteomic_fractions_linear_files/Yang_linear_img/51243036.jpg","show blot")</f>
        <v>show blot</v>
      </c>
      <c r="J5183" s="5" t="s">
        <v>10160</v>
      </c>
      <c r="L5183" s="11">
        <v>3.3814749161149829</v>
      </c>
      <c r="N5183" s="12"/>
    </row>
    <row r="5184" spans="1:14" s="5" customFormat="1" ht="15" customHeight="1" x14ac:dyDescent="0.25">
      <c r="A5184" s="9" t="s">
        <v>10161</v>
      </c>
      <c r="C5184" s="9" t="str">
        <f>HYPERLINK("http://www.ncbi.nlm.nih.gov/protein/198278439","Osbpl9")</f>
        <v>Osbpl9</v>
      </c>
      <c r="D5184" s="10">
        <f t="shared" si="80"/>
        <v>3.474799117914968</v>
      </c>
      <c r="F5184" s="8" t="str">
        <f>HYPERLINK("https://esbl.nhlbi.nih.gov/Databases/mpkFractions/proteomic_fractions_log_files/Yang_log_img/198278439.jpg","show blot")</f>
        <v>show blot</v>
      </c>
      <c r="H5184" s="8" t="str">
        <f>HYPERLINK("https://esbl.nhlbi.nih.gov/Databases/mpkFractions/proteomic_fractions_linear_files/Yang_linear_img/198278439.jpg","show blot")</f>
        <v>show blot</v>
      </c>
      <c r="J5184" s="5" t="s">
        <v>10162</v>
      </c>
      <c r="L5184" s="11">
        <v>3.474799117914968</v>
      </c>
      <c r="N5184" s="12"/>
    </row>
    <row r="5185" spans="1:14" s="5" customFormat="1" ht="15" customHeight="1" x14ac:dyDescent="0.25">
      <c r="A5185" s="9" t="s">
        <v>10163</v>
      </c>
      <c r="C5185" s="9" t="str">
        <f>HYPERLINK("http://www.ncbi.nlm.nih.gov/protein/198278441","Osbpl9")</f>
        <v>Osbpl9</v>
      </c>
      <c r="D5185" s="10">
        <f t="shared" si="80"/>
        <v>3.474799117914968</v>
      </c>
      <c r="F5185" s="8" t="str">
        <f>HYPERLINK("https://esbl.nhlbi.nih.gov/Databases/mpkFractions/proteomic_fractions_log_files/Yang_log_img/198278441.jpg","show blot")</f>
        <v>show blot</v>
      </c>
      <c r="H5185" s="8" t="str">
        <f>HYPERLINK("https://esbl.nhlbi.nih.gov/Databases/mpkFractions/proteomic_fractions_linear_files/Yang_linear_img/198278441.jpg","show blot")</f>
        <v>show blot</v>
      </c>
      <c r="J5185" s="5" t="s">
        <v>10164</v>
      </c>
      <c r="L5185" s="11">
        <v>3.474799117914968</v>
      </c>
      <c r="N5185" s="12"/>
    </row>
    <row r="5186" spans="1:14" s="5" customFormat="1" ht="15" customHeight="1" x14ac:dyDescent="0.25">
      <c r="A5186" s="9" t="s">
        <v>10165</v>
      </c>
      <c r="C5186" s="9" t="str">
        <f>HYPERLINK("http://www.ncbi.nlm.nih.gov/protein/307938353","Osbpl9")</f>
        <v>Osbpl9</v>
      </c>
      <c r="D5186" s="10">
        <f t="shared" si="80"/>
        <v>3.474799117914968</v>
      </c>
      <c r="F5186" s="8" t="str">
        <f>HYPERLINK("https://esbl.nhlbi.nih.gov/Databases/mpkFractions/proteomic_fractions_log_files/Yang_log_img/307938353.jpg","show blot")</f>
        <v>show blot</v>
      </c>
      <c r="H5186" s="8" t="str">
        <f>HYPERLINK("https://esbl.nhlbi.nih.gov/Databases/mpkFractions/proteomic_fractions_linear_files/Yang_linear_img/307938353.jpg","show blot")</f>
        <v>show blot</v>
      </c>
      <c r="J5186" s="5" t="s">
        <v>10166</v>
      </c>
      <c r="L5186" s="11">
        <v>3.474799117914968</v>
      </c>
      <c r="N5186" s="12"/>
    </row>
    <row r="5187" spans="1:14" s="5" customFormat="1" ht="15" customHeight="1" x14ac:dyDescent="0.25">
      <c r="A5187" s="9" t="s">
        <v>10167</v>
      </c>
      <c r="C5187" s="9" t="str">
        <f>HYPERLINK("http://www.ncbi.nlm.nih.gov/protein/84662768","Osgep")</f>
        <v>Osgep</v>
      </c>
      <c r="D5187" s="10">
        <f t="shared" si="80"/>
        <v>5.6680332353589167</v>
      </c>
      <c r="F5187" s="8" t="str">
        <f>HYPERLINK("https://esbl.nhlbi.nih.gov/Databases/mpkFractions/proteomic_fractions_log_files/Yang_log_img/84662768.jpg","show blot")</f>
        <v>show blot</v>
      </c>
      <c r="H5187" s="8" t="str">
        <f>HYPERLINK("https://esbl.nhlbi.nih.gov/Databases/mpkFractions/proteomic_fractions_linear_files/Yang_linear_img/84662768.jpg","show blot")</f>
        <v>show blot</v>
      </c>
      <c r="J5187" s="5" t="s">
        <v>10168</v>
      </c>
      <c r="L5187" s="11">
        <v>5.6680332353589167</v>
      </c>
      <c r="N5187" s="12"/>
    </row>
    <row r="5188" spans="1:14" s="5" customFormat="1" ht="15" customHeight="1" x14ac:dyDescent="0.25">
      <c r="A5188" s="9" t="s">
        <v>10169</v>
      </c>
      <c r="C5188" s="9" t="str">
        <f>HYPERLINK("http://www.ncbi.nlm.nih.gov/protein/13384930","Ostc")</f>
        <v>Ostc</v>
      </c>
      <c r="D5188" s="10">
        <f t="shared" si="80"/>
        <v>5.6527237500692493</v>
      </c>
      <c r="F5188" s="8" t="str">
        <f>HYPERLINK("https://esbl.nhlbi.nih.gov/Databases/mpkFractions/proteomic_fractions_log_files/Yang_log_img/13384930.jpg","show blot")</f>
        <v>show blot</v>
      </c>
      <c r="H5188" s="8" t="str">
        <f>HYPERLINK("https://esbl.nhlbi.nih.gov/Databases/mpkFractions/proteomic_fractions_linear_files/Yang_linear_img/13384930.jpg","show blot")</f>
        <v>show blot</v>
      </c>
      <c r="J5188" s="5" t="s">
        <v>10170</v>
      </c>
      <c r="L5188" s="11">
        <v>5.6527237500692493</v>
      </c>
      <c r="N5188" s="12"/>
    </row>
    <row r="5189" spans="1:14" s="5" customFormat="1" ht="15" customHeight="1" x14ac:dyDescent="0.25">
      <c r="A5189" s="9" t="s">
        <v>10171</v>
      </c>
      <c r="C5189" s="9" t="str">
        <f>HYPERLINK("http://www.ncbi.nlm.nih.gov/protein/22267440","Ostf1")</f>
        <v>Ostf1</v>
      </c>
      <c r="D5189" s="10">
        <f t="shared" ref="D5189:D5252" si="81">L5189</f>
        <v>5.5612764650511579</v>
      </c>
      <c r="F5189" s="8" t="str">
        <f>HYPERLINK("https://esbl.nhlbi.nih.gov/Databases/mpkFractions/proteomic_fractions_log_files/Yang_log_img/22267440.jpg","show blot")</f>
        <v>show blot</v>
      </c>
      <c r="H5189" s="8" t="str">
        <f>HYPERLINK("https://esbl.nhlbi.nih.gov/Databases/mpkFractions/proteomic_fractions_linear_files/Yang_linear_img/22267440.jpg","show blot")</f>
        <v>show blot</v>
      </c>
      <c r="J5189" s="5" t="s">
        <v>10172</v>
      </c>
      <c r="L5189" s="11">
        <v>5.5612764650511579</v>
      </c>
      <c r="N5189" s="12"/>
    </row>
    <row r="5190" spans="1:14" s="5" customFormat="1" ht="15" customHeight="1" x14ac:dyDescent="0.25">
      <c r="A5190" s="9" t="s">
        <v>10173</v>
      </c>
      <c r="C5190" s="9" t="str">
        <f>HYPERLINK("http://www.ncbi.nlm.nih.gov/protein/19527388","Otub1")</f>
        <v>Otub1</v>
      </c>
      <c r="D5190" s="10">
        <f t="shared" si="81"/>
        <v>6.2779835280450538</v>
      </c>
      <c r="F5190" s="8" t="str">
        <f>HYPERLINK("https://esbl.nhlbi.nih.gov/Databases/mpkFractions/proteomic_fractions_log_files/Yang_log_img/19527388.jpg","show blot")</f>
        <v>show blot</v>
      </c>
      <c r="H5190" s="8" t="str">
        <f>HYPERLINK("https://esbl.nhlbi.nih.gov/Databases/mpkFractions/proteomic_fractions_linear_files/Yang_linear_img/19527388.jpg","show blot")</f>
        <v>show blot</v>
      </c>
      <c r="J5190" s="5" t="s">
        <v>10174</v>
      </c>
      <c r="L5190" s="11">
        <v>6.2779835280450538</v>
      </c>
      <c r="N5190" s="12"/>
    </row>
    <row r="5191" spans="1:14" s="5" customFormat="1" ht="15" customHeight="1" x14ac:dyDescent="0.25">
      <c r="A5191" s="9" t="s">
        <v>10175</v>
      </c>
      <c r="C5191" s="9" t="str">
        <f>HYPERLINK("http://www.ncbi.nlm.nih.gov/protein/124487191","Otud4")</f>
        <v>Otud4</v>
      </c>
      <c r="D5191" s="10">
        <f t="shared" si="81"/>
        <v>4.2704067851716854</v>
      </c>
      <c r="F5191" s="8" t="str">
        <f>HYPERLINK("https://esbl.nhlbi.nih.gov/Databases/mpkFractions/proteomic_fractions_log_files/Yang_log_img/124487191.jpg","show blot")</f>
        <v>show blot</v>
      </c>
      <c r="H5191" s="8" t="str">
        <f>HYPERLINK("https://esbl.nhlbi.nih.gov/Databases/mpkFractions/proteomic_fractions_linear_files/Yang_linear_img/124487191.jpg","show blot")</f>
        <v>show blot</v>
      </c>
      <c r="J5191" s="5" t="s">
        <v>10176</v>
      </c>
      <c r="L5191" s="11">
        <v>4.2704067851716854</v>
      </c>
      <c r="N5191" s="12"/>
    </row>
    <row r="5192" spans="1:14" s="5" customFormat="1" ht="15" customHeight="1" x14ac:dyDescent="0.25">
      <c r="A5192" s="9" t="s">
        <v>10177</v>
      </c>
      <c r="C5192" s="9" t="str">
        <f>HYPERLINK("http://www.ncbi.nlm.nih.gov/protein/365733608","Otud4")</f>
        <v>Otud4</v>
      </c>
      <c r="D5192" s="10">
        <f t="shared" si="81"/>
        <v>4.2704067851716854</v>
      </c>
      <c r="F5192" s="8" t="str">
        <f>HYPERLINK("https://esbl.nhlbi.nih.gov/Databases/mpkFractions/proteomic_fractions_log_files/Yang_log_img/365733608.jpg","show blot")</f>
        <v>show blot</v>
      </c>
      <c r="H5192" s="8" t="str">
        <f>HYPERLINK("https://esbl.nhlbi.nih.gov/Databases/mpkFractions/proteomic_fractions_linear_files/Yang_linear_img/365733608.jpg","show blot")</f>
        <v>show blot</v>
      </c>
      <c r="J5192" s="5" t="s">
        <v>10178</v>
      </c>
      <c r="L5192" s="11">
        <v>4.2704067851716854</v>
      </c>
      <c r="N5192" s="12"/>
    </row>
    <row r="5193" spans="1:14" s="5" customFormat="1" ht="15" customHeight="1" x14ac:dyDescent="0.25">
      <c r="A5193" s="9" t="s">
        <v>10179</v>
      </c>
      <c r="C5193" s="9" t="str">
        <f>HYPERLINK("http://www.ncbi.nlm.nih.gov/protein/31560768","Otud5")</f>
        <v>Otud5</v>
      </c>
      <c r="D5193" s="10">
        <f t="shared" si="81"/>
        <v>2.79529421559086</v>
      </c>
      <c r="F5193" s="8" t="str">
        <f>HYPERLINK("https://esbl.nhlbi.nih.gov/Databases/mpkFractions/proteomic_fractions_log_files/Yang_log_img/31560768.jpg","show blot")</f>
        <v>show blot</v>
      </c>
      <c r="H5193" s="8" t="str">
        <f>HYPERLINK("https://esbl.nhlbi.nih.gov/Databases/mpkFractions/proteomic_fractions_linear_files/Yang_linear_img/31560768.jpg","show blot")</f>
        <v>show blot</v>
      </c>
      <c r="J5193" s="5" t="s">
        <v>10180</v>
      </c>
      <c r="L5193" s="11">
        <v>2.79529421559086</v>
      </c>
      <c r="N5193" s="12"/>
    </row>
    <row r="5194" spans="1:14" s="5" customFormat="1" ht="15" customHeight="1" x14ac:dyDescent="0.25">
      <c r="A5194" s="9" t="s">
        <v>10181</v>
      </c>
      <c r="C5194" s="9" t="str">
        <f>HYPERLINK("http://www.ncbi.nlm.nih.gov/protein/157364966","Otud6b")</f>
        <v>Otud6b</v>
      </c>
      <c r="D5194" s="10">
        <f t="shared" si="81"/>
        <v>4.1662756203708771</v>
      </c>
      <c r="F5194" s="8" t="str">
        <f>HYPERLINK("https://esbl.nhlbi.nih.gov/Databases/mpkFractions/proteomic_fractions_log_files/Yang_log_img/157364966.jpg","show blot")</f>
        <v>show blot</v>
      </c>
      <c r="H5194" s="8" t="str">
        <f>HYPERLINK("https://esbl.nhlbi.nih.gov/Databases/mpkFractions/proteomic_fractions_linear_files/Yang_linear_img/157364966.jpg","show blot")</f>
        <v>show blot</v>
      </c>
      <c r="J5194" s="5" t="s">
        <v>10182</v>
      </c>
      <c r="L5194" s="11">
        <v>4.1662756203708771</v>
      </c>
      <c r="N5194" s="12"/>
    </row>
    <row r="5195" spans="1:14" s="5" customFormat="1" ht="15" customHeight="1" x14ac:dyDescent="0.25">
      <c r="A5195" s="9" t="s">
        <v>10183</v>
      </c>
      <c r="C5195" s="9" t="str">
        <f>HYPERLINK("http://www.ncbi.nlm.nih.gov/protein/18700018","Otud7a")</f>
        <v>Otud7a</v>
      </c>
      <c r="D5195" s="10">
        <f t="shared" si="81"/>
        <v>2.4332865141322939</v>
      </c>
      <c r="F5195" s="8" t="str">
        <f>HYPERLINK("https://esbl.nhlbi.nih.gov/Databases/mpkFractions/proteomic_fractions_log_files/Yang_log_img/18700018.jpg","show blot")</f>
        <v>show blot</v>
      </c>
      <c r="H5195" s="8" t="str">
        <f>HYPERLINK("https://esbl.nhlbi.nih.gov/Databases/mpkFractions/proteomic_fractions_linear_files/Yang_linear_img/18700018.jpg","show blot")</f>
        <v>show blot</v>
      </c>
      <c r="J5195" s="5" t="s">
        <v>10184</v>
      </c>
      <c r="L5195" s="11">
        <v>2.4332865141322939</v>
      </c>
      <c r="N5195" s="12"/>
    </row>
    <row r="5196" spans="1:14" s="5" customFormat="1" ht="15" customHeight="1" x14ac:dyDescent="0.25">
      <c r="A5196" s="9" t="s">
        <v>10185</v>
      </c>
      <c r="C5196" s="9" t="str">
        <f>HYPERLINK("http://www.ncbi.nlm.nih.gov/protein/71043959","Otud7b")</f>
        <v>Otud7b</v>
      </c>
      <c r="D5196" s="10">
        <f t="shared" si="81"/>
        <v>2.6665949796813968</v>
      </c>
      <c r="F5196" s="8" t="str">
        <f>HYPERLINK("https://esbl.nhlbi.nih.gov/Databases/mpkFractions/proteomic_fractions_log_files/Yang_log_img/71043959.jpg","show blot")</f>
        <v>show blot</v>
      </c>
      <c r="H5196" s="8" t="str">
        <f>HYPERLINK("https://esbl.nhlbi.nih.gov/Databases/mpkFractions/proteomic_fractions_linear_files/Yang_linear_img/71043959.jpg","show blot")</f>
        <v>show blot</v>
      </c>
      <c r="J5196" s="5" t="s">
        <v>10186</v>
      </c>
      <c r="L5196" s="11">
        <v>2.6665949796813968</v>
      </c>
      <c r="N5196" s="12"/>
    </row>
    <row r="5197" spans="1:14" s="5" customFormat="1" ht="15" customHeight="1" x14ac:dyDescent="0.25">
      <c r="A5197" s="9" t="s">
        <v>10187</v>
      </c>
      <c r="C5197" s="9" t="str">
        <f>HYPERLINK("http://www.ncbi.nlm.nih.gov/protein/18158418","Ovca2")</f>
        <v>Ovca2</v>
      </c>
      <c r="D5197" s="10">
        <f t="shared" si="81"/>
        <v>5.0708472054695353</v>
      </c>
      <c r="F5197" s="8" t="str">
        <f>HYPERLINK("https://esbl.nhlbi.nih.gov/Databases/mpkFractions/proteomic_fractions_log_files/Yang_log_img/18158418.jpg","show blot")</f>
        <v>show blot</v>
      </c>
      <c r="H5197" s="8" t="str">
        <f>HYPERLINK("https://esbl.nhlbi.nih.gov/Databases/mpkFractions/proteomic_fractions_linear_files/Yang_linear_img/18158418.jpg","show blot")</f>
        <v>show blot</v>
      </c>
      <c r="J5197" s="5" t="s">
        <v>10188</v>
      </c>
      <c r="L5197" s="11">
        <v>5.0708472054695353</v>
      </c>
      <c r="N5197" s="12"/>
    </row>
    <row r="5198" spans="1:14" s="5" customFormat="1" ht="15" customHeight="1" x14ac:dyDescent="0.25">
      <c r="A5198" s="9" t="s">
        <v>10189</v>
      </c>
      <c r="C5198" s="9" t="str">
        <f>HYPERLINK("http://www.ncbi.nlm.nih.gov/protein/23308705","Ovol2")</f>
        <v>Ovol2</v>
      </c>
      <c r="D5198" s="10">
        <f t="shared" si="81"/>
        <v>2.9408354396133651</v>
      </c>
      <c r="F5198" s="8" t="str">
        <f>HYPERLINK("https://esbl.nhlbi.nih.gov/Databases/mpkFractions/proteomic_fractions_log_files/Yang_log_img/23308705.jpg","show blot")</f>
        <v>show blot</v>
      </c>
      <c r="H5198" s="8" t="str">
        <f>HYPERLINK("https://esbl.nhlbi.nih.gov/Databases/mpkFractions/proteomic_fractions_linear_files/Yang_linear_img/23308705.jpg","show blot")</f>
        <v>show blot</v>
      </c>
      <c r="J5198" s="5" t="s">
        <v>10190</v>
      </c>
      <c r="L5198" s="11">
        <v>2.9408354396133651</v>
      </c>
      <c r="N5198" s="12"/>
    </row>
    <row r="5199" spans="1:14" s="5" customFormat="1" ht="15" customHeight="1" x14ac:dyDescent="0.25">
      <c r="A5199" s="9" t="s">
        <v>10191</v>
      </c>
      <c r="C5199" s="9" t="str">
        <f>HYPERLINK("http://www.ncbi.nlm.nih.gov/protein/18266680","Oxct1")</f>
        <v>Oxct1</v>
      </c>
      <c r="D5199" s="10">
        <f t="shared" si="81"/>
        <v>5.3212240204895034</v>
      </c>
      <c r="F5199" s="8" t="str">
        <f>HYPERLINK("https://esbl.nhlbi.nih.gov/Databases/mpkFractions/proteomic_fractions_log_files/Yang_log_img/18266680.jpg","show blot")</f>
        <v>show blot</v>
      </c>
      <c r="H5199" s="8" t="str">
        <f>HYPERLINK("https://esbl.nhlbi.nih.gov/Databases/mpkFractions/proteomic_fractions_linear_files/Yang_linear_img/18266680.jpg","show blot")</f>
        <v>show blot</v>
      </c>
      <c r="J5199" s="5" t="s">
        <v>10192</v>
      </c>
      <c r="L5199" s="11">
        <v>5.3212240204895034</v>
      </c>
      <c r="N5199" s="12"/>
    </row>
    <row r="5200" spans="1:14" s="5" customFormat="1" ht="15" customHeight="1" x14ac:dyDescent="0.25">
      <c r="A5200" s="9" t="s">
        <v>10193</v>
      </c>
      <c r="C5200" s="9" t="str">
        <f>HYPERLINK("http://www.ncbi.nlm.nih.gov/protein/170932556","Oxnad1")</f>
        <v>Oxnad1</v>
      </c>
      <c r="D5200" s="10">
        <f t="shared" si="81"/>
        <v>2.561500675458388</v>
      </c>
      <c r="F5200" s="8" t="str">
        <f>HYPERLINK("https://esbl.nhlbi.nih.gov/Databases/mpkFractions/proteomic_fractions_log_files/Yang_log_img/170932556.jpg","show blot")</f>
        <v>show blot</v>
      </c>
      <c r="H5200" s="8" t="str">
        <f>HYPERLINK("https://esbl.nhlbi.nih.gov/Databases/mpkFractions/proteomic_fractions_linear_files/Yang_linear_img/170932556.jpg","show blot")</f>
        <v>show blot</v>
      </c>
      <c r="J5200" s="5" t="s">
        <v>10194</v>
      </c>
      <c r="L5200" s="11">
        <v>2.561500675458388</v>
      </c>
      <c r="N5200" s="12"/>
    </row>
    <row r="5201" spans="1:14" s="5" customFormat="1" ht="15" customHeight="1" x14ac:dyDescent="0.25">
      <c r="A5201" s="9" t="s">
        <v>10195</v>
      </c>
      <c r="C5201" s="9" t="str">
        <f>HYPERLINK("http://www.ncbi.nlm.nih.gov/protein/194328704","Oxr1")</f>
        <v>Oxr1</v>
      </c>
      <c r="D5201" s="10">
        <f t="shared" si="81"/>
        <v>5.9026181576203616</v>
      </c>
      <c r="F5201" s="8" t="str">
        <f>HYPERLINK("https://esbl.nhlbi.nih.gov/Databases/mpkFractions/proteomic_fractions_log_files/Yang_log_img/194328704.jpg","show blot")</f>
        <v>show blot</v>
      </c>
      <c r="H5201" s="8" t="str">
        <f>HYPERLINK("https://esbl.nhlbi.nih.gov/Databases/mpkFractions/proteomic_fractions_linear_files/Yang_linear_img/194328704.jpg","show blot")</f>
        <v>show blot</v>
      </c>
      <c r="J5201" s="5" t="s">
        <v>10196</v>
      </c>
      <c r="L5201" s="11">
        <v>5.9026181576203616</v>
      </c>
      <c r="N5201" s="12"/>
    </row>
    <row r="5202" spans="1:14" s="5" customFormat="1" ht="15" customHeight="1" x14ac:dyDescent="0.25">
      <c r="A5202" s="9" t="s">
        <v>10197</v>
      </c>
      <c r="C5202" s="9" t="str">
        <f>HYPERLINK("http://www.ncbi.nlm.nih.gov/protein/18700026","Oxr1")</f>
        <v>Oxr1</v>
      </c>
      <c r="D5202" s="10">
        <f t="shared" si="81"/>
        <v>5.9026181576203616</v>
      </c>
      <c r="F5202" s="8" t="str">
        <f>HYPERLINK("https://esbl.nhlbi.nih.gov/Databases/mpkFractions/proteomic_fractions_log_files/Yang_log_img/18700026.jpg","show blot")</f>
        <v>show blot</v>
      </c>
      <c r="H5202" s="8" t="str">
        <f>HYPERLINK("https://esbl.nhlbi.nih.gov/Databases/mpkFractions/proteomic_fractions_linear_files/Yang_linear_img/18700026.jpg","show blot")</f>
        <v>show blot</v>
      </c>
      <c r="J5202" s="5" t="s">
        <v>10198</v>
      </c>
      <c r="L5202" s="11">
        <v>5.9026181576203616</v>
      </c>
      <c r="N5202" s="12"/>
    </row>
    <row r="5203" spans="1:14" s="5" customFormat="1" ht="15" customHeight="1" x14ac:dyDescent="0.25">
      <c r="A5203" s="9" t="s">
        <v>10199</v>
      </c>
      <c r="C5203" s="9" t="str">
        <f>HYPERLINK("http://www.ncbi.nlm.nih.gov/protein/194328702","Oxr1")</f>
        <v>Oxr1</v>
      </c>
      <c r="D5203" s="10">
        <f t="shared" si="81"/>
        <v>5.9026181576203616</v>
      </c>
      <c r="F5203" s="8" t="str">
        <f>HYPERLINK("https://esbl.nhlbi.nih.gov/Databases/mpkFractions/proteomic_fractions_log_files/Yang_log_img/194328702.jpg","show blot")</f>
        <v>show blot</v>
      </c>
      <c r="H5203" s="8" t="str">
        <f>HYPERLINK("https://esbl.nhlbi.nih.gov/Databases/mpkFractions/proteomic_fractions_linear_files/Yang_linear_img/194328702.jpg","show blot")</f>
        <v>show blot</v>
      </c>
      <c r="J5203" s="5" t="s">
        <v>10200</v>
      </c>
      <c r="L5203" s="11">
        <v>5.9026181576203616</v>
      </c>
      <c r="N5203" s="12"/>
    </row>
    <row r="5204" spans="1:14" s="5" customFormat="1" ht="15" customHeight="1" x14ac:dyDescent="0.25">
      <c r="A5204" s="9" t="s">
        <v>10201</v>
      </c>
      <c r="C5204" s="9" t="str">
        <f>HYPERLINK("http://www.ncbi.nlm.nih.gov/protein/194328706","Oxr1")</f>
        <v>Oxr1</v>
      </c>
      <c r="D5204" s="10">
        <f t="shared" si="81"/>
        <v>5.9026181576203616</v>
      </c>
      <c r="F5204" s="8" t="str">
        <f>HYPERLINK("https://esbl.nhlbi.nih.gov/Databases/mpkFractions/proteomic_fractions_log_files/Yang_log_img/194328706.jpg","show blot")</f>
        <v>show blot</v>
      </c>
      <c r="H5204" s="8" t="str">
        <f>HYPERLINK("https://esbl.nhlbi.nih.gov/Databases/mpkFractions/proteomic_fractions_linear_files/Yang_linear_img/194328706.jpg","show blot")</f>
        <v>show blot</v>
      </c>
      <c r="J5204" s="5" t="s">
        <v>10202</v>
      </c>
      <c r="L5204" s="11">
        <v>5.9026181576203616</v>
      </c>
      <c r="N5204" s="12"/>
    </row>
    <row r="5205" spans="1:14" s="5" customFormat="1" ht="15" customHeight="1" x14ac:dyDescent="0.25">
      <c r="A5205" s="9" t="s">
        <v>10203</v>
      </c>
      <c r="C5205" s="9" t="str">
        <f>HYPERLINK("http://www.ncbi.nlm.nih.gov/protein/194328708","Oxr1")</f>
        <v>Oxr1</v>
      </c>
      <c r="D5205" s="10">
        <f t="shared" si="81"/>
        <v>5.9026181576203616</v>
      </c>
      <c r="F5205" s="8" t="str">
        <f>HYPERLINK("https://esbl.nhlbi.nih.gov/Databases/mpkFractions/proteomic_fractions_log_files/Yang_log_img/194328708.jpg","show blot")</f>
        <v>show blot</v>
      </c>
      <c r="H5205" s="8" t="str">
        <f>HYPERLINK("https://esbl.nhlbi.nih.gov/Databases/mpkFractions/proteomic_fractions_linear_files/Yang_linear_img/194328708.jpg","show blot")</f>
        <v>show blot</v>
      </c>
      <c r="J5205" s="5" t="s">
        <v>10204</v>
      </c>
      <c r="L5205" s="11">
        <v>5.9026181576203616</v>
      </c>
      <c r="N5205" s="12"/>
    </row>
    <row r="5206" spans="1:14" s="5" customFormat="1" ht="15" customHeight="1" x14ac:dyDescent="0.25">
      <c r="A5206" s="9" t="s">
        <v>10205</v>
      </c>
      <c r="C5206" s="9" t="str">
        <f>HYPERLINK("http://www.ncbi.nlm.nih.gov/protein/58037235","Oxsm")</f>
        <v>Oxsm</v>
      </c>
      <c r="D5206" s="10">
        <f t="shared" si="81"/>
        <v>3.6045760224732142</v>
      </c>
      <c r="F5206" s="8" t="str">
        <f>HYPERLINK("https://esbl.nhlbi.nih.gov/Databases/mpkFractions/proteomic_fractions_log_files/Yang_log_img/58037235.jpg","show blot")</f>
        <v>show blot</v>
      </c>
      <c r="H5206" s="8" t="str">
        <f>HYPERLINK("https://esbl.nhlbi.nih.gov/Databases/mpkFractions/proteomic_fractions_linear_files/Yang_linear_img/58037235.jpg","show blot")</f>
        <v>show blot</v>
      </c>
      <c r="J5206" s="5" t="s">
        <v>10206</v>
      </c>
      <c r="L5206" s="11">
        <v>3.6045760224732142</v>
      </c>
      <c r="N5206" s="12"/>
    </row>
    <row r="5207" spans="1:14" s="5" customFormat="1" ht="15" customHeight="1" x14ac:dyDescent="0.25">
      <c r="A5207" s="9" t="s">
        <v>10207</v>
      </c>
      <c r="C5207" s="9" t="str">
        <f>HYPERLINK("http://www.ncbi.nlm.nih.gov/protein/365777424","Oxsr1")</f>
        <v>Oxsr1</v>
      </c>
      <c r="D5207" s="10">
        <f t="shared" si="81"/>
        <v>4.7634065496640634</v>
      </c>
      <c r="F5207" s="8" t="str">
        <f>HYPERLINK("https://esbl.nhlbi.nih.gov/Databases/mpkFractions/proteomic_fractions_log_files/Yang_log_img/365777424.jpg","show blot")</f>
        <v>show blot</v>
      </c>
      <c r="H5207" s="8" t="str">
        <f>HYPERLINK("https://esbl.nhlbi.nih.gov/Databases/mpkFractions/proteomic_fractions_linear_files/Yang_linear_img/365777424.jpg","show blot")</f>
        <v>show blot</v>
      </c>
      <c r="J5207" s="5" t="s">
        <v>10208</v>
      </c>
      <c r="L5207" s="11">
        <v>4.7634065496640634</v>
      </c>
      <c r="N5207" s="12"/>
    </row>
    <row r="5208" spans="1:14" s="5" customFormat="1" ht="15" customHeight="1" x14ac:dyDescent="0.25">
      <c r="A5208" s="9" t="s">
        <v>10209</v>
      </c>
      <c r="C5208" s="9" t="str">
        <f>HYPERLINK("http://www.ncbi.nlm.nih.gov/protein/117676374","P2rx4")</f>
        <v>P2rx4</v>
      </c>
      <c r="D5208" s="10">
        <f t="shared" si="81"/>
        <v>5.8311753585336419</v>
      </c>
      <c r="F5208" s="8" t="str">
        <f>HYPERLINK("https://esbl.nhlbi.nih.gov/Databases/mpkFractions/proteomic_fractions_log_files/Yang_log_img/117676374.jpg","show blot")</f>
        <v>show blot</v>
      </c>
      <c r="H5208" s="8" t="str">
        <f>HYPERLINK("https://esbl.nhlbi.nih.gov/Databases/mpkFractions/proteomic_fractions_linear_files/Yang_linear_img/117676374.jpg","show blot")</f>
        <v>show blot</v>
      </c>
      <c r="J5208" s="5" t="s">
        <v>10210</v>
      </c>
      <c r="L5208" s="11">
        <v>5.8311753585336419</v>
      </c>
      <c r="N5208" s="12"/>
    </row>
    <row r="5209" spans="1:14" s="5" customFormat="1" ht="15" customHeight="1" x14ac:dyDescent="0.25">
      <c r="A5209" s="9" t="s">
        <v>10211</v>
      </c>
      <c r="C5209" s="9" t="str">
        <f>HYPERLINK("http://www.ncbi.nlm.nih.gov/protein/238624118","P2rx5")</f>
        <v>P2rx5</v>
      </c>
      <c r="D5209" s="10">
        <f t="shared" si="81"/>
        <v>3.9985845934999138</v>
      </c>
      <c r="F5209" s="8" t="str">
        <f>HYPERLINK("https://esbl.nhlbi.nih.gov/Databases/mpkFractions/proteomic_fractions_log_files/Yang_log_img/238624118.jpg","show blot")</f>
        <v>show blot</v>
      </c>
      <c r="H5209" s="8" t="str">
        <f>HYPERLINK("https://esbl.nhlbi.nih.gov/Databases/mpkFractions/proteomic_fractions_linear_files/Yang_linear_img/238624118.jpg","show blot")</f>
        <v>show blot</v>
      </c>
      <c r="J5209" s="5" t="s">
        <v>10212</v>
      </c>
      <c r="L5209" s="11">
        <v>3.9985845934999138</v>
      </c>
      <c r="N5209" s="12"/>
    </row>
    <row r="5210" spans="1:14" s="5" customFormat="1" ht="15" customHeight="1" x14ac:dyDescent="0.25">
      <c r="A5210" s="9" t="s">
        <v>10213</v>
      </c>
      <c r="C5210" s="9" t="str">
        <f>HYPERLINK("http://www.ncbi.nlm.nih.gov/protein/33859596","P4ha1")</f>
        <v>P4ha1</v>
      </c>
      <c r="D5210" s="10">
        <f t="shared" si="81"/>
        <v>4.5008417514534758</v>
      </c>
      <c r="F5210" s="8" t="str">
        <f>HYPERLINK("https://esbl.nhlbi.nih.gov/Databases/mpkFractions/proteomic_fractions_log_files/Yang_log_img/33859596.jpg","show blot")</f>
        <v>show blot</v>
      </c>
      <c r="H5210" s="8" t="str">
        <f>HYPERLINK("https://esbl.nhlbi.nih.gov/Databases/mpkFractions/proteomic_fractions_linear_files/Yang_linear_img/33859596.jpg","show blot")</f>
        <v>show blot</v>
      </c>
      <c r="J5210" s="5" t="s">
        <v>10214</v>
      </c>
      <c r="L5210" s="11">
        <v>4.5008417514534758</v>
      </c>
      <c r="N5210" s="12"/>
    </row>
    <row r="5211" spans="1:14" s="5" customFormat="1" ht="15" customHeight="1" x14ac:dyDescent="0.25">
      <c r="A5211" s="9" t="s">
        <v>10215</v>
      </c>
      <c r="C5211" s="9" t="str">
        <f>HYPERLINK("http://www.ncbi.nlm.nih.gov/protein/42415475","P4hb")</f>
        <v>P4hb</v>
      </c>
      <c r="D5211" s="10">
        <f t="shared" si="81"/>
        <v>6.7729075813233619</v>
      </c>
      <c r="F5211" s="8" t="str">
        <f>HYPERLINK("https://esbl.nhlbi.nih.gov/Databases/mpkFractions/proteomic_fractions_log_files/Yang_log_img/42415475.jpg","show blot")</f>
        <v>show blot</v>
      </c>
      <c r="H5211" s="8" t="str">
        <f>HYPERLINK("https://esbl.nhlbi.nih.gov/Databases/mpkFractions/proteomic_fractions_linear_files/Yang_linear_img/42415475.jpg","show blot")</f>
        <v>show blot</v>
      </c>
      <c r="J5211" s="5" t="s">
        <v>10216</v>
      </c>
      <c r="L5211" s="11">
        <v>6.7729075813233619</v>
      </c>
      <c r="N5211" s="12"/>
    </row>
    <row r="5212" spans="1:14" s="5" customFormat="1" ht="15" customHeight="1" x14ac:dyDescent="0.25">
      <c r="A5212" s="9" t="s">
        <v>10217</v>
      </c>
      <c r="C5212" s="9" t="str">
        <f>HYPERLINK("http://www.ncbi.nlm.nih.gov/protein/6755100","Pa2g4")</f>
        <v>Pa2g4</v>
      </c>
      <c r="D5212" s="10">
        <f t="shared" si="81"/>
        <v>6.835776444092275</v>
      </c>
      <c r="F5212" s="8" t="str">
        <f>HYPERLINK("https://esbl.nhlbi.nih.gov/Databases/mpkFractions/proteomic_fractions_log_files/Yang_log_img/6755100.jpg","show blot")</f>
        <v>show blot</v>
      </c>
      <c r="H5212" s="8" t="str">
        <f>HYPERLINK("https://esbl.nhlbi.nih.gov/Databases/mpkFractions/proteomic_fractions_linear_files/Yang_linear_img/6755100.jpg","show blot")</f>
        <v>show blot</v>
      </c>
      <c r="J5212" s="5" t="s">
        <v>10218</v>
      </c>
      <c r="L5212" s="11">
        <v>6.835776444092275</v>
      </c>
      <c r="N5212" s="12"/>
    </row>
    <row r="5213" spans="1:14" s="5" customFormat="1" ht="15" customHeight="1" x14ac:dyDescent="0.25">
      <c r="A5213" s="9" t="s">
        <v>10219</v>
      </c>
      <c r="C5213" s="9" t="str">
        <f>HYPERLINK("http://www.ncbi.nlm.nih.gov/protein/31560656","Pabpc1")</f>
        <v>Pabpc1</v>
      </c>
      <c r="D5213" s="10">
        <f t="shared" si="81"/>
        <v>6.5446252204318283</v>
      </c>
      <c r="F5213" s="8" t="str">
        <f>HYPERLINK("https://esbl.nhlbi.nih.gov/Databases/mpkFractions/proteomic_fractions_log_files/Yang_log_img/31560656.jpg","show blot")</f>
        <v>show blot</v>
      </c>
      <c r="H5213" s="8" t="str">
        <f>HYPERLINK("https://esbl.nhlbi.nih.gov/Databases/mpkFractions/proteomic_fractions_linear_files/Yang_linear_img/31560656.jpg","show blot")</f>
        <v>show blot</v>
      </c>
      <c r="J5213" s="5" t="s">
        <v>10220</v>
      </c>
      <c r="L5213" s="11">
        <v>6.5446252204318283</v>
      </c>
      <c r="N5213" s="12"/>
    </row>
    <row r="5214" spans="1:14" s="5" customFormat="1" ht="15" customHeight="1" x14ac:dyDescent="0.25">
      <c r="A5214" s="9" t="s">
        <v>10221</v>
      </c>
      <c r="C5214" s="9" t="str">
        <f>HYPERLINK("http://www.ncbi.nlm.nih.gov/protein/166157896","Pabpc1l")</f>
        <v>Pabpc1l</v>
      </c>
      <c r="D5214" s="10">
        <f t="shared" si="81"/>
        <v>5.3987077918847257</v>
      </c>
      <c r="F5214" s="8" t="str">
        <f>HYPERLINK("https://esbl.nhlbi.nih.gov/Databases/mpkFractions/proteomic_fractions_log_files/Yang_log_img/166157896.jpg","show blot")</f>
        <v>show blot</v>
      </c>
      <c r="H5214" s="8" t="str">
        <f>HYPERLINK("https://esbl.nhlbi.nih.gov/Databases/mpkFractions/proteomic_fractions_linear_files/Yang_linear_img/166157896.jpg","show blot")</f>
        <v>show blot</v>
      </c>
      <c r="J5214" s="5" t="s">
        <v>10222</v>
      </c>
      <c r="L5214" s="11">
        <v>5.3987077918847257</v>
      </c>
      <c r="N5214" s="12"/>
    </row>
    <row r="5215" spans="1:14" s="5" customFormat="1" ht="15" customHeight="1" x14ac:dyDescent="0.25">
      <c r="A5215" s="9" t="s">
        <v>10223</v>
      </c>
      <c r="C5215" s="9" t="str">
        <f>HYPERLINK("http://www.ncbi.nlm.nih.gov/protein/309271474","Pabpc1l2b-ps")</f>
        <v>Pabpc1l2b-ps</v>
      </c>
      <c r="D5215" s="10">
        <f t="shared" si="81"/>
        <v>6.08540396826786</v>
      </c>
      <c r="F5215" s="8" t="str">
        <f>HYPERLINK("https://esbl.nhlbi.nih.gov/Databases/mpkFractions/proteomic_fractions_log_files/Yang_log_img/309271474.jpg","show blot")</f>
        <v>show blot</v>
      </c>
      <c r="H5215" s="8" t="str">
        <f>HYPERLINK("https://esbl.nhlbi.nih.gov/Databases/mpkFractions/proteomic_fractions_linear_files/Yang_linear_img/309271474.jpg","show blot")</f>
        <v>show blot</v>
      </c>
      <c r="J5215" s="5" t="s">
        <v>10224</v>
      </c>
      <c r="L5215" s="11">
        <v>6.08540396826786</v>
      </c>
      <c r="N5215" s="12"/>
    </row>
    <row r="5216" spans="1:14" s="5" customFormat="1" ht="15" customHeight="1" x14ac:dyDescent="0.25">
      <c r="A5216" s="9" t="s">
        <v>10225</v>
      </c>
      <c r="C5216" s="9" t="str">
        <f>HYPERLINK("http://www.ncbi.nlm.nih.gov/protein/6754972","Pabpc2")</f>
        <v>Pabpc2</v>
      </c>
      <c r="D5216" s="10">
        <f t="shared" si="81"/>
        <v>6.1041017973605509</v>
      </c>
      <c r="F5216" s="8" t="str">
        <f>HYPERLINK("https://esbl.nhlbi.nih.gov/Databases/mpkFractions/proteomic_fractions_log_files/Yang_log_img/6754972.jpg","show blot")</f>
        <v>show blot</v>
      </c>
      <c r="H5216" s="8" t="str">
        <f>HYPERLINK("https://esbl.nhlbi.nih.gov/Databases/mpkFractions/proteomic_fractions_linear_files/Yang_linear_img/6754972.jpg","show blot")</f>
        <v>show blot</v>
      </c>
      <c r="J5216" s="5" t="s">
        <v>10226</v>
      </c>
      <c r="L5216" s="11">
        <v>6.1041017973605509</v>
      </c>
      <c r="N5216" s="12"/>
    </row>
    <row r="5217" spans="1:14" s="5" customFormat="1" ht="15" customHeight="1" x14ac:dyDescent="0.25">
      <c r="A5217" s="9" t="s">
        <v>10227</v>
      </c>
      <c r="C5217" s="9" t="str">
        <f>HYPERLINK("http://www.ncbi.nlm.nih.gov/protein/22507391","Pabpc4")</f>
        <v>Pabpc4</v>
      </c>
      <c r="D5217" s="10">
        <f t="shared" si="81"/>
        <v>5.8065764372816098</v>
      </c>
      <c r="F5217" s="8" t="str">
        <f>HYPERLINK("https://esbl.nhlbi.nih.gov/Databases/mpkFractions/proteomic_fractions_log_files/Yang_log_img/22507391.jpg","show blot")</f>
        <v>show blot</v>
      </c>
      <c r="H5217" s="8" t="str">
        <f>HYPERLINK("https://esbl.nhlbi.nih.gov/Databases/mpkFractions/proteomic_fractions_linear_files/Yang_linear_img/22507391.jpg","show blot")</f>
        <v>show blot</v>
      </c>
      <c r="J5217" s="5" t="s">
        <v>10228</v>
      </c>
      <c r="L5217" s="11">
        <v>5.8065764372816098</v>
      </c>
      <c r="N5217" s="12"/>
    </row>
    <row r="5218" spans="1:14" s="5" customFormat="1" ht="15" customHeight="1" x14ac:dyDescent="0.25">
      <c r="A5218" s="9" t="s">
        <v>10229</v>
      </c>
      <c r="C5218" s="9" t="str">
        <f>HYPERLINK("http://www.ncbi.nlm.nih.gov/protein/34419622","Pabpc4")</f>
        <v>Pabpc4</v>
      </c>
      <c r="D5218" s="10">
        <f t="shared" si="81"/>
        <v>5.8065764372816098</v>
      </c>
      <c r="F5218" s="8" t="str">
        <f>HYPERLINK("https://esbl.nhlbi.nih.gov/Databases/mpkFractions/proteomic_fractions_log_files/Yang_log_img/34419622.jpg","show blot")</f>
        <v>show blot</v>
      </c>
      <c r="H5218" s="8" t="str">
        <f>HYPERLINK("https://esbl.nhlbi.nih.gov/Databases/mpkFractions/proteomic_fractions_linear_files/Yang_linear_img/34419622.jpg","show blot")</f>
        <v>show blot</v>
      </c>
      <c r="J5218" s="5" t="s">
        <v>10230</v>
      </c>
      <c r="L5218" s="11">
        <v>5.8065764372816098</v>
      </c>
      <c r="N5218" s="12"/>
    </row>
    <row r="5219" spans="1:14" s="5" customFormat="1" ht="15" customHeight="1" x14ac:dyDescent="0.25">
      <c r="A5219" s="9" t="s">
        <v>10231</v>
      </c>
      <c r="C5219" s="9" t="str">
        <f>HYPERLINK("http://www.ncbi.nlm.nih.gov/protein/168229272","Pabpc4l")</f>
        <v>Pabpc4l</v>
      </c>
      <c r="D5219" s="10">
        <f t="shared" si="81"/>
        <v>4.0946166843228351</v>
      </c>
      <c r="F5219" s="8" t="str">
        <f>HYPERLINK("https://esbl.nhlbi.nih.gov/Databases/mpkFractions/proteomic_fractions_log_files/Yang_log_img/168229272.jpg","show blot")</f>
        <v>show blot</v>
      </c>
      <c r="H5219" s="8" t="str">
        <f>HYPERLINK("https://esbl.nhlbi.nih.gov/Databases/mpkFractions/proteomic_fractions_linear_files/Yang_linear_img/168229272.jpg","show blot")</f>
        <v>show blot</v>
      </c>
      <c r="J5219" s="5" t="s">
        <v>10232</v>
      </c>
      <c r="L5219" s="11">
        <v>4.0946166843228351</v>
      </c>
      <c r="N5219" s="12"/>
    </row>
    <row r="5220" spans="1:14" s="5" customFormat="1" ht="15" customHeight="1" x14ac:dyDescent="0.25">
      <c r="A5220" s="9" t="s">
        <v>10233</v>
      </c>
      <c r="C5220" s="9" t="str">
        <f>HYPERLINK("http://www.ncbi.nlm.nih.gov/protein/29336045","Pabpc5")</f>
        <v>Pabpc5</v>
      </c>
      <c r="D5220" s="10">
        <f t="shared" si="81"/>
        <v>4.9745670919318954</v>
      </c>
      <c r="F5220" s="8" t="str">
        <f>HYPERLINK("https://esbl.nhlbi.nih.gov/Databases/mpkFractions/proteomic_fractions_log_files/Yang_log_img/29336045.jpg","show blot")</f>
        <v>show blot</v>
      </c>
      <c r="H5220" s="8" t="str">
        <f>HYPERLINK("https://esbl.nhlbi.nih.gov/Databases/mpkFractions/proteomic_fractions_linear_files/Yang_linear_img/29336045.jpg","show blot")</f>
        <v>show blot</v>
      </c>
      <c r="J5220" s="5" t="s">
        <v>10234</v>
      </c>
      <c r="L5220" s="11">
        <v>4.9745670919318954</v>
      </c>
      <c r="N5220" s="12"/>
    </row>
    <row r="5221" spans="1:14" s="5" customFormat="1" ht="15" customHeight="1" x14ac:dyDescent="0.25">
      <c r="A5221" s="9" t="s">
        <v>10235</v>
      </c>
      <c r="C5221" s="9" t="str">
        <f>HYPERLINK("http://www.ncbi.nlm.nih.gov/protein/255652857","Pabpc6")</f>
        <v>Pabpc6</v>
      </c>
      <c r="D5221" s="10">
        <f t="shared" si="81"/>
        <v>6.3367794414452963</v>
      </c>
      <c r="F5221" s="8" t="str">
        <f>HYPERLINK("https://esbl.nhlbi.nih.gov/Databases/mpkFractions/proteomic_fractions_log_files/Yang_log_img/255652857.jpg","show blot")</f>
        <v>show blot</v>
      </c>
      <c r="H5221" s="8" t="str">
        <f>HYPERLINK("https://esbl.nhlbi.nih.gov/Databases/mpkFractions/proteomic_fractions_linear_files/Yang_linear_img/255652857.jpg","show blot")</f>
        <v>show blot</v>
      </c>
      <c r="J5221" s="5" t="s">
        <v>10236</v>
      </c>
      <c r="L5221" s="11">
        <v>6.3367794414452963</v>
      </c>
      <c r="N5221" s="12"/>
    </row>
    <row r="5222" spans="1:14" s="5" customFormat="1" ht="15" customHeight="1" x14ac:dyDescent="0.25">
      <c r="A5222" s="9" t="s">
        <v>10237</v>
      </c>
      <c r="C5222" s="9" t="str">
        <f>HYPERLINK("http://www.ncbi.nlm.nih.gov/protein/9506945","Pabpn1")</f>
        <v>Pabpn1</v>
      </c>
      <c r="D5222" s="10">
        <f t="shared" si="81"/>
        <v>4.2209202055172934</v>
      </c>
      <c r="F5222" s="8" t="str">
        <f>HYPERLINK("https://esbl.nhlbi.nih.gov/Databases/mpkFractions/proteomic_fractions_log_files/Yang_log_img/9506945.jpg","show blot")</f>
        <v>show blot</v>
      </c>
      <c r="H5222" s="8" t="str">
        <f>HYPERLINK("https://esbl.nhlbi.nih.gov/Databases/mpkFractions/proteomic_fractions_linear_files/Yang_linear_img/9506945.jpg","show blot")</f>
        <v>show blot</v>
      </c>
      <c r="J5222" s="5" t="s">
        <v>10238</v>
      </c>
      <c r="L5222" s="11">
        <v>4.2209202055172934</v>
      </c>
      <c r="N5222" s="12"/>
    </row>
    <row r="5223" spans="1:14" s="5" customFormat="1" ht="15" customHeight="1" x14ac:dyDescent="0.25">
      <c r="A5223" s="9" t="s">
        <v>10239</v>
      </c>
      <c r="C5223" s="9" t="str">
        <f>HYPERLINK("http://www.ncbi.nlm.nih.gov/protein/54291704","Pacs1")</f>
        <v>Pacs1</v>
      </c>
      <c r="D5223" s="10">
        <f t="shared" si="81"/>
        <v>3.9315836582494099</v>
      </c>
      <c r="F5223" s="8" t="str">
        <f>HYPERLINK("https://esbl.nhlbi.nih.gov/Databases/mpkFractions/proteomic_fractions_log_files/Yang_log_img/54291704.jpg","show blot")</f>
        <v>show blot</v>
      </c>
      <c r="H5223" s="8" t="str">
        <f>HYPERLINK("https://esbl.nhlbi.nih.gov/Databases/mpkFractions/proteomic_fractions_linear_files/Yang_linear_img/54291704.jpg","show blot")</f>
        <v>show blot</v>
      </c>
      <c r="J5223" s="5" t="s">
        <v>10240</v>
      </c>
      <c r="L5223" s="11">
        <v>3.9315836582494099</v>
      </c>
      <c r="N5223" s="12"/>
    </row>
    <row r="5224" spans="1:14" s="5" customFormat="1" ht="15" customHeight="1" x14ac:dyDescent="0.25">
      <c r="A5224" s="9" t="s">
        <v>10241</v>
      </c>
      <c r="C5224" s="9" t="str">
        <f>HYPERLINK("http://www.ncbi.nlm.nih.gov/protein/7106381","Pacsin2")</f>
        <v>Pacsin2</v>
      </c>
      <c r="D5224" s="10">
        <f t="shared" si="81"/>
        <v>5.7871420124936721</v>
      </c>
      <c r="F5224" s="8" t="str">
        <f>HYPERLINK("https://esbl.nhlbi.nih.gov/Databases/mpkFractions/proteomic_fractions_log_files/Yang_log_img/7106381.jpg","show blot")</f>
        <v>show blot</v>
      </c>
      <c r="H5224" s="8" t="str">
        <f>HYPERLINK("https://esbl.nhlbi.nih.gov/Databases/mpkFractions/proteomic_fractions_linear_files/Yang_linear_img/7106381.jpg","show blot")</f>
        <v>show blot</v>
      </c>
      <c r="J5224" s="5" t="s">
        <v>10242</v>
      </c>
      <c r="L5224" s="11">
        <v>5.7871420124936721</v>
      </c>
      <c r="N5224" s="12"/>
    </row>
    <row r="5225" spans="1:14" s="5" customFormat="1" ht="15" customHeight="1" x14ac:dyDescent="0.25">
      <c r="A5225" s="9" t="s">
        <v>10243</v>
      </c>
      <c r="C5225" s="9" t="str">
        <f>HYPERLINK("http://www.ncbi.nlm.nih.gov/protein/28077027","Pacsin3")</f>
        <v>Pacsin3</v>
      </c>
      <c r="D5225" s="10">
        <f t="shared" si="81"/>
        <v>4.842791552481839</v>
      </c>
      <c r="F5225" s="8" t="str">
        <f>HYPERLINK("https://esbl.nhlbi.nih.gov/Databases/mpkFractions/proteomic_fractions_log_files/Yang_log_img/28077027.jpg","show blot")</f>
        <v>show blot</v>
      </c>
      <c r="H5225" s="8" t="str">
        <f>HYPERLINK("https://esbl.nhlbi.nih.gov/Databases/mpkFractions/proteomic_fractions_linear_files/Yang_linear_img/28077027.jpg","show blot")</f>
        <v>show blot</v>
      </c>
      <c r="J5225" s="5" t="s">
        <v>10244</v>
      </c>
      <c r="L5225" s="11">
        <v>4.842791552481839</v>
      </c>
      <c r="N5225" s="12"/>
    </row>
    <row r="5226" spans="1:14" s="5" customFormat="1" ht="15" customHeight="1" x14ac:dyDescent="0.25">
      <c r="A5226" s="9" t="s">
        <v>10245</v>
      </c>
      <c r="C5226" s="9" t="str">
        <f>HYPERLINK("http://www.ncbi.nlm.nih.gov/protein/171906557","Padi2")</f>
        <v>Padi2</v>
      </c>
      <c r="D5226" s="10">
        <f t="shared" si="81"/>
        <v>5.2158596890816451</v>
      </c>
      <c r="F5226" s="8" t="str">
        <f>HYPERLINK("https://esbl.nhlbi.nih.gov/Databases/mpkFractions/proteomic_fractions_log_files/Yang_log_img/171906557.jpg","show blot")</f>
        <v>show blot</v>
      </c>
      <c r="H5226" s="8" t="str">
        <f>HYPERLINK("https://esbl.nhlbi.nih.gov/Databases/mpkFractions/proteomic_fractions_linear_files/Yang_linear_img/171906557.jpg","show blot")</f>
        <v>show blot</v>
      </c>
      <c r="J5226" s="5" t="s">
        <v>10246</v>
      </c>
      <c r="L5226" s="11">
        <v>5.2158596890816451</v>
      </c>
      <c r="N5226" s="12"/>
    </row>
    <row r="5227" spans="1:14" s="5" customFormat="1" ht="15" customHeight="1" x14ac:dyDescent="0.25">
      <c r="A5227" s="9" t="s">
        <v>10247</v>
      </c>
      <c r="C5227" s="9" t="str">
        <f>HYPERLINK("http://www.ncbi.nlm.nih.gov/protein/31980912","Paf1")</f>
        <v>Paf1</v>
      </c>
      <c r="D5227" s="10">
        <f t="shared" si="81"/>
        <v>3.529687268136886</v>
      </c>
      <c r="F5227" s="8" t="str">
        <f>HYPERLINK("https://esbl.nhlbi.nih.gov/Databases/mpkFractions/proteomic_fractions_log_files/Yang_log_img/31980912.jpg","show blot")</f>
        <v>show blot</v>
      </c>
      <c r="H5227" s="8" t="str">
        <f>HYPERLINK("https://esbl.nhlbi.nih.gov/Databases/mpkFractions/proteomic_fractions_linear_files/Yang_linear_img/31980912.jpg","show blot")</f>
        <v>show blot</v>
      </c>
      <c r="J5227" s="5" t="s">
        <v>10248</v>
      </c>
      <c r="L5227" s="11">
        <v>3.529687268136886</v>
      </c>
      <c r="N5227" s="12"/>
    </row>
    <row r="5228" spans="1:14" s="5" customFormat="1" ht="15" customHeight="1" x14ac:dyDescent="0.25">
      <c r="A5228" s="9" t="s">
        <v>10249</v>
      </c>
      <c r="C5228" s="9" t="str">
        <f>HYPERLINK("http://www.ncbi.nlm.nih.gov/protein/7305363","Pafah1b1")</f>
        <v>Pafah1b1</v>
      </c>
      <c r="D5228" s="10">
        <f t="shared" si="81"/>
        <v>5.9834264348310713</v>
      </c>
      <c r="F5228" s="8" t="str">
        <f>HYPERLINK("https://esbl.nhlbi.nih.gov/Databases/mpkFractions/proteomic_fractions_log_files/Yang_log_img/7305363.jpg","show blot")</f>
        <v>show blot</v>
      </c>
      <c r="H5228" s="8" t="str">
        <f>HYPERLINK("https://esbl.nhlbi.nih.gov/Databases/mpkFractions/proteomic_fractions_linear_files/Yang_linear_img/7305363.jpg","show blot")</f>
        <v>show blot</v>
      </c>
      <c r="J5228" s="5" t="s">
        <v>10250</v>
      </c>
      <c r="L5228" s="11">
        <v>5.9834264348310713</v>
      </c>
      <c r="N5228" s="12"/>
    </row>
    <row r="5229" spans="1:14" s="5" customFormat="1" ht="15" customHeight="1" x14ac:dyDescent="0.25">
      <c r="A5229" s="9" t="s">
        <v>10251</v>
      </c>
      <c r="C5229" s="9" t="str">
        <f>HYPERLINK("http://www.ncbi.nlm.nih.gov/protein/40254624","Pafah1b2")</f>
        <v>Pafah1b2</v>
      </c>
      <c r="D5229" s="10">
        <f t="shared" si="81"/>
        <v>5.5158013876349914</v>
      </c>
      <c r="F5229" s="8" t="str">
        <f>HYPERLINK("https://esbl.nhlbi.nih.gov/Databases/mpkFractions/proteomic_fractions_log_files/Yang_log_img/40254624.jpg","show blot")</f>
        <v>show blot</v>
      </c>
      <c r="H5229" s="8" t="str">
        <f>HYPERLINK("https://esbl.nhlbi.nih.gov/Databases/mpkFractions/proteomic_fractions_linear_files/Yang_linear_img/40254624.jpg","show blot")</f>
        <v>show blot</v>
      </c>
      <c r="J5229" s="5" t="s">
        <v>10252</v>
      </c>
      <c r="L5229" s="11">
        <v>5.5158013876349914</v>
      </c>
      <c r="N5229" s="12"/>
    </row>
    <row r="5230" spans="1:14" s="5" customFormat="1" ht="15" customHeight="1" x14ac:dyDescent="0.25">
      <c r="A5230" s="9" t="s">
        <v>10253</v>
      </c>
      <c r="C5230" s="9" t="str">
        <f>HYPERLINK("http://www.ncbi.nlm.nih.gov/protein/6679201","Pafah1b3")</f>
        <v>Pafah1b3</v>
      </c>
      <c r="D5230" s="10">
        <f t="shared" si="81"/>
        <v>5.9055793626284983</v>
      </c>
      <c r="F5230" s="8" t="str">
        <f>HYPERLINK("https://esbl.nhlbi.nih.gov/Databases/mpkFractions/proteomic_fractions_log_files/Yang_log_img/6679201.jpg","show blot")</f>
        <v>show blot</v>
      </c>
      <c r="H5230" s="8" t="str">
        <f>HYPERLINK("https://esbl.nhlbi.nih.gov/Databases/mpkFractions/proteomic_fractions_linear_files/Yang_linear_img/6679201.jpg","show blot")</f>
        <v>show blot</v>
      </c>
      <c r="J5230" s="5" t="s">
        <v>10254</v>
      </c>
      <c r="L5230" s="11">
        <v>5.9055793626284983</v>
      </c>
      <c r="N5230" s="12"/>
    </row>
    <row r="5231" spans="1:14" s="5" customFormat="1" ht="15" customHeight="1" x14ac:dyDescent="0.25">
      <c r="A5231" s="9" t="s">
        <v>10255</v>
      </c>
      <c r="C5231" s="9" t="str">
        <f>HYPERLINK("http://www.ncbi.nlm.nih.gov/protein/225579137","Pafah2")</f>
        <v>Pafah2</v>
      </c>
      <c r="D5231" s="10">
        <f t="shared" si="81"/>
        <v>4.1432334943044529</v>
      </c>
      <c r="F5231" s="8" t="str">
        <f>HYPERLINK("https://esbl.nhlbi.nih.gov/Databases/mpkFractions/proteomic_fractions_log_files/Yang_log_img/225579137.jpg","show blot")</f>
        <v>show blot</v>
      </c>
      <c r="H5231" s="8" t="str">
        <f>HYPERLINK("https://esbl.nhlbi.nih.gov/Databases/mpkFractions/proteomic_fractions_linear_files/Yang_linear_img/225579137.jpg","show blot")</f>
        <v>show blot</v>
      </c>
      <c r="J5231" s="5" t="s">
        <v>10256</v>
      </c>
      <c r="L5231" s="11">
        <v>4.1432334943044529</v>
      </c>
      <c r="N5231" s="12"/>
    </row>
    <row r="5232" spans="1:14" s="5" customFormat="1" ht="15" customHeight="1" x14ac:dyDescent="0.25">
      <c r="A5232" s="9" t="s">
        <v>10257</v>
      </c>
      <c r="C5232" s="9" t="str">
        <f>HYPERLINK("http://www.ncbi.nlm.nih.gov/protein/13385434","Paics")</f>
        <v>Paics</v>
      </c>
      <c r="D5232" s="10">
        <f t="shared" si="81"/>
        <v>6.3869112086955102</v>
      </c>
      <c r="F5232" s="8" t="str">
        <f>HYPERLINK("https://esbl.nhlbi.nih.gov/Databases/mpkFractions/proteomic_fractions_log_files/Yang_log_img/13385434.jpg","show blot")</f>
        <v>show blot</v>
      </c>
      <c r="H5232" s="8" t="str">
        <f>HYPERLINK("https://esbl.nhlbi.nih.gov/Databases/mpkFractions/proteomic_fractions_linear_files/Yang_linear_img/13385434.jpg","show blot")</f>
        <v>show blot</v>
      </c>
      <c r="J5232" s="5" t="s">
        <v>10258</v>
      </c>
      <c r="L5232" s="11">
        <v>6.3869112086955102</v>
      </c>
      <c r="N5232" s="12"/>
    </row>
    <row r="5233" spans="1:14" s="5" customFormat="1" ht="15" customHeight="1" x14ac:dyDescent="0.25">
      <c r="A5233" s="9" t="s">
        <v>10259</v>
      </c>
      <c r="C5233" s="9" t="str">
        <f>HYPERLINK("http://www.ncbi.nlm.nih.gov/protein/119943127","Paip1")</f>
        <v>Paip1</v>
      </c>
      <c r="D5233" s="10">
        <f t="shared" si="81"/>
        <v>4.7539801322811712</v>
      </c>
      <c r="F5233" s="8" t="str">
        <f>HYPERLINK("https://esbl.nhlbi.nih.gov/Databases/mpkFractions/proteomic_fractions_log_files/Yang_log_img/119943127.jpg","show blot")</f>
        <v>show blot</v>
      </c>
      <c r="H5233" s="8" t="str">
        <f>HYPERLINK("https://esbl.nhlbi.nih.gov/Databases/mpkFractions/proteomic_fractions_linear_files/Yang_linear_img/119943127.jpg","show blot")</f>
        <v>show blot</v>
      </c>
      <c r="J5233" s="5" t="s">
        <v>10260</v>
      </c>
      <c r="L5233" s="11">
        <v>4.7539801322811712</v>
      </c>
      <c r="N5233" s="12"/>
    </row>
    <row r="5234" spans="1:14" s="5" customFormat="1" ht="15" customHeight="1" x14ac:dyDescent="0.25">
      <c r="A5234" s="9" t="s">
        <v>10261</v>
      </c>
      <c r="C5234" s="9" t="str">
        <f>HYPERLINK("http://www.ncbi.nlm.nih.gov/protein/21703908","Paip1")</f>
        <v>Paip1</v>
      </c>
      <c r="D5234" s="10">
        <f t="shared" si="81"/>
        <v>4.7539801322811712</v>
      </c>
      <c r="F5234" s="8" t="str">
        <f>HYPERLINK("https://esbl.nhlbi.nih.gov/Databases/mpkFractions/proteomic_fractions_log_files/Yang_log_img/21703908.jpg","show blot")</f>
        <v>show blot</v>
      </c>
      <c r="H5234" s="8" t="str">
        <f>HYPERLINK("https://esbl.nhlbi.nih.gov/Databases/mpkFractions/proteomic_fractions_linear_files/Yang_linear_img/21703908.jpg","show blot")</f>
        <v>show blot</v>
      </c>
      <c r="J5234" s="5" t="s">
        <v>10262</v>
      </c>
      <c r="L5234" s="11">
        <v>4.7539801322811712</v>
      </c>
      <c r="N5234" s="12"/>
    </row>
    <row r="5235" spans="1:14" s="5" customFormat="1" ht="15" customHeight="1" x14ac:dyDescent="0.25">
      <c r="A5235" s="9" t="s">
        <v>10263</v>
      </c>
      <c r="C5235" s="9" t="str">
        <f>HYPERLINK("http://www.ncbi.nlm.nih.gov/protein/112181194","Pak1")</f>
        <v>Pak1</v>
      </c>
      <c r="D5235" s="10">
        <f t="shared" si="81"/>
        <v>5.479441823002646</v>
      </c>
      <c r="F5235" s="8" t="str">
        <f>HYPERLINK("https://esbl.nhlbi.nih.gov/Databases/mpkFractions/proteomic_fractions_log_files/Yang_log_img/112181194.jpg","show blot")</f>
        <v>show blot</v>
      </c>
      <c r="H5235" s="8" t="str">
        <f>HYPERLINK("https://esbl.nhlbi.nih.gov/Databases/mpkFractions/proteomic_fractions_linear_files/Yang_linear_img/112181194.jpg","show blot")</f>
        <v>show blot</v>
      </c>
      <c r="J5235" s="5" t="s">
        <v>10264</v>
      </c>
      <c r="L5235" s="11">
        <v>5.479441823002646</v>
      </c>
      <c r="N5235" s="12"/>
    </row>
    <row r="5236" spans="1:14" s="5" customFormat="1" ht="15" customHeight="1" x14ac:dyDescent="0.25">
      <c r="A5236" s="9" t="s">
        <v>10265</v>
      </c>
      <c r="C5236" s="9" t="str">
        <f>HYPERLINK("http://www.ncbi.nlm.nih.gov/protein/145046259","Pak1ip1")</f>
        <v>Pak1ip1</v>
      </c>
      <c r="D5236" s="10">
        <f t="shared" si="81"/>
        <v>4.6187863051000511</v>
      </c>
      <c r="F5236" s="8" t="str">
        <f>HYPERLINK("https://esbl.nhlbi.nih.gov/Databases/mpkFractions/proteomic_fractions_log_files/Yang_log_img/145046259.jpg","show blot")</f>
        <v>show blot</v>
      </c>
      <c r="H5236" s="8" t="str">
        <f>HYPERLINK("https://esbl.nhlbi.nih.gov/Databases/mpkFractions/proteomic_fractions_linear_files/Yang_linear_img/145046259.jpg","show blot")</f>
        <v>show blot</v>
      </c>
      <c r="J5236" s="5" t="s">
        <v>10266</v>
      </c>
      <c r="L5236" s="11">
        <v>4.6187863051000511</v>
      </c>
      <c r="N5236" s="12"/>
    </row>
    <row r="5237" spans="1:14" s="5" customFormat="1" ht="15" customHeight="1" x14ac:dyDescent="0.25">
      <c r="A5237" s="9" t="s">
        <v>10267</v>
      </c>
      <c r="C5237" s="9" t="str">
        <f>HYPERLINK("http://www.ncbi.nlm.nih.gov/protein/46559406","Pak2")</f>
        <v>Pak2</v>
      </c>
      <c r="D5237" s="10">
        <f t="shared" si="81"/>
        <v>5.9280064480758901</v>
      </c>
      <c r="F5237" s="8" t="str">
        <f>HYPERLINK("https://esbl.nhlbi.nih.gov/Databases/mpkFractions/proteomic_fractions_log_files/Yang_log_img/46559406.jpg","show blot")</f>
        <v>show blot</v>
      </c>
      <c r="H5237" s="8" t="str">
        <f>HYPERLINK("https://esbl.nhlbi.nih.gov/Databases/mpkFractions/proteomic_fractions_linear_files/Yang_linear_img/46559406.jpg","show blot")</f>
        <v>show blot</v>
      </c>
      <c r="J5237" s="5" t="s">
        <v>10268</v>
      </c>
      <c r="L5237" s="11">
        <v>5.9280064480758901</v>
      </c>
      <c r="N5237" s="12"/>
    </row>
    <row r="5238" spans="1:14" s="5" customFormat="1" ht="15" customHeight="1" x14ac:dyDescent="0.25">
      <c r="A5238" s="9" t="s">
        <v>10269</v>
      </c>
      <c r="C5238" s="9" t="str">
        <f>HYPERLINK("http://www.ncbi.nlm.nih.gov/protein/304307781","Pak3")</f>
        <v>Pak3</v>
      </c>
      <c r="D5238" s="10">
        <f t="shared" si="81"/>
        <v>5.5013340155741943</v>
      </c>
      <c r="F5238" s="8" t="str">
        <f>HYPERLINK("https://esbl.nhlbi.nih.gov/Databases/mpkFractions/proteomic_fractions_log_files/Yang_log_img/304307781.jpg","show blot")</f>
        <v>show blot</v>
      </c>
      <c r="H5238" s="8" t="str">
        <f>HYPERLINK("https://esbl.nhlbi.nih.gov/Databases/mpkFractions/proteomic_fractions_linear_files/Yang_linear_img/304307781.jpg","show blot")</f>
        <v>show blot</v>
      </c>
      <c r="J5238" s="5" t="s">
        <v>10270</v>
      </c>
      <c r="L5238" s="11">
        <v>5.5013340155741943</v>
      </c>
      <c r="N5238" s="12"/>
    </row>
    <row r="5239" spans="1:14" s="5" customFormat="1" ht="15" customHeight="1" x14ac:dyDescent="0.25">
      <c r="A5239" s="9" t="s">
        <v>10271</v>
      </c>
      <c r="C5239" s="9" t="str">
        <f>HYPERLINK("http://www.ncbi.nlm.nih.gov/protein/304307783","Pak3")</f>
        <v>Pak3</v>
      </c>
      <c r="D5239" s="10">
        <f t="shared" si="81"/>
        <v>5.5013340155741943</v>
      </c>
      <c r="F5239" s="8" t="str">
        <f>HYPERLINK("https://esbl.nhlbi.nih.gov/Databases/mpkFractions/proteomic_fractions_log_files/Yang_log_img/304307783.jpg","show blot")</f>
        <v>show blot</v>
      </c>
      <c r="H5239" s="8" t="str">
        <f>HYPERLINK("https://esbl.nhlbi.nih.gov/Databases/mpkFractions/proteomic_fractions_linear_files/Yang_linear_img/304307783.jpg","show blot")</f>
        <v>show blot</v>
      </c>
      <c r="J5239" s="5" t="s">
        <v>10272</v>
      </c>
      <c r="L5239" s="11">
        <v>5.5013340155741943</v>
      </c>
      <c r="N5239" s="12"/>
    </row>
    <row r="5240" spans="1:14" s="5" customFormat="1" ht="15" customHeight="1" x14ac:dyDescent="0.25">
      <c r="A5240" s="9" t="s">
        <v>10273</v>
      </c>
      <c r="C5240" s="9" t="str">
        <f>HYPERLINK("http://www.ncbi.nlm.nih.gov/protein/304307785","Pak3")</f>
        <v>Pak3</v>
      </c>
      <c r="D5240" s="10">
        <f t="shared" si="81"/>
        <v>5.5013340155741943</v>
      </c>
      <c r="F5240" s="8" t="str">
        <f>HYPERLINK("https://esbl.nhlbi.nih.gov/Databases/mpkFractions/proteomic_fractions_log_files/Yang_log_img/304307785.jpg","show blot")</f>
        <v>show blot</v>
      </c>
      <c r="H5240" s="8" t="str">
        <f>HYPERLINK("https://esbl.nhlbi.nih.gov/Databases/mpkFractions/proteomic_fractions_linear_files/Yang_linear_img/304307785.jpg","show blot")</f>
        <v>show blot</v>
      </c>
      <c r="J5240" s="5" t="s">
        <v>10274</v>
      </c>
      <c r="L5240" s="11">
        <v>5.5013340155741943</v>
      </c>
      <c r="N5240" s="12"/>
    </row>
    <row r="5241" spans="1:14" s="5" customFormat="1" ht="15" customHeight="1" x14ac:dyDescent="0.25">
      <c r="A5241" s="9" t="s">
        <v>10275</v>
      </c>
      <c r="C5241" s="9" t="str">
        <f>HYPERLINK("http://www.ncbi.nlm.nih.gov/protein/304307788","Pak3")</f>
        <v>Pak3</v>
      </c>
      <c r="D5241" s="10">
        <f t="shared" si="81"/>
        <v>5.5013340155741943</v>
      </c>
      <c r="F5241" s="8" t="str">
        <f>HYPERLINK("https://esbl.nhlbi.nih.gov/Databases/mpkFractions/proteomic_fractions_log_files/Yang_log_img/304307788.jpg","show blot")</f>
        <v>show blot</v>
      </c>
      <c r="H5241" s="8" t="str">
        <f>HYPERLINK("https://esbl.nhlbi.nih.gov/Databases/mpkFractions/proteomic_fractions_linear_files/Yang_linear_img/304307788.jpg","show blot")</f>
        <v>show blot</v>
      </c>
      <c r="J5241" s="5" t="s">
        <v>10276</v>
      </c>
      <c r="L5241" s="11">
        <v>5.5013340155741943</v>
      </c>
      <c r="N5241" s="12"/>
    </row>
    <row r="5242" spans="1:14" s="5" customFormat="1" ht="15" customHeight="1" x14ac:dyDescent="0.25">
      <c r="A5242" s="9" t="s">
        <v>10277</v>
      </c>
      <c r="C5242" s="9" t="str">
        <f>HYPERLINK("http://www.ncbi.nlm.nih.gov/protein/29336032","Pak4")</f>
        <v>Pak4</v>
      </c>
      <c r="D5242" s="10">
        <f t="shared" si="81"/>
        <v>3.2226148746650498</v>
      </c>
      <c r="F5242" s="8" t="str">
        <f>HYPERLINK("https://esbl.nhlbi.nih.gov/Databases/mpkFractions/proteomic_fractions_log_files/Yang_log_img/29336032.jpg","show blot")</f>
        <v>show blot</v>
      </c>
      <c r="H5242" s="8" t="str">
        <f>HYPERLINK("https://esbl.nhlbi.nih.gov/Databases/mpkFractions/proteomic_fractions_linear_files/Yang_linear_img/29336032.jpg","show blot")</f>
        <v>show blot</v>
      </c>
      <c r="J5242" s="5" t="s">
        <v>10278</v>
      </c>
      <c r="L5242" s="11">
        <v>3.2226148746650498</v>
      </c>
      <c r="N5242" s="12"/>
    </row>
    <row r="5243" spans="1:14" s="5" customFormat="1" ht="15" customHeight="1" x14ac:dyDescent="0.25">
      <c r="A5243" s="9" t="s">
        <v>10279</v>
      </c>
      <c r="C5243" s="9" t="str">
        <f>HYPERLINK("http://www.ncbi.nlm.nih.gov/protein/171846274","Pald1")</f>
        <v>Pald1</v>
      </c>
      <c r="D5243" s="10">
        <f t="shared" si="81"/>
        <v>4.0691959665654629</v>
      </c>
      <c r="F5243" s="8" t="str">
        <f>HYPERLINK("https://esbl.nhlbi.nih.gov/Databases/mpkFractions/proteomic_fractions_log_files/Yang_log_img/171846274.jpg","show blot")</f>
        <v>show blot</v>
      </c>
      <c r="H5243" s="8" t="str">
        <f>HYPERLINK("https://esbl.nhlbi.nih.gov/Databases/mpkFractions/proteomic_fractions_linear_files/Yang_linear_img/171846274.jpg","show blot")</f>
        <v>show blot</v>
      </c>
      <c r="J5243" s="5" t="s">
        <v>10280</v>
      </c>
      <c r="L5243" s="11">
        <v>4.0691959665654629</v>
      </c>
      <c r="N5243" s="12"/>
    </row>
    <row r="5244" spans="1:14" s="5" customFormat="1" ht="15" customHeight="1" x14ac:dyDescent="0.25">
      <c r="A5244" s="9" t="s">
        <v>10281</v>
      </c>
      <c r="C5244" s="9" t="str">
        <f>HYPERLINK("http://www.ncbi.nlm.nih.gov/protein/124487061","Palld")</f>
        <v>Palld</v>
      </c>
      <c r="D5244" s="10">
        <f t="shared" si="81"/>
        <v>3.493773839242873</v>
      </c>
      <c r="F5244" s="8" t="str">
        <f>HYPERLINK("https://esbl.nhlbi.nih.gov/Databases/mpkFractions/proteomic_fractions_log_files/Yang_log_img/124487061.jpg","show blot")</f>
        <v>show blot</v>
      </c>
      <c r="H5244" s="8" t="str">
        <f>HYPERLINK("https://esbl.nhlbi.nih.gov/Databases/mpkFractions/proteomic_fractions_linear_files/Yang_linear_img/124487061.jpg","show blot")</f>
        <v>show blot</v>
      </c>
      <c r="J5244" s="5" t="s">
        <v>10282</v>
      </c>
      <c r="L5244" s="11">
        <v>3.493773839242873</v>
      </c>
      <c r="N5244" s="12"/>
    </row>
    <row r="5245" spans="1:14" s="5" customFormat="1" ht="15" customHeight="1" x14ac:dyDescent="0.25">
      <c r="A5245" s="9" t="s">
        <v>10283</v>
      </c>
      <c r="C5245" s="9" t="str">
        <f>HYPERLINK("http://www.ncbi.nlm.nih.gov/protein/239985639","Palm")</f>
        <v>Palm</v>
      </c>
      <c r="D5245" s="10">
        <f t="shared" si="81"/>
        <v>2.839783697241141</v>
      </c>
      <c r="F5245" s="8" t="str">
        <f>HYPERLINK("https://esbl.nhlbi.nih.gov/Databases/mpkFractions/proteomic_fractions_log_files/Yang_log_img/239985639.jpg","show blot")</f>
        <v>show blot</v>
      </c>
      <c r="H5245" s="8" t="str">
        <f>HYPERLINK("https://esbl.nhlbi.nih.gov/Databases/mpkFractions/proteomic_fractions_linear_files/Yang_linear_img/239985639.jpg","show blot")</f>
        <v>show blot</v>
      </c>
      <c r="J5245" s="5" t="s">
        <v>10284</v>
      </c>
      <c r="L5245" s="11">
        <v>2.839783697241141</v>
      </c>
      <c r="N5245" s="12"/>
    </row>
    <row r="5246" spans="1:14" s="5" customFormat="1" ht="15" customHeight="1" x14ac:dyDescent="0.25">
      <c r="A5246" s="9" t="s">
        <v>10285</v>
      </c>
      <c r="C5246" s="9" t="str">
        <f>HYPERLINK("http://www.ncbi.nlm.nih.gov/protein/239985643","Palm")</f>
        <v>Palm</v>
      </c>
      <c r="D5246" s="10">
        <f t="shared" si="81"/>
        <v>2.839783697241141</v>
      </c>
      <c r="F5246" s="8" t="str">
        <f>HYPERLINK("https://esbl.nhlbi.nih.gov/Databases/mpkFractions/proteomic_fractions_log_files/Yang_log_img/239985643.jpg","show blot")</f>
        <v>show blot</v>
      </c>
      <c r="H5246" s="8" t="str">
        <f>HYPERLINK("https://esbl.nhlbi.nih.gov/Databases/mpkFractions/proteomic_fractions_linear_files/Yang_linear_img/239985643.jpg","show blot")</f>
        <v>show blot</v>
      </c>
      <c r="J5246" s="5" t="s">
        <v>10286</v>
      </c>
      <c r="L5246" s="11">
        <v>2.839783697241141</v>
      </c>
      <c r="N5246" s="12"/>
    </row>
    <row r="5247" spans="1:14" s="5" customFormat="1" ht="15" customHeight="1" x14ac:dyDescent="0.25">
      <c r="A5247" s="9" t="s">
        <v>10287</v>
      </c>
      <c r="C5247" s="9" t="str">
        <f>HYPERLINK("http://www.ncbi.nlm.nih.gov/protein/124430707","Palm3")</f>
        <v>Palm3</v>
      </c>
      <c r="D5247" s="10">
        <f t="shared" si="81"/>
        <v>3.9750249030417408</v>
      </c>
      <c r="F5247" s="8" t="str">
        <f>HYPERLINK("https://esbl.nhlbi.nih.gov/Databases/mpkFractions/proteomic_fractions_log_files/Yang_log_img/124430707.jpg","show blot")</f>
        <v>show blot</v>
      </c>
      <c r="H5247" s="8" t="str">
        <f>HYPERLINK("https://esbl.nhlbi.nih.gov/Databases/mpkFractions/proteomic_fractions_linear_files/Yang_linear_img/124430707.jpg","show blot")</f>
        <v>show blot</v>
      </c>
      <c r="J5247" s="5" t="s">
        <v>10288</v>
      </c>
      <c r="L5247" s="11">
        <v>3.9750249030417408</v>
      </c>
      <c r="N5247" s="12"/>
    </row>
    <row r="5248" spans="1:14" s="5" customFormat="1" ht="15" customHeight="1" x14ac:dyDescent="0.25">
      <c r="A5248" s="9" t="s">
        <v>10289</v>
      </c>
      <c r="C5248" s="9" t="str">
        <f>HYPERLINK("http://www.ncbi.nlm.nih.gov/protein/153792657","Pam")</f>
        <v>Pam</v>
      </c>
      <c r="D5248" s="10">
        <f t="shared" si="81"/>
        <v>2.513958470682685</v>
      </c>
      <c r="F5248" s="8" t="str">
        <f>HYPERLINK("https://esbl.nhlbi.nih.gov/Databases/mpkFractions/proteomic_fractions_log_files/Yang_log_img/153792657.jpg","show blot")</f>
        <v>show blot</v>
      </c>
      <c r="H5248" s="8" t="str">
        <f>HYPERLINK("https://esbl.nhlbi.nih.gov/Databases/mpkFractions/proteomic_fractions_linear_files/Yang_linear_img/153792657.jpg","show blot")</f>
        <v>show blot</v>
      </c>
      <c r="J5248" s="5" t="s">
        <v>10290</v>
      </c>
      <c r="L5248" s="11">
        <v>2.513958470682685</v>
      </c>
      <c r="N5248" s="12"/>
    </row>
    <row r="5249" spans="1:14" s="5" customFormat="1" ht="15" customHeight="1" x14ac:dyDescent="0.25">
      <c r="A5249" s="9" t="s">
        <v>10291</v>
      </c>
      <c r="C5249" s="9" t="str">
        <f>HYPERLINK("http://www.ncbi.nlm.nih.gov/protein/13385012","Pam16")</f>
        <v>Pam16</v>
      </c>
      <c r="D5249" s="10">
        <f t="shared" si="81"/>
        <v>4.9632631591463916</v>
      </c>
      <c r="F5249" s="8" t="str">
        <f>HYPERLINK("https://esbl.nhlbi.nih.gov/Databases/mpkFractions/proteomic_fractions_log_files/Yang_log_img/13385012.jpg","show blot")</f>
        <v>show blot</v>
      </c>
      <c r="H5249" s="8" t="str">
        <f>HYPERLINK("https://esbl.nhlbi.nih.gov/Databases/mpkFractions/proteomic_fractions_linear_files/Yang_linear_img/13385012.jpg","show blot")</f>
        <v>show blot</v>
      </c>
      <c r="J5249" s="5" t="s">
        <v>10292</v>
      </c>
      <c r="L5249" s="11">
        <v>4.9632631591463916</v>
      </c>
      <c r="N5249" s="12"/>
    </row>
    <row r="5250" spans="1:14" s="5" customFormat="1" ht="15" customHeight="1" x14ac:dyDescent="0.25">
      <c r="A5250" s="9" t="s">
        <v>10293</v>
      </c>
      <c r="C5250" s="9" t="str">
        <f>HYPERLINK("http://www.ncbi.nlm.nih.gov/protein/29789349","Pan2")</f>
        <v>Pan2</v>
      </c>
      <c r="D5250" s="10">
        <f t="shared" si="81"/>
        <v>3.200601803998556</v>
      </c>
      <c r="F5250" s="8" t="str">
        <f>HYPERLINK("https://esbl.nhlbi.nih.gov/Databases/mpkFractions/proteomic_fractions_log_files/Yang_log_img/29789349.jpg","show blot")</f>
        <v>show blot</v>
      </c>
      <c r="H5250" s="8" t="str">
        <f>HYPERLINK("https://esbl.nhlbi.nih.gov/Databases/mpkFractions/proteomic_fractions_linear_files/Yang_linear_img/29789349.jpg","show blot")</f>
        <v>show blot</v>
      </c>
      <c r="J5250" s="5" t="s">
        <v>10294</v>
      </c>
      <c r="L5250" s="11">
        <v>3.200601803998556</v>
      </c>
      <c r="N5250" s="12"/>
    </row>
    <row r="5251" spans="1:14" s="5" customFormat="1" ht="15" customHeight="1" x14ac:dyDescent="0.25">
      <c r="A5251" s="9" t="s">
        <v>10295</v>
      </c>
      <c r="C5251" s="9" t="str">
        <f>HYPERLINK("http://www.ncbi.nlm.nih.gov/protein/356640187","Pan2")</f>
        <v>Pan2</v>
      </c>
      <c r="D5251" s="10">
        <f t="shared" si="81"/>
        <v>3.200601803998556</v>
      </c>
      <c r="F5251" s="8" t="str">
        <f>HYPERLINK("https://esbl.nhlbi.nih.gov/Databases/mpkFractions/proteomic_fractions_log_files/Yang_log_img/356640187.jpg","show blot")</f>
        <v>show blot</v>
      </c>
      <c r="H5251" s="8" t="str">
        <f>HYPERLINK("https://esbl.nhlbi.nih.gov/Databases/mpkFractions/proteomic_fractions_linear_files/Yang_linear_img/356640187.jpg","show blot")</f>
        <v>show blot</v>
      </c>
      <c r="J5251" s="5" t="s">
        <v>10296</v>
      </c>
      <c r="L5251" s="11">
        <v>3.200601803998556</v>
      </c>
      <c r="N5251" s="12"/>
    </row>
    <row r="5252" spans="1:14" s="5" customFormat="1" ht="15" customHeight="1" x14ac:dyDescent="0.25">
      <c r="A5252" s="9" t="s">
        <v>10297</v>
      </c>
      <c r="C5252" s="9" t="str">
        <f>HYPERLINK("http://www.ncbi.nlm.nih.gov/protein/356640190","Pan2")</f>
        <v>Pan2</v>
      </c>
      <c r="D5252" s="10">
        <f t="shared" si="81"/>
        <v>3.200601803998556</v>
      </c>
      <c r="F5252" s="8" t="str">
        <f>HYPERLINK("https://esbl.nhlbi.nih.gov/Databases/mpkFractions/proteomic_fractions_log_files/Yang_log_img/356640190.jpg","show blot")</f>
        <v>show blot</v>
      </c>
      <c r="H5252" s="8" t="str">
        <f>HYPERLINK("https://esbl.nhlbi.nih.gov/Databases/mpkFractions/proteomic_fractions_linear_files/Yang_linear_img/356640190.jpg","show blot")</f>
        <v>show blot</v>
      </c>
      <c r="J5252" s="5" t="s">
        <v>10298</v>
      </c>
      <c r="L5252" s="11">
        <v>3.200601803998556</v>
      </c>
      <c r="N5252" s="12"/>
    </row>
    <row r="5253" spans="1:14" s="5" customFormat="1" ht="15" customHeight="1" x14ac:dyDescent="0.25">
      <c r="A5253" s="9" t="s">
        <v>10299</v>
      </c>
      <c r="C5253" s="9" t="str">
        <f>HYPERLINK("http://www.ncbi.nlm.nih.gov/protein/270265830","Pan3")</f>
        <v>Pan3</v>
      </c>
      <c r="D5253" s="10">
        <f t="shared" ref="D5253:D5316" si="82">L5253</f>
        <v>2.868716259839629</v>
      </c>
      <c r="F5253" s="8" t="str">
        <f>HYPERLINK("https://esbl.nhlbi.nih.gov/Databases/mpkFractions/proteomic_fractions_log_files/Yang_log_img/270265830.jpg","show blot")</f>
        <v>show blot</v>
      </c>
      <c r="H5253" s="8" t="str">
        <f>HYPERLINK("https://esbl.nhlbi.nih.gov/Databases/mpkFractions/proteomic_fractions_linear_files/Yang_linear_img/270265830.jpg","show blot")</f>
        <v>show blot</v>
      </c>
      <c r="J5253" s="5" t="s">
        <v>10300</v>
      </c>
      <c r="L5253" s="11">
        <v>2.868716259839629</v>
      </c>
      <c r="N5253" s="12"/>
    </row>
    <row r="5254" spans="1:14" s="5" customFormat="1" ht="15" customHeight="1" x14ac:dyDescent="0.25">
      <c r="A5254" s="9" t="s">
        <v>10301</v>
      </c>
      <c r="C5254" s="9" t="str">
        <f>HYPERLINK("http://www.ncbi.nlm.nih.gov/protein/12963829","Pank1")</f>
        <v>Pank1</v>
      </c>
      <c r="D5254" s="10">
        <f t="shared" si="82"/>
        <v>3.6592665068169481</v>
      </c>
      <c r="F5254" s="8" t="str">
        <f>HYPERLINK("https://esbl.nhlbi.nih.gov/Databases/mpkFractions/proteomic_fractions_log_files/Yang_log_img/12963829.jpg","show blot")</f>
        <v>show blot</v>
      </c>
      <c r="H5254" s="8" t="str">
        <f>HYPERLINK("https://esbl.nhlbi.nih.gov/Databases/mpkFractions/proteomic_fractions_linear_files/Yang_linear_img/12963829.jpg","show blot")</f>
        <v>show blot</v>
      </c>
      <c r="J5254" s="5" t="s">
        <v>10302</v>
      </c>
      <c r="L5254" s="11">
        <v>3.6592665068169481</v>
      </c>
      <c r="N5254" s="12"/>
    </row>
    <row r="5255" spans="1:14" s="5" customFormat="1" ht="15" customHeight="1" x14ac:dyDescent="0.25">
      <c r="A5255" s="9" t="s">
        <v>10303</v>
      </c>
      <c r="C5255" s="9" t="str">
        <f>HYPERLINK("http://www.ncbi.nlm.nih.gov/protein/167234376","Pank1")</f>
        <v>Pank1</v>
      </c>
      <c r="D5255" s="10">
        <f t="shared" si="82"/>
        <v>3.6592665068169481</v>
      </c>
      <c r="F5255" s="8" t="str">
        <f>HYPERLINK("https://esbl.nhlbi.nih.gov/Databases/mpkFractions/proteomic_fractions_log_files/Yang_log_img/167234376.jpg","show blot")</f>
        <v>show blot</v>
      </c>
      <c r="H5255" s="8" t="str">
        <f>HYPERLINK("https://esbl.nhlbi.nih.gov/Databases/mpkFractions/proteomic_fractions_linear_files/Yang_linear_img/167234376.jpg","show blot")</f>
        <v>show blot</v>
      </c>
      <c r="J5255" s="5" t="s">
        <v>10304</v>
      </c>
      <c r="L5255" s="11">
        <v>3.6592665068169481</v>
      </c>
      <c r="N5255" s="12"/>
    </row>
    <row r="5256" spans="1:14" s="5" customFormat="1" ht="15" customHeight="1" x14ac:dyDescent="0.25">
      <c r="A5256" s="9" t="s">
        <v>10305</v>
      </c>
      <c r="C5256" s="9" t="str">
        <f>HYPERLINK("http://www.ncbi.nlm.nih.gov/protein/51571537","Pank2")</f>
        <v>Pank2</v>
      </c>
      <c r="D5256" s="10">
        <f t="shared" si="82"/>
        <v>3.778978976976509</v>
      </c>
      <c r="F5256" s="8" t="str">
        <f>HYPERLINK("https://esbl.nhlbi.nih.gov/Databases/mpkFractions/proteomic_fractions_log_files/Yang_log_img/51571537.jpg","show blot")</f>
        <v>show blot</v>
      </c>
      <c r="H5256" s="8" t="str">
        <f>HYPERLINK("https://esbl.nhlbi.nih.gov/Databases/mpkFractions/proteomic_fractions_linear_files/Yang_linear_img/51571537.jpg","show blot")</f>
        <v>show blot</v>
      </c>
      <c r="J5256" s="5" t="s">
        <v>10306</v>
      </c>
      <c r="L5256" s="11">
        <v>3.778978976976509</v>
      </c>
      <c r="N5256" s="12"/>
    </row>
    <row r="5257" spans="1:14" s="5" customFormat="1" ht="15" customHeight="1" x14ac:dyDescent="0.25">
      <c r="A5257" s="9" t="s">
        <v>10307</v>
      </c>
      <c r="C5257" s="9" t="str">
        <f>HYPERLINK("http://www.ncbi.nlm.nih.gov/protein/22122397","Pank3")</f>
        <v>Pank3</v>
      </c>
      <c r="D5257" s="10">
        <f t="shared" si="82"/>
        <v>3.669731940495113</v>
      </c>
      <c r="F5257" s="8" t="str">
        <f>HYPERLINK("https://esbl.nhlbi.nih.gov/Databases/mpkFractions/proteomic_fractions_log_files/Yang_log_img/22122397.jpg","show blot")</f>
        <v>show blot</v>
      </c>
      <c r="H5257" s="8" t="str">
        <f>HYPERLINK("https://esbl.nhlbi.nih.gov/Databases/mpkFractions/proteomic_fractions_linear_files/Yang_linear_img/22122397.jpg","show blot")</f>
        <v>show blot</v>
      </c>
      <c r="J5257" s="5" t="s">
        <v>10308</v>
      </c>
      <c r="L5257" s="11">
        <v>3.669731940495113</v>
      </c>
      <c r="N5257" s="12"/>
    </row>
    <row r="5258" spans="1:14" s="5" customFormat="1" ht="15" customHeight="1" x14ac:dyDescent="0.25">
      <c r="A5258" s="9" t="s">
        <v>10309</v>
      </c>
      <c r="C5258" s="9" t="str">
        <f>HYPERLINK("http://www.ncbi.nlm.nih.gov/protein/240255614","Pank4")</f>
        <v>Pank4</v>
      </c>
      <c r="D5258" s="10">
        <f t="shared" si="82"/>
        <v>3.1256411118168188</v>
      </c>
      <c r="F5258" s="8" t="str">
        <f>HYPERLINK("https://esbl.nhlbi.nih.gov/Databases/mpkFractions/proteomic_fractions_log_files/Yang_log_img/240255614.jpg","show blot")</f>
        <v>show blot</v>
      </c>
      <c r="H5258" s="8" t="str">
        <f>HYPERLINK("https://esbl.nhlbi.nih.gov/Databases/mpkFractions/proteomic_fractions_linear_files/Yang_linear_img/240255614.jpg","show blot")</f>
        <v>show blot</v>
      </c>
      <c r="J5258" s="5" t="s">
        <v>10310</v>
      </c>
      <c r="L5258" s="11">
        <v>3.1256411118168188</v>
      </c>
      <c r="N5258" s="12"/>
    </row>
    <row r="5259" spans="1:14" s="5" customFormat="1" ht="15" customHeight="1" x14ac:dyDescent="0.25">
      <c r="A5259" s="9" t="s">
        <v>10311</v>
      </c>
      <c r="C5259" s="9" t="str">
        <f>HYPERLINK("http://www.ncbi.nlm.nih.gov/protein/28173566","Paox")</f>
        <v>Paox</v>
      </c>
      <c r="D5259" s="10">
        <f t="shared" si="82"/>
        <v>4.5500675769890364</v>
      </c>
      <c r="F5259" s="8" t="str">
        <f>HYPERLINK("https://esbl.nhlbi.nih.gov/Databases/mpkFractions/proteomic_fractions_log_files/Yang_log_img/28173566.jpg","show blot")</f>
        <v>show blot</v>
      </c>
      <c r="H5259" s="8" t="str">
        <f>HYPERLINK("https://esbl.nhlbi.nih.gov/Databases/mpkFractions/proteomic_fractions_linear_files/Yang_linear_img/28173566.jpg","show blot")</f>
        <v>show blot</v>
      </c>
      <c r="J5259" s="5" t="s">
        <v>10312</v>
      </c>
      <c r="L5259" s="11">
        <v>4.5500675769890364</v>
      </c>
      <c r="N5259" s="12"/>
    </row>
    <row r="5260" spans="1:14" s="5" customFormat="1" ht="15" customHeight="1" x14ac:dyDescent="0.25">
      <c r="A5260" s="9" t="s">
        <v>10313</v>
      </c>
      <c r="C5260" s="9" t="str">
        <f>HYPERLINK("http://www.ncbi.nlm.nih.gov/protein/21914853","Papola")</f>
        <v>Papola</v>
      </c>
      <c r="D5260" s="10">
        <f t="shared" si="82"/>
        <v>4.2285232416660943</v>
      </c>
      <c r="F5260" s="8" t="str">
        <f>HYPERLINK("https://esbl.nhlbi.nih.gov/Databases/mpkFractions/proteomic_fractions_log_files/Yang_log_img/21914853.jpg","show blot")</f>
        <v>show blot</v>
      </c>
      <c r="H5260" s="8" t="str">
        <f>HYPERLINK("https://esbl.nhlbi.nih.gov/Databases/mpkFractions/proteomic_fractions_linear_files/Yang_linear_img/21914853.jpg","show blot")</f>
        <v>show blot</v>
      </c>
      <c r="J5260" s="5" t="s">
        <v>10314</v>
      </c>
      <c r="L5260" s="11">
        <v>4.2285232416660943</v>
      </c>
      <c r="N5260" s="12"/>
    </row>
    <row r="5261" spans="1:14" s="5" customFormat="1" ht="15" customHeight="1" x14ac:dyDescent="0.25">
      <c r="A5261" s="9" t="s">
        <v>10315</v>
      </c>
      <c r="C5261" s="9" t="str">
        <f>HYPERLINK("http://www.ncbi.nlm.nih.gov/protein/9910588","Papolb")</f>
        <v>Papolb</v>
      </c>
      <c r="D5261" s="10">
        <f t="shared" si="82"/>
        <v>4.1330470182795809</v>
      </c>
      <c r="F5261" s="8" t="str">
        <f>HYPERLINK("https://esbl.nhlbi.nih.gov/Databases/mpkFractions/proteomic_fractions_log_files/Yang_log_img/9910588.jpg","show blot")</f>
        <v>show blot</v>
      </c>
      <c r="H5261" s="8" t="str">
        <f>HYPERLINK("https://esbl.nhlbi.nih.gov/Databases/mpkFractions/proteomic_fractions_linear_files/Yang_linear_img/9910588.jpg","show blot")</f>
        <v>show blot</v>
      </c>
      <c r="J5261" s="5" t="s">
        <v>10316</v>
      </c>
      <c r="L5261" s="11">
        <v>4.1330470182795809</v>
      </c>
      <c r="N5261" s="12"/>
    </row>
    <row r="5262" spans="1:14" s="5" customFormat="1" ht="15" customHeight="1" x14ac:dyDescent="0.25">
      <c r="A5262" s="9" t="s">
        <v>10317</v>
      </c>
      <c r="C5262" s="9" t="str">
        <f>HYPERLINK("http://www.ncbi.nlm.nih.gov/protein/226494207","Papolg")</f>
        <v>Papolg</v>
      </c>
      <c r="D5262" s="10">
        <f t="shared" si="82"/>
        <v>3.9489632592570012</v>
      </c>
      <c r="F5262" s="8" t="str">
        <f>HYPERLINK("https://esbl.nhlbi.nih.gov/Databases/mpkFractions/proteomic_fractions_log_files/Yang_log_img/226494207.jpg","show blot")</f>
        <v>show blot</v>
      </c>
      <c r="H5262" s="8" t="str">
        <f>HYPERLINK("https://esbl.nhlbi.nih.gov/Databases/mpkFractions/proteomic_fractions_linear_files/Yang_linear_img/226494207.jpg","show blot")</f>
        <v>show blot</v>
      </c>
      <c r="J5262" s="5" t="s">
        <v>10318</v>
      </c>
      <c r="L5262" s="11">
        <v>3.9489632592570012</v>
      </c>
      <c r="N5262" s="12"/>
    </row>
    <row r="5263" spans="1:14" s="5" customFormat="1" ht="15" customHeight="1" x14ac:dyDescent="0.25">
      <c r="A5263" s="9" t="s">
        <v>10319</v>
      </c>
      <c r="C5263" s="9" t="str">
        <f>HYPERLINK("http://www.ncbi.nlm.nih.gov/protein/6754982","Papss1")</f>
        <v>Papss1</v>
      </c>
      <c r="D5263" s="10">
        <f t="shared" si="82"/>
        <v>5.3139359108319963</v>
      </c>
      <c r="F5263" s="8" t="str">
        <f>HYPERLINK("https://esbl.nhlbi.nih.gov/Databases/mpkFractions/proteomic_fractions_log_files/Yang_log_img/6754982.jpg","show blot")</f>
        <v>show blot</v>
      </c>
      <c r="H5263" s="8" t="str">
        <f>HYPERLINK("https://esbl.nhlbi.nih.gov/Databases/mpkFractions/proteomic_fractions_linear_files/Yang_linear_img/6754982.jpg","show blot")</f>
        <v>show blot</v>
      </c>
      <c r="J5263" s="5" t="s">
        <v>10320</v>
      </c>
      <c r="L5263" s="11">
        <v>5.3139359108319963</v>
      </c>
      <c r="N5263" s="12"/>
    </row>
    <row r="5264" spans="1:14" s="5" customFormat="1" ht="15" customHeight="1" x14ac:dyDescent="0.25">
      <c r="A5264" s="9" t="s">
        <v>10321</v>
      </c>
      <c r="C5264" s="9" t="str">
        <f>HYPERLINK("http://www.ncbi.nlm.nih.gov/protein/319918850","Papss2")</f>
        <v>Papss2</v>
      </c>
      <c r="D5264" s="10">
        <f t="shared" si="82"/>
        <v>4.3140396795819989</v>
      </c>
      <c r="F5264" s="8" t="str">
        <f>HYPERLINK("https://esbl.nhlbi.nih.gov/Databases/mpkFractions/proteomic_fractions_log_files/Yang_log_img/319918850.jpg","show blot")</f>
        <v>show blot</v>
      </c>
      <c r="H5264" s="8" t="str">
        <f>HYPERLINK("https://esbl.nhlbi.nih.gov/Databases/mpkFractions/proteomic_fractions_linear_files/Yang_linear_img/319918850.jpg","show blot")</f>
        <v>show blot</v>
      </c>
      <c r="J5264" s="5" t="s">
        <v>10322</v>
      </c>
      <c r="L5264" s="11">
        <v>4.3140396795819989</v>
      </c>
      <c r="N5264" s="12"/>
    </row>
    <row r="5265" spans="1:14" s="5" customFormat="1" ht="15" customHeight="1" x14ac:dyDescent="0.25">
      <c r="A5265" s="9" t="s">
        <v>10323</v>
      </c>
      <c r="C5265" s="9" t="str">
        <f>HYPERLINK("http://www.ncbi.nlm.nih.gov/protein/61098088","Papss2")</f>
        <v>Papss2</v>
      </c>
      <c r="D5265" s="10">
        <f t="shared" si="82"/>
        <v>4.3140396795819989</v>
      </c>
      <c r="F5265" s="8" t="str">
        <f>HYPERLINK("https://esbl.nhlbi.nih.gov/Databases/mpkFractions/proteomic_fractions_log_files/Yang_log_img/61098088.jpg","show blot")</f>
        <v>show blot</v>
      </c>
      <c r="H5265" s="8" t="str">
        <f>HYPERLINK("https://esbl.nhlbi.nih.gov/Databases/mpkFractions/proteomic_fractions_linear_files/Yang_linear_img/61098088.jpg","show blot")</f>
        <v>show blot</v>
      </c>
      <c r="J5265" s="5" t="s">
        <v>10324</v>
      </c>
      <c r="L5265" s="11">
        <v>4.3140396795819989</v>
      </c>
      <c r="N5265" s="12"/>
    </row>
    <row r="5266" spans="1:14" s="5" customFormat="1" ht="15" customHeight="1" x14ac:dyDescent="0.25">
      <c r="A5266" s="9" t="s">
        <v>10325</v>
      </c>
      <c r="C5266" s="9" t="str">
        <f>HYPERLINK("http://www.ncbi.nlm.nih.gov/protein/12963841","Paqr4")</f>
        <v>Paqr4</v>
      </c>
      <c r="D5266" s="10">
        <f t="shared" si="82"/>
        <v>2.738660310162095</v>
      </c>
      <c r="F5266" s="8" t="str">
        <f>HYPERLINK("https://esbl.nhlbi.nih.gov/Databases/mpkFractions/proteomic_fractions_log_files/Yang_log_img/12963841.jpg","show blot")</f>
        <v>show blot</v>
      </c>
      <c r="H5266" s="8" t="str">
        <f>HYPERLINK("https://esbl.nhlbi.nih.gov/Databases/mpkFractions/proteomic_fractions_linear_files/Yang_linear_img/12963841.jpg","show blot")</f>
        <v>show blot</v>
      </c>
      <c r="J5266" s="5" t="s">
        <v>10326</v>
      </c>
      <c r="L5266" s="11">
        <v>2.738660310162095</v>
      </c>
      <c r="N5266" s="12"/>
    </row>
    <row r="5267" spans="1:14" s="5" customFormat="1" ht="15" customHeight="1" x14ac:dyDescent="0.25">
      <c r="A5267" s="9" t="s">
        <v>10327</v>
      </c>
      <c r="C5267" s="9" t="str">
        <f>HYPERLINK("http://www.ncbi.nlm.nih.gov/protein/171184413","Pard3")</f>
        <v>Pard3</v>
      </c>
      <c r="D5267" s="10">
        <f t="shared" si="82"/>
        <v>2.8292842754469318</v>
      </c>
      <c r="F5267" s="8" t="str">
        <f>HYPERLINK("https://esbl.nhlbi.nih.gov/Databases/mpkFractions/proteomic_fractions_log_files/Yang_log_img/171184413.jpg","show blot")</f>
        <v>show blot</v>
      </c>
      <c r="H5267" s="8" t="str">
        <f>HYPERLINK("https://esbl.nhlbi.nih.gov/Databases/mpkFractions/proteomic_fractions_linear_files/Yang_linear_img/171184413.jpg","show blot")</f>
        <v>show blot</v>
      </c>
      <c r="J5267" s="5" t="s">
        <v>10328</v>
      </c>
      <c r="L5267" s="11">
        <v>2.8292842754469318</v>
      </c>
      <c r="N5267" s="12"/>
    </row>
    <row r="5268" spans="1:14" s="5" customFormat="1" ht="15" customHeight="1" x14ac:dyDescent="0.25">
      <c r="A5268" s="9" t="s">
        <v>10329</v>
      </c>
      <c r="C5268" s="9" t="str">
        <f>HYPERLINK("http://www.ncbi.nlm.nih.gov/protein/171184415","Pard3")</f>
        <v>Pard3</v>
      </c>
      <c r="D5268" s="10">
        <f t="shared" si="82"/>
        <v>2.8292842754469318</v>
      </c>
      <c r="F5268" s="8" t="str">
        <f>HYPERLINK("https://esbl.nhlbi.nih.gov/Databases/mpkFractions/proteomic_fractions_log_files/Yang_log_img/171184415.jpg","show blot")</f>
        <v>show blot</v>
      </c>
      <c r="H5268" s="8" t="str">
        <f>HYPERLINK("https://esbl.nhlbi.nih.gov/Databases/mpkFractions/proteomic_fractions_linear_files/Yang_linear_img/171184415.jpg","show blot")</f>
        <v>show blot</v>
      </c>
      <c r="J5268" s="5" t="s">
        <v>10330</v>
      </c>
      <c r="L5268" s="11">
        <v>2.8292842754469318</v>
      </c>
      <c r="N5268" s="12"/>
    </row>
    <row r="5269" spans="1:14" s="5" customFormat="1" ht="15" customHeight="1" x14ac:dyDescent="0.25">
      <c r="A5269" s="9" t="s">
        <v>10331</v>
      </c>
      <c r="C5269" s="9" t="str">
        <f>HYPERLINK("http://www.ncbi.nlm.nih.gov/protein/61888842","Pard3")</f>
        <v>Pard3</v>
      </c>
      <c r="D5269" s="10">
        <f t="shared" si="82"/>
        <v>2.8292842754469318</v>
      </c>
      <c r="F5269" s="8" t="str">
        <f>HYPERLINK("https://esbl.nhlbi.nih.gov/Databases/mpkFractions/proteomic_fractions_log_files/Yang_log_img/61888842.jpg","show blot")</f>
        <v>show blot</v>
      </c>
      <c r="H5269" s="8" t="str">
        <f>HYPERLINK("https://esbl.nhlbi.nih.gov/Databases/mpkFractions/proteomic_fractions_linear_files/Yang_linear_img/61888842.jpg","show blot")</f>
        <v>show blot</v>
      </c>
      <c r="J5269" s="5" t="s">
        <v>10332</v>
      </c>
      <c r="L5269" s="11">
        <v>2.8292842754469318</v>
      </c>
      <c r="N5269" s="12"/>
    </row>
    <row r="5270" spans="1:14" s="5" customFormat="1" ht="15" customHeight="1" x14ac:dyDescent="0.25">
      <c r="A5270" s="9" t="s">
        <v>10333</v>
      </c>
      <c r="C5270" s="9" t="str">
        <f>HYPERLINK("http://www.ncbi.nlm.nih.gov/protein/61888844","Pard3")</f>
        <v>Pard3</v>
      </c>
      <c r="D5270" s="10">
        <f t="shared" si="82"/>
        <v>2.8292842754469318</v>
      </c>
      <c r="F5270" s="8" t="str">
        <f>HYPERLINK("https://esbl.nhlbi.nih.gov/Databases/mpkFractions/proteomic_fractions_log_files/Yang_log_img/61888844.jpg","show blot")</f>
        <v>show blot</v>
      </c>
      <c r="H5270" s="8" t="str">
        <f>HYPERLINK("https://esbl.nhlbi.nih.gov/Databases/mpkFractions/proteomic_fractions_linear_files/Yang_linear_img/61888844.jpg","show blot")</f>
        <v>show blot</v>
      </c>
      <c r="J5270" s="5" t="s">
        <v>10334</v>
      </c>
      <c r="L5270" s="11">
        <v>2.8292842754469318</v>
      </c>
      <c r="N5270" s="12"/>
    </row>
    <row r="5271" spans="1:14" s="5" customFormat="1" ht="15" customHeight="1" x14ac:dyDescent="0.25">
      <c r="A5271" s="9" t="s">
        <v>10335</v>
      </c>
      <c r="C5271" s="9" t="str">
        <f>HYPERLINK("http://www.ncbi.nlm.nih.gov/protein/163310767","Pard3b")</f>
        <v>Pard3b</v>
      </c>
      <c r="D5271" s="10">
        <f t="shared" si="82"/>
        <v>2.8726169229191152</v>
      </c>
      <c r="F5271" s="8" t="str">
        <f>HYPERLINK("https://esbl.nhlbi.nih.gov/Databases/mpkFractions/proteomic_fractions_log_files/Yang_log_img/163310767.jpg","show blot")</f>
        <v>show blot</v>
      </c>
      <c r="H5271" s="8" t="str">
        <f>HYPERLINK("https://esbl.nhlbi.nih.gov/Databases/mpkFractions/proteomic_fractions_linear_files/Yang_linear_img/163310767.jpg","show blot")</f>
        <v>show blot</v>
      </c>
      <c r="J5271" s="5" t="s">
        <v>10336</v>
      </c>
      <c r="L5271" s="11">
        <v>2.8726169229191152</v>
      </c>
      <c r="N5271" s="12"/>
    </row>
    <row r="5272" spans="1:14" s="5" customFormat="1" ht="15" customHeight="1" x14ac:dyDescent="0.25">
      <c r="A5272" s="9" t="s">
        <v>10337</v>
      </c>
      <c r="C5272" s="9" t="str">
        <f>HYPERLINK("http://www.ncbi.nlm.nih.gov/protein/114145495","Pard6a")</f>
        <v>Pard6a</v>
      </c>
      <c r="D5272" s="10">
        <f t="shared" si="82"/>
        <v>5.153327438631873</v>
      </c>
      <c r="F5272" s="8" t="str">
        <f>HYPERLINK("https://esbl.nhlbi.nih.gov/Databases/mpkFractions/proteomic_fractions_log_files/Yang_log_img/114145495.jpg","show blot")</f>
        <v>show blot</v>
      </c>
      <c r="H5272" s="8" t="str">
        <f>HYPERLINK("https://esbl.nhlbi.nih.gov/Databases/mpkFractions/proteomic_fractions_linear_files/Yang_linear_img/114145495.jpg","show blot")</f>
        <v>show blot</v>
      </c>
      <c r="J5272" s="5" t="s">
        <v>10338</v>
      </c>
      <c r="L5272" s="11">
        <v>5.153327438631873</v>
      </c>
      <c r="N5272" s="12"/>
    </row>
    <row r="5273" spans="1:14" s="5" customFormat="1" ht="15" customHeight="1" x14ac:dyDescent="0.25">
      <c r="A5273" s="9" t="s">
        <v>10339</v>
      </c>
      <c r="C5273" s="9" t="str">
        <f>HYPERLINK("http://www.ncbi.nlm.nih.gov/protein/114145499","Pard6a")</f>
        <v>Pard6a</v>
      </c>
      <c r="D5273" s="10">
        <f t="shared" si="82"/>
        <v>5.153327438631873</v>
      </c>
      <c r="F5273" s="8" t="str">
        <f>HYPERLINK("https://esbl.nhlbi.nih.gov/Databases/mpkFractions/proteomic_fractions_log_files/Yang_log_img/114145499.jpg","show blot")</f>
        <v>show blot</v>
      </c>
      <c r="H5273" s="8" t="str">
        <f>HYPERLINK("https://esbl.nhlbi.nih.gov/Databases/mpkFractions/proteomic_fractions_linear_files/Yang_linear_img/114145499.jpg","show blot")</f>
        <v>show blot</v>
      </c>
      <c r="J5273" s="5" t="s">
        <v>10340</v>
      </c>
      <c r="L5273" s="11">
        <v>5.153327438631873</v>
      </c>
      <c r="N5273" s="12"/>
    </row>
    <row r="5274" spans="1:14" s="5" customFormat="1" ht="15" customHeight="1" x14ac:dyDescent="0.25">
      <c r="A5274" s="9" t="s">
        <v>10341</v>
      </c>
      <c r="C5274" s="9" t="str">
        <f>HYPERLINK("http://www.ncbi.nlm.nih.gov/protein/114145501","Pard6a")</f>
        <v>Pard6a</v>
      </c>
      <c r="D5274" s="10">
        <f t="shared" si="82"/>
        <v>5.153327438631873</v>
      </c>
      <c r="F5274" s="8" t="str">
        <f>HYPERLINK("https://esbl.nhlbi.nih.gov/Databases/mpkFractions/proteomic_fractions_log_files/Yang_log_img/114145501.jpg","show blot")</f>
        <v>show blot</v>
      </c>
      <c r="H5274" s="8" t="str">
        <f>HYPERLINK("https://esbl.nhlbi.nih.gov/Databases/mpkFractions/proteomic_fractions_linear_files/Yang_linear_img/114145501.jpg","show blot")</f>
        <v>show blot</v>
      </c>
      <c r="J5274" s="5" t="s">
        <v>10342</v>
      </c>
      <c r="L5274" s="11">
        <v>5.153327438631873</v>
      </c>
      <c r="N5274" s="12"/>
    </row>
    <row r="5275" spans="1:14" s="5" customFormat="1" ht="15" customHeight="1" x14ac:dyDescent="0.25">
      <c r="A5275" s="9" t="s">
        <v>10343</v>
      </c>
      <c r="C5275" s="9" t="str">
        <f>HYPERLINK("http://www.ncbi.nlm.nih.gov/protein/253314520","Pard6b")</f>
        <v>Pard6b</v>
      </c>
      <c r="D5275" s="10">
        <f t="shared" si="82"/>
        <v>5.6233486030269288</v>
      </c>
      <c r="F5275" s="8" t="str">
        <f>HYPERLINK("https://esbl.nhlbi.nih.gov/Databases/mpkFractions/proteomic_fractions_log_files/Yang_log_img/253314520.jpg","show blot")</f>
        <v>show blot</v>
      </c>
      <c r="H5275" s="8" t="str">
        <f>HYPERLINK("https://esbl.nhlbi.nih.gov/Databases/mpkFractions/proteomic_fractions_linear_files/Yang_linear_img/253314520.jpg","show blot")</f>
        <v>show blot</v>
      </c>
      <c r="J5275" s="5" t="s">
        <v>10344</v>
      </c>
      <c r="L5275" s="11">
        <v>5.6233486030269288</v>
      </c>
      <c r="N5275" s="12"/>
    </row>
    <row r="5276" spans="1:14" s="5" customFormat="1" ht="15" customHeight="1" x14ac:dyDescent="0.25">
      <c r="A5276" s="9" t="s">
        <v>10345</v>
      </c>
      <c r="C5276" s="9" t="str">
        <f>HYPERLINK("http://www.ncbi.nlm.nih.gov/protein/238550190","Pard6g")</f>
        <v>Pard6g</v>
      </c>
      <c r="D5276" s="10">
        <f t="shared" si="82"/>
        <v>5.1671221013810396</v>
      </c>
      <c r="F5276" s="8" t="str">
        <f>HYPERLINK("https://esbl.nhlbi.nih.gov/Databases/mpkFractions/proteomic_fractions_log_files/Yang_log_img/238550190.jpg","show blot")</f>
        <v>show blot</v>
      </c>
      <c r="H5276" s="8" t="str">
        <f>HYPERLINK("https://esbl.nhlbi.nih.gov/Databases/mpkFractions/proteomic_fractions_linear_files/Yang_linear_img/238550190.jpg","show blot")</f>
        <v>show blot</v>
      </c>
      <c r="J5276" s="5" t="s">
        <v>10346</v>
      </c>
      <c r="L5276" s="11">
        <v>5.1671221013810396</v>
      </c>
      <c r="N5276" s="12"/>
    </row>
    <row r="5277" spans="1:14" s="5" customFormat="1" ht="15" customHeight="1" x14ac:dyDescent="0.25">
      <c r="A5277" s="9" t="s">
        <v>10347</v>
      </c>
      <c r="C5277" s="9" t="str">
        <f>HYPERLINK("http://www.ncbi.nlm.nih.gov/protein/120444912","Parg")</f>
        <v>Parg</v>
      </c>
      <c r="D5277" s="10">
        <f t="shared" si="82"/>
        <v>3.2802428795004679</v>
      </c>
      <c r="F5277" s="8" t="str">
        <f>HYPERLINK("https://esbl.nhlbi.nih.gov/Databases/mpkFractions/proteomic_fractions_log_files/Yang_log_img/120444912.jpg","show blot")</f>
        <v>show blot</v>
      </c>
      <c r="H5277" s="8" t="str">
        <f>HYPERLINK("https://esbl.nhlbi.nih.gov/Databases/mpkFractions/proteomic_fractions_linear_files/Yang_linear_img/120444912.jpg","show blot")</f>
        <v>show blot</v>
      </c>
      <c r="J5277" s="5" t="s">
        <v>10348</v>
      </c>
      <c r="L5277" s="11">
        <v>3.2802428795004679</v>
      </c>
      <c r="N5277" s="12"/>
    </row>
    <row r="5278" spans="1:14" s="5" customFormat="1" ht="15" customHeight="1" x14ac:dyDescent="0.25">
      <c r="A5278" s="9" t="s">
        <v>10349</v>
      </c>
      <c r="C5278" s="9" t="str">
        <f>HYPERLINK("http://www.ncbi.nlm.nih.gov/protein/55741460","Park7")</f>
        <v>Park7</v>
      </c>
      <c r="D5278" s="10">
        <f t="shared" si="82"/>
        <v>6.5548393553359006</v>
      </c>
      <c r="F5278" s="8" t="str">
        <f>HYPERLINK("https://esbl.nhlbi.nih.gov/Databases/mpkFractions/proteomic_fractions_log_files/Yang_log_img/55741460.jpg","show blot")</f>
        <v>show blot</v>
      </c>
      <c r="H5278" s="8" t="str">
        <f>HYPERLINK("https://esbl.nhlbi.nih.gov/Databases/mpkFractions/proteomic_fractions_linear_files/Yang_linear_img/55741460.jpg","show blot")</f>
        <v>show blot</v>
      </c>
      <c r="J5278" s="5" t="s">
        <v>10350</v>
      </c>
      <c r="L5278" s="11">
        <v>6.5548393553359006</v>
      </c>
      <c r="N5278" s="12"/>
    </row>
    <row r="5279" spans="1:14" s="5" customFormat="1" ht="15" customHeight="1" x14ac:dyDescent="0.25">
      <c r="A5279" s="9" t="s">
        <v>10351</v>
      </c>
      <c r="C5279" s="9" t="str">
        <f>HYPERLINK("http://www.ncbi.nlm.nih.gov/protein/21311877","Parn")</f>
        <v>Parn</v>
      </c>
      <c r="D5279" s="10">
        <f t="shared" si="82"/>
        <v>4.9738716228807256</v>
      </c>
      <c r="F5279" s="8" t="str">
        <f>HYPERLINK("https://esbl.nhlbi.nih.gov/Databases/mpkFractions/proteomic_fractions_log_files/Yang_log_img/21311877.jpg","show blot")</f>
        <v>show blot</v>
      </c>
      <c r="H5279" s="8" t="str">
        <f>HYPERLINK("https://esbl.nhlbi.nih.gov/Databases/mpkFractions/proteomic_fractions_linear_files/Yang_linear_img/21311877.jpg","show blot")</f>
        <v>show blot</v>
      </c>
      <c r="J5279" s="5" t="s">
        <v>10352</v>
      </c>
      <c r="L5279" s="11">
        <v>4.9738716228807256</v>
      </c>
      <c r="N5279" s="12"/>
    </row>
    <row r="5280" spans="1:14" s="5" customFormat="1" ht="15" customHeight="1" x14ac:dyDescent="0.25">
      <c r="A5280" s="9" t="s">
        <v>10353</v>
      </c>
      <c r="C5280" s="9" t="str">
        <f>HYPERLINK("http://www.ncbi.nlm.nih.gov/protein/20806109","Parp1")</f>
        <v>Parp1</v>
      </c>
      <c r="D5280" s="10">
        <f t="shared" si="82"/>
        <v>5.2028852486926542</v>
      </c>
      <c r="F5280" s="8" t="str">
        <f>HYPERLINK("https://esbl.nhlbi.nih.gov/Databases/mpkFractions/proteomic_fractions_log_files/Yang_log_img/20806109.jpg","show blot")</f>
        <v>show blot</v>
      </c>
      <c r="H5280" s="8" t="str">
        <f>HYPERLINK("https://esbl.nhlbi.nih.gov/Databases/mpkFractions/proteomic_fractions_linear_files/Yang_linear_img/20806109.jpg","show blot")</f>
        <v>show blot</v>
      </c>
      <c r="J5280" s="5" t="s">
        <v>10354</v>
      </c>
      <c r="L5280" s="11">
        <v>5.2028852486926542</v>
      </c>
      <c r="N5280" s="12"/>
    </row>
    <row r="5281" spans="1:14" s="5" customFormat="1" ht="15" customHeight="1" x14ac:dyDescent="0.25">
      <c r="A5281" s="9" t="s">
        <v>10355</v>
      </c>
      <c r="C5281" s="9" t="str">
        <f>HYPERLINK("http://www.ncbi.nlm.nih.gov/protein/254675288","Parp10")</f>
        <v>Parp10</v>
      </c>
      <c r="D5281" s="10">
        <f t="shared" si="82"/>
        <v>2.998061063233167</v>
      </c>
      <c r="F5281" s="8" t="str">
        <f>HYPERLINK("https://esbl.nhlbi.nih.gov/Databases/mpkFractions/proteomic_fractions_log_files/Yang_log_img/254675288.jpg","show blot")</f>
        <v>show blot</v>
      </c>
      <c r="H5281" s="8" t="str">
        <f>HYPERLINK("https://esbl.nhlbi.nih.gov/Databases/mpkFractions/proteomic_fractions_linear_files/Yang_linear_img/254675288.jpg","show blot")</f>
        <v>show blot</v>
      </c>
      <c r="J5281" s="5" t="s">
        <v>10356</v>
      </c>
      <c r="L5281" s="11">
        <v>2.998061063233167</v>
      </c>
      <c r="N5281" s="12"/>
    </row>
    <row r="5282" spans="1:14" s="5" customFormat="1" ht="15" customHeight="1" x14ac:dyDescent="0.25">
      <c r="A5282" s="9" t="s">
        <v>10357</v>
      </c>
      <c r="C5282" s="9" t="str">
        <f>HYPERLINK("http://www.ncbi.nlm.nih.gov/protein/171543897","Parp12")</f>
        <v>Parp12</v>
      </c>
      <c r="D5282" s="10">
        <f t="shared" si="82"/>
        <v>3.7378742525090169</v>
      </c>
      <c r="F5282" s="8" t="str">
        <f>HYPERLINK("https://esbl.nhlbi.nih.gov/Databases/mpkFractions/proteomic_fractions_log_files/Yang_log_img/171543897.jpg","show blot")</f>
        <v>show blot</v>
      </c>
      <c r="H5282" s="8" t="str">
        <f>HYPERLINK("https://esbl.nhlbi.nih.gov/Databases/mpkFractions/proteomic_fractions_linear_files/Yang_linear_img/171543897.jpg","show blot")</f>
        <v>show blot</v>
      </c>
      <c r="J5282" s="5" t="s">
        <v>10358</v>
      </c>
      <c r="L5282" s="11">
        <v>3.7378742525090169</v>
      </c>
      <c r="N5282" s="12"/>
    </row>
    <row r="5283" spans="1:14" s="5" customFormat="1" ht="15" customHeight="1" x14ac:dyDescent="0.25">
      <c r="A5283" s="9" t="s">
        <v>10359</v>
      </c>
      <c r="C5283" s="9" t="str">
        <f>HYPERLINK("http://www.ncbi.nlm.nih.gov/protein/25014095","Parp3")</f>
        <v>Parp3</v>
      </c>
      <c r="D5283" s="10">
        <f t="shared" si="82"/>
        <v>4.4229718213541958</v>
      </c>
      <c r="F5283" s="8" t="str">
        <f>HYPERLINK("https://esbl.nhlbi.nih.gov/Databases/mpkFractions/proteomic_fractions_log_files/Yang_log_img/25014095.jpg","show blot")</f>
        <v>show blot</v>
      </c>
      <c r="H5283" s="8" t="str">
        <f>HYPERLINK("https://esbl.nhlbi.nih.gov/Databases/mpkFractions/proteomic_fractions_linear_files/Yang_linear_img/25014095.jpg","show blot")</f>
        <v>show blot</v>
      </c>
      <c r="J5283" s="5" t="s">
        <v>10360</v>
      </c>
      <c r="L5283" s="11">
        <v>4.4229718213541958</v>
      </c>
      <c r="N5283" s="12"/>
    </row>
    <row r="5284" spans="1:14" s="5" customFormat="1" ht="15" customHeight="1" x14ac:dyDescent="0.25">
      <c r="A5284" s="9" t="s">
        <v>10361</v>
      </c>
      <c r="C5284" s="9" t="str">
        <f>HYPERLINK("http://www.ncbi.nlm.nih.gov/protein/281485553","Parp4")</f>
        <v>Parp4</v>
      </c>
      <c r="D5284" s="10">
        <f t="shared" si="82"/>
        <v>1.047202731434856</v>
      </c>
      <c r="F5284" s="8" t="str">
        <f>HYPERLINK("https://esbl.nhlbi.nih.gov/Databases/mpkFractions/proteomic_fractions_log_files/Yang_log_img/281485553.jpg","show blot")</f>
        <v>show blot</v>
      </c>
      <c r="H5284" s="8" t="str">
        <f>HYPERLINK("https://esbl.nhlbi.nih.gov/Databases/mpkFractions/proteomic_fractions_linear_files/Yang_linear_img/281485553.jpg","show blot")</f>
        <v>show blot</v>
      </c>
      <c r="J5284" s="5" t="s">
        <v>10362</v>
      </c>
      <c r="L5284" s="11">
        <v>1.047202731434856</v>
      </c>
      <c r="N5284" s="12"/>
    </row>
    <row r="5285" spans="1:14" s="5" customFormat="1" ht="15" customHeight="1" x14ac:dyDescent="0.25">
      <c r="A5285" s="9" t="s">
        <v>10363</v>
      </c>
      <c r="C5285" s="9" t="str">
        <f>HYPERLINK("http://www.ncbi.nlm.nih.gov/protein/13384918","Parp9")</f>
        <v>Parp9</v>
      </c>
      <c r="D5285" s="10">
        <f t="shared" si="82"/>
        <v>4.1019843781744711</v>
      </c>
      <c r="F5285" s="8" t="str">
        <f>HYPERLINK("https://esbl.nhlbi.nih.gov/Databases/mpkFractions/proteomic_fractions_log_files/Yang_log_img/13384918.jpg","show blot")</f>
        <v>show blot</v>
      </c>
      <c r="H5285" s="8" t="str">
        <f>HYPERLINK("https://esbl.nhlbi.nih.gov/Databases/mpkFractions/proteomic_fractions_linear_files/Yang_linear_img/13384918.jpg","show blot")</f>
        <v>show blot</v>
      </c>
      <c r="J5285" s="5" t="s">
        <v>10364</v>
      </c>
      <c r="L5285" s="11">
        <v>4.1019843781744711</v>
      </c>
      <c r="N5285" s="12"/>
    </row>
    <row r="5286" spans="1:14" s="5" customFormat="1" ht="15" customHeight="1" x14ac:dyDescent="0.25">
      <c r="A5286" s="9" t="s">
        <v>10365</v>
      </c>
      <c r="C5286" s="9" t="str">
        <f>HYPERLINK("http://www.ncbi.nlm.nih.gov/protein/139948347","Pars2")</f>
        <v>Pars2</v>
      </c>
      <c r="D5286" s="10">
        <f t="shared" si="82"/>
        <v>3.1012039144062129</v>
      </c>
      <c r="F5286" s="8" t="str">
        <f>HYPERLINK("https://esbl.nhlbi.nih.gov/Databases/mpkFractions/proteomic_fractions_log_files/Yang_log_img/139948347.jpg","show blot")</f>
        <v>show blot</v>
      </c>
      <c r="H5286" s="8" t="str">
        <f>HYPERLINK("https://esbl.nhlbi.nih.gov/Databases/mpkFractions/proteomic_fractions_linear_files/Yang_linear_img/139948347.jpg","show blot")</f>
        <v>show blot</v>
      </c>
      <c r="J5286" s="5" t="s">
        <v>10366</v>
      </c>
      <c r="L5286" s="11">
        <v>3.1012039144062129</v>
      </c>
      <c r="N5286" s="12"/>
    </row>
    <row r="5287" spans="1:14" s="5" customFormat="1" ht="15" customHeight="1" x14ac:dyDescent="0.25">
      <c r="A5287" s="9" t="s">
        <v>10367</v>
      </c>
      <c r="C5287" s="9" t="str">
        <f>HYPERLINK("http://www.ncbi.nlm.nih.gov/protein/139948914","Pars2")</f>
        <v>Pars2</v>
      </c>
      <c r="D5287" s="10">
        <f t="shared" si="82"/>
        <v>3.1012039144062129</v>
      </c>
      <c r="F5287" s="8" t="str">
        <f>HYPERLINK("https://esbl.nhlbi.nih.gov/Databases/mpkFractions/proteomic_fractions_log_files/Yang_log_img/139948914.jpg","show blot")</f>
        <v>show blot</v>
      </c>
      <c r="H5287" s="8" t="str">
        <f>HYPERLINK("https://esbl.nhlbi.nih.gov/Databases/mpkFractions/proteomic_fractions_linear_files/Yang_linear_img/139948914.jpg","show blot")</f>
        <v>show blot</v>
      </c>
      <c r="J5287" s="5" t="s">
        <v>10368</v>
      </c>
      <c r="L5287" s="11">
        <v>3.1012039144062129</v>
      </c>
      <c r="N5287" s="12"/>
    </row>
    <row r="5288" spans="1:14" s="5" customFormat="1" ht="15" customHeight="1" x14ac:dyDescent="0.25">
      <c r="A5288" s="9" t="s">
        <v>10369</v>
      </c>
      <c r="C5288" s="9" t="str">
        <f>HYPERLINK("http://www.ncbi.nlm.nih.gov/protein/31982526","Parva")</f>
        <v>Parva</v>
      </c>
      <c r="D5288" s="10">
        <f t="shared" si="82"/>
        <v>5.4512832862437026</v>
      </c>
      <c r="F5288" s="8" t="str">
        <f>HYPERLINK("https://esbl.nhlbi.nih.gov/Databases/mpkFractions/proteomic_fractions_log_files/Yang_log_img/31982526.jpg","show blot")</f>
        <v>show blot</v>
      </c>
      <c r="H5288" s="8" t="str">
        <f>HYPERLINK("https://esbl.nhlbi.nih.gov/Databases/mpkFractions/proteomic_fractions_linear_files/Yang_linear_img/31982526.jpg","show blot")</f>
        <v>show blot</v>
      </c>
      <c r="J5288" s="5" t="s">
        <v>10370</v>
      </c>
      <c r="L5288" s="11">
        <v>5.4512832862437026</v>
      </c>
      <c r="N5288" s="12"/>
    </row>
    <row r="5289" spans="1:14" s="5" customFormat="1" ht="15" customHeight="1" x14ac:dyDescent="0.25">
      <c r="A5289" s="9" t="s">
        <v>10371</v>
      </c>
      <c r="C5289" s="9" t="str">
        <f>HYPERLINK("http://www.ncbi.nlm.nih.gov/protein/18860551","Parvb")</f>
        <v>Parvb</v>
      </c>
      <c r="D5289" s="10">
        <f t="shared" si="82"/>
        <v>4.313571669742382</v>
      </c>
      <c r="F5289" s="8" t="str">
        <f>HYPERLINK("https://esbl.nhlbi.nih.gov/Databases/mpkFractions/proteomic_fractions_log_files/Yang_log_img/18860551.jpg","show blot")</f>
        <v>show blot</v>
      </c>
      <c r="H5289" s="8" t="str">
        <f>HYPERLINK("https://esbl.nhlbi.nih.gov/Databases/mpkFractions/proteomic_fractions_linear_files/Yang_linear_img/18860551.jpg","show blot")</f>
        <v>show blot</v>
      </c>
      <c r="J5289" s="5" t="s">
        <v>10372</v>
      </c>
      <c r="L5289" s="11">
        <v>4.313571669742382</v>
      </c>
      <c r="N5289" s="12"/>
    </row>
    <row r="5290" spans="1:14" s="5" customFormat="1" ht="15" customHeight="1" x14ac:dyDescent="0.25">
      <c r="A5290" s="9" t="s">
        <v>10373</v>
      </c>
      <c r="C5290" s="9" t="str">
        <f>HYPERLINK("http://www.ncbi.nlm.nih.gov/protein/194328775","Pask")</f>
        <v>Pask</v>
      </c>
      <c r="D5290" s="10">
        <f t="shared" si="82"/>
        <v>4.0929272875470124</v>
      </c>
      <c r="F5290" s="8" t="str">
        <f>HYPERLINK("https://esbl.nhlbi.nih.gov/Databases/mpkFractions/proteomic_fractions_log_files/Yang_log_img/194328775.jpg","show blot")</f>
        <v>show blot</v>
      </c>
      <c r="H5290" s="8" t="str">
        <f>HYPERLINK("https://esbl.nhlbi.nih.gov/Databases/mpkFractions/proteomic_fractions_linear_files/Yang_linear_img/194328775.jpg","show blot")</f>
        <v>show blot</v>
      </c>
      <c r="J5290" s="5" t="s">
        <v>10374</v>
      </c>
      <c r="L5290" s="11">
        <v>4.0929272875470124</v>
      </c>
      <c r="N5290" s="12"/>
    </row>
    <row r="5291" spans="1:14" s="5" customFormat="1" ht="15" customHeight="1" x14ac:dyDescent="0.25">
      <c r="A5291" s="9" t="s">
        <v>10375</v>
      </c>
      <c r="C5291" s="9" t="str">
        <f>HYPERLINK("http://www.ncbi.nlm.nih.gov/protein/255522964","Patl1")</f>
        <v>Patl1</v>
      </c>
      <c r="D5291" s="10">
        <f t="shared" si="82"/>
        <v>3.288399965619309</v>
      </c>
      <c r="F5291" s="8" t="str">
        <f>HYPERLINK("https://esbl.nhlbi.nih.gov/Databases/mpkFractions/proteomic_fractions_log_files/Yang_log_img/255522964.jpg","show blot")</f>
        <v>show blot</v>
      </c>
      <c r="H5291" s="8" t="str">
        <f>HYPERLINK("https://esbl.nhlbi.nih.gov/Databases/mpkFractions/proteomic_fractions_linear_files/Yang_linear_img/255522964.jpg","show blot")</f>
        <v>show blot</v>
      </c>
      <c r="J5291" s="5" t="s">
        <v>10376</v>
      </c>
      <c r="L5291" s="11">
        <v>3.288399965619309</v>
      </c>
      <c r="N5291" s="12"/>
    </row>
    <row r="5292" spans="1:14" s="5" customFormat="1" ht="15" customHeight="1" x14ac:dyDescent="0.25">
      <c r="A5292" s="9" t="s">
        <v>10377</v>
      </c>
      <c r="C5292" s="9" t="str">
        <f>HYPERLINK("http://www.ncbi.nlm.nih.gov/protein/87196490","Pawr")</f>
        <v>Pawr</v>
      </c>
      <c r="D5292" s="10">
        <f t="shared" si="82"/>
        <v>5.2721671075163226</v>
      </c>
      <c r="F5292" s="8" t="str">
        <f>HYPERLINK("https://esbl.nhlbi.nih.gov/Databases/mpkFractions/proteomic_fractions_log_files/Yang_log_img/87196490.jpg","show blot")</f>
        <v>show blot</v>
      </c>
      <c r="H5292" s="8" t="str">
        <f>HYPERLINK("https://esbl.nhlbi.nih.gov/Databases/mpkFractions/proteomic_fractions_linear_files/Yang_linear_img/87196490.jpg","show blot")</f>
        <v>show blot</v>
      </c>
      <c r="J5292" s="5" t="s">
        <v>10378</v>
      </c>
      <c r="L5292" s="11">
        <v>5.2721671075163226</v>
      </c>
      <c r="N5292" s="12"/>
    </row>
    <row r="5293" spans="1:14" s="5" customFormat="1" ht="15" customHeight="1" x14ac:dyDescent="0.25">
      <c r="A5293" s="9" t="s">
        <v>10379</v>
      </c>
      <c r="C5293" s="9" t="str">
        <f>HYPERLINK("http://www.ncbi.nlm.nih.gov/protein/226437608","Paxbp1")</f>
        <v>Paxbp1</v>
      </c>
      <c r="D5293" s="10">
        <f t="shared" si="82"/>
        <v>3.4351397650854869</v>
      </c>
      <c r="F5293" s="8" t="str">
        <f>HYPERLINK("https://esbl.nhlbi.nih.gov/Databases/mpkFractions/proteomic_fractions_log_files/Yang_log_img/226437608.jpg","show blot")</f>
        <v>show blot</v>
      </c>
      <c r="H5293" s="8" t="str">
        <f>HYPERLINK("https://esbl.nhlbi.nih.gov/Databases/mpkFractions/proteomic_fractions_linear_files/Yang_linear_img/226437608.jpg","show blot")</f>
        <v>show blot</v>
      </c>
      <c r="J5293" s="5" t="s">
        <v>10380</v>
      </c>
      <c r="L5293" s="11">
        <v>3.4351397650854869</v>
      </c>
      <c r="N5293" s="12"/>
    </row>
    <row r="5294" spans="1:14" s="5" customFormat="1" ht="15" customHeight="1" x14ac:dyDescent="0.25">
      <c r="A5294" s="9" t="s">
        <v>10381</v>
      </c>
      <c r="C5294" s="9" t="str">
        <f>HYPERLINK("http://www.ncbi.nlm.nih.gov/protein/13385810","Pbdc1")</f>
        <v>Pbdc1</v>
      </c>
      <c r="D5294" s="10">
        <f t="shared" si="82"/>
        <v>5.484090934523187</v>
      </c>
      <c r="F5294" s="8" t="str">
        <f>HYPERLINK("https://esbl.nhlbi.nih.gov/Databases/mpkFractions/proteomic_fractions_log_files/Yang_log_img/13385810.jpg","show blot")</f>
        <v>show blot</v>
      </c>
      <c r="H5294" s="8" t="str">
        <f>HYPERLINK("https://esbl.nhlbi.nih.gov/Databases/mpkFractions/proteomic_fractions_linear_files/Yang_linear_img/13385810.jpg","show blot")</f>
        <v>show blot</v>
      </c>
      <c r="J5294" s="5" t="s">
        <v>10382</v>
      </c>
      <c r="L5294" s="11">
        <v>5.484090934523187</v>
      </c>
      <c r="N5294" s="12"/>
    </row>
    <row r="5295" spans="1:14" s="5" customFormat="1" ht="15" customHeight="1" x14ac:dyDescent="0.25">
      <c r="A5295" s="9" t="s">
        <v>10383</v>
      </c>
      <c r="C5295" s="9" t="str">
        <f>HYPERLINK("http://www.ncbi.nlm.nih.gov/protein/12963575","Pbk")</f>
        <v>Pbk</v>
      </c>
      <c r="D5295" s="10">
        <f t="shared" si="82"/>
        <v>4.6040261815520802</v>
      </c>
      <c r="F5295" s="8" t="str">
        <f>HYPERLINK("https://esbl.nhlbi.nih.gov/Databases/mpkFractions/proteomic_fractions_log_files/Yang_log_img/12963575.jpg","show blot")</f>
        <v>show blot</v>
      </c>
      <c r="H5295" s="8" t="str">
        <f>HYPERLINK("https://esbl.nhlbi.nih.gov/Databases/mpkFractions/proteomic_fractions_linear_files/Yang_linear_img/12963575.jpg","show blot")</f>
        <v>show blot</v>
      </c>
      <c r="J5295" s="5" t="s">
        <v>10384</v>
      </c>
      <c r="L5295" s="11">
        <v>4.6040261815520802</v>
      </c>
      <c r="N5295" s="12"/>
    </row>
    <row r="5296" spans="1:14" s="5" customFormat="1" ht="15" customHeight="1" x14ac:dyDescent="0.25">
      <c r="A5296" s="9" t="s">
        <v>10385</v>
      </c>
      <c r="C5296" s="9" t="str">
        <f>HYPERLINK("http://www.ncbi.nlm.nih.gov/protein/31560132","Pbld1")</f>
        <v>Pbld1</v>
      </c>
      <c r="D5296" s="10">
        <f t="shared" si="82"/>
        <v>3.1166001672291519</v>
      </c>
      <c r="F5296" s="8" t="str">
        <f>HYPERLINK("https://esbl.nhlbi.nih.gov/Databases/mpkFractions/proteomic_fractions_log_files/Yang_log_img/31560132.jpg","show blot")</f>
        <v>show blot</v>
      </c>
      <c r="H5296" s="8" t="str">
        <f>HYPERLINK("https://esbl.nhlbi.nih.gov/Databases/mpkFractions/proteomic_fractions_linear_files/Yang_linear_img/31560132.jpg","show blot")</f>
        <v>show blot</v>
      </c>
      <c r="J5296" s="5" t="s">
        <v>10386</v>
      </c>
      <c r="L5296" s="11">
        <v>3.1166001672291519</v>
      </c>
      <c r="N5296" s="12"/>
    </row>
    <row r="5297" spans="1:14" s="5" customFormat="1" ht="15" customHeight="1" x14ac:dyDescent="0.25">
      <c r="A5297" s="9" t="s">
        <v>10387</v>
      </c>
      <c r="C5297" s="9" t="str">
        <f>HYPERLINK("http://www.ncbi.nlm.nih.gov/protein/13385584","Pbld2")</f>
        <v>Pbld2</v>
      </c>
      <c r="D5297" s="10">
        <f t="shared" si="82"/>
        <v>3.1166001672291519</v>
      </c>
      <c r="F5297" s="8" t="str">
        <f>HYPERLINK("https://esbl.nhlbi.nih.gov/Databases/mpkFractions/proteomic_fractions_log_files/Yang_log_img/13385584.jpg","show blot")</f>
        <v>show blot</v>
      </c>
      <c r="H5297" s="8" t="str">
        <f>HYPERLINK("https://esbl.nhlbi.nih.gov/Databases/mpkFractions/proteomic_fractions_linear_files/Yang_linear_img/13385584.jpg","show blot")</f>
        <v>show blot</v>
      </c>
      <c r="J5297" s="5" t="s">
        <v>10388</v>
      </c>
      <c r="L5297" s="11">
        <v>3.1166001672291519</v>
      </c>
      <c r="N5297" s="12"/>
    </row>
    <row r="5298" spans="1:14" s="5" customFormat="1" ht="15" customHeight="1" x14ac:dyDescent="0.25">
      <c r="A5298" s="9" t="s">
        <v>10389</v>
      </c>
      <c r="C5298" s="9" t="str">
        <f>HYPERLINK("http://www.ncbi.nlm.nih.gov/protein/22122651","Pbxip1")</f>
        <v>Pbxip1</v>
      </c>
      <c r="D5298" s="10">
        <f t="shared" si="82"/>
        <v>3.3352057047100381</v>
      </c>
      <c r="F5298" s="8" t="str">
        <f>HYPERLINK("https://esbl.nhlbi.nih.gov/Databases/mpkFractions/proteomic_fractions_log_files/Yang_log_img/22122651.jpg","show blot")</f>
        <v>show blot</v>
      </c>
      <c r="H5298" s="8" t="str">
        <f>HYPERLINK("https://esbl.nhlbi.nih.gov/Databases/mpkFractions/proteomic_fractions_linear_files/Yang_linear_img/22122651.jpg","show blot")</f>
        <v>show blot</v>
      </c>
      <c r="J5298" s="5" t="s">
        <v>10390</v>
      </c>
      <c r="L5298" s="11">
        <v>3.3352057047100381</v>
      </c>
      <c r="N5298" s="12"/>
    </row>
    <row r="5299" spans="1:14" s="5" customFormat="1" ht="15" customHeight="1" x14ac:dyDescent="0.25">
      <c r="A5299" s="9" t="s">
        <v>10391</v>
      </c>
      <c r="C5299" s="9" t="str">
        <f>HYPERLINK("http://www.ncbi.nlm.nih.gov/protein/13384608","Pcbd1")</f>
        <v>Pcbd1</v>
      </c>
      <c r="D5299" s="10">
        <f t="shared" si="82"/>
        <v>6.0689122740847754</v>
      </c>
      <c r="F5299" s="8" t="str">
        <f>HYPERLINK("https://esbl.nhlbi.nih.gov/Databases/mpkFractions/proteomic_fractions_log_files/Yang_log_img/13384608.jpg","show blot")</f>
        <v>show blot</v>
      </c>
      <c r="H5299" s="8" t="str">
        <f>HYPERLINK("https://esbl.nhlbi.nih.gov/Databases/mpkFractions/proteomic_fractions_linear_files/Yang_linear_img/13384608.jpg","show blot")</f>
        <v>show blot</v>
      </c>
      <c r="J5299" s="5" t="s">
        <v>10392</v>
      </c>
      <c r="L5299" s="11">
        <v>6.0689122740847754</v>
      </c>
      <c r="N5299" s="12"/>
    </row>
    <row r="5300" spans="1:14" s="5" customFormat="1" ht="15" customHeight="1" x14ac:dyDescent="0.25">
      <c r="A5300" s="9" t="s">
        <v>10393</v>
      </c>
      <c r="C5300" s="9" t="str">
        <f>HYPERLINK("http://www.ncbi.nlm.nih.gov/protein/52421794","Pcbd2")</f>
        <v>Pcbd2</v>
      </c>
      <c r="D5300" s="10">
        <f t="shared" si="82"/>
        <v>4.8195038519258677</v>
      </c>
      <c r="F5300" s="8" t="str">
        <f>HYPERLINK("https://esbl.nhlbi.nih.gov/Databases/mpkFractions/proteomic_fractions_log_files/Yang_log_img/52421794.jpg","show blot")</f>
        <v>show blot</v>
      </c>
      <c r="H5300" s="8" t="str">
        <f>HYPERLINK("https://esbl.nhlbi.nih.gov/Databases/mpkFractions/proteomic_fractions_linear_files/Yang_linear_img/52421794.jpg","show blot")</f>
        <v>show blot</v>
      </c>
      <c r="J5300" s="5" t="s">
        <v>10394</v>
      </c>
      <c r="L5300" s="11">
        <v>4.8195038519258677</v>
      </c>
      <c r="N5300" s="12"/>
    </row>
    <row r="5301" spans="1:14" s="5" customFormat="1" ht="15" customHeight="1" x14ac:dyDescent="0.25">
      <c r="A5301" s="9" t="s">
        <v>10395</v>
      </c>
      <c r="C5301" s="9" t="str">
        <f>HYPERLINK("http://www.ncbi.nlm.nih.gov/protein/6754994","Pcbp1")</f>
        <v>Pcbp1</v>
      </c>
      <c r="D5301" s="10">
        <f t="shared" si="82"/>
        <v>6.9166762805997291</v>
      </c>
      <c r="F5301" s="8" t="str">
        <f>HYPERLINK("https://esbl.nhlbi.nih.gov/Databases/mpkFractions/proteomic_fractions_log_files/Yang_log_img/6754994.jpg","show blot")</f>
        <v>show blot</v>
      </c>
      <c r="H5301" s="8" t="str">
        <f>HYPERLINK("https://esbl.nhlbi.nih.gov/Databases/mpkFractions/proteomic_fractions_linear_files/Yang_linear_img/6754994.jpg","show blot")</f>
        <v>show blot</v>
      </c>
      <c r="J5301" s="5" t="s">
        <v>10396</v>
      </c>
      <c r="L5301" s="11">
        <v>6.9166762805997291</v>
      </c>
      <c r="N5301" s="12"/>
    </row>
    <row r="5302" spans="1:14" s="5" customFormat="1" ht="15" customHeight="1" x14ac:dyDescent="0.25">
      <c r="A5302" s="9" t="s">
        <v>10397</v>
      </c>
      <c r="C5302" s="9" t="str">
        <f>HYPERLINK("http://www.ncbi.nlm.nih.gov/protein/157041229","Pcbp2")</f>
        <v>Pcbp2</v>
      </c>
      <c r="D5302" s="10">
        <f t="shared" si="82"/>
        <v>6.9272381909168184</v>
      </c>
      <c r="F5302" s="8" t="str">
        <f>HYPERLINK("https://esbl.nhlbi.nih.gov/Databases/mpkFractions/proteomic_fractions_log_files/Yang_log_img/157041229.jpg","show blot")</f>
        <v>show blot</v>
      </c>
      <c r="H5302" s="8" t="str">
        <f>HYPERLINK("https://esbl.nhlbi.nih.gov/Databases/mpkFractions/proteomic_fractions_linear_files/Yang_linear_img/157041229.jpg","show blot")</f>
        <v>show blot</v>
      </c>
      <c r="J5302" s="5" t="s">
        <v>10398</v>
      </c>
      <c r="L5302" s="11">
        <v>6.9272381909168184</v>
      </c>
      <c r="N5302" s="12"/>
    </row>
    <row r="5303" spans="1:14" s="5" customFormat="1" ht="15" customHeight="1" x14ac:dyDescent="0.25">
      <c r="A5303" s="9" t="s">
        <v>10399</v>
      </c>
      <c r="C5303" s="9" t="str">
        <f>HYPERLINK("http://www.ncbi.nlm.nih.gov/protein/157042772","Pcbp2")</f>
        <v>Pcbp2</v>
      </c>
      <c r="D5303" s="10">
        <f t="shared" si="82"/>
        <v>6.9272381909168184</v>
      </c>
      <c r="F5303" s="8" t="str">
        <f>HYPERLINK("https://esbl.nhlbi.nih.gov/Databases/mpkFractions/proteomic_fractions_log_files/Yang_log_img/157042772.jpg","show blot")</f>
        <v>show blot</v>
      </c>
      <c r="H5303" s="8" t="str">
        <f>HYPERLINK("https://esbl.nhlbi.nih.gov/Databases/mpkFractions/proteomic_fractions_linear_files/Yang_linear_img/157042772.jpg","show blot")</f>
        <v>show blot</v>
      </c>
      <c r="J5303" s="5" t="s">
        <v>10400</v>
      </c>
      <c r="L5303" s="11">
        <v>6.9272381909168184</v>
      </c>
      <c r="N5303" s="12"/>
    </row>
    <row r="5304" spans="1:14" s="5" customFormat="1" ht="15" customHeight="1" x14ac:dyDescent="0.25">
      <c r="A5304" s="9" t="s">
        <v>10401</v>
      </c>
      <c r="C5304" s="9" t="str">
        <f>HYPERLINK("http://www.ncbi.nlm.nih.gov/protein/157057549","Pcbp2")</f>
        <v>Pcbp2</v>
      </c>
      <c r="D5304" s="10">
        <f t="shared" si="82"/>
        <v>6.9272381909168184</v>
      </c>
      <c r="F5304" s="8" t="str">
        <f>HYPERLINK("https://esbl.nhlbi.nih.gov/Databases/mpkFractions/proteomic_fractions_log_files/Yang_log_img/157057549.jpg","show blot")</f>
        <v>show blot</v>
      </c>
      <c r="H5304" s="8" t="str">
        <f>HYPERLINK("https://esbl.nhlbi.nih.gov/Databases/mpkFractions/proteomic_fractions_linear_files/Yang_linear_img/157057549.jpg","show blot")</f>
        <v>show blot</v>
      </c>
      <c r="J5304" s="5" t="s">
        <v>10402</v>
      </c>
      <c r="L5304" s="11">
        <v>6.9272381909168184</v>
      </c>
      <c r="N5304" s="12"/>
    </row>
    <row r="5305" spans="1:14" s="5" customFormat="1" ht="15" customHeight="1" x14ac:dyDescent="0.25">
      <c r="A5305" s="9" t="s">
        <v>10403</v>
      </c>
      <c r="C5305" s="9" t="str">
        <f>HYPERLINK("http://www.ncbi.nlm.nih.gov/protein/291327528","Pcbp2")</f>
        <v>Pcbp2</v>
      </c>
      <c r="D5305" s="10">
        <f t="shared" si="82"/>
        <v>6.9272381909168184</v>
      </c>
      <c r="F5305" s="8" t="str">
        <f>HYPERLINK("https://esbl.nhlbi.nih.gov/Databases/mpkFractions/proteomic_fractions_log_files/Yang_log_img/291327528.jpg","show blot")</f>
        <v>show blot</v>
      </c>
      <c r="H5305" s="8" t="str">
        <f>HYPERLINK("https://esbl.nhlbi.nih.gov/Databases/mpkFractions/proteomic_fractions_linear_files/Yang_linear_img/291327528.jpg","show blot")</f>
        <v>show blot</v>
      </c>
      <c r="J5305" s="5" t="s">
        <v>10404</v>
      </c>
      <c r="L5305" s="11">
        <v>6.9272381909168184</v>
      </c>
      <c r="N5305" s="12"/>
    </row>
    <row r="5306" spans="1:14" s="5" customFormat="1" ht="15" customHeight="1" x14ac:dyDescent="0.25">
      <c r="A5306" s="9" t="s">
        <v>10405</v>
      </c>
      <c r="C5306" s="9" t="str">
        <f>HYPERLINK("http://www.ncbi.nlm.nih.gov/protein/171906586","Pcbp3")</f>
        <v>Pcbp3</v>
      </c>
      <c r="D5306" s="10">
        <f t="shared" si="82"/>
        <v>6.6739636337409483</v>
      </c>
      <c r="F5306" s="8" t="str">
        <f>HYPERLINK("https://esbl.nhlbi.nih.gov/Databases/mpkFractions/proteomic_fractions_log_files/Yang_log_img/171906586.jpg","show blot")</f>
        <v>show blot</v>
      </c>
      <c r="H5306" s="8" t="str">
        <f>HYPERLINK("https://esbl.nhlbi.nih.gov/Databases/mpkFractions/proteomic_fractions_linear_files/Yang_linear_img/171906586.jpg","show blot")</f>
        <v>show blot</v>
      </c>
      <c r="J5306" s="5" t="s">
        <v>10406</v>
      </c>
      <c r="L5306" s="11">
        <v>6.6739636337409483</v>
      </c>
      <c r="N5306" s="12"/>
    </row>
    <row r="5307" spans="1:14" s="5" customFormat="1" ht="15" customHeight="1" x14ac:dyDescent="0.25">
      <c r="A5307" s="9" t="s">
        <v>10407</v>
      </c>
      <c r="C5307" s="9" t="str">
        <f>HYPERLINK("http://www.ncbi.nlm.nih.gov/protein/227497228","Pcbp4")</f>
        <v>Pcbp4</v>
      </c>
      <c r="D5307" s="10">
        <f t="shared" si="82"/>
        <v>1.710880678888365</v>
      </c>
      <c r="F5307" s="8" t="str">
        <f>HYPERLINK("https://esbl.nhlbi.nih.gov/Databases/mpkFractions/proteomic_fractions_log_files/Yang_log_img/227497228.jpg","show blot")</f>
        <v>show blot</v>
      </c>
      <c r="H5307" s="8" t="str">
        <f>HYPERLINK("https://esbl.nhlbi.nih.gov/Databases/mpkFractions/proteomic_fractions_linear_files/Yang_linear_img/227497228.jpg","show blot")</f>
        <v>show blot</v>
      </c>
      <c r="J5307" s="5" t="s">
        <v>10408</v>
      </c>
      <c r="L5307" s="11">
        <v>1.710880678888365</v>
      </c>
      <c r="N5307" s="12"/>
    </row>
    <row r="5308" spans="1:14" s="5" customFormat="1" ht="15" customHeight="1" x14ac:dyDescent="0.25">
      <c r="A5308" s="9" t="s">
        <v>10409</v>
      </c>
      <c r="C5308" s="9" t="str">
        <f>HYPERLINK("http://www.ncbi.nlm.nih.gov/protein/254540162","Pcca")</f>
        <v>Pcca</v>
      </c>
      <c r="D5308" s="10">
        <f t="shared" si="82"/>
        <v>5.0875496652275212</v>
      </c>
      <c r="F5308" s="8" t="str">
        <f>HYPERLINK("https://esbl.nhlbi.nih.gov/Databases/mpkFractions/proteomic_fractions_log_files/Yang_log_img/254540162.jpg","show blot")</f>
        <v>show blot</v>
      </c>
      <c r="H5308" s="8" t="str">
        <f>HYPERLINK("https://esbl.nhlbi.nih.gov/Databases/mpkFractions/proteomic_fractions_linear_files/Yang_linear_img/254540162.jpg","show blot")</f>
        <v>show blot</v>
      </c>
      <c r="J5308" s="5" t="s">
        <v>10410</v>
      </c>
      <c r="L5308" s="11">
        <v>5.0875496652275212</v>
      </c>
      <c r="N5308" s="12"/>
    </row>
    <row r="5309" spans="1:14" s="5" customFormat="1" ht="15" customHeight="1" x14ac:dyDescent="0.25">
      <c r="A5309" s="9" t="s">
        <v>10411</v>
      </c>
      <c r="C5309" s="9" t="str">
        <f>HYPERLINK("http://www.ncbi.nlm.nih.gov/protein/13385310","Pccb")</f>
        <v>Pccb</v>
      </c>
      <c r="D5309" s="10">
        <f t="shared" si="82"/>
        <v>5.1549189858283908</v>
      </c>
      <c r="F5309" s="8" t="str">
        <f>HYPERLINK("https://esbl.nhlbi.nih.gov/Databases/mpkFractions/proteomic_fractions_log_files/Yang_log_img/13385310.jpg","show blot")</f>
        <v>show blot</v>
      </c>
      <c r="H5309" s="8" t="str">
        <f>HYPERLINK("https://esbl.nhlbi.nih.gov/Databases/mpkFractions/proteomic_fractions_linear_files/Yang_linear_img/13385310.jpg","show blot")</f>
        <v>show blot</v>
      </c>
      <c r="J5309" s="5" t="s">
        <v>10412</v>
      </c>
      <c r="L5309" s="11">
        <v>5.1549189858283908</v>
      </c>
      <c r="N5309" s="12"/>
    </row>
    <row r="5310" spans="1:14" s="5" customFormat="1" ht="15" customHeight="1" x14ac:dyDescent="0.25">
      <c r="A5310" s="9" t="s">
        <v>10413</v>
      </c>
      <c r="C5310" s="9" t="str">
        <f>HYPERLINK("http://www.ncbi.nlm.nih.gov/protein/34328319","Pcdh1")</f>
        <v>Pcdh1</v>
      </c>
      <c r="D5310" s="10">
        <f t="shared" si="82"/>
        <v>1.7715213451091141</v>
      </c>
      <c r="F5310" s="8" t="str">
        <f>HYPERLINK("https://esbl.nhlbi.nih.gov/Databases/mpkFractions/proteomic_fractions_log_files/Yang_log_img/34328319.jpg","show blot")</f>
        <v>show blot</v>
      </c>
      <c r="H5310" s="8" t="str">
        <f>HYPERLINK("https://esbl.nhlbi.nih.gov/Databases/mpkFractions/proteomic_fractions_linear_files/Yang_linear_img/34328319.jpg","show blot")</f>
        <v>show blot</v>
      </c>
      <c r="J5310" s="5" t="s">
        <v>10414</v>
      </c>
      <c r="L5310" s="11">
        <v>1.7715213451091141</v>
      </c>
      <c r="N5310" s="12"/>
    </row>
    <row r="5311" spans="1:14" s="5" customFormat="1" ht="15" customHeight="1" x14ac:dyDescent="0.25">
      <c r="A5311" s="9" t="s">
        <v>10415</v>
      </c>
      <c r="C5311" s="9" t="str">
        <f>HYPERLINK("http://www.ncbi.nlm.nih.gov/protein/6681021","Pcdha4")</f>
        <v>Pcdha4</v>
      </c>
      <c r="D5311" s="10">
        <f t="shared" si="82"/>
        <v>3.8115999054652492</v>
      </c>
      <c r="F5311" s="8" t="str">
        <f>HYPERLINK("https://esbl.nhlbi.nih.gov/Databases/mpkFractions/proteomic_fractions_log_files/Yang_log_img/6681021.jpg","show blot")</f>
        <v>show blot</v>
      </c>
      <c r="H5311" s="8" t="str">
        <f>HYPERLINK("https://esbl.nhlbi.nih.gov/Databases/mpkFractions/proteomic_fractions_linear_files/Yang_linear_img/6681021.jpg","show blot")</f>
        <v>show blot</v>
      </c>
      <c r="J5311" s="5" t="s">
        <v>10416</v>
      </c>
      <c r="L5311" s="11">
        <v>3.8115999054652492</v>
      </c>
      <c r="N5311" s="12"/>
    </row>
    <row r="5312" spans="1:14" s="5" customFormat="1" ht="15" customHeight="1" x14ac:dyDescent="0.25">
      <c r="A5312" s="9" t="s">
        <v>10417</v>
      </c>
      <c r="C5312" s="9" t="str">
        <f>HYPERLINK("http://www.ncbi.nlm.nih.gov/protein/292658765","Pcdha4-g")</f>
        <v>Pcdha4-g</v>
      </c>
      <c r="D5312" s="10">
        <f t="shared" si="82"/>
        <v>3.8293286724256799</v>
      </c>
      <c r="F5312" s="8" t="str">
        <f>HYPERLINK("https://esbl.nhlbi.nih.gov/Databases/mpkFractions/proteomic_fractions_log_files/Yang_log_img/292658765.jpg","show blot")</f>
        <v>show blot</v>
      </c>
      <c r="H5312" s="8" t="str">
        <f>HYPERLINK("https://esbl.nhlbi.nih.gov/Databases/mpkFractions/proteomic_fractions_linear_files/Yang_linear_img/292658765.jpg","show blot")</f>
        <v>show blot</v>
      </c>
      <c r="J5312" s="5" t="s">
        <v>10418</v>
      </c>
      <c r="L5312" s="11">
        <v>3.8293286724256799</v>
      </c>
      <c r="N5312" s="12"/>
    </row>
    <row r="5313" spans="1:14" s="5" customFormat="1" ht="15" customHeight="1" x14ac:dyDescent="0.25">
      <c r="A5313" s="9" t="s">
        <v>10419</v>
      </c>
      <c r="C5313" s="9" t="str">
        <f>HYPERLINK("http://www.ncbi.nlm.nih.gov/protein/119372296","Pcid2")</f>
        <v>Pcid2</v>
      </c>
      <c r="D5313" s="10">
        <f t="shared" si="82"/>
        <v>4.4222400914010258</v>
      </c>
      <c r="F5313" s="8" t="str">
        <f>HYPERLINK("https://esbl.nhlbi.nih.gov/Databases/mpkFractions/proteomic_fractions_log_files/Yang_log_img/119372296.jpg","show blot")</f>
        <v>show blot</v>
      </c>
      <c r="H5313" s="8" t="str">
        <f>HYPERLINK("https://esbl.nhlbi.nih.gov/Databases/mpkFractions/proteomic_fractions_linear_files/Yang_linear_img/119372296.jpg","show blot")</f>
        <v>show blot</v>
      </c>
      <c r="J5313" s="5" t="s">
        <v>10420</v>
      </c>
      <c r="L5313" s="11">
        <v>4.4222400914010258</v>
      </c>
      <c r="N5313" s="12"/>
    </row>
    <row r="5314" spans="1:14" s="5" customFormat="1" ht="15" customHeight="1" x14ac:dyDescent="0.25">
      <c r="A5314" s="9" t="s">
        <v>10421</v>
      </c>
      <c r="C5314" s="9" t="str">
        <f>HYPERLINK("http://www.ncbi.nlm.nih.gov/protein/22122647","Pcif1")</f>
        <v>Pcif1</v>
      </c>
      <c r="D5314" s="10">
        <f t="shared" si="82"/>
        <v>2.9713854746465409</v>
      </c>
      <c r="F5314" s="8" t="str">
        <f>HYPERLINK("https://esbl.nhlbi.nih.gov/Databases/mpkFractions/proteomic_fractions_log_files/Yang_log_img/22122647.jpg","show blot")</f>
        <v>show blot</v>
      </c>
      <c r="H5314" s="8" t="str">
        <f>HYPERLINK("https://esbl.nhlbi.nih.gov/Databases/mpkFractions/proteomic_fractions_linear_files/Yang_linear_img/22122647.jpg","show blot")</f>
        <v>show blot</v>
      </c>
      <c r="J5314" s="5" t="s">
        <v>10422</v>
      </c>
      <c r="L5314" s="11">
        <v>2.9713854746465409</v>
      </c>
      <c r="N5314" s="12"/>
    </row>
    <row r="5315" spans="1:14" s="5" customFormat="1" ht="15" customHeight="1" x14ac:dyDescent="0.25">
      <c r="A5315" s="9" t="s">
        <v>10423</v>
      </c>
      <c r="C5315" s="9" t="str">
        <f>HYPERLINK("http://www.ncbi.nlm.nih.gov/protein/28077029","Pck2")</f>
        <v>Pck2</v>
      </c>
      <c r="D5315" s="10">
        <f t="shared" si="82"/>
        <v>5.6754844152620212</v>
      </c>
      <c r="F5315" s="8" t="str">
        <f>HYPERLINK("https://esbl.nhlbi.nih.gov/Databases/mpkFractions/proteomic_fractions_log_files/Yang_log_img/28077029.jpg","show blot")</f>
        <v>show blot</v>
      </c>
      <c r="H5315" s="8" t="str">
        <f>HYPERLINK("https://esbl.nhlbi.nih.gov/Databases/mpkFractions/proteomic_fractions_linear_files/Yang_linear_img/28077029.jpg","show blot")</f>
        <v>show blot</v>
      </c>
      <c r="J5315" s="5" t="s">
        <v>10424</v>
      </c>
      <c r="L5315" s="11">
        <v>5.6754844152620212</v>
      </c>
      <c r="N5315" s="12"/>
    </row>
    <row r="5316" spans="1:14" s="5" customFormat="1" ht="15" customHeight="1" x14ac:dyDescent="0.25">
      <c r="A5316" s="9" t="s">
        <v>10425</v>
      </c>
      <c r="C5316" s="9" t="str">
        <f>HYPERLINK("http://www.ncbi.nlm.nih.gov/protein/170763496","Pcm1")</f>
        <v>Pcm1</v>
      </c>
      <c r="D5316" s="10">
        <f t="shared" si="82"/>
        <v>3.472575633623185</v>
      </c>
      <c r="F5316" s="8" t="str">
        <f>HYPERLINK("https://esbl.nhlbi.nih.gov/Databases/mpkFractions/proteomic_fractions_log_files/Yang_log_img/170763496.jpg","show blot")</f>
        <v>show blot</v>
      </c>
      <c r="H5316" s="8" t="str">
        <f>HYPERLINK("https://esbl.nhlbi.nih.gov/Databases/mpkFractions/proteomic_fractions_linear_files/Yang_linear_img/170763496.jpg","show blot")</f>
        <v>show blot</v>
      </c>
      <c r="J5316" s="5" t="s">
        <v>10426</v>
      </c>
      <c r="L5316" s="11">
        <v>3.472575633623185</v>
      </c>
      <c r="N5316" s="12"/>
    </row>
    <row r="5317" spans="1:14" s="5" customFormat="1" ht="15" customHeight="1" x14ac:dyDescent="0.25">
      <c r="A5317" s="9" t="s">
        <v>10427</v>
      </c>
      <c r="C5317" s="9" t="str">
        <f>HYPERLINK("http://www.ncbi.nlm.nih.gov/protein/226530884","Pcmt1")</f>
        <v>Pcmt1</v>
      </c>
      <c r="D5317" s="10">
        <f t="shared" ref="D5317:D5380" si="83">L5317</f>
        <v>5.6701678942954317</v>
      </c>
      <c r="F5317" s="8" t="str">
        <f>HYPERLINK("https://esbl.nhlbi.nih.gov/Databases/mpkFractions/proteomic_fractions_log_files/Yang_log_img/226530884.jpg","show blot")</f>
        <v>show blot</v>
      </c>
      <c r="H5317" s="8" t="str">
        <f>HYPERLINK("https://esbl.nhlbi.nih.gov/Databases/mpkFractions/proteomic_fractions_linear_files/Yang_linear_img/226530884.jpg","show blot")</f>
        <v>show blot</v>
      </c>
      <c r="J5317" s="5" t="s">
        <v>10428</v>
      </c>
      <c r="L5317" s="11">
        <v>5.6701678942954317</v>
      </c>
      <c r="N5317" s="12"/>
    </row>
    <row r="5318" spans="1:14" s="5" customFormat="1" ht="15" customHeight="1" x14ac:dyDescent="0.25">
      <c r="A5318" s="9" t="s">
        <v>10429</v>
      </c>
      <c r="C5318" s="9" t="str">
        <f>HYPERLINK("http://www.ncbi.nlm.nih.gov/protein/33942104","Pcmtd1")</f>
        <v>Pcmtd1</v>
      </c>
      <c r="D5318" s="10">
        <f t="shared" si="83"/>
        <v>3.8245710260988441</v>
      </c>
      <c r="F5318" s="8" t="str">
        <f>HYPERLINK("https://esbl.nhlbi.nih.gov/Databases/mpkFractions/proteomic_fractions_log_files/Yang_log_img/33942104.jpg","show blot")</f>
        <v>show blot</v>
      </c>
      <c r="H5318" s="8" t="str">
        <f>HYPERLINK("https://esbl.nhlbi.nih.gov/Databases/mpkFractions/proteomic_fractions_linear_files/Yang_linear_img/33942104.jpg","show blot")</f>
        <v>show blot</v>
      </c>
      <c r="J5318" s="5" t="s">
        <v>10430</v>
      </c>
      <c r="L5318" s="11">
        <v>3.8245710260988441</v>
      </c>
      <c r="N5318" s="12"/>
    </row>
    <row r="5319" spans="1:14" s="5" customFormat="1" ht="15" customHeight="1" x14ac:dyDescent="0.25">
      <c r="A5319" s="9" t="s">
        <v>10431</v>
      </c>
      <c r="C5319" s="9" t="str">
        <f>HYPERLINK("http://www.ncbi.nlm.nih.gov/protein/23956398","Pcmtd2")</f>
        <v>Pcmtd2</v>
      </c>
      <c r="D5319" s="10">
        <f t="shared" si="83"/>
        <v>3.5798164618192199</v>
      </c>
      <c r="F5319" s="8" t="str">
        <f>HYPERLINK("https://esbl.nhlbi.nih.gov/Databases/mpkFractions/proteomic_fractions_log_files/Yang_log_img/23956398.jpg","show blot")</f>
        <v>show blot</v>
      </c>
      <c r="H5319" s="8" t="str">
        <f>HYPERLINK("https://esbl.nhlbi.nih.gov/Databases/mpkFractions/proteomic_fractions_linear_files/Yang_linear_img/23956398.jpg","show blot")</f>
        <v>show blot</v>
      </c>
      <c r="J5319" s="5" t="s">
        <v>10432</v>
      </c>
      <c r="L5319" s="11">
        <v>3.5798164618192199</v>
      </c>
      <c r="N5319" s="12"/>
    </row>
    <row r="5320" spans="1:14" s="5" customFormat="1" ht="15" customHeight="1" x14ac:dyDescent="0.25">
      <c r="A5320" s="9" t="s">
        <v>10433</v>
      </c>
      <c r="C5320" s="9" t="str">
        <f>HYPERLINK("http://www.ncbi.nlm.nih.gov/protein/7242171","Pcna")</f>
        <v>Pcna</v>
      </c>
      <c r="D5320" s="10">
        <f t="shared" si="83"/>
        <v>7.2183913588075947</v>
      </c>
      <c r="F5320" s="8" t="str">
        <f>HYPERLINK("https://esbl.nhlbi.nih.gov/Databases/mpkFractions/proteomic_fractions_log_files/Yang_log_img/7242171.jpg","show blot")</f>
        <v>show blot</v>
      </c>
      <c r="H5320" s="8" t="str">
        <f>HYPERLINK("https://esbl.nhlbi.nih.gov/Databases/mpkFractions/proteomic_fractions_linear_files/Yang_linear_img/7242171.jpg","show blot")</f>
        <v>show blot</v>
      </c>
      <c r="J5320" s="5" t="s">
        <v>10434</v>
      </c>
      <c r="L5320" s="11">
        <v>7.2183913588075947</v>
      </c>
      <c r="N5320" s="12"/>
    </row>
    <row r="5321" spans="1:14" s="5" customFormat="1" ht="15" customHeight="1" x14ac:dyDescent="0.25">
      <c r="A5321" s="9" t="s">
        <v>10435</v>
      </c>
      <c r="C5321" s="9" t="str">
        <f>HYPERLINK("http://www.ncbi.nlm.nih.gov/protein/71480098","Pcnp")</f>
        <v>Pcnp</v>
      </c>
      <c r="D5321" s="10">
        <f t="shared" si="83"/>
        <v>5.9319305658078942</v>
      </c>
      <c r="F5321" s="8" t="str">
        <f>HYPERLINK("https://esbl.nhlbi.nih.gov/Databases/mpkFractions/proteomic_fractions_log_files/Yang_log_img/71480098.jpg","show blot")</f>
        <v>show blot</v>
      </c>
      <c r="H5321" s="8" t="str">
        <f>HYPERLINK("https://esbl.nhlbi.nih.gov/Databases/mpkFractions/proteomic_fractions_linear_files/Yang_linear_img/71480098.jpg","show blot")</f>
        <v>show blot</v>
      </c>
      <c r="J5321" s="5" t="s">
        <v>10436</v>
      </c>
      <c r="L5321" s="11">
        <v>5.9319305658078942</v>
      </c>
      <c r="N5321" s="12"/>
    </row>
    <row r="5322" spans="1:14" s="5" customFormat="1" ht="15" customHeight="1" x14ac:dyDescent="0.25">
      <c r="A5322" s="9" t="s">
        <v>10437</v>
      </c>
      <c r="C5322" s="9" t="str">
        <f>HYPERLINK("http://www.ncbi.nlm.nih.gov/protein/93004085","Pcnt")</f>
        <v>Pcnt</v>
      </c>
      <c r="D5322" s="10">
        <f t="shared" si="83"/>
        <v>2.0872887435557188</v>
      </c>
      <c r="F5322" s="8" t="str">
        <f>HYPERLINK("https://esbl.nhlbi.nih.gov/Databases/mpkFractions/proteomic_fractions_log_files/Yang_log_img/93004085.jpg","show blot")</f>
        <v>show blot</v>
      </c>
      <c r="H5322" s="8" t="str">
        <f>HYPERLINK("https://esbl.nhlbi.nih.gov/Databases/mpkFractions/proteomic_fractions_linear_files/Yang_linear_img/93004085.jpg","show blot")</f>
        <v>show blot</v>
      </c>
      <c r="J5322" s="5" t="s">
        <v>10438</v>
      </c>
      <c r="L5322" s="11">
        <v>2.0872887435557188</v>
      </c>
      <c r="N5322" s="12"/>
    </row>
    <row r="5323" spans="1:14" s="5" customFormat="1" ht="15" customHeight="1" x14ac:dyDescent="0.25">
      <c r="A5323" s="9" t="s">
        <v>10439</v>
      </c>
      <c r="C5323" s="9" t="str">
        <f>HYPERLINK("http://www.ncbi.nlm.nih.gov/protein/126352572","Pcnxl2")</f>
        <v>Pcnxl2</v>
      </c>
      <c r="D5323" s="10">
        <f t="shared" si="83"/>
        <v>3.0382386764130049</v>
      </c>
      <c r="F5323" s="8" t="str">
        <f>HYPERLINK("https://esbl.nhlbi.nih.gov/Databases/mpkFractions/proteomic_fractions_log_files/Yang_log_img/126352572.jpg","show blot")</f>
        <v>show blot</v>
      </c>
      <c r="H5323" s="8" t="str">
        <f>HYPERLINK("https://esbl.nhlbi.nih.gov/Databases/mpkFractions/proteomic_fractions_linear_files/Yang_linear_img/126352572.jpg","show blot")</f>
        <v>show blot</v>
      </c>
      <c r="J5323" s="5" t="s">
        <v>10440</v>
      </c>
      <c r="L5323" s="11">
        <v>3.0382386764130049</v>
      </c>
      <c r="N5323" s="12"/>
    </row>
    <row r="5324" spans="1:14" s="5" customFormat="1" ht="15" customHeight="1" x14ac:dyDescent="0.25">
      <c r="A5324" s="9" t="s">
        <v>10441</v>
      </c>
      <c r="C5324" s="9" t="str">
        <f>HYPERLINK("http://www.ncbi.nlm.nih.gov/protein/157743254","Pcnxl3")</f>
        <v>Pcnxl3</v>
      </c>
      <c r="D5324" s="10">
        <f t="shared" si="83"/>
        <v>1.1807786584075419</v>
      </c>
      <c r="F5324" s="8" t="str">
        <f>HYPERLINK("https://esbl.nhlbi.nih.gov/Databases/mpkFractions/proteomic_fractions_log_files/Yang_log_img/157743254.jpg","show blot")</f>
        <v>show blot</v>
      </c>
      <c r="H5324" s="8" t="str">
        <f>HYPERLINK("https://esbl.nhlbi.nih.gov/Databases/mpkFractions/proteomic_fractions_linear_files/Yang_linear_img/157743254.jpg","show blot")</f>
        <v>show blot</v>
      </c>
      <c r="J5324" s="5" t="s">
        <v>10442</v>
      </c>
      <c r="L5324" s="11">
        <v>1.1807786584075419</v>
      </c>
      <c r="N5324" s="12"/>
    </row>
    <row r="5325" spans="1:14" s="5" customFormat="1" ht="15" customHeight="1" x14ac:dyDescent="0.25">
      <c r="A5325" s="9" t="s">
        <v>10443</v>
      </c>
      <c r="C5325" s="9" t="str">
        <f>HYPERLINK("http://www.ncbi.nlm.nih.gov/protein/253314509","Pcsk5")</f>
        <v>Pcsk5</v>
      </c>
      <c r="D5325" s="10">
        <f t="shared" si="83"/>
        <v>4.4713562438655181</v>
      </c>
      <c r="F5325" s="8" t="str">
        <f>HYPERLINK("https://esbl.nhlbi.nih.gov/Databases/mpkFractions/proteomic_fractions_log_files/Yang_log_img/253314509.jpg","show blot")</f>
        <v>show blot</v>
      </c>
      <c r="H5325" s="8" t="str">
        <f>HYPERLINK("https://esbl.nhlbi.nih.gov/Databases/mpkFractions/proteomic_fractions_linear_files/Yang_linear_img/253314509.jpg","show blot")</f>
        <v>show blot</v>
      </c>
      <c r="J5325" s="5" t="s">
        <v>10444</v>
      </c>
      <c r="L5325" s="11">
        <v>4.4713562438655181</v>
      </c>
      <c r="N5325" s="12"/>
    </row>
    <row r="5326" spans="1:14" s="5" customFormat="1" ht="15" customHeight="1" x14ac:dyDescent="0.25">
      <c r="A5326" s="9" t="s">
        <v>10445</v>
      </c>
      <c r="C5326" s="9" t="str">
        <f>HYPERLINK("http://www.ncbi.nlm.nih.gov/protein/299523019","Pcsk5")</f>
        <v>Pcsk5</v>
      </c>
      <c r="D5326" s="10">
        <f t="shared" si="83"/>
        <v>4.4713562438655181</v>
      </c>
      <c r="F5326" s="8" t="str">
        <f>HYPERLINK("https://esbl.nhlbi.nih.gov/Databases/mpkFractions/proteomic_fractions_log_files/Yang_log_img/299523019.jpg","show blot")</f>
        <v>show blot</v>
      </c>
      <c r="H5326" s="8" t="str">
        <f>HYPERLINK("https://esbl.nhlbi.nih.gov/Databases/mpkFractions/proteomic_fractions_linear_files/Yang_linear_img/299523019.jpg","show blot")</f>
        <v>show blot</v>
      </c>
      <c r="J5326" s="5" t="s">
        <v>10446</v>
      </c>
      <c r="L5326" s="11">
        <v>4.4713562438655181</v>
      </c>
      <c r="N5326" s="12"/>
    </row>
    <row r="5327" spans="1:14" s="5" customFormat="1" ht="15" customHeight="1" x14ac:dyDescent="0.25">
      <c r="A5327" s="9" t="s">
        <v>10447</v>
      </c>
      <c r="C5327" s="9" t="str">
        <f>HYPERLINK("http://www.ncbi.nlm.nih.gov/protein/117320552","Pctp")</f>
        <v>Pctp</v>
      </c>
      <c r="D5327" s="10">
        <f t="shared" si="83"/>
        <v>4.307611912432475</v>
      </c>
      <c r="F5327" s="8" t="str">
        <f>HYPERLINK("https://esbl.nhlbi.nih.gov/Databases/mpkFractions/proteomic_fractions_log_files/Yang_log_img/117320552.jpg","show blot")</f>
        <v>show blot</v>
      </c>
      <c r="H5327" s="8" t="str">
        <f>HYPERLINK("https://esbl.nhlbi.nih.gov/Databases/mpkFractions/proteomic_fractions_linear_files/Yang_linear_img/117320552.jpg","show blot")</f>
        <v>show blot</v>
      </c>
      <c r="J5327" s="5" t="s">
        <v>10448</v>
      </c>
      <c r="L5327" s="11">
        <v>4.307611912432475</v>
      </c>
      <c r="N5327" s="12"/>
    </row>
    <row r="5328" spans="1:14" s="5" customFormat="1" ht="15" customHeight="1" x14ac:dyDescent="0.25">
      <c r="A5328" s="9" t="s">
        <v>10449</v>
      </c>
      <c r="C5328" s="9" t="str">
        <f>HYPERLINK("http://www.ncbi.nlm.nih.gov/protein/251823978","Pcx")</f>
        <v>Pcx</v>
      </c>
      <c r="D5328" s="10">
        <f t="shared" si="83"/>
        <v>5.0821266277768729</v>
      </c>
      <c r="F5328" s="8" t="str">
        <f>HYPERLINK("https://esbl.nhlbi.nih.gov/Databases/mpkFractions/proteomic_fractions_log_files/Yang_log_img/251823978.jpg","show blot")</f>
        <v>show blot</v>
      </c>
      <c r="H5328" s="8" t="str">
        <f>HYPERLINK("https://esbl.nhlbi.nih.gov/Databases/mpkFractions/proteomic_fractions_linear_files/Yang_linear_img/251823978.jpg","show blot")</f>
        <v>show blot</v>
      </c>
      <c r="J5328" s="5" t="s">
        <v>10450</v>
      </c>
      <c r="L5328" s="11">
        <v>5.0821266277768729</v>
      </c>
      <c r="N5328" s="12"/>
    </row>
    <row r="5329" spans="1:14" s="5" customFormat="1" ht="15" customHeight="1" x14ac:dyDescent="0.25">
      <c r="A5329" s="9" t="s">
        <v>10451</v>
      </c>
      <c r="C5329" s="9" t="str">
        <f>HYPERLINK("http://www.ncbi.nlm.nih.gov/protein/251823980","Pcx")</f>
        <v>Pcx</v>
      </c>
      <c r="D5329" s="10">
        <f t="shared" si="83"/>
        <v>5.0821266277768729</v>
      </c>
      <c r="F5329" s="8" t="str">
        <f>HYPERLINK("https://esbl.nhlbi.nih.gov/Databases/mpkFractions/proteomic_fractions_log_files/Yang_log_img/251823980.jpg","show blot")</f>
        <v>show blot</v>
      </c>
      <c r="H5329" s="8" t="str">
        <f>HYPERLINK("https://esbl.nhlbi.nih.gov/Databases/mpkFractions/proteomic_fractions_linear_files/Yang_linear_img/251823980.jpg","show blot")</f>
        <v>show blot</v>
      </c>
      <c r="J5329" s="5" t="s">
        <v>10452</v>
      </c>
      <c r="L5329" s="11">
        <v>5.0821266277768729</v>
      </c>
      <c r="N5329" s="12"/>
    </row>
    <row r="5330" spans="1:14" s="5" customFormat="1" ht="15" customHeight="1" x14ac:dyDescent="0.25">
      <c r="A5330" s="9" t="s">
        <v>10453</v>
      </c>
      <c r="C5330" s="9" t="str">
        <f>HYPERLINK("http://www.ncbi.nlm.nih.gov/protein/13385294","Pcyox1")</f>
        <v>Pcyox1</v>
      </c>
      <c r="D5330" s="10">
        <f t="shared" si="83"/>
        <v>5.3388629545488087</v>
      </c>
      <c r="F5330" s="8" t="str">
        <f>HYPERLINK("https://esbl.nhlbi.nih.gov/Databases/mpkFractions/proteomic_fractions_log_files/Yang_log_img/13385294.jpg","show blot")</f>
        <v>show blot</v>
      </c>
      <c r="H5330" s="8" t="str">
        <f>HYPERLINK("https://esbl.nhlbi.nih.gov/Databases/mpkFractions/proteomic_fractions_linear_files/Yang_linear_img/13385294.jpg","show blot")</f>
        <v>show blot</v>
      </c>
      <c r="J5330" s="5" t="s">
        <v>10454</v>
      </c>
      <c r="L5330" s="11">
        <v>5.3388629545488087</v>
      </c>
      <c r="N5330" s="12"/>
    </row>
    <row r="5331" spans="1:14" s="5" customFormat="1" ht="15" customHeight="1" x14ac:dyDescent="0.25">
      <c r="A5331" s="9" t="s">
        <v>10455</v>
      </c>
      <c r="C5331" s="9" t="str">
        <f>HYPERLINK("http://www.ncbi.nlm.nih.gov/protein/27370248","Pcyox1l")</f>
        <v>Pcyox1l</v>
      </c>
      <c r="D5331" s="10">
        <f t="shared" si="83"/>
        <v>3.6066812600166571</v>
      </c>
      <c r="F5331" s="8" t="str">
        <f>HYPERLINK("https://esbl.nhlbi.nih.gov/Databases/mpkFractions/proteomic_fractions_log_files/Yang_log_img/27370248.jpg","show blot")</f>
        <v>show blot</v>
      </c>
      <c r="H5331" s="8" t="str">
        <f>HYPERLINK("https://esbl.nhlbi.nih.gov/Databases/mpkFractions/proteomic_fractions_linear_files/Yang_linear_img/27370248.jpg","show blot")</f>
        <v>show blot</v>
      </c>
      <c r="J5331" s="5" t="s">
        <v>10456</v>
      </c>
      <c r="L5331" s="11">
        <v>3.6066812600166571</v>
      </c>
      <c r="N5331" s="12"/>
    </row>
    <row r="5332" spans="1:14" s="5" customFormat="1" ht="15" customHeight="1" x14ac:dyDescent="0.25">
      <c r="A5332" s="9" t="s">
        <v>10457</v>
      </c>
      <c r="C5332" s="9" t="str">
        <f>HYPERLINK("http://www.ncbi.nlm.nih.gov/protein/6753552","Pcyt1a")</f>
        <v>Pcyt1a</v>
      </c>
      <c r="D5332" s="10">
        <f t="shared" si="83"/>
        <v>5.3140150147107432</v>
      </c>
      <c r="F5332" s="8" t="str">
        <f>HYPERLINK("https://esbl.nhlbi.nih.gov/Databases/mpkFractions/proteomic_fractions_log_files/Yang_log_img/6753552.jpg","show blot")</f>
        <v>show blot</v>
      </c>
      <c r="H5332" s="8" t="str">
        <f>HYPERLINK("https://esbl.nhlbi.nih.gov/Databases/mpkFractions/proteomic_fractions_linear_files/Yang_linear_img/6753552.jpg","show blot")</f>
        <v>show blot</v>
      </c>
      <c r="J5332" s="5" t="s">
        <v>10458</v>
      </c>
      <c r="L5332" s="11">
        <v>5.3140150147107432</v>
      </c>
      <c r="N5332" s="12"/>
    </row>
    <row r="5333" spans="1:14" s="5" customFormat="1" ht="15" customHeight="1" x14ac:dyDescent="0.25">
      <c r="A5333" s="9" t="s">
        <v>10459</v>
      </c>
      <c r="C5333" s="9" t="str">
        <f>HYPERLINK("http://www.ncbi.nlm.nih.gov/protein/29164513","Pcyt1b")</f>
        <v>Pcyt1b</v>
      </c>
      <c r="D5333" s="10">
        <f t="shared" si="83"/>
        <v>4.8704006168656404</v>
      </c>
      <c r="F5333" s="8" t="str">
        <f>HYPERLINK("https://esbl.nhlbi.nih.gov/Databases/mpkFractions/proteomic_fractions_log_files/Yang_log_img/29164513.jpg","show blot")</f>
        <v>show blot</v>
      </c>
      <c r="H5333" s="8" t="str">
        <f>HYPERLINK("https://esbl.nhlbi.nih.gov/Databases/mpkFractions/proteomic_fractions_linear_files/Yang_linear_img/29164513.jpg","show blot")</f>
        <v>show blot</v>
      </c>
      <c r="J5333" s="5" t="s">
        <v>10460</v>
      </c>
      <c r="L5333" s="11">
        <v>4.8704006168656404</v>
      </c>
      <c r="N5333" s="12"/>
    </row>
    <row r="5334" spans="1:14" s="5" customFormat="1" ht="15" customHeight="1" x14ac:dyDescent="0.25">
      <c r="A5334" s="9" t="s">
        <v>10461</v>
      </c>
      <c r="C5334" s="9" t="str">
        <f>HYPERLINK("http://www.ncbi.nlm.nih.gov/protein/46877071","Pcyt1b")</f>
        <v>Pcyt1b</v>
      </c>
      <c r="D5334" s="10">
        <f t="shared" si="83"/>
        <v>4.8704006168656404</v>
      </c>
      <c r="F5334" s="8" t="str">
        <f>HYPERLINK("https://esbl.nhlbi.nih.gov/Databases/mpkFractions/proteomic_fractions_log_files/Yang_log_img/46877071.jpg","show blot")</f>
        <v>show blot</v>
      </c>
      <c r="H5334" s="8" t="str">
        <f>HYPERLINK("https://esbl.nhlbi.nih.gov/Databases/mpkFractions/proteomic_fractions_linear_files/Yang_linear_img/46877071.jpg","show blot")</f>
        <v>show blot</v>
      </c>
      <c r="J5334" s="5" t="s">
        <v>10462</v>
      </c>
      <c r="L5334" s="11">
        <v>4.8704006168656404</v>
      </c>
      <c r="N5334" s="12"/>
    </row>
    <row r="5335" spans="1:14" s="5" customFormat="1" ht="15" customHeight="1" x14ac:dyDescent="0.25">
      <c r="A5335" s="9" t="s">
        <v>10463</v>
      </c>
      <c r="C5335" s="9" t="str">
        <f>HYPERLINK("http://www.ncbi.nlm.nih.gov/protein/31980842","Pcyt2")</f>
        <v>Pcyt2</v>
      </c>
      <c r="D5335" s="10">
        <f t="shared" si="83"/>
        <v>4.864134628300266</v>
      </c>
      <c r="F5335" s="8" t="str">
        <f>HYPERLINK("https://esbl.nhlbi.nih.gov/Databases/mpkFractions/proteomic_fractions_log_files/Yang_log_img/31980842.jpg","show blot")</f>
        <v>show blot</v>
      </c>
      <c r="H5335" s="8" t="str">
        <f>HYPERLINK("https://esbl.nhlbi.nih.gov/Databases/mpkFractions/proteomic_fractions_linear_files/Yang_linear_img/31980842.jpg","show blot")</f>
        <v>show blot</v>
      </c>
      <c r="J5335" s="5" t="s">
        <v>10464</v>
      </c>
      <c r="L5335" s="11">
        <v>4.864134628300266</v>
      </c>
      <c r="N5335" s="12"/>
    </row>
    <row r="5336" spans="1:14" s="5" customFormat="1" ht="15" customHeight="1" x14ac:dyDescent="0.25">
      <c r="A5336" s="9" t="s">
        <v>10465</v>
      </c>
      <c r="C5336" s="9" t="str">
        <f>HYPERLINK("http://www.ncbi.nlm.nih.gov/protein/84781781","Pdap1")</f>
        <v>Pdap1</v>
      </c>
      <c r="D5336" s="10">
        <f t="shared" si="83"/>
        <v>6.0848902179212727</v>
      </c>
      <c r="F5336" s="8" t="str">
        <f>HYPERLINK("https://esbl.nhlbi.nih.gov/Databases/mpkFractions/proteomic_fractions_log_files/Yang_log_img/84781781.jpg","show blot")</f>
        <v>show blot</v>
      </c>
      <c r="H5336" s="8" t="str">
        <f>HYPERLINK("https://esbl.nhlbi.nih.gov/Databases/mpkFractions/proteomic_fractions_linear_files/Yang_linear_img/84781781.jpg","show blot")</f>
        <v>show blot</v>
      </c>
      <c r="J5336" s="5" t="s">
        <v>10466</v>
      </c>
      <c r="L5336" s="11">
        <v>6.0848902179212727</v>
      </c>
      <c r="N5336" s="12"/>
    </row>
    <row r="5337" spans="1:14" s="5" customFormat="1" ht="15" customHeight="1" x14ac:dyDescent="0.25">
      <c r="A5337" s="9" t="s">
        <v>10467</v>
      </c>
      <c r="C5337" s="9" t="str">
        <f>HYPERLINK("http://www.ncbi.nlm.nih.gov/protein/31560391","Pdcd10")</f>
        <v>Pdcd10</v>
      </c>
      <c r="D5337" s="10">
        <f t="shared" si="83"/>
        <v>5.9101796565358606</v>
      </c>
      <c r="F5337" s="8" t="str">
        <f>HYPERLINK("https://esbl.nhlbi.nih.gov/Databases/mpkFractions/proteomic_fractions_log_files/Yang_log_img/31560391.jpg","show blot")</f>
        <v>show blot</v>
      </c>
      <c r="H5337" s="8" t="str">
        <f>HYPERLINK("https://esbl.nhlbi.nih.gov/Databases/mpkFractions/proteomic_fractions_linear_files/Yang_linear_img/31560391.jpg","show blot")</f>
        <v>show blot</v>
      </c>
      <c r="J5337" s="5" t="s">
        <v>10468</v>
      </c>
      <c r="L5337" s="11">
        <v>5.9101796565358606</v>
      </c>
      <c r="N5337" s="12"/>
    </row>
    <row r="5338" spans="1:14" s="5" customFormat="1" ht="15" customHeight="1" x14ac:dyDescent="0.25">
      <c r="A5338" s="9" t="s">
        <v>10469</v>
      </c>
      <c r="C5338" s="9" t="str">
        <f>HYPERLINK("http://www.ncbi.nlm.nih.gov/protein/54607128","Pdcd11")</f>
        <v>Pdcd11</v>
      </c>
      <c r="D5338" s="10">
        <f t="shared" si="83"/>
        <v>3.4618776487960079</v>
      </c>
      <c r="F5338" s="8" t="str">
        <f>HYPERLINK("https://esbl.nhlbi.nih.gov/Databases/mpkFractions/proteomic_fractions_log_files/Yang_log_img/54607128.jpg","show blot")</f>
        <v>show blot</v>
      </c>
      <c r="H5338" s="8" t="str">
        <f>HYPERLINK("https://esbl.nhlbi.nih.gov/Databases/mpkFractions/proteomic_fractions_linear_files/Yang_linear_img/54607128.jpg","show blot")</f>
        <v>show blot</v>
      </c>
      <c r="J5338" s="5" t="s">
        <v>10470</v>
      </c>
      <c r="L5338" s="11">
        <v>3.4618776487960079</v>
      </c>
      <c r="N5338" s="12"/>
    </row>
    <row r="5339" spans="1:14" s="5" customFormat="1" ht="15" customHeight="1" x14ac:dyDescent="0.25">
      <c r="A5339" s="9" t="s">
        <v>10471</v>
      </c>
      <c r="C5339" s="9" t="str">
        <f>HYPERLINK("http://www.ncbi.nlm.nih.gov/protein/120407033","Pdcd2")</f>
        <v>Pdcd2</v>
      </c>
      <c r="D5339" s="10">
        <f t="shared" si="83"/>
        <v>4.0020804278568098</v>
      </c>
      <c r="F5339" s="8" t="str">
        <f>HYPERLINK("https://esbl.nhlbi.nih.gov/Databases/mpkFractions/proteomic_fractions_log_files/Yang_log_img/120407033.jpg","show blot")</f>
        <v>show blot</v>
      </c>
      <c r="H5339" s="8" t="str">
        <f>HYPERLINK("https://esbl.nhlbi.nih.gov/Databases/mpkFractions/proteomic_fractions_linear_files/Yang_linear_img/120407033.jpg","show blot")</f>
        <v>show blot</v>
      </c>
      <c r="J5339" s="5" t="s">
        <v>10472</v>
      </c>
      <c r="L5339" s="11">
        <v>4.0020804278568098</v>
      </c>
      <c r="N5339" s="12"/>
    </row>
    <row r="5340" spans="1:14" s="5" customFormat="1" ht="15" customHeight="1" x14ac:dyDescent="0.25">
      <c r="A5340" s="9" t="s">
        <v>10473</v>
      </c>
      <c r="C5340" s="9" t="str">
        <f>HYPERLINK("http://www.ncbi.nlm.nih.gov/protein/110625656","Pdcd4")</f>
        <v>Pdcd4</v>
      </c>
      <c r="D5340" s="10">
        <f t="shared" si="83"/>
        <v>5.9635234137729567</v>
      </c>
      <c r="F5340" s="8" t="str">
        <f>HYPERLINK("https://esbl.nhlbi.nih.gov/Databases/mpkFractions/proteomic_fractions_log_files/Yang_log_img/110625656.jpg","show blot")</f>
        <v>show blot</v>
      </c>
      <c r="H5340" s="8" t="str">
        <f>HYPERLINK("https://esbl.nhlbi.nih.gov/Databases/mpkFractions/proteomic_fractions_linear_files/Yang_linear_img/110625656.jpg","show blot")</f>
        <v>show blot</v>
      </c>
      <c r="J5340" s="5" t="s">
        <v>10474</v>
      </c>
      <c r="L5340" s="11">
        <v>5.9635234137729567</v>
      </c>
      <c r="N5340" s="12"/>
    </row>
    <row r="5341" spans="1:14" s="5" customFormat="1" ht="15" customHeight="1" x14ac:dyDescent="0.25">
      <c r="A5341" s="9" t="s">
        <v>10475</v>
      </c>
      <c r="C5341" s="9" t="str">
        <f>HYPERLINK("http://www.ncbi.nlm.nih.gov/protein/6755000","Pdcd6")</f>
        <v>Pdcd6</v>
      </c>
      <c r="D5341" s="10">
        <f t="shared" si="83"/>
        <v>5.4060623929234426</v>
      </c>
      <c r="F5341" s="8" t="str">
        <f>HYPERLINK("https://esbl.nhlbi.nih.gov/Databases/mpkFractions/proteomic_fractions_log_files/Yang_log_img/6755000.jpg","show blot")</f>
        <v>show blot</v>
      </c>
      <c r="H5341" s="8" t="str">
        <f>HYPERLINK("https://esbl.nhlbi.nih.gov/Databases/mpkFractions/proteomic_fractions_linear_files/Yang_linear_img/6755000.jpg","show blot")</f>
        <v>show blot</v>
      </c>
      <c r="J5341" s="5" t="s">
        <v>10476</v>
      </c>
      <c r="L5341" s="11">
        <v>5.4060623929234426</v>
      </c>
      <c r="N5341" s="12"/>
    </row>
    <row r="5342" spans="1:14" s="5" customFormat="1" ht="15" customHeight="1" x14ac:dyDescent="0.25">
      <c r="A5342" s="9" t="s">
        <v>10477</v>
      </c>
      <c r="C5342" s="9" t="str">
        <f>HYPERLINK("http://www.ncbi.nlm.nih.gov/protein/258547152","Pdcd6ip")</f>
        <v>Pdcd6ip</v>
      </c>
      <c r="D5342" s="10">
        <f t="shared" si="83"/>
        <v>5.4671942631208781</v>
      </c>
      <c r="F5342" s="8" t="str">
        <f>HYPERLINK("https://esbl.nhlbi.nih.gov/Databases/mpkFractions/proteomic_fractions_log_files/Yang_log_img/258547152.jpg","show blot")</f>
        <v>show blot</v>
      </c>
      <c r="H5342" s="8" t="str">
        <f>HYPERLINK("https://esbl.nhlbi.nih.gov/Databases/mpkFractions/proteomic_fractions_linear_files/Yang_linear_img/258547152.jpg","show blot")</f>
        <v>show blot</v>
      </c>
      <c r="J5342" s="5" t="s">
        <v>10478</v>
      </c>
      <c r="L5342" s="11">
        <v>5.4671942631208781</v>
      </c>
      <c r="N5342" s="12"/>
    </row>
    <row r="5343" spans="1:14" s="5" customFormat="1" ht="15" customHeight="1" x14ac:dyDescent="0.25">
      <c r="A5343" s="9" t="s">
        <v>10479</v>
      </c>
      <c r="C5343" s="9" t="str">
        <f>HYPERLINK("http://www.ncbi.nlm.nih.gov/protein/258547154","Pdcd6ip")</f>
        <v>Pdcd6ip</v>
      </c>
      <c r="D5343" s="10">
        <f t="shared" si="83"/>
        <v>5.4671942631208781</v>
      </c>
      <c r="F5343" s="8" t="str">
        <f>HYPERLINK("https://esbl.nhlbi.nih.gov/Databases/mpkFractions/proteomic_fractions_log_files/Yang_log_img/258547154.jpg","show blot")</f>
        <v>show blot</v>
      </c>
      <c r="H5343" s="8" t="str">
        <f>HYPERLINK("https://esbl.nhlbi.nih.gov/Databases/mpkFractions/proteomic_fractions_linear_files/Yang_linear_img/258547154.jpg","show blot")</f>
        <v>show blot</v>
      </c>
      <c r="J5343" s="5" t="s">
        <v>10480</v>
      </c>
      <c r="L5343" s="11">
        <v>5.4671942631208781</v>
      </c>
      <c r="N5343" s="12"/>
    </row>
    <row r="5344" spans="1:14" s="5" customFormat="1" ht="15" customHeight="1" x14ac:dyDescent="0.25">
      <c r="A5344" s="9" t="s">
        <v>10481</v>
      </c>
      <c r="C5344" s="9" t="str">
        <f>HYPERLINK("http://www.ncbi.nlm.nih.gov/protein/258547156","Pdcd6ip")</f>
        <v>Pdcd6ip</v>
      </c>
      <c r="D5344" s="10">
        <f t="shared" si="83"/>
        <v>5.4671942631208781</v>
      </c>
      <c r="F5344" s="8" t="str">
        <f>HYPERLINK("https://esbl.nhlbi.nih.gov/Databases/mpkFractions/proteomic_fractions_log_files/Yang_log_img/258547156.jpg","show blot")</f>
        <v>show blot</v>
      </c>
      <c r="H5344" s="8" t="str">
        <f>HYPERLINK("https://esbl.nhlbi.nih.gov/Databases/mpkFractions/proteomic_fractions_linear_files/Yang_linear_img/258547156.jpg","show blot")</f>
        <v>show blot</v>
      </c>
      <c r="J5344" s="5" t="s">
        <v>10482</v>
      </c>
      <c r="L5344" s="11">
        <v>5.4671942631208781</v>
      </c>
      <c r="N5344" s="12"/>
    </row>
    <row r="5345" spans="1:14" s="5" customFormat="1" ht="15" customHeight="1" x14ac:dyDescent="0.25">
      <c r="A5345" s="9" t="s">
        <v>10483</v>
      </c>
      <c r="C5345" s="9" t="str">
        <f>HYPERLINK("http://www.ncbi.nlm.nih.gov/protein/165932326","Pdcl")</f>
        <v>Pdcl</v>
      </c>
      <c r="D5345" s="10">
        <f t="shared" si="83"/>
        <v>4.2990228786460687</v>
      </c>
      <c r="F5345" s="8" t="str">
        <f>HYPERLINK("https://esbl.nhlbi.nih.gov/Databases/mpkFractions/proteomic_fractions_log_files/Yang_log_img/165932326.jpg","show blot")</f>
        <v>show blot</v>
      </c>
      <c r="H5345" s="8" t="str">
        <f>HYPERLINK("https://esbl.nhlbi.nih.gov/Databases/mpkFractions/proteomic_fractions_linear_files/Yang_linear_img/165932326.jpg","show blot")</f>
        <v>show blot</v>
      </c>
      <c r="J5345" s="5" t="s">
        <v>10484</v>
      </c>
      <c r="L5345" s="11">
        <v>4.2990228786460687</v>
      </c>
      <c r="N5345" s="12"/>
    </row>
    <row r="5346" spans="1:14" s="5" customFormat="1" ht="15" customHeight="1" x14ac:dyDescent="0.25">
      <c r="A5346" s="9" t="s">
        <v>10485</v>
      </c>
      <c r="C5346" s="9" t="str">
        <f>HYPERLINK("http://www.ncbi.nlm.nih.gov/protein/31560120","Pdcl3")</f>
        <v>Pdcl3</v>
      </c>
      <c r="D5346" s="10">
        <f t="shared" si="83"/>
        <v>5.3545594899097066</v>
      </c>
      <c r="F5346" s="8" t="str">
        <f>HYPERLINK("https://esbl.nhlbi.nih.gov/Databases/mpkFractions/proteomic_fractions_log_files/Yang_log_img/31560120.jpg","show blot")</f>
        <v>show blot</v>
      </c>
      <c r="H5346" s="8" t="str">
        <f>HYPERLINK("https://esbl.nhlbi.nih.gov/Databases/mpkFractions/proteomic_fractions_linear_files/Yang_linear_img/31560120.jpg","show blot")</f>
        <v>show blot</v>
      </c>
      <c r="J5346" s="5" t="s">
        <v>10486</v>
      </c>
      <c r="L5346" s="11">
        <v>5.3545594899097066</v>
      </c>
      <c r="N5346" s="12"/>
    </row>
    <row r="5347" spans="1:14" s="5" customFormat="1" ht="15" customHeight="1" x14ac:dyDescent="0.25">
      <c r="A5347" s="9" t="s">
        <v>10487</v>
      </c>
      <c r="C5347" s="9" t="str">
        <f>HYPERLINK("http://www.ncbi.nlm.nih.gov/protein/157841170","Pddc1")</f>
        <v>Pddc1</v>
      </c>
      <c r="D5347" s="10">
        <f t="shared" si="83"/>
        <v>5.1450925275432056</v>
      </c>
      <c r="F5347" s="8" t="str">
        <f>HYPERLINK("https://esbl.nhlbi.nih.gov/Databases/mpkFractions/proteomic_fractions_log_files/Yang_log_img/157841170.jpg","show blot")</f>
        <v>show blot</v>
      </c>
      <c r="H5347" s="8" t="str">
        <f>HYPERLINK("https://esbl.nhlbi.nih.gov/Databases/mpkFractions/proteomic_fractions_linear_files/Yang_linear_img/157841170.jpg","show blot")</f>
        <v>show blot</v>
      </c>
      <c r="J5347" s="5" t="s">
        <v>10488</v>
      </c>
      <c r="L5347" s="11">
        <v>5.1450925275432056</v>
      </c>
      <c r="N5347" s="12"/>
    </row>
    <row r="5348" spans="1:14" s="5" customFormat="1" ht="15" customHeight="1" x14ac:dyDescent="0.25">
      <c r="A5348" s="9" t="s">
        <v>10489</v>
      </c>
      <c r="C5348" s="9" t="str">
        <f>HYPERLINK("http://www.ncbi.nlm.nih.gov/protein/40538842","Pde12")</f>
        <v>Pde12</v>
      </c>
      <c r="D5348" s="10">
        <f t="shared" si="83"/>
        <v>4.1991808139607203</v>
      </c>
      <c r="F5348" s="8" t="str">
        <f>HYPERLINK("https://esbl.nhlbi.nih.gov/Databases/mpkFractions/proteomic_fractions_log_files/Yang_log_img/40538842.jpg","show blot")</f>
        <v>show blot</v>
      </c>
      <c r="H5348" s="8" t="str">
        <f>HYPERLINK("https://esbl.nhlbi.nih.gov/Databases/mpkFractions/proteomic_fractions_linear_files/Yang_linear_img/40538842.jpg","show blot")</f>
        <v>show blot</v>
      </c>
      <c r="J5348" s="5" t="s">
        <v>10490</v>
      </c>
      <c r="L5348" s="11">
        <v>4.1991808139607203</v>
      </c>
      <c r="N5348" s="12"/>
    </row>
    <row r="5349" spans="1:14" s="5" customFormat="1" ht="15" customHeight="1" x14ac:dyDescent="0.25">
      <c r="A5349" s="9" t="s">
        <v>10491</v>
      </c>
      <c r="C5349" s="9" t="str">
        <f>HYPERLINK("http://www.ncbi.nlm.nih.gov/protein/42475542","Pde4c")</f>
        <v>Pde4c</v>
      </c>
      <c r="D5349" s="10">
        <f t="shared" si="83"/>
        <v>3.734043160310303</v>
      </c>
      <c r="F5349" s="8" t="str">
        <f>HYPERLINK("https://esbl.nhlbi.nih.gov/Databases/mpkFractions/proteomic_fractions_log_files/Yang_log_img/42475542.jpg","show blot")</f>
        <v>show blot</v>
      </c>
      <c r="H5349" s="8" t="str">
        <f>HYPERLINK("https://esbl.nhlbi.nih.gov/Databases/mpkFractions/proteomic_fractions_linear_files/Yang_linear_img/42475542.jpg","show blot")</f>
        <v>show blot</v>
      </c>
      <c r="J5349" s="5" t="s">
        <v>10492</v>
      </c>
      <c r="L5349" s="11">
        <v>3.734043160310303</v>
      </c>
      <c r="N5349" s="12"/>
    </row>
    <row r="5350" spans="1:14" s="5" customFormat="1" ht="15" customHeight="1" x14ac:dyDescent="0.25">
      <c r="A5350" s="9" t="s">
        <v>10493</v>
      </c>
      <c r="C5350" s="9" t="str">
        <f>HYPERLINK("http://www.ncbi.nlm.nih.gov/protein/158749578","Pde4dip")</f>
        <v>Pde4dip</v>
      </c>
      <c r="D5350" s="10">
        <f t="shared" si="83"/>
        <v>2.7941820652214919</v>
      </c>
      <c r="F5350" s="8" t="str">
        <f>HYPERLINK("https://esbl.nhlbi.nih.gov/Databases/mpkFractions/proteomic_fractions_log_files/Yang_log_img/158749578.jpg","show blot")</f>
        <v>show blot</v>
      </c>
      <c r="H5350" s="8" t="str">
        <f>HYPERLINK("https://esbl.nhlbi.nih.gov/Databases/mpkFractions/proteomic_fractions_linear_files/Yang_linear_img/158749578.jpg","show blot")</f>
        <v>show blot</v>
      </c>
      <c r="J5350" s="5" t="s">
        <v>10494</v>
      </c>
      <c r="L5350" s="11">
        <v>2.7941820652214919</v>
      </c>
      <c r="N5350" s="12"/>
    </row>
    <row r="5351" spans="1:14" s="5" customFormat="1" ht="15" customHeight="1" x14ac:dyDescent="0.25">
      <c r="A5351" s="9" t="s">
        <v>10495</v>
      </c>
      <c r="C5351" s="9" t="str">
        <f>HYPERLINK("http://www.ncbi.nlm.nih.gov/protein/158749580","Pde4dip")</f>
        <v>Pde4dip</v>
      </c>
      <c r="D5351" s="10">
        <f t="shared" si="83"/>
        <v>2.7941820652214919</v>
      </c>
      <c r="F5351" s="8" t="str">
        <f>HYPERLINK("https://esbl.nhlbi.nih.gov/Databases/mpkFractions/proteomic_fractions_log_files/Yang_log_img/158749580.jpg","show blot")</f>
        <v>show blot</v>
      </c>
      <c r="H5351" s="8" t="str">
        <f>HYPERLINK("https://esbl.nhlbi.nih.gov/Databases/mpkFractions/proteomic_fractions_linear_files/Yang_linear_img/158749580.jpg","show blot")</f>
        <v>show blot</v>
      </c>
      <c r="J5351" s="5" t="s">
        <v>10496</v>
      </c>
      <c r="L5351" s="11">
        <v>2.7941820652214919</v>
      </c>
      <c r="N5351" s="12"/>
    </row>
    <row r="5352" spans="1:14" s="5" customFormat="1" ht="15" customHeight="1" x14ac:dyDescent="0.25">
      <c r="A5352" s="9" t="s">
        <v>10497</v>
      </c>
      <c r="C5352" s="9" t="str">
        <f>HYPERLINK("http://www.ncbi.nlm.nih.gov/protein/31542051","Pde4dip")</f>
        <v>Pde4dip</v>
      </c>
      <c r="D5352" s="10">
        <f t="shared" si="83"/>
        <v>2.7941820652214919</v>
      </c>
      <c r="F5352" s="8" t="str">
        <f>HYPERLINK("https://esbl.nhlbi.nih.gov/Databases/mpkFractions/proteomic_fractions_log_files/Yang_log_img/31542051.jpg","show blot")</f>
        <v>show blot</v>
      </c>
      <c r="H5352" s="8" t="str">
        <f>HYPERLINK("https://esbl.nhlbi.nih.gov/Databases/mpkFractions/proteomic_fractions_linear_files/Yang_linear_img/31542051.jpg","show blot")</f>
        <v>show blot</v>
      </c>
      <c r="J5352" s="5" t="s">
        <v>10498</v>
      </c>
      <c r="L5352" s="11">
        <v>2.7941820652214919</v>
      </c>
      <c r="N5352" s="12"/>
    </row>
    <row r="5353" spans="1:14" s="5" customFormat="1" ht="15" customHeight="1" x14ac:dyDescent="0.25">
      <c r="A5353" s="9" t="s">
        <v>10499</v>
      </c>
      <c r="C5353" s="9" t="str">
        <f>HYPERLINK("http://www.ncbi.nlm.nih.gov/protein/6679245","Pde6d")</f>
        <v>Pde6d</v>
      </c>
      <c r="D5353" s="10">
        <f t="shared" si="83"/>
        <v>5.0377143707860093</v>
      </c>
      <c r="F5353" s="8" t="str">
        <f>HYPERLINK("https://esbl.nhlbi.nih.gov/Databases/mpkFractions/proteomic_fractions_log_files/Yang_log_img/6679245.jpg","show blot")</f>
        <v>show blot</v>
      </c>
      <c r="H5353" s="8" t="str">
        <f>HYPERLINK("https://esbl.nhlbi.nih.gov/Databases/mpkFractions/proteomic_fractions_linear_files/Yang_linear_img/6679245.jpg","show blot")</f>
        <v>show blot</v>
      </c>
      <c r="J5353" s="5" t="s">
        <v>10500</v>
      </c>
      <c r="L5353" s="11">
        <v>5.0377143707860093</v>
      </c>
      <c r="N5353" s="12"/>
    </row>
    <row r="5354" spans="1:14" s="5" customFormat="1" ht="15" customHeight="1" x14ac:dyDescent="0.25">
      <c r="A5354" s="9" t="s">
        <v>10501</v>
      </c>
      <c r="C5354" s="9" t="str">
        <f>HYPERLINK("http://www.ncbi.nlm.nih.gov/protein/170295853","Pde7a")</f>
        <v>Pde7a</v>
      </c>
      <c r="D5354" s="10">
        <f t="shared" si="83"/>
        <v>3.4463838306439092</v>
      </c>
      <c r="F5354" s="8" t="str">
        <f>HYPERLINK("https://esbl.nhlbi.nih.gov/Databases/mpkFractions/proteomic_fractions_log_files/Yang_log_img/170295853.jpg","show blot")</f>
        <v>show blot</v>
      </c>
      <c r="H5354" s="8" t="str">
        <f>HYPERLINK("https://esbl.nhlbi.nih.gov/Databases/mpkFractions/proteomic_fractions_linear_files/Yang_linear_img/170295853.jpg","show blot")</f>
        <v>show blot</v>
      </c>
      <c r="J5354" s="5" t="s">
        <v>10502</v>
      </c>
      <c r="L5354" s="11">
        <v>3.4463838306439092</v>
      </c>
      <c r="N5354" s="12"/>
    </row>
    <row r="5355" spans="1:14" s="5" customFormat="1" ht="15" customHeight="1" x14ac:dyDescent="0.25">
      <c r="A5355" s="9" t="s">
        <v>10503</v>
      </c>
      <c r="C5355" s="9" t="str">
        <f>HYPERLINK("http://www.ncbi.nlm.nih.gov/protein/170295857","Pde7a")</f>
        <v>Pde7a</v>
      </c>
      <c r="D5355" s="10">
        <f t="shared" si="83"/>
        <v>3.4463838306439092</v>
      </c>
      <c r="F5355" s="8" t="str">
        <f>HYPERLINK("https://esbl.nhlbi.nih.gov/Databases/mpkFractions/proteomic_fractions_log_files/Yang_log_img/170295857.jpg","show blot")</f>
        <v>show blot</v>
      </c>
      <c r="H5355" s="8" t="str">
        <f>HYPERLINK("https://esbl.nhlbi.nih.gov/Databases/mpkFractions/proteomic_fractions_linear_files/Yang_linear_img/170295857.jpg","show blot")</f>
        <v>show blot</v>
      </c>
      <c r="J5355" s="5" t="s">
        <v>10504</v>
      </c>
      <c r="L5355" s="11">
        <v>3.4463838306439092</v>
      </c>
      <c r="N5355" s="12"/>
    </row>
    <row r="5356" spans="1:14" s="5" customFormat="1" ht="15" customHeight="1" x14ac:dyDescent="0.25">
      <c r="A5356" s="9" t="s">
        <v>10505</v>
      </c>
      <c r="C5356" s="9" t="str">
        <f>HYPERLINK("http://www.ncbi.nlm.nih.gov/protein/255003823","Pdf")</f>
        <v>Pdf</v>
      </c>
      <c r="D5356" s="10">
        <f t="shared" si="83"/>
        <v>3.895490188743731</v>
      </c>
      <c r="F5356" s="8" t="str">
        <f>HYPERLINK("https://esbl.nhlbi.nih.gov/Databases/mpkFractions/proteomic_fractions_log_files/Yang_log_img/255003823.jpg","show blot")</f>
        <v>show blot</v>
      </c>
      <c r="H5356" s="8" t="str">
        <f>HYPERLINK("https://esbl.nhlbi.nih.gov/Databases/mpkFractions/proteomic_fractions_linear_files/Yang_linear_img/255003823.jpg","show blot")</f>
        <v>show blot</v>
      </c>
      <c r="J5356" s="5" t="s">
        <v>10506</v>
      </c>
      <c r="L5356" s="11">
        <v>3.895490188743731</v>
      </c>
      <c r="N5356" s="12"/>
    </row>
    <row r="5357" spans="1:14" s="5" customFormat="1" ht="15" customHeight="1" x14ac:dyDescent="0.25">
      <c r="A5357" s="9" t="s">
        <v>10507</v>
      </c>
      <c r="C5357" s="9" t="str">
        <f>HYPERLINK("http://www.ncbi.nlm.nih.gov/protein/134032050","Pdgfra")</f>
        <v>Pdgfra</v>
      </c>
      <c r="D5357" s="10">
        <f t="shared" si="83"/>
        <v>5.2995531286546731</v>
      </c>
      <c r="F5357" s="8" t="str">
        <f>HYPERLINK("https://esbl.nhlbi.nih.gov/Databases/mpkFractions/proteomic_fractions_log_files/Yang_log_img/134032050.jpg","show blot")</f>
        <v>show blot</v>
      </c>
      <c r="H5357" s="8" t="str">
        <f>HYPERLINK("https://esbl.nhlbi.nih.gov/Databases/mpkFractions/proteomic_fractions_linear_files/Yang_linear_img/134032050.jpg","show blot")</f>
        <v>show blot</v>
      </c>
      <c r="J5357" s="5" t="s">
        <v>10508</v>
      </c>
      <c r="L5357" s="11">
        <v>5.2995531286546731</v>
      </c>
      <c r="N5357" s="12"/>
    </row>
    <row r="5358" spans="1:14" s="5" customFormat="1" ht="15" customHeight="1" x14ac:dyDescent="0.25">
      <c r="A5358" s="9" t="s">
        <v>10509</v>
      </c>
      <c r="C5358" s="9" t="str">
        <f>HYPERLINK("http://www.ncbi.nlm.nih.gov/protein/226342982","Pdgfrb")</f>
        <v>Pdgfrb</v>
      </c>
      <c r="D5358" s="10">
        <f t="shared" si="83"/>
        <v>5.2995531286546731</v>
      </c>
      <c r="F5358" s="8" t="str">
        <f>HYPERLINK("https://esbl.nhlbi.nih.gov/Databases/mpkFractions/proteomic_fractions_log_files/Yang_log_img/226342982.jpg","show blot")</f>
        <v>show blot</v>
      </c>
      <c r="H5358" s="8" t="str">
        <f>HYPERLINK("https://esbl.nhlbi.nih.gov/Databases/mpkFractions/proteomic_fractions_linear_files/Yang_linear_img/226342982.jpg","show blot")</f>
        <v>show blot</v>
      </c>
      <c r="J5358" s="5" t="s">
        <v>10510</v>
      </c>
      <c r="L5358" s="11">
        <v>5.2995531286546731</v>
      </c>
      <c r="N5358" s="12"/>
    </row>
    <row r="5359" spans="1:14" s="5" customFormat="1" ht="15" customHeight="1" x14ac:dyDescent="0.25">
      <c r="A5359" s="9" t="s">
        <v>10511</v>
      </c>
      <c r="C5359" s="9" t="str">
        <f>HYPERLINK("http://www.ncbi.nlm.nih.gov/protein/226371752","Pdgfrb")</f>
        <v>Pdgfrb</v>
      </c>
      <c r="D5359" s="10">
        <f t="shared" si="83"/>
        <v>5.2995531286546731</v>
      </c>
      <c r="F5359" s="8" t="str">
        <f>HYPERLINK("https://esbl.nhlbi.nih.gov/Databases/mpkFractions/proteomic_fractions_log_files/Yang_log_img/226371752.jpg","show blot")</f>
        <v>show blot</v>
      </c>
      <c r="H5359" s="8" t="str">
        <f>HYPERLINK("https://esbl.nhlbi.nih.gov/Databases/mpkFractions/proteomic_fractions_linear_files/Yang_linear_img/226371752.jpg","show blot")</f>
        <v>show blot</v>
      </c>
      <c r="J5359" s="5" t="s">
        <v>10512</v>
      </c>
      <c r="L5359" s="11">
        <v>5.2995531286546731</v>
      </c>
      <c r="N5359" s="12"/>
    </row>
    <row r="5360" spans="1:14" s="5" customFormat="1" ht="15" customHeight="1" x14ac:dyDescent="0.25">
      <c r="A5360" s="9" t="s">
        <v>10513</v>
      </c>
      <c r="C5360" s="9" t="str">
        <f>HYPERLINK("http://www.ncbi.nlm.nih.gov/protein/6679261","Pdha1")</f>
        <v>Pdha1</v>
      </c>
      <c r="D5360" s="10">
        <f t="shared" si="83"/>
        <v>5.6282884975528917</v>
      </c>
      <c r="F5360" s="8" t="str">
        <f>HYPERLINK("https://esbl.nhlbi.nih.gov/Databases/mpkFractions/proteomic_fractions_log_files/Yang_log_img/6679261.jpg","show blot")</f>
        <v>show blot</v>
      </c>
      <c r="H5360" s="8" t="str">
        <f>HYPERLINK("https://esbl.nhlbi.nih.gov/Databases/mpkFractions/proteomic_fractions_linear_files/Yang_linear_img/6679261.jpg","show blot")</f>
        <v>show blot</v>
      </c>
      <c r="J5360" s="5" t="s">
        <v>10514</v>
      </c>
      <c r="L5360" s="11">
        <v>5.6282884975528917</v>
      </c>
      <c r="N5360" s="12"/>
    </row>
    <row r="5361" spans="1:14" s="5" customFormat="1" ht="15" customHeight="1" x14ac:dyDescent="0.25">
      <c r="A5361" s="9" t="s">
        <v>10515</v>
      </c>
      <c r="C5361" s="9" t="str">
        <f>HYPERLINK("http://www.ncbi.nlm.nih.gov/protein/6679263","Pdha2")</f>
        <v>Pdha2</v>
      </c>
      <c r="D5361" s="10">
        <f t="shared" si="83"/>
        <v>4.2543926703958359</v>
      </c>
      <c r="F5361" s="8" t="str">
        <f>HYPERLINK("https://esbl.nhlbi.nih.gov/Databases/mpkFractions/proteomic_fractions_log_files/Yang_log_img/6679263.jpg","show blot")</f>
        <v>show blot</v>
      </c>
      <c r="H5361" s="8" t="str">
        <f>HYPERLINK("https://esbl.nhlbi.nih.gov/Databases/mpkFractions/proteomic_fractions_linear_files/Yang_linear_img/6679263.jpg","show blot")</f>
        <v>show blot</v>
      </c>
      <c r="J5361" s="5" t="s">
        <v>10516</v>
      </c>
      <c r="L5361" s="11">
        <v>4.2543926703958359</v>
      </c>
      <c r="N5361" s="12"/>
    </row>
    <row r="5362" spans="1:14" s="5" customFormat="1" ht="15" customHeight="1" x14ac:dyDescent="0.25">
      <c r="A5362" s="9" t="s">
        <v>10517</v>
      </c>
      <c r="C5362" s="9" t="str">
        <f>HYPERLINK("http://www.ncbi.nlm.nih.gov/protein/18152793","Pdhb")</f>
        <v>Pdhb</v>
      </c>
      <c r="D5362" s="10">
        <f t="shared" si="83"/>
        <v>5.7759180287408576</v>
      </c>
      <c r="F5362" s="8" t="str">
        <f>HYPERLINK("https://esbl.nhlbi.nih.gov/Databases/mpkFractions/proteomic_fractions_log_files/Yang_log_img/18152793.jpg","show blot")</f>
        <v>show blot</v>
      </c>
      <c r="H5362" s="8" t="str">
        <f>HYPERLINK("https://esbl.nhlbi.nih.gov/Databases/mpkFractions/proteomic_fractions_linear_files/Yang_linear_img/18152793.jpg","show blot")</f>
        <v>show blot</v>
      </c>
      <c r="J5362" s="5" t="s">
        <v>10518</v>
      </c>
      <c r="L5362" s="11">
        <v>5.7759180287408576</v>
      </c>
      <c r="N5362" s="12"/>
    </row>
    <row r="5363" spans="1:14" s="5" customFormat="1" ht="15" customHeight="1" x14ac:dyDescent="0.25">
      <c r="A5363" s="9" t="s">
        <v>10519</v>
      </c>
      <c r="C5363" s="9" t="str">
        <f>HYPERLINK("http://www.ncbi.nlm.nih.gov/protein/28201978","Pdhx")</f>
        <v>Pdhx</v>
      </c>
      <c r="D5363" s="10">
        <f t="shared" si="83"/>
        <v>4.590243930007472</v>
      </c>
      <c r="F5363" s="8" t="str">
        <f>HYPERLINK("https://esbl.nhlbi.nih.gov/Databases/mpkFractions/proteomic_fractions_log_files/Yang_log_img/28201978.jpg","show blot")</f>
        <v>show blot</v>
      </c>
      <c r="H5363" s="8" t="str">
        <f>HYPERLINK("https://esbl.nhlbi.nih.gov/Databases/mpkFractions/proteomic_fractions_linear_files/Yang_linear_img/28201978.jpg","show blot")</f>
        <v>show blot</v>
      </c>
      <c r="J5363" s="5" t="s">
        <v>10520</v>
      </c>
      <c r="L5363" s="11">
        <v>4.590243930007472</v>
      </c>
      <c r="N5363" s="12"/>
    </row>
    <row r="5364" spans="1:14" s="5" customFormat="1" ht="15" customHeight="1" x14ac:dyDescent="0.25">
      <c r="A5364" s="9" t="s">
        <v>10521</v>
      </c>
      <c r="C5364" s="9" t="str">
        <f>HYPERLINK("http://www.ncbi.nlm.nih.gov/protein/112293264","Pdia3")</f>
        <v>Pdia3</v>
      </c>
      <c r="D5364" s="10">
        <f t="shared" si="83"/>
        <v>6.8112664493379569</v>
      </c>
      <c r="F5364" s="8" t="str">
        <f>HYPERLINK("https://esbl.nhlbi.nih.gov/Databases/mpkFractions/proteomic_fractions_log_files/Yang_log_img/112293264.jpg","show blot")</f>
        <v>show blot</v>
      </c>
      <c r="H5364" s="8" t="str">
        <f>HYPERLINK("https://esbl.nhlbi.nih.gov/Databases/mpkFractions/proteomic_fractions_linear_files/Yang_linear_img/112293264.jpg","show blot")</f>
        <v>show blot</v>
      </c>
      <c r="J5364" s="5" t="s">
        <v>10522</v>
      </c>
      <c r="L5364" s="11">
        <v>6.8112664493379569</v>
      </c>
      <c r="N5364" s="12"/>
    </row>
    <row r="5365" spans="1:14" s="5" customFormat="1" ht="15" customHeight="1" x14ac:dyDescent="0.25">
      <c r="A5365" s="9" t="s">
        <v>10523</v>
      </c>
      <c r="C5365" s="9" t="str">
        <f>HYPERLINK("http://www.ncbi.nlm.nih.gov/protein/86198316","Pdia4")</f>
        <v>Pdia4</v>
      </c>
      <c r="D5365" s="10">
        <f t="shared" si="83"/>
        <v>5.8773506168943186</v>
      </c>
      <c r="F5365" s="8" t="str">
        <f>HYPERLINK("https://esbl.nhlbi.nih.gov/Databases/mpkFractions/proteomic_fractions_log_files/Yang_log_img/86198316.jpg","show blot")</f>
        <v>show blot</v>
      </c>
      <c r="H5365" s="8" t="str">
        <f>HYPERLINK("https://esbl.nhlbi.nih.gov/Databases/mpkFractions/proteomic_fractions_linear_files/Yang_linear_img/86198316.jpg","show blot")</f>
        <v>show blot</v>
      </c>
      <c r="J5365" s="5" t="s">
        <v>10524</v>
      </c>
      <c r="L5365" s="11">
        <v>5.8773506168943186</v>
      </c>
      <c r="N5365" s="12"/>
    </row>
    <row r="5366" spans="1:14" s="5" customFormat="1" ht="15" customHeight="1" x14ac:dyDescent="0.25">
      <c r="A5366" s="9" t="s">
        <v>10525</v>
      </c>
      <c r="C5366" s="9" t="str">
        <f>HYPERLINK("http://www.ncbi.nlm.nih.gov/protein/30794140","Pdia5")</f>
        <v>Pdia5</v>
      </c>
      <c r="D5366" s="10">
        <f t="shared" si="83"/>
        <v>2.72505333627499</v>
      </c>
      <c r="F5366" s="8" t="str">
        <f>HYPERLINK("https://esbl.nhlbi.nih.gov/Databases/mpkFractions/proteomic_fractions_log_files/Yang_log_img/30794140.jpg","show blot")</f>
        <v>show blot</v>
      </c>
      <c r="H5366" s="8" t="str">
        <f>HYPERLINK("https://esbl.nhlbi.nih.gov/Databases/mpkFractions/proteomic_fractions_linear_files/Yang_linear_img/30794140.jpg","show blot")</f>
        <v>show blot</v>
      </c>
      <c r="J5366" s="5" t="s">
        <v>10526</v>
      </c>
      <c r="L5366" s="11">
        <v>2.72505333627499</v>
      </c>
      <c r="N5366" s="12"/>
    </row>
    <row r="5367" spans="1:14" s="5" customFormat="1" ht="15" customHeight="1" x14ac:dyDescent="0.25">
      <c r="A5367" s="9" t="s">
        <v>10527</v>
      </c>
      <c r="C5367" s="9" t="str">
        <f>HYPERLINK("http://www.ncbi.nlm.nih.gov/protein/377833208","Pdia6")</f>
        <v>Pdia6</v>
      </c>
      <c r="D5367" s="10">
        <f t="shared" si="83"/>
        <v>6.4544116177345989</v>
      </c>
      <c r="F5367" s="8" t="str">
        <f>HYPERLINK("https://esbl.nhlbi.nih.gov/Databases/mpkFractions/proteomic_fractions_log_files/Yang_log_img/377833208.jpg","show blot")</f>
        <v>show blot</v>
      </c>
      <c r="H5367" s="8" t="str">
        <f>HYPERLINK("https://esbl.nhlbi.nih.gov/Databases/mpkFractions/proteomic_fractions_linear_files/Yang_linear_img/377833208.jpg","show blot")</f>
        <v>show blot</v>
      </c>
      <c r="J5367" s="5" t="s">
        <v>10528</v>
      </c>
      <c r="L5367" s="11">
        <v>6.4544116177345989</v>
      </c>
      <c r="N5367" s="12"/>
    </row>
    <row r="5368" spans="1:14" s="5" customFormat="1" ht="15" customHeight="1" x14ac:dyDescent="0.25">
      <c r="A5368" s="9" t="s">
        <v>10529</v>
      </c>
      <c r="C5368" s="9" t="str">
        <f>HYPERLINK("http://www.ncbi.nlm.nih.gov/protein/58037267","Pdia6")</f>
        <v>Pdia6</v>
      </c>
      <c r="D5368" s="10">
        <f t="shared" si="83"/>
        <v>6.4544116177345989</v>
      </c>
      <c r="F5368" s="8" t="str">
        <f>HYPERLINK("https://esbl.nhlbi.nih.gov/Databases/mpkFractions/proteomic_fractions_log_files/Yang_log_img/58037267.jpg","show blot")</f>
        <v>show blot</v>
      </c>
      <c r="H5368" s="8" t="str">
        <f>HYPERLINK("https://esbl.nhlbi.nih.gov/Databases/mpkFractions/proteomic_fractions_linear_files/Yang_linear_img/58037267.jpg","show blot")</f>
        <v>show blot</v>
      </c>
      <c r="J5368" s="5" t="s">
        <v>10530</v>
      </c>
      <c r="L5368" s="11">
        <v>6.4544116177345989</v>
      </c>
      <c r="N5368" s="12"/>
    </row>
    <row r="5369" spans="1:14" s="5" customFormat="1" ht="15" customHeight="1" x14ac:dyDescent="0.25">
      <c r="A5369" s="9" t="s">
        <v>10531</v>
      </c>
      <c r="C5369" s="9" t="str">
        <f>HYPERLINK("http://www.ncbi.nlm.nih.gov/protein/110625975","Pdk1")</f>
        <v>Pdk1</v>
      </c>
      <c r="D5369" s="10">
        <f t="shared" si="83"/>
        <v>5.2864391136747058</v>
      </c>
      <c r="F5369" s="8" t="str">
        <f>HYPERLINK("https://esbl.nhlbi.nih.gov/Databases/mpkFractions/proteomic_fractions_log_files/Yang_log_img/110625975.jpg","show blot")</f>
        <v>show blot</v>
      </c>
      <c r="H5369" s="8" t="str">
        <f>HYPERLINK("https://esbl.nhlbi.nih.gov/Databases/mpkFractions/proteomic_fractions_linear_files/Yang_linear_img/110625975.jpg","show blot")</f>
        <v>show blot</v>
      </c>
      <c r="J5369" s="5" t="s">
        <v>10532</v>
      </c>
      <c r="L5369" s="11">
        <v>5.2864391136747058</v>
      </c>
      <c r="N5369" s="12"/>
    </row>
    <row r="5370" spans="1:14" s="5" customFormat="1" ht="15" customHeight="1" x14ac:dyDescent="0.25">
      <c r="A5370" s="9" t="s">
        <v>10533</v>
      </c>
      <c r="C5370" s="9" t="str">
        <f>HYPERLINK("http://www.ncbi.nlm.nih.gov/protein/226958643","Pdk2")</f>
        <v>Pdk2</v>
      </c>
      <c r="D5370" s="10">
        <f t="shared" si="83"/>
        <v>2.6135514287986701</v>
      </c>
      <c r="F5370" s="8" t="str">
        <f>HYPERLINK("https://esbl.nhlbi.nih.gov/Databases/mpkFractions/proteomic_fractions_log_files/Yang_log_img/226958643.jpg","show blot")</f>
        <v>show blot</v>
      </c>
      <c r="H5370" s="8" t="str">
        <f>HYPERLINK("https://esbl.nhlbi.nih.gov/Databases/mpkFractions/proteomic_fractions_linear_files/Yang_linear_img/226958643.jpg","show blot")</f>
        <v>show blot</v>
      </c>
      <c r="J5370" s="5" t="s">
        <v>10534</v>
      </c>
      <c r="L5370" s="11">
        <v>2.6135514287986701</v>
      </c>
      <c r="N5370" s="12"/>
    </row>
    <row r="5371" spans="1:14" s="5" customFormat="1" ht="15" customHeight="1" x14ac:dyDescent="0.25">
      <c r="A5371" s="9" t="s">
        <v>10535</v>
      </c>
      <c r="C5371" s="9" t="str">
        <f>HYPERLINK("http://www.ncbi.nlm.nih.gov/protein/21704122","Pdk3")</f>
        <v>Pdk3</v>
      </c>
      <c r="D5371" s="10">
        <f t="shared" si="83"/>
        <v>4.6635142414637771</v>
      </c>
      <c r="F5371" s="8" t="str">
        <f>HYPERLINK("https://esbl.nhlbi.nih.gov/Databases/mpkFractions/proteomic_fractions_log_files/Yang_log_img/21704122.jpg","show blot")</f>
        <v>show blot</v>
      </c>
      <c r="H5371" s="8" t="str">
        <f>HYPERLINK("https://esbl.nhlbi.nih.gov/Databases/mpkFractions/proteomic_fractions_linear_files/Yang_linear_img/21704122.jpg","show blot")</f>
        <v>show blot</v>
      </c>
      <c r="J5371" s="5" t="s">
        <v>10536</v>
      </c>
      <c r="L5371" s="11">
        <v>4.6635142414637771</v>
      </c>
      <c r="N5371" s="12"/>
    </row>
    <row r="5372" spans="1:14" s="5" customFormat="1" ht="15" customHeight="1" x14ac:dyDescent="0.25">
      <c r="A5372" s="9" t="s">
        <v>10537</v>
      </c>
      <c r="C5372" s="9" t="str">
        <f>HYPERLINK("http://www.ncbi.nlm.nih.gov/protein/158635992","Pdlim1")</f>
        <v>Pdlim1</v>
      </c>
      <c r="D5372" s="10">
        <f t="shared" si="83"/>
        <v>5.7904677434435854</v>
      </c>
      <c r="F5372" s="8" t="str">
        <f>HYPERLINK("https://esbl.nhlbi.nih.gov/Databases/mpkFractions/proteomic_fractions_log_files/Yang_log_img/158635992.jpg","show blot")</f>
        <v>show blot</v>
      </c>
      <c r="H5372" s="8" t="str">
        <f>HYPERLINK("https://esbl.nhlbi.nih.gov/Databases/mpkFractions/proteomic_fractions_linear_files/Yang_linear_img/158635992.jpg","show blot")</f>
        <v>show blot</v>
      </c>
      <c r="J5372" s="5" t="s">
        <v>10538</v>
      </c>
      <c r="L5372" s="11">
        <v>5.7904677434435854</v>
      </c>
      <c r="N5372" s="12"/>
    </row>
    <row r="5373" spans="1:14" s="5" customFormat="1" ht="15" customHeight="1" x14ac:dyDescent="0.25">
      <c r="A5373" s="9" t="s">
        <v>10539</v>
      </c>
      <c r="C5373" s="9" t="str">
        <f>HYPERLINK("http://www.ncbi.nlm.nih.gov/protein/22122423","Pdlim2")</f>
        <v>Pdlim2</v>
      </c>
      <c r="D5373" s="10">
        <f t="shared" si="83"/>
        <v>4.2830409417551376</v>
      </c>
      <c r="F5373" s="8" t="str">
        <f>HYPERLINK("https://esbl.nhlbi.nih.gov/Databases/mpkFractions/proteomic_fractions_log_files/Yang_log_img/22122423.jpg","show blot")</f>
        <v>show blot</v>
      </c>
      <c r="H5373" s="8" t="str">
        <f>HYPERLINK("https://esbl.nhlbi.nih.gov/Databases/mpkFractions/proteomic_fractions_linear_files/Yang_linear_img/22122423.jpg","show blot")</f>
        <v>show blot</v>
      </c>
      <c r="J5373" s="5" t="s">
        <v>10540</v>
      </c>
      <c r="L5373" s="11">
        <v>4.2830409417551376</v>
      </c>
      <c r="N5373" s="12"/>
    </row>
    <row r="5374" spans="1:14" s="5" customFormat="1" ht="15" customHeight="1" x14ac:dyDescent="0.25">
      <c r="A5374" s="9" t="s">
        <v>10541</v>
      </c>
      <c r="C5374" s="9" t="str">
        <f>HYPERLINK("http://www.ncbi.nlm.nih.gov/protein/170650625","Pdlim5")</f>
        <v>Pdlim5</v>
      </c>
      <c r="D5374" s="10">
        <f t="shared" si="83"/>
        <v>5.9502013698241836</v>
      </c>
      <c r="F5374" s="8" t="str">
        <f>HYPERLINK("https://esbl.nhlbi.nih.gov/Databases/mpkFractions/proteomic_fractions_log_files/Yang_log_img/170650625.jpg","show blot")</f>
        <v>show blot</v>
      </c>
      <c r="H5374" s="8" t="str">
        <f>HYPERLINK("https://esbl.nhlbi.nih.gov/Databases/mpkFractions/proteomic_fractions_linear_files/Yang_linear_img/170650625.jpg","show blot")</f>
        <v>show blot</v>
      </c>
      <c r="J5374" s="5" t="s">
        <v>10542</v>
      </c>
      <c r="L5374" s="11">
        <v>5.9502013698241836</v>
      </c>
      <c r="N5374" s="12"/>
    </row>
    <row r="5375" spans="1:14" s="5" customFormat="1" ht="15" customHeight="1" x14ac:dyDescent="0.25">
      <c r="A5375" s="9" t="s">
        <v>10543</v>
      </c>
      <c r="C5375" s="9" t="str">
        <f>HYPERLINK("http://www.ncbi.nlm.nih.gov/protein/170650627","Pdlim5")</f>
        <v>Pdlim5</v>
      </c>
      <c r="D5375" s="10">
        <f t="shared" si="83"/>
        <v>5.9502013698241836</v>
      </c>
      <c r="F5375" s="8" t="str">
        <f>HYPERLINK("https://esbl.nhlbi.nih.gov/Databases/mpkFractions/proteomic_fractions_log_files/Yang_log_img/170650627.jpg","show blot")</f>
        <v>show blot</v>
      </c>
      <c r="H5375" s="8" t="str">
        <f>HYPERLINK("https://esbl.nhlbi.nih.gov/Databases/mpkFractions/proteomic_fractions_linear_files/Yang_linear_img/170650627.jpg","show blot")</f>
        <v>show blot</v>
      </c>
      <c r="J5375" s="5" t="s">
        <v>10544</v>
      </c>
      <c r="L5375" s="11">
        <v>5.9502013698241836</v>
      </c>
      <c r="N5375" s="12"/>
    </row>
    <row r="5376" spans="1:14" s="5" customFormat="1" ht="15" customHeight="1" x14ac:dyDescent="0.25">
      <c r="A5376" s="9" t="s">
        <v>10545</v>
      </c>
      <c r="C5376" s="9" t="str">
        <f>HYPERLINK("http://www.ncbi.nlm.nih.gov/protein/300069034","Pdlim5")</f>
        <v>Pdlim5</v>
      </c>
      <c r="D5376" s="10">
        <f t="shared" si="83"/>
        <v>5.9502013698241836</v>
      </c>
      <c r="F5376" s="8" t="str">
        <f>HYPERLINK("https://esbl.nhlbi.nih.gov/Databases/mpkFractions/proteomic_fractions_log_files/Yang_log_img/300069034.jpg","show blot")</f>
        <v>show blot</v>
      </c>
      <c r="H5376" s="8" t="str">
        <f>HYPERLINK("https://esbl.nhlbi.nih.gov/Databases/mpkFractions/proteomic_fractions_linear_files/Yang_linear_img/300069034.jpg","show blot")</f>
        <v>show blot</v>
      </c>
      <c r="J5376" s="5" t="s">
        <v>10546</v>
      </c>
      <c r="L5376" s="11">
        <v>5.9502013698241836</v>
      </c>
      <c r="N5376" s="12"/>
    </row>
    <row r="5377" spans="1:14" s="5" customFormat="1" ht="15" customHeight="1" x14ac:dyDescent="0.25">
      <c r="A5377" s="9" t="s">
        <v>10547</v>
      </c>
      <c r="C5377" s="9" t="str">
        <f>HYPERLINK("http://www.ncbi.nlm.nih.gov/protein/300069043","Pdlim5")</f>
        <v>Pdlim5</v>
      </c>
      <c r="D5377" s="10">
        <f t="shared" si="83"/>
        <v>5.9502013698241836</v>
      </c>
      <c r="F5377" s="8" t="str">
        <f>HYPERLINK("https://esbl.nhlbi.nih.gov/Databases/mpkFractions/proteomic_fractions_log_files/Yang_log_img/300069043.jpg","show blot")</f>
        <v>show blot</v>
      </c>
      <c r="H5377" s="8" t="str">
        <f>HYPERLINK("https://esbl.nhlbi.nih.gov/Databases/mpkFractions/proteomic_fractions_linear_files/Yang_linear_img/300069043.jpg","show blot")</f>
        <v>show blot</v>
      </c>
      <c r="J5377" s="5" t="s">
        <v>10548</v>
      </c>
      <c r="L5377" s="11">
        <v>5.9502013698241836</v>
      </c>
      <c r="N5377" s="12"/>
    </row>
    <row r="5378" spans="1:14" s="5" customFormat="1" ht="15" customHeight="1" x14ac:dyDescent="0.25">
      <c r="A5378" s="9" t="s">
        <v>10549</v>
      </c>
      <c r="C5378" s="9" t="str">
        <f>HYPERLINK("http://www.ncbi.nlm.nih.gov/protein/170650623","Pdlim5")</f>
        <v>Pdlim5</v>
      </c>
      <c r="D5378" s="10">
        <f t="shared" si="83"/>
        <v>5.9502013698241836</v>
      </c>
      <c r="F5378" s="8" t="str">
        <f>HYPERLINK("https://esbl.nhlbi.nih.gov/Databases/mpkFractions/proteomic_fractions_log_files/Yang_log_img/170650623.jpg","show blot")</f>
        <v>show blot</v>
      </c>
      <c r="H5378" s="8" t="str">
        <f>HYPERLINK("https://esbl.nhlbi.nih.gov/Databases/mpkFractions/proteomic_fractions_linear_files/Yang_linear_img/170650623.jpg","show blot")</f>
        <v>show blot</v>
      </c>
      <c r="J5378" s="5" t="s">
        <v>10550</v>
      </c>
      <c r="L5378" s="11">
        <v>5.9502013698241836</v>
      </c>
      <c r="N5378" s="12"/>
    </row>
    <row r="5379" spans="1:14" s="5" customFormat="1" ht="15" customHeight="1" x14ac:dyDescent="0.25">
      <c r="A5379" s="9" t="s">
        <v>10551</v>
      </c>
      <c r="C5379" s="9" t="str">
        <f>HYPERLINK("http://www.ncbi.nlm.nih.gov/protein/300069024","Pdlim5")</f>
        <v>Pdlim5</v>
      </c>
      <c r="D5379" s="10">
        <f t="shared" si="83"/>
        <v>5.9502013698241836</v>
      </c>
      <c r="F5379" s="8" t="str">
        <f>HYPERLINK("https://esbl.nhlbi.nih.gov/Databases/mpkFractions/proteomic_fractions_log_files/Yang_log_img/300069024.jpg","show blot")</f>
        <v>show blot</v>
      </c>
      <c r="H5379" s="8" t="str">
        <f>HYPERLINK("https://esbl.nhlbi.nih.gov/Databases/mpkFractions/proteomic_fractions_linear_files/Yang_linear_img/300069024.jpg","show blot")</f>
        <v>show blot</v>
      </c>
      <c r="J5379" s="5" t="s">
        <v>10552</v>
      </c>
      <c r="L5379" s="11">
        <v>5.9502013698241836</v>
      </c>
      <c r="N5379" s="12"/>
    </row>
    <row r="5380" spans="1:14" s="5" customFormat="1" ht="15" customHeight="1" x14ac:dyDescent="0.25">
      <c r="A5380" s="9" t="s">
        <v>10553</v>
      </c>
      <c r="C5380" s="9" t="str">
        <f>HYPERLINK("http://www.ncbi.nlm.nih.gov/protein/300069036","Pdlim5")</f>
        <v>Pdlim5</v>
      </c>
      <c r="D5380" s="10">
        <f t="shared" si="83"/>
        <v>5.9502013698241836</v>
      </c>
      <c r="F5380" s="8" t="str">
        <f>HYPERLINK("https://esbl.nhlbi.nih.gov/Databases/mpkFractions/proteomic_fractions_log_files/Yang_log_img/300069036.jpg","show blot")</f>
        <v>show blot</v>
      </c>
      <c r="H5380" s="8" t="str">
        <f>HYPERLINK("https://esbl.nhlbi.nih.gov/Databases/mpkFractions/proteomic_fractions_linear_files/Yang_linear_img/300069036.jpg","show blot")</f>
        <v>show blot</v>
      </c>
      <c r="J5380" s="5" t="s">
        <v>10554</v>
      </c>
      <c r="L5380" s="11">
        <v>5.9502013698241836</v>
      </c>
      <c r="N5380" s="12"/>
    </row>
    <row r="5381" spans="1:14" s="5" customFormat="1" ht="15" customHeight="1" x14ac:dyDescent="0.25">
      <c r="A5381" s="9" t="s">
        <v>10555</v>
      </c>
      <c r="C5381" s="9" t="str">
        <f>HYPERLINK("http://www.ncbi.nlm.nih.gov/protein/300069038","Pdlim5")</f>
        <v>Pdlim5</v>
      </c>
      <c r="D5381" s="10">
        <f t="shared" ref="D5381:D5444" si="84">L5381</f>
        <v>5.9502013698241836</v>
      </c>
      <c r="F5381" s="8" t="str">
        <f>HYPERLINK("https://esbl.nhlbi.nih.gov/Databases/mpkFractions/proteomic_fractions_log_files/Yang_log_img/300069038.jpg","show blot")</f>
        <v>show blot</v>
      </c>
      <c r="H5381" s="8" t="str">
        <f>HYPERLINK("https://esbl.nhlbi.nih.gov/Databases/mpkFractions/proteomic_fractions_linear_files/Yang_linear_img/300069038.jpg","show blot")</f>
        <v>show blot</v>
      </c>
      <c r="J5381" s="5" t="s">
        <v>10556</v>
      </c>
      <c r="L5381" s="11">
        <v>5.9502013698241836</v>
      </c>
      <c r="N5381" s="12"/>
    </row>
    <row r="5382" spans="1:14" s="5" customFormat="1" ht="15" customHeight="1" x14ac:dyDescent="0.25">
      <c r="A5382" s="9" t="s">
        <v>10557</v>
      </c>
      <c r="C5382" s="9" t="str">
        <f>HYPERLINK("http://www.ncbi.nlm.nih.gov/protein/300069041","Pdlim5")</f>
        <v>Pdlim5</v>
      </c>
      <c r="D5382" s="10">
        <f t="shared" si="84"/>
        <v>5.9502013698241836</v>
      </c>
      <c r="F5382" s="8" t="str">
        <f>HYPERLINK("https://esbl.nhlbi.nih.gov/Databases/mpkFractions/proteomic_fractions_log_files/Yang_log_img/300069041.jpg","show blot")</f>
        <v>show blot</v>
      </c>
      <c r="H5382" s="8" t="str">
        <f>HYPERLINK("https://esbl.nhlbi.nih.gov/Databases/mpkFractions/proteomic_fractions_linear_files/Yang_linear_img/300069041.jpg","show blot")</f>
        <v>show blot</v>
      </c>
      <c r="J5382" s="5" t="s">
        <v>10558</v>
      </c>
      <c r="L5382" s="11">
        <v>5.9502013698241836</v>
      </c>
      <c r="N5382" s="12"/>
    </row>
    <row r="5383" spans="1:14" s="5" customFormat="1" ht="15" customHeight="1" x14ac:dyDescent="0.25">
      <c r="A5383" s="9" t="s">
        <v>10559</v>
      </c>
      <c r="C5383" s="9" t="str">
        <f>HYPERLINK("http://www.ncbi.nlm.nih.gov/protein/166197677","Pdlim7")</f>
        <v>Pdlim7</v>
      </c>
      <c r="D5383" s="10">
        <f t="shared" si="84"/>
        <v>4.7014203565829389</v>
      </c>
      <c r="F5383" s="8" t="str">
        <f>HYPERLINK("https://esbl.nhlbi.nih.gov/Databases/mpkFractions/proteomic_fractions_log_files/Yang_log_img/166197677.jpg","show blot")</f>
        <v>show blot</v>
      </c>
      <c r="H5383" s="8" t="str">
        <f>HYPERLINK("https://esbl.nhlbi.nih.gov/Databases/mpkFractions/proteomic_fractions_linear_files/Yang_linear_img/166197677.jpg","show blot")</f>
        <v>show blot</v>
      </c>
      <c r="J5383" s="5" t="s">
        <v>10560</v>
      </c>
      <c r="L5383" s="11">
        <v>4.7014203565829389</v>
      </c>
      <c r="N5383" s="12"/>
    </row>
    <row r="5384" spans="1:14" s="5" customFormat="1" ht="15" customHeight="1" x14ac:dyDescent="0.25">
      <c r="A5384" s="9" t="s">
        <v>10561</v>
      </c>
      <c r="C5384" s="9" t="str">
        <f>HYPERLINK("http://www.ncbi.nlm.nih.gov/protein/166197679","Pdlim7")</f>
        <v>Pdlim7</v>
      </c>
      <c r="D5384" s="10">
        <f t="shared" si="84"/>
        <v>4.7014203565829389</v>
      </c>
      <c r="F5384" s="8" t="str">
        <f>HYPERLINK("https://esbl.nhlbi.nih.gov/Databases/mpkFractions/proteomic_fractions_log_files/Yang_log_img/166197679.jpg","show blot")</f>
        <v>show blot</v>
      </c>
      <c r="H5384" s="8" t="str">
        <f>HYPERLINK("https://esbl.nhlbi.nih.gov/Databases/mpkFractions/proteomic_fractions_linear_files/Yang_linear_img/166197679.jpg","show blot")</f>
        <v>show blot</v>
      </c>
      <c r="J5384" s="5" t="s">
        <v>10562</v>
      </c>
      <c r="L5384" s="11">
        <v>4.7014203565829389</v>
      </c>
      <c r="N5384" s="12"/>
    </row>
    <row r="5385" spans="1:14" s="5" customFormat="1" ht="15" customHeight="1" x14ac:dyDescent="0.25">
      <c r="A5385" s="9" t="s">
        <v>10563</v>
      </c>
      <c r="C5385" s="9" t="str">
        <f>HYPERLINK("http://www.ncbi.nlm.nih.gov/protein/166197681","Pdlim7")</f>
        <v>Pdlim7</v>
      </c>
      <c r="D5385" s="10">
        <f t="shared" si="84"/>
        <v>4.7014203565829389</v>
      </c>
      <c r="F5385" s="8" t="str">
        <f>HYPERLINK("https://esbl.nhlbi.nih.gov/Databases/mpkFractions/proteomic_fractions_log_files/Yang_log_img/166197681.jpg","show blot")</f>
        <v>show blot</v>
      </c>
      <c r="H5385" s="8" t="str">
        <f>HYPERLINK("https://esbl.nhlbi.nih.gov/Databases/mpkFractions/proteomic_fractions_linear_files/Yang_linear_img/166197681.jpg","show blot")</f>
        <v>show blot</v>
      </c>
      <c r="J5385" s="5" t="s">
        <v>10564</v>
      </c>
      <c r="L5385" s="11">
        <v>4.7014203565829389</v>
      </c>
      <c r="N5385" s="12"/>
    </row>
    <row r="5386" spans="1:14" s="5" customFormat="1" ht="15" customHeight="1" x14ac:dyDescent="0.25">
      <c r="A5386" s="9" t="s">
        <v>10565</v>
      </c>
      <c r="C5386" s="9" t="str">
        <f>HYPERLINK("http://www.ncbi.nlm.nih.gov/protein/148277602","Pdp1")</f>
        <v>Pdp1</v>
      </c>
      <c r="D5386" s="10">
        <f t="shared" si="84"/>
        <v>3.1509590653078621</v>
      </c>
      <c r="F5386" s="8" t="str">
        <f>HYPERLINK("https://esbl.nhlbi.nih.gov/Databases/mpkFractions/proteomic_fractions_log_files/Yang_log_img/148277602.jpg","show blot")</f>
        <v>show blot</v>
      </c>
      <c r="H5386" s="8" t="str">
        <f>HYPERLINK("https://esbl.nhlbi.nih.gov/Databases/mpkFractions/proteomic_fractions_linear_files/Yang_linear_img/148277602.jpg","show blot")</f>
        <v>show blot</v>
      </c>
      <c r="J5386" s="5" t="s">
        <v>10566</v>
      </c>
      <c r="L5386" s="11">
        <v>3.1509590653078621</v>
      </c>
      <c r="N5386" s="12"/>
    </row>
    <row r="5387" spans="1:14" s="5" customFormat="1" ht="15" customHeight="1" x14ac:dyDescent="0.25">
      <c r="A5387" s="9" t="s">
        <v>10567</v>
      </c>
      <c r="C5387" s="9" t="str">
        <f>HYPERLINK("http://www.ncbi.nlm.nih.gov/protein/148277650","Pdp1")</f>
        <v>Pdp1</v>
      </c>
      <c r="D5387" s="10">
        <f t="shared" si="84"/>
        <v>3.1509590653078621</v>
      </c>
      <c r="F5387" s="8" t="str">
        <f>HYPERLINK("https://esbl.nhlbi.nih.gov/Databases/mpkFractions/proteomic_fractions_log_files/Yang_log_img/148277650.jpg","show blot")</f>
        <v>show blot</v>
      </c>
      <c r="H5387" s="8" t="str">
        <f>HYPERLINK("https://esbl.nhlbi.nih.gov/Databases/mpkFractions/proteomic_fractions_linear_files/Yang_linear_img/148277650.jpg","show blot")</f>
        <v>show blot</v>
      </c>
      <c r="J5387" s="5" t="s">
        <v>10568</v>
      </c>
      <c r="L5387" s="11">
        <v>3.1509590653078621</v>
      </c>
      <c r="N5387" s="12"/>
    </row>
    <row r="5388" spans="1:14" s="5" customFormat="1" ht="15" customHeight="1" x14ac:dyDescent="0.25">
      <c r="A5388" s="9" t="s">
        <v>10569</v>
      </c>
      <c r="C5388" s="9" t="str">
        <f>HYPERLINK("http://www.ncbi.nlm.nih.gov/protein/84794625","Pdp1")</f>
        <v>Pdp1</v>
      </c>
      <c r="D5388" s="10">
        <f t="shared" si="84"/>
        <v>3.1509590653078621</v>
      </c>
      <c r="F5388" s="8" t="str">
        <f>HYPERLINK("https://esbl.nhlbi.nih.gov/Databases/mpkFractions/proteomic_fractions_log_files/Yang_log_img/84794625.jpg","show blot")</f>
        <v>show blot</v>
      </c>
      <c r="H5388" s="8" t="str">
        <f>HYPERLINK("https://esbl.nhlbi.nih.gov/Databases/mpkFractions/proteomic_fractions_linear_files/Yang_linear_img/84794625.jpg","show blot")</f>
        <v>show blot</v>
      </c>
      <c r="J5388" s="5" t="s">
        <v>10570</v>
      </c>
      <c r="L5388" s="11">
        <v>3.1509590653078621</v>
      </c>
      <c r="N5388" s="12"/>
    </row>
    <row r="5389" spans="1:14" s="5" customFormat="1" ht="15" customHeight="1" x14ac:dyDescent="0.25">
      <c r="A5389" s="9" t="s">
        <v>10571</v>
      </c>
      <c r="C5389" s="9" t="str">
        <f>HYPERLINK("http://www.ncbi.nlm.nih.gov/protein/124107594","Pdpk1")</f>
        <v>Pdpk1</v>
      </c>
      <c r="D5389" s="10">
        <f t="shared" si="84"/>
        <v>4.0168235135694932</v>
      </c>
      <c r="F5389" s="8" t="str">
        <f>HYPERLINK("https://esbl.nhlbi.nih.gov/Databases/mpkFractions/proteomic_fractions_log_files/Yang_log_img/124107594.jpg","show blot")</f>
        <v>show blot</v>
      </c>
      <c r="H5389" s="8" t="str">
        <f>HYPERLINK("https://esbl.nhlbi.nih.gov/Databases/mpkFractions/proteomic_fractions_linear_files/Yang_linear_img/124107594.jpg","show blot")</f>
        <v>show blot</v>
      </c>
      <c r="J5389" s="5" t="s">
        <v>10572</v>
      </c>
      <c r="L5389" s="11">
        <v>4.0168235135694932</v>
      </c>
      <c r="N5389" s="12"/>
    </row>
    <row r="5390" spans="1:14" s="5" customFormat="1" ht="15" customHeight="1" x14ac:dyDescent="0.25">
      <c r="A5390" s="9" t="s">
        <v>10573</v>
      </c>
      <c r="C5390" s="9" t="str">
        <f>HYPERLINK("http://www.ncbi.nlm.nih.gov/protein/124107598","Pdpk1")</f>
        <v>Pdpk1</v>
      </c>
      <c r="D5390" s="10">
        <f t="shared" si="84"/>
        <v>4.0168235135694932</v>
      </c>
      <c r="F5390" s="8" t="str">
        <f>HYPERLINK("https://esbl.nhlbi.nih.gov/Databases/mpkFractions/proteomic_fractions_log_files/Yang_log_img/124107598.jpg","show blot")</f>
        <v>show blot</v>
      </c>
      <c r="H5390" s="8" t="str">
        <f>HYPERLINK("https://esbl.nhlbi.nih.gov/Databases/mpkFractions/proteomic_fractions_linear_files/Yang_linear_img/124107598.jpg","show blot")</f>
        <v>show blot</v>
      </c>
      <c r="J5390" s="5" t="s">
        <v>10574</v>
      </c>
      <c r="L5390" s="11">
        <v>4.0168235135694932</v>
      </c>
      <c r="N5390" s="12"/>
    </row>
    <row r="5391" spans="1:14" s="5" customFormat="1" ht="15" customHeight="1" x14ac:dyDescent="0.25">
      <c r="A5391" s="9" t="s">
        <v>10575</v>
      </c>
      <c r="C5391" s="9" t="str">
        <f>HYPERLINK("http://www.ncbi.nlm.nih.gov/protein/38142488","Pdpr")</f>
        <v>Pdpr</v>
      </c>
      <c r="D5391" s="10">
        <f t="shared" si="84"/>
        <v>3.2811617632746559</v>
      </c>
      <c r="F5391" s="8" t="str">
        <f>HYPERLINK("https://esbl.nhlbi.nih.gov/Databases/mpkFractions/proteomic_fractions_log_files/Yang_log_img/38142488.jpg","show blot")</f>
        <v>show blot</v>
      </c>
      <c r="H5391" s="8" t="str">
        <f>HYPERLINK("https://esbl.nhlbi.nih.gov/Databases/mpkFractions/proteomic_fractions_linear_files/Yang_linear_img/38142488.jpg","show blot")</f>
        <v>show blot</v>
      </c>
      <c r="J5391" s="5" t="s">
        <v>10576</v>
      </c>
      <c r="L5391" s="11">
        <v>3.2811617632746559</v>
      </c>
      <c r="N5391" s="12"/>
    </row>
    <row r="5392" spans="1:14" s="5" customFormat="1" ht="15" customHeight="1" x14ac:dyDescent="0.25">
      <c r="A5392" s="9" t="s">
        <v>10577</v>
      </c>
      <c r="C5392" s="9" t="str">
        <f>HYPERLINK("http://www.ncbi.nlm.nih.gov/protein/32490570","Pdrg1")</f>
        <v>Pdrg1</v>
      </c>
      <c r="D5392" s="10">
        <f t="shared" si="84"/>
        <v>4.1198597921501152</v>
      </c>
      <c r="F5392" s="8" t="str">
        <f>HYPERLINK("https://esbl.nhlbi.nih.gov/Databases/mpkFractions/proteomic_fractions_log_files/Yang_log_img/32490570.jpg","show blot")</f>
        <v>show blot</v>
      </c>
      <c r="H5392" s="8" t="str">
        <f>HYPERLINK("https://esbl.nhlbi.nih.gov/Databases/mpkFractions/proteomic_fractions_linear_files/Yang_linear_img/32490570.jpg","show blot")</f>
        <v>show blot</v>
      </c>
      <c r="J5392" s="5" t="s">
        <v>10578</v>
      </c>
      <c r="L5392" s="11">
        <v>4.1198597921501152</v>
      </c>
      <c r="N5392" s="12"/>
    </row>
    <row r="5393" spans="1:14" s="5" customFormat="1" ht="15" customHeight="1" x14ac:dyDescent="0.25">
      <c r="A5393" s="9" t="s">
        <v>10579</v>
      </c>
      <c r="C5393" s="9" t="str">
        <f>HYPERLINK("http://www.ncbi.nlm.nih.gov/protein/124486765","Pds5a")</f>
        <v>Pds5a</v>
      </c>
      <c r="D5393" s="10">
        <f t="shared" si="84"/>
        <v>4.2077469859995267</v>
      </c>
      <c r="F5393" s="8" t="str">
        <f>HYPERLINK("https://esbl.nhlbi.nih.gov/Databases/mpkFractions/proteomic_fractions_log_files/Yang_log_img/124486765.jpg","show blot")</f>
        <v>show blot</v>
      </c>
      <c r="H5393" s="8" t="str">
        <f>HYPERLINK("https://esbl.nhlbi.nih.gov/Databases/mpkFractions/proteomic_fractions_linear_files/Yang_linear_img/124486765.jpg","show blot")</f>
        <v>show blot</v>
      </c>
      <c r="J5393" s="5" t="s">
        <v>10580</v>
      </c>
      <c r="L5393" s="11">
        <v>4.2077469859995267</v>
      </c>
      <c r="N5393" s="12"/>
    </row>
    <row r="5394" spans="1:14" s="5" customFormat="1" ht="15" customHeight="1" x14ac:dyDescent="0.25">
      <c r="A5394" s="9" t="s">
        <v>10581</v>
      </c>
      <c r="C5394" s="9" t="str">
        <f>HYPERLINK("http://www.ncbi.nlm.nih.gov/protein/66955886","Pds5b")</f>
        <v>Pds5b</v>
      </c>
      <c r="D5394" s="10">
        <f t="shared" si="84"/>
        <v>3.980524467808022</v>
      </c>
      <c r="F5394" s="8" t="str">
        <f>HYPERLINK("https://esbl.nhlbi.nih.gov/Databases/mpkFractions/proteomic_fractions_log_files/Yang_log_img/66955886.jpg","show blot")</f>
        <v>show blot</v>
      </c>
      <c r="H5394" s="8" t="str">
        <f>HYPERLINK("https://esbl.nhlbi.nih.gov/Databases/mpkFractions/proteomic_fractions_linear_files/Yang_linear_img/66955886.jpg","show blot")</f>
        <v>show blot</v>
      </c>
      <c r="J5394" s="5" t="s">
        <v>10582</v>
      </c>
      <c r="L5394" s="11">
        <v>3.980524467808022</v>
      </c>
      <c r="N5394" s="12"/>
    </row>
    <row r="5395" spans="1:14" s="5" customFormat="1" ht="15" customHeight="1" x14ac:dyDescent="0.25">
      <c r="A5395" s="9" t="s">
        <v>10583</v>
      </c>
      <c r="C5395" s="9" t="str">
        <f>HYPERLINK("http://www.ncbi.nlm.nih.gov/protein/88758582","Pdxdc1")</f>
        <v>Pdxdc1</v>
      </c>
      <c r="D5395" s="10">
        <f t="shared" si="84"/>
        <v>5.5159066679530868</v>
      </c>
      <c r="F5395" s="8" t="str">
        <f>HYPERLINK("https://esbl.nhlbi.nih.gov/Databases/mpkFractions/proteomic_fractions_log_files/Yang_log_img/88758582.jpg","show blot")</f>
        <v>show blot</v>
      </c>
      <c r="H5395" s="8" t="str">
        <f>HYPERLINK("https://esbl.nhlbi.nih.gov/Databases/mpkFractions/proteomic_fractions_linear_files/Yang_linear_img/88758582.jpg","show blot")</f>
        <v>show blot</v>
      </c>
      <c r="J5395" s="5" t="s">
        <v>10584</v>
      </c>
      <c r="L5395" s="11">
        <v>5.5159066679530868</v>
      </c>
      <c r="N5395" s="12"/>
    </row>
    <row r="5396" spans="1:14" s="5" customFormat="1" ht="15" customHeight="1" x14ac:dyDescent="0.25">
      <c r="A5396" s="9" t="s">
        <v>10585</v>
      </c>
      <c r="C5396" s="9" t="str">
        <f>HYPERLINK("http://www.ncbi.nlm.nih.gov/protein/88758584","Pdxdc1")</f>
        <v>Pdxdc1</v>
      </c>
      <c r="D5396" s="10">
        <f t="shared" si="84"/>
        <v>5.5159066679530868</v>
      </c>
      <c r="F5396" s="8" t="str">
        <f>HYPERLINK("https://esbl.nhlbi.nih.gov/Databases/mpkFractions/proteomic_fractions_log_files/Yang_log_img/88758584.jpg","show blot")</f>
        <v>show blot</v>
      </c>
      <c r="H5396" s="8" t="str">
        <f>HYPERLINK("https://esbl.nhlbi.nih.gov/Databases/mpkFractions/proteomic_fractions_linear_files/Yang_linear_img/88758584.jpg","show blot")</f>
        <v>show blot</v>
      </c>
      <c r="J5396" s="5" t="s">
        <v>10586</v>
      </c>
      <c r="L5396" s="11">
        <v>5.5159066679530868</v>
      </c>
      <c r="N5396" s="12"/>
    </row>
    <row r="5397" spans="1:14" s="5" customFormat="1" ht="15" customHeight="1" x14ac:dyDescent="0.25">
      <c r="A5397" s="9" t="s">
        <v>10587</v>
      </c>
      <c r="C5397" s="9" t="str">
        <f>HYPERLINK("http://www.ncbi.nlm.nih.gov/protein/26006861","Pdxk")</f>
        <v>Pdxk</v>
      </c>
      <c r="D5397" s="10">
        <f t="shared" si="84"/>
        <v>5.8337284677230778</v>
      </c>
      <c r="F5397" s="8" t="str">
        <f>HYPERLINK("https://esbl.nhlbi.nih.gov/Databases/mpkFractions/proteomic_fractions_log_files/Yang_log_img/26006861.jpg","show blot")</f>
        <v>show blot</v>
      </c>
      <c r="H5397" s="8" t="str">
        <f>HYPERLINK("https://esbl.nhlbi.nih.gov/Databases/mpkFractions/proteomic_fractions_linear_files/Yang_linear_img/26006861.jpg","show blot")</f>
        <v>show blot</v>
      </c>
      <c r="J5397" s="5" t="s">
        <v>10588</v>
      </c>
      <c r="L5397" s="11">
        <v>5.8337284677230778</v>
      </c>
      <c r="N5397" s="12"/>
    </row>
    <row r="5398" spans="1:14" s="5" customFormat="1" ht="15" customHeight="1" x14ac:dyDescent="0.25">
      <c r="A5398" s="9" t="s">
        <v>10589</v>
      </c>
      <c r="C5398" s="9" t="str">
        <f>HYPERLINK("http://www.ncbi.nlm.nih.gov/protein/21312244","Pdzd11")</f>
        <v>Pdzd11</v>
      </c>
      <c r="D5398" s="10">
        <f t="shared" si="84"/>
        <v>3.737083099972653</v>
      </c>
      <c r="F5398" s="8" t="str">
        <f>HYPERLINK("https://esbl.nhlbi.nih.gov/Databases/mpkFractions/proteomic_fractions_log_files/Yang_log_img/21312244.jpg","show blot")</f>
        <v>show blot</v>
      </c>
      <c r="H5398" s="8" t="str">
        <f>HYPERLINK("https://esbl.nhlbi.nih.gov/Databases/mpkFractions/proteomic_fractions_linear_files/Yang_linear_img/21312244.jpg","show blot")</f>
        <v>show blot</v>
      </c>
      <c r="J5398" s="5" t="s">
        <v>10590</v>
      </c>
      <c r="L5398" s="11">
        <v>3.737083099972653</v>
      </c>
      <c r="N5398" s="12"/>
    </row>
    <row r="5399" spans="1:14" s="5" customFormat="1" ht="15" customHeight="1" x14ac:dyDescent="0.25">
      <c r="A5399" s="9" t="s">
        <v>10591</v>
      </c>
      <c r="C5399" s="9" t="str">
        <f>HYPERLINK("http://www.ncbi.nlm.nih.gov/protein/305682586","Pdzd7")</f>
        <v>Pdzd7</v>
      </c>
      <c r="D5399" s="10">
        <f t="shared" si="84"/>
        <v>4.367038114506502</v>
      </c>
      <c r="F5399" s="8" t="str">
        <f>HYPERLINK("https://esbl.nhlbi.nih.gov/Databases/mpkFractions/proteomic_fractions_log_files/Yang_log_img/305682586.jpg","show blot")</f>
        <v>show blot</v>
      </c>
      <c r="H5399" s="8" t="str">
        <f>HYPERLINK("https://esbl.nhlbi.nih.gov/Databases/mpkFractions/proteomic_fractions_linear_files/Yang_linear_img/305682586.jpg","show blot")</f>
        <v>show blot</v>
      </c>
      <c r="J5399" s="5" t="s">
        <v>10592</v>
      </c>
      <c r="L5399" s="11">
        <v>4.367038114506502</v>
      </c>
      <c r="N5399" s="12"/>
    </row>
    <row r="5400" spans="1:14" s="5" customFormat="1" ht="15" customHeight="1" x14ac:dyDescent="0.25">
      <c r="A5400" s="9" t="s">
        <v>10593</v>
      </c>
      <c r="C5400" s="9" t="str">
        <f>HYPERLINK("http://www.ncbi.nlm.nih.gov/protein/164698472","Pdzd8")</f>
        <v>Pdzd8</v>
      </c>
      <c r="D5400" s="10">
        <f t="shared" si="84"/>
        <v>2.6454493234486698</v>
      </c>
      <c r="F5400" s="8" t="str">
        <f>HYPERLINK("https://esbl.nhlbi.nih.gov/Databases/mpkFractions/proteomic_fractions_log_files/Yang_log_img/164698472.jpg","show blot")</f>
        <v>show blot</v>
      </c>
      <c r="H5400" s="8" t="str">
        <f>HYPERLINK("https://esbl.nhlbi.nih.gov/Databases/mpkFractions/proteomic_fractions_linear_files/Yang_linear_img/164698472.jpg","show blot")</f>
        <v>show blot</v>
      </c>
      <c r="J5400" s="5" t="s">
        <v>10594</v>
      </c>
      <c r="L5400" s="11">
        <v>2.6454493234486698</v>
      </c>
      <c r="N5400" s="12"/>
    </row>
    <row r="5401" spans="1:14" s="5" customFormat="1" ht="15" customHeight="1" x14ac:dyDescent="0.25">
      <c r="A5401" s="9" t="s">
        <v>10595</v>
      </c>
      <c r="C5401" s="9" t="str">
        <f>HYPERLINK("http://www.ncbi.nlm.nih.gov/protein/13385522","Pdzk1ip1")</f>
        <v>Pdzk1ip1</v>
      </c>
      <c r="D5401" s="10">
        <f t="shared" si="84"/>
        <v>5.1406929361493479</v>
      </c>
      <c r="F5401" s="8" t="str">
        <f>HYPERLINK("https://esbl.nhlbi.nih.gov/Databases/mpkFractions/proteomic_fractions_log_files/Yang_log_img/13385522.jpg","show blot")</f>
        <v>show blot</v>
      </c>
      <c r="H5401" s="8" t="str">
        <f>HYPERLINK("https://esbl.nhlbi.nih.gov/Databases/mpkFractions/proteomic_fractions_linear_files/Yang_linear_img/13385522.jpg","show blot")</f>
        <v>show blot</v>
      </c>
      <c r="J5401" s="5" t="s">
        <v>10596</v>
      </c>
      <c r="L5401" s="11">
        <v>5.1406929361493479</v>
      </c>
      <c r="N5401" s="12"/>
    </row>
    <row r="5402" spans="1:14" s="5" customFormat="1" ht="15" customHeight="1" x14ac:dyDescent="0.25">
      <c r="A5402" s="9" t="s">
        <v>10597</v>
      </c>
      <c r="C5402" s="9" t="str">
        <f>HYPERLINK("http://www.ncbi.nlm.nih.gov/protein/257095992","Pdzk1ip1")</f>
        <v>Pdzk1ip1</v>
      </c>
      <c r="D5402" s="10">
        <f t="shared" si="84"/>
        <v>5.1406929361493479</v>
      </c>
      <c r="F5402" s="8" t="str">
        <f>HYPERLINK("https://esbl.nhlbi.nih.gov/Databases/mpkFractions/proteomic_fractions_log_files/Yang_log_img/257095992.jpg","show blot")</f>
        <v>show blot</v>
      </c>
      <c r="H5402" s="8" t="str">
        <f>HYPERLINK("https://esbl.nhlbi.nih.gov/Databases/mpkFractions/proteomic_fractions_linear_files/Yang_linear_img/257095992.jpg","show blot")</f>
        <v>show blot</v>
      </c>
      <c r="J5402" s="5" t="s">
        <v>10598</v>
      </c>
      <c r="L5402" s="11">
        <v>5.1406929361493479</v>
      </c>
      <c r="N5402" s="12"/>
    </row>
    <row r="5403" spans="1:14" s="5" customFormat="1" ht="15" customHeight="1" x14ac:dyDescent="0.25">
      <c r="A5403" s="9" t="s">
        <v>10599</v>
      </c>
      <c r="C5403" s="9" t="str">
        <f>HYPERLINK("http://www.ncbi.nlm.nih.gov/protein/21426847","Pea15a")</f>
        <v>Pea15a</v>
      </c>
      <c r="D5403" s="10">
        <f t="shared" si="84"/>
        <v>5.5195144078936096</v>
      </c>
      <c r="F5403" s="8" t="str">
        <f>HYPERLINK("https://esbl.nhlbi.nih.gov/Databases/mpkFractions/proteomic_fractions_log_files/Yang_log_img/21426847.jpg","show blot")</f>
        <v>show blot</v>
      </c>
      <c r="H5403" s="8" t="str">
        <f>HYPERLINK("https://esbl.nhlbi.nih.gov/Databases/mpkFractions/proteomic_fractions_linear_files/Yang_linear_img/21426847.jpg","show blot")</f>
        <v>show blot</v>
      </c>
      <c r="J5403" s="5" t="s">
        <v>10600</v>
      </c>
      <c r="L5403" s="11">
        <v>5.5195144078936096</v>
      </c>
      <c r="N5403" s="12"/>
    </row>
    <row r="5404" spans="1:14" s="5" customFormat="1" ht="15" customHeight="1" x14ac:dyDescent="0.25">
      <c r="A5404" s="9" t="s">
        <v>10601</v>
      </c>
      <c r="C5404" s="9" t="str">
        <f>HYPERLINK("http://www.ncbi.nlm.nih.gov/protein/84794552","Pebp1")</f>
        <v>Pebp1</v>
      </c>
      <c r="D5404" s="10">
        <f t="shared" si="84"/>
        <v>6.6429760357909284</v>
      </c>
      <c r="F5404" s="8" t="str">
        <f>HYPERLINK("https://esbl.nhlbi.nih.gov/Databases/mpkFractions/proteomic_fractions_log_files/Yang_log_img/84794552.jpg","show blot")</f>
        <v>show blot</v>
      </c>
      <c r="H5404" s="8" t="str">
        <f>HYPERLINK("https://esbl.nhlbi.nih.gov/Databases/mpkFractions/proteomic_fractions_linear_files/Yang_linear_img/84794552.jpg","show blot")</f>
        <v>show blot</v>
      </c>
      <c r="J5404" s="5" t="s">
        <v>10602</v>
      </c>
      <c r="L5404" s="11">
        <v>6.6429760357909284</v>
      </c>
      <c r="N5404" s="12"/>
    </row>
    <row r="5405" spans="1:14" s="5" customFormat="1" ht="15" customHeight="1" x14ac:dyDescent="0.25">
      <c r="A5405" s="9" t="s">
        <v>10603</v>
      </c>
      <c r="C5405" s="9" t="str">
        <f>HYPERLINK("http://www.ncbi.nlm.nih.gov/protein/227908837","Pecr")</f>
        <v>Pecr</v>
      </c>
      <c r="D5405" s="10">
        <f t="shared" si="84"/>
        <v>4.2394784558753278</v>
      </c>
      <c r="F5405" s="8" t="str">
        <f>HYPERLINK("https://esbl.nhlbi.nih.gov/Databases/mpkFractions/proteomic_fractions_log_files/Yang_log_img/227908837.jpg","show blot")</f>
        <v>show blot</v>
      </c>
      <c r="H5405" s="8" t="str">
        <f>HYPERLINK("https://esbl.nhlbi.nih.gov/Databases/mpkFractions/proteomic_fractions_linear_files/Yang_linear_img/227908837.jpg","show blot")</f>
        <v>show blot</v>
      </c>
      <c r="J5405" s="5" t="s">
        <v>10604</v>
      </c>
      <c r="L5405" s="11">
        <v>4.2394784558753278</v>
      </c>
      <c r="N5405" s="12"/>
    </row>
    <row r="5406" spans="1:14" s="5" customFormat="1" ht="15" customHeight="1" x14ac:dyDescent="0.25">
      <c r="A5406" s="9" t="s">
        <v>10605</v>
      </c>
      <c r="C5406" s="9" t="str">
        <f>HYPERLINK("http://www.ncbi.nlm.nih.gov/protein/31980937","Pef1")</f>
        <v>Pef1</v>
      </c>
      <c r="D5406" s="10">
        <f t="shared" si="84"/>
        <v>4.3791199301441557</v>
      </c>
      <c r="F5406" s="8" t="str">
        <f>HYPERLINK("https://esbl.nhlbi.nih.gov/Databases/mpkFractions/proteomic_fractions_log_files/Yang_log_img/31980937.jpg","show blot")</f>
        <v>show blot</v>
      </c>
      <c r="H5406" s="8" t="str">
        <f>HYPERLINK("https://esbl.nhlbi.nih.gov/Databases/mpkFractions/proteomic_fractions_linear_files/Yang_linear_img/31980937.jpg","show blot")</f>
        <v>show blot</v>
      </c>
      <c r="J5406" s="5" t="s">
        <v>10606</v>
      </c>
      <c r="L5406" s="11">
        <v>4.3791199301441557</v>
      </c>
      <c r="N5406" s="12"/>
    </row>
    <row r="5407" spans="1:14" s="5" customFormat="1" ht="15" customHeight="1" x14ac:dyDescent="0.25">
      <c r="A5407" s="9" t="s">
        <v>10607</v>
      </c>
      <c r="C5407" s="9" t="str">
        <f>HYPERLINK("http://www.ncbi.nlm.nih.gov/protein/164698448","Pelo")</f>
        <v>Pelo</v>
      </c>
      <c r="D5407" s="10">
        <f t="shared" si="84"/>
        <v>4.7903965870033671</v>
      </c>
      <c r="F5407" s="8" t="str">
        <f>HYPERLINK("https://esbl.nhlbi.nih.gov/Databases/mpkFractions/proteomic_fractions_log_files/Yang_log_img/164698448.jpg","show blot")</f>
        <v>show blot</v>
      </c>
      <c r="H5407" s="8" t="str">
        <f>HYPERLINK("https://esbl.nhlbi.nih.gov/Databases/mpkFractions/proteomic_fractions_linear_files/Yang_linear_img/164698448.jpg","show blot")</f>
        <v>show blot</v>
      </c>
      <c r="J5407" s="5" t="s">
        <v>10608</v>
      </c>
      <c r="L5407" s="11">
        <v>4.7903965870033671</v>
      </c>
      <c r="N5407" s="12"/>
    </row>
    <row r="5408" spans="1:14" s="5" customFormat="1" ht="15" customHeight="1" x14ac:dyDescent="0.25">
      <c r="A5408" s="9" t="s">
        <v>10609</v>
      </c>
      <c r="C5408" s="9" t="str">
        <f>HYPERLINK("http://www.ncbi.nlm.nih.gov/protein/257900472","Pelp1")</f>
        <v>Pelp1</v>
      </c>
      <c r="D5408" s="10">
        <f t="shared" si="84"/>
        <v>3.5533456923338962</v>
      </c>
      <c r="F5408" s="8" t="str">
        <f>HYPERLINK("https://esbl.nhlbi.nih.gov/Databases/mpkFractions/proteomic_fractions_log_files/Yang_log_img/257900472.jpg","show blot")</f>
        <v>show blot</v>
      </c>
      <c r="H5408" s="8" t="str">
        <f>HYPERLINK("https://esbl.nhlbi.nih.gov/Databases/mpkFractions/proteomic_fractions_linear_files/Yang_linear_img/257900472.jpg","show blot")</f>
        <v>show blot</v>
      </c>
      <c r="J5408" s="5" t="s">
        <v>10610</v>
      </c>
      <c r="L5408" s="11">
        <v>3.5533456923338962</v>
      </c>
      <c r="N5408" s="12"/>
    </row>
    <row r="5409" spans="1:14" s="5" customFormat="1" ht="15" customHeight="1" x14ac:dyDescent="0.25">
      <c r="A5409" s="9" t="s">
        <v>10611</v>
      </c>
      <c r="C5409" s="9" t="str">
        <f>HYPERLINK("http://www.ncbi.nlm.nih.gov/protein/170650724","Pepd")</f>
        <v>Pepd</v>
      </c>
      <c r="D5409" s="10">
        <f t="shared" si="84"/>
        <v>5.3224242923680656</v>
      </c>
      <c r="F5409" s="8" t="str">
        <f>HYPERLINK("https://esbl.nhlbi.nih.gov/Databases/mpkFractions/proteomic_fractions_log_files/Yang_log_img/170650724.jpg","show blot")</f>
        <v>show blot</v>
      </c>
      <c r="H5409" s="8" t="str">
        <f>HYPERLINK("https://esbl.nhlbi.nih.gov/Databases/mpkFractions/proteomic_fractions_linear_files/Yang_linear_img/170650724.jpg","show blot")</f>
        <v>show blot</v>
      </c>
      <c r="J5409" s="5" t="s">
        <v>10612</v>
      </c>
      <c r="L5409" s="11">
        <v>5.3224242923680656</v>
      </c>
      <c r="N5409" s="12"/>
    </row>
    <row r="5410" spans="1:14" s="5" customFormat="1" ht="15" customHeight="1" x14ac:dyDescent="0.25">
      <c r="A5410" s="9" t="s">
        <v>10613</v>
      </c>
      <c r="C5410" s="9" t="str">
        <f>HYPERLINK("http://www.ncbi.nlm.nih.gov/protein/12584984","Pes1")</f>
        <v>Pes1</v>
      </c>
      <c r="D5410" s="10">
        <f t="shared" si="84"/>
        <v>4.5548672654483759</v>
      </c>
      <c r="F5410" s="8" t="str">
        <f>HYPERLINK("https://esbl.nhlbi.nih.gov/Databases/mpkFractions/proteomic_fractions_log_files/Yang_log_img/12584984.jpg","show blot")</f>
        <v>show blot</v>
      </c>
      <c r="H5410" s="8" t="str">
        <f>HYPERLINK("https://esbl.nhlbi.nih.gov/Databases/mpkFractions/proteomic_fractions_linear_files/Yang_linear_img/12584984.jpg","show blot")</f>
        <v>show blot</v>
      </c>
      <c r="J5410" s="5" t="s">
        <v>10614</v>
      </c>
      <c r="L5410" s="11">
        <v>4.5548672654483759</v>
      </c>
      <c r="N5410" s="12"/>
    </row>
    <row r="5411" spans="1:14" s="5" customFormat="1" ht="15" customHeight="1" x14ac:dyDescent="0.25">
      <c r="A5411" s="9" t="s">
        <v>10615</v>
      </c>
      <c r="C5411" s="9" t="str">
        <f>HYPERLINK("http://www.ncbi.nlm.nih.gov/protein/21450279","Pet112")</f>
        <v>Pet112</v>
      </c>
      <c r="D5411" s="10">
        <f t="shared" si="84"/>
        <v>2.406072616702188</v>
      </c>
      <c r="F5411" s="8" t="str">
        <f>HYPERLINK("https://esbl.nhlbi.nih.gov/Databases/mpkFractions/proteomic_fractions_log_files/Yang_log_img/21450279.jpg","show blot")</f>
        <v>show blot</v>
      </c>
      <c r="H5411" s="8" t="str">
        <f>HYPERLINK("https://esbl.nhlbi.nih.gov/Databases/mpkFractions/proteomic_fractions_linear_files/Yang_linear_img/21450279.jpg","show blot")</f>
        <v>show blot</v>
      </c>
      <c r="J5411" s="5" t="s">
        <v>10616</v>
      </c>
      <c r="L5411" s="11">
        <v>2.406072616702188</v>
      </c>
      <c r="N5411" s="12"/>
    </row>
    <row r="5412" spans="1:14" s="5" customFormat="1" ht="15" customHeight="1" x14ac:dyDescent="0.25">
      <c r="A5412" s="9" t="s">
        <v>10617</v>
      </c>
      <c r="C5412" s="9" t="str">
        <f>HYPERLINK("http://www.ncbi.nlm.nih.gov/protein/258679439","Pet117")</f>
        <v>Pet117</v>
      </c>
      <c r="D5412" s="10">
        <f t="shared" si="84"/>
        <v>4.4099725669460952</v>
      </c>
      <c r="F5412" s="8" t="str">
        <f>HYPERLINK("https://esbl.nhlbi.nih.gov/Databases/mpkFractions/proteomic_fractions_log_files/Yang_log_img/258679439.jpg","show blot")</f>
        <v>show blot</v>
      </c>
      <c r="H5412" s="8" t="str">
        <f>HYPERLINK("https://esbl.nhlbi.nih.gov/Databases/mpkFractions/proteomic_fractions_linear_files/Yang_linear_img/258679439.jpg","show blot")</f>
        <v>show blot</v>
      </c>
      <c r="J5412" s="5" t="s">
        <v>10618</v>
      </c>
      <c r="L5412" s="11">
        <v>4.4099725669460952</v>
      </c>
      <c r="N5412" s="12"/>
    </row>
    <row r="5413" spans="1:14" s="5" customFormat="1" ht="15" customHeight="1" x14ac:dyDescent="0.25">
      <c r="A5413" s="9" t="s">
        <v>10619</v>
      </c>
      <c r="C5413" s="9" t="str">
        <f>HYPERLINK("http://www.ncbi.nlm.nih.gov/protein/61657895","Pex1")</f>
        <v>Pex1</v>
      </c>
      <c r="D5413" s="10">
        <f t="shared" si="84"/>
        <v>2.984224993985598</v>
      </c>
      <c r="F5413" s="8" t="str">
        <f>HYPERLINK("https://esbl.nhlbi.nih.gov/Databases/mpkFractions/proteomic_fractions_log_files/Yang_log_img/61657895.jpg","show blot")</f>
        <v>show blot</v>
      </c>
      <c r="H5413" s="8" t="str">
        <f>HYPERLINK("https://esbl.nhlbi.nih.gov/Databases/mpkFractions/proteomic_fractions_linear_files/Yang_linear_img/61657895.jpg","show blot")</f>
        <v>show blot</v>
      </c>
      <c r="J5413" s="5" t="s">
        <v>10620</v>
      </c>
      <c r="L5413" s="11">
        <v>2.984224993985598</v>
      </c>
      <c r="N5413" s="12"/>
    </row>
    <row r="5414" spans="1:14" s="5" customFormat="1" ht="15" customHeight="1" x14ac:dyDescent="0.25">
      <c r="A5414" s="9" t="s">
        <v>10621</v>
      </c>
      <c r="C5414" s="9" t="str">
        <f>HYPERLINK("http://www.ncbi.nlm.nih.gov/protein/109150414","Pex10")</f>
        <v>Pex10</v>
      </c>
      <c r="D5414" s="10">
        <f t="shared" si="84"/>
        <v>4.385667012963073</v>
      </c>
      <c r="F5414" s="8" t="str">
        <f>HYPERLINK("https://esbl.nhlbi.nih.gov/Databases/mpkFractions/proteomic_fractions_log_files/Yang_log_img/109150414.jpg","show blot")</f>
        <v>show blot</v>
      </c>
      <c r="H5414" s="8" t="str">
        <f>HYPERLINK("https://esbl.nhlbi.nih.gov/Databases/mpkFractions/proteomic_fractions_linear_files/Yang_linear_img/109150414.jpg","show blot")</f>
        <v>show blot</v>
      </c>
      <c r="J5414" s="5" t="s">
        <v>10622</v>
      </c>
      <c r="L5414" s="11">
        <v>4.385667012963073</v>
      </c>
      <c r="N5414" s="12"/>
    </row>
    <row r="5415" spans="1:14" s="5" customFormat="1" ht="15" customHeight="1" x14ac:dyDescent="0.25">
      <c r="A5415" s="9" t="s">
        <v>10623</v>
      </c>
      <c r="C5415" s="9" t="str">
        <f>HYPERLINK("http://www.ncbi.nlm.nih.gov/protein/241666481","Pex11b")</f>
        <v>Pex11b</v>
      </c>
      <c r="D5415" s="10">
        <f t="shared" si="84"/>
        <v>5.2380945005816066</v>
      </c>
      <c r="F5415" s="8" t="str">
        <f>HYPERLINK("https://esbl.nhlbi.nih.gov/Databases/mpkFractions/proteomic_fractions_log_files/Yang_log_img/241666481.jpg","show blot")</f>
        <v>show blot</v>
      </c>
      <c r="H5415" s="8" t="str">
        <f>HYPERLINK("https://esbl.nhlbi.nih.gov/Databases/mpkFractions/proteomic_fractions_linear_files/Yang_linear_img/241666481.jpg","show blot")</f>
        <v>show blot</v>
      </c>
      <c r="J5415" s="5" t="s">
        <v>10624</v>
      </c>
      <c r="L5415" s="11">
        <v>5.2380945005816066</v>
      </c>
      <c r="N5415" s="12"/>
    </row>
    <row r="5416" spans="1:14" s="5" customFormat="1" ht="15" customHeight="1" x14ac:dyDescent="0.25">
      <c r="A5416" s="9" t="s">
        <v>10625</v>
      </c>
      <c r="C5416" s="9" t="str">
        <f>HYPERLINK("http://www.ncbi.nlm.nih.gov/protein/241666485","Pex11b")</f>
        <v>Pex11b</v>
      </c>
      <c r="D5416" s="10">
        <f t="shared" si="84"/>
        <v>5.2380945005816066</v>
      </c>
      <c r="F5416" s="8" t="str">
        <f>HYPERLINK("https://esbl.nhlbi.nih.gov/Databases/mpkFractions/proteomic_fractions_log_files/Yang_log_img/241666485.jpg","show blot")</f>
        <v>show blot</v>
      </c>
      <c r="H5416" s="8" t="str">
        <f>HYPERLINK("https://esbl.nhlbi.nih.gov/Databases/mpkFractions/proteomic_fractions_linear_files/Yang_linear_img/241666485.jpg","show blot")</f>
        <v>show blot</v>
      </c>
      <c r="J5416" s="5" t="s">
        <v>10626</v>
      </c>
      <c r="L5416" s="11">
        <v>5.2380945005816066</v>
      </c>
      <c r="N5416" s="12"/>
    </row>
    <row r="5417" spans="1:14" s="5" customFormat="1" ht="15" customHeight="1" x14ac:dyDescent="0.25">
      <c r="A5417" s="9" t="s">
        <v>10627</v>
      </c>
      <c r="C5417" s="9" t="str">
        <f>HYPERLINK("http://www.ncbi.nlm.nih.gov/protein/21735445","Pex11g")</f>
        <v>Pex11g</v>
      </c>
      <c r="D5417" s="10">
        <f t="shared" si="84"/>
        <v>3.9322464502421099</v>
      </c>
      <c r="F5417" s="8" t="str">
        <f>HYPERLINK("https://esbl.nhlbi.nih.gov/Databases/mpkFractions/proteomic_fractions_log_files/Yang_log_img/21735445.jpg","show blot")</f>
        <v>show blot</v>
      </c>
      <c r="H5417" s="8" t="str">
        <f>HYPERLINK("https://esbl.nhlbi.nih.gov/Databases/mpkFractions/proteomic_fractions_linear_files/Yang_linear_img/21735445.jpg","show blot")</f>
        <v>show blot</v>
      </c>
      <c r="J5417" s="5" t="s">
        <v>10628</v>
      </c>
      <c r="L5417" s="11">
        <v>3.9322464502421099</v>
      </c>
      <c r="N5417" s="12"/>
    </row>
    <row r="5418" spans="1:14" s="5" customFormat="1" ht="15" customHeight="1" x14ac:dyDescent="0.25">
      <c r="A5418" s="9" t="s">
        <v>10629</v>
      </c>
      <c r="C5418" s="9" t="str">
        <f>HYPERLINK("http://www.ncbi.nlm.nih.gov/protein/9790153","Pex14")</f>
        <v>Pex14</v>
      </c>
      <c r="D5418" s="10">
        <f t="shared" si="84"/>
        <v>4.1847470386050309</v>
      </c>
      <c r="F5418" s="8" t="str">
        <f>HYPERLINK("https://esbl.nhlbi.nih.gov/Databases/mpkFractions/proteomic_fractions_log_files/Yang_log_img/9790153.jpg","show blot")</f>
        <v>show blot</v>
      </c>
      <c r="H5418" s="8" t="str">
        <f>HYPERLINK("https://esbl.nhlbi.nih.gov/Databases/mpkFractions/proteomic_fractions_linear_files/Yang_linear_img/9790153.jpg","show blot")</f>
        <v>show blot</v>
      </c>
      <c r="J5418" s="5" t="s">
        <v>10630</v>
      </c>
      <c r="L5418" s="11">
        <v>4.1847470386050309</v>
      </c>
      <c r="N5418" s="12"/>
    </row>
    <row r="5419" spans="1:14" s="5" customFormat="1" ht="15" customHeight="1" x14ac:dyDescent="0.25">
      <c r="A5419" s="9" t="s">
        <v>10631</v>
      </c>
      <c r="C5419" s="9" t="str">
        <f>HYPERLINK("http://www.ncbi.nlm.nih.gov/protein/254750742","Pex16")</f>
        <v>Pex16</v>
      </c>
      <c r="D5419" s="10">
        <f t="shared" si="84"/>
        <v>4.5954298165490579</v>
      </c>
      <c r="F5419" s="8" t="str">
        <f>HYPERLINK("https://esbl.nhlbi.nih.gov/Databases/mpkFractions/proteomic_fractions_log_files/Yang_log_img/254750742.jpg","show blot")</f>
        <v>show blot</v>
      </c>
      <c r="H5419" s="8" t="str">
        <f>HYPERLINK("https://esbl.nhlbi.nih.gov/Databases/mpkFractions/proteomic_fractions_linear_files/Yang_linear_img/254750742.jpg","show blot")</f>
        <v>show blot</v>
      </c>
      <c r="J5419" s="5" t="s">
        <v>10632</v>
      </c>
      <c r="L5419" s="11">
        <v>4.5954298165490579</v>
      </c>
      <c r="N5419" s="12"/>
    </row>
    <row r="5420" spans="1:14" s="5" customFormat="1" ht="15" customHeight="1" x14ac:dyDescent="0.25">
      <c r="A5420" s="9" t="s">
        <v>10633</v>
      </c>
      <c r="C5420" s="9" t="str">
        <f>HYPERLINK("http://www.ncbi.nlm.nih.gov/protein/226958492","Pex19")</f>
        <v>Pex19</v>
      </c>
      <c r="D5420" s="10">
        <f t="shared" si="84"/>
        <v>5.6269482770250114</v>
      </c>
      <c r="F5420" s="8" t="str">
        <f>HYPERLINK("https://esbl.nhlbi.nih.gov/Databases/mpkFractions/proteomic_fractions_log_files/Yang_log_img/226958492.jpg","show blot")</f>
        <v>show blot</v>
      </c>
      <c r="H5420" s="8" t="str">
        <f>HYPERLINK("https://esbl.nhlbi.nih.gov/Databases/mpkFractions/proteomic_fractions_linear_files/Yang_linear_img/226958492.jpg","show blot")</f>
        <v>show blot</v>
      </c>
      <c r="J5420" s="5" t="s">
        <v>10634</v>
      </c>
      <c r="L5420" s="11">
        <v>5.6269482770250114</v>
      </c>
      <c r="N5420" s="12"/>
    </row>
    <row r="5421" spans="1:14" s="5" customFormat="1" ht="15" customHeight="1" x14ac:dyDescent="0.25">
      <c r="A5421" s="9" t="s">
        <v>10635</v>
      </c>
      <c r="C5421" s="9" t="str">
        <f>HYPERLINK("http://www.ncbi.nlm.nih.gov/protein/226958490","Pex19")</f>
        <v>Pex19</v>
      </c>
      <c r="D5421" s="10">
        <f t="shared" si="84"/>
        <v>5.6269482770250114</v>
      </c>
      <c r="F5421" s="8" t="str">
        <f>HYPERLINK("https://esbl.nhlbi.nih.gov/Databases/mpkFractions/proteomic_fractions_log_files/Yang_log_img/226958490.jpg","show blot")</f>
        <v>show blot</v>
      </c>
      <c r="H5421" s="8" t="str">
        <f>HYPERLINK("https://esbl.nhlbi.nih.gov/Databases/mpkFractions/proteomic_fractions_linear_files/Yang_linear_img/226958490.jpg","show blot")</f>
        <v>show blot</v>
      </c>
      <c r="J5421" s="5" t="s">
        <v>10636</v>
      </c>
      <c r="L5421" s="11">
        <v>5.6269482770250114</v>
      </c>
      <c r="N5421" s="12"/>
    </row>
    <row r="5422" spans="1:14" s="5" customFormat="1" ht="15" customHeight="1" x14ac:dyDescent="0.25">
      <c r="A5422" s="9" t="s">
        <v>10637</v>
      </c>
      <c r="C5422" s="9" t="str">
        <f>HYPERLINK("http://www.ncbi.nlm.nih.gov/protein/255958309","Pex3")</f>
        <v>Pex3</v>
      </c>
      <c r="D5422" s="10">
        <f t="shared" si="84"/>
        <v>3.751051755488076</v>
      </c>
      <c r="F5422" s="8" t="str">
        <f>HYPERLINK("https://esbl.nhlbi.nih.gov/Databases/mpkFractions/proteomic_fractions_log_files/Yang_log_img/255958309.jpg","show blot")</f>
        <v>show blot</v>
      </c>
      <c r="H5422" s="8" t="str">
        <f>HYPERLINK("https://esbl.nhlbi.nih.gov/Databases/mpkFractions/proteomic_fractions_linear_files/Yang_linear_img/255958309.jpg","show blot")</f>
        <v>show blot</v>
      </c>
      <c r="J5422" s="5" t="s">
        <v>10638</v>
      </c>
      <c r="L5422" s="11">
        <v>3.751051755488076</v>
      </c>
      <c r="N5422" s="12"/>
    </row>
    <row r="5423" spans="1:14" s="5" customFormat="1" ht="15" customHeight="1" x14ac:dyDescent="0.25">
      <c r="A5423" s="9" t="s">
        <v>10639</v>
      </c>
      <c r="C5423" s="9" t="str">
        <f>HYPERLINK("http://www.ncbi.nlm.nih.gov/protein/9910484","Pex3")</f>
        <v>Pex3</v>
      </c>
      <c r="D5423" s="10">
        <f t="shared" si="84"/>
        <v>3.751051755488076</v>
      </c>
      <c r="F5423" s="8" t="str">
        <f>HYPERLINK("https://esbl.nhlbi.nih.gov/Databases/mpkFractions/proteomic_fractions_log_files/Yang_log_img/9910484.jpg","show blot")</f>
        <v>show blot</v>
      </c>
      <c r="H5423" s="8" t="str">
        <f>HYPERLINK("https://esbl.nhlbi.nih.gov/Databases/mpkFractions/proteomic_fractions_linear_files/Yang_linear_img/9910484.jpg","show blot")</f>
        <v>show blot</v>
      </c>
      <c r="J5423" s="5" t="s">
        <v>10640</v>
      </c>
      <c r="L5423" s="11">
        <v>3.751051755488076</v>
      </c>
      <c r="N5423" s="12"/>
    </row>
    <row r="5424" spans="1:14" s="5" customFormat="1" ht="15" customHeight="1" x14ac:dyDescent="0.25">
      <c r="A5424" s="9" t="s">
        <v>10641</v>
      </c>
      <c r="C5424" s="9" t="str">
        <f>HYPERLINK("http://www.ncbi.nlm.nih.gov/protein/21703962","Pex6")</f>
        <v>Pex6</v>
      </c>
      <c r="D5424" s="10">
        <f t="shared" si="84"/>
        <v>2.859656813596819</v>
      </c>
      <c r="F5424" s="8" t="str">
        <f>HYPERLINK("https://esbl.nhlbi.nih.gov/Databases/mpkFractions/proteomic_fractions_log_files/Yang_log_img/21703962.jpg","show blot")</f>
        <v>show blot</v>
      </c>
      <c r="H5424" s="8" t="str">
        <f>HYPERLINK("https://esbl.nhlbi.nih.gov/Databases/mpkFractions/proteomic_fractions_linear_files/Yang_linear_img/21703962.jpg","show blot")</f>
        <v>show blot</v>
      </c>
      <c r="J5424" s="5" t="s">
        <v>10642</v>
      </c>
      <c r="L5424" s="11">
        <v>2.859656813596819</v>
      </c>
      <c r="N5424" s="12"/>
    </row>
    <row r="5425" spans="1:14" s="5" customFormat="1" ht="15" customHeight="1" x14ac:dyDescent="0.25">
      <c r="A5425" s="9" t="s">
        <v>10643</v>
      </c>
      <c r="C5425" s="9" t="str">
        <f>HYPERLINK("http://www.ncbi.nlm.nih.gov/protein/240120097","Pex7")</f>
        <v>Pex7</v>
      </c>
      <c r="D5425" s="10">
        <f t="shared" si="84"/>
        <v>4.1410426236968121</v>
      </c>
      <c r="F5425" s="8" t="str">
        <f>HYPERLINK("https://esbl.nhlbi.nih.gov/Databases/mpkFractions/proteomic_fractions_log_files/Yang_log_img/240120097.jpg","show blot")</f>
        <v>show blot</v>
      </c>
      <c r="H5425" s="8" t="str">
        <f>HYPERLINK("https://esbl.nhlbi.nih.gov/Databases/mpkFractions/proteomic_fractions_linear_files/Yang_linear_img/240120097.jpg","show blot")</f>
        <v>show blot</v>
      </c>
      <c r="J5425" s="5" t="s">
        <v>10644</v>
      </c>
      <c r="L5425" s="11">
        <v>4.1410426236968121</v>
      </c>
      <c r="N5425" s="12"/>
    </row>
    <row r="5426" spans="1:14" s="5" customFormat="1" ht="15" customHeight="1" x14ac:dyDescent="0.25">
      <c r="A5426" s="9" t="s">
        <v>10645</v>
      </c>
      <c r="C5426" s="9" t="str">
        <f>HYPERLINK("http://www.ncbi.nlm.nih.gov/protein/6679283","Pex7")</f>
        <v>Pex7</v>
      </c>
      <c r="D5426" s="10">
        <f t="shared" si="84"/>
        <v>4.1410426236968121</v>
      </c>
      <c r="F5426" s="8" t="str">
        <f>HYPERLINK("https://esbl.nhlbi.nih.gov/Databases/mpkFractions/proteomic_fractions_log_files/Yang_log_img/6679283.jpg","show blot")</f>
        <v>show blot</v>
      </c>
      <c r="H5426" s="8" t="str">
        <f>HYPERLINK("https://esbl.nhlbi.nih.gov/Databases/mpkFractions/proteomic_fractions_linear_files/Yang_linear_img/6679283.jpg","show blot")</f>
        <v>show blot</v>
      </c>
      <c r="J5426" s="5" t="s">
        <v>10646</v>
      </c>
      <c r="L5426" s="11">
        <v>4.1410426236968121</v>
      </c>
      <c r="N5426" s="12"/>
    </row>
    <row r="5427" spans="1:14" s="5" customFormat="1" ht="15" customHeight="1" x14ac:dyDescent="0.25">
      <c r="A5427" s="9" t="s">
        <v>10647</v>
      </c>
      <c r="C5427" s="9" t="str">
        <f>HYPERLINK("http://www.ncbi.nlm.nih.gov/protein/226958458","Pfas")</f>
        <v>Pfas</v>
      </c>
      <c r="D5427" s="10">
        <f t="shared" si="84"/>
        <v>5.3452423859936333</v>
      </c>
      <c r="F5427" s="8" t="str">
        <f>HYPERLINK("https://esbl.nhlbi.nih.gov/Databases/mpkFractions/proteomic_fractions_log_files/Yang_log_img/226958458.jpg","show blot")</f>
        <v>show blot</v>
      </c>
      <c r="H5427" s="8" t="str">
        <f>HYPERLINK("https://esbl.nhlbi.nih.gov/Databases/mpkFractions/proteomic_fractions_linear_files/Yang_linear_img/226958458.jpg","show blot")</f>
        <v>show blot</v>
      </c>
      <c r="J5427" s="5" t="s">
        <v>10648</v>
      </c>
      <c r="L5427" s="11">
        <v>5.3452423859936333</v>
      </c>
      <c r="N5427" s="12"/>
    </row>
    <row r="5428" spans="1:14" s="5" customFormat="1" ht="15" customHeight="1" x14ac:dyDescent="0.25">
      <c r="A5428" s="9" t="s">
        <v>10649</v>
      </c>
      <c r="C5428" s="9" t="str">
        <f>HYPERLINK("http://www.ncbi.nlm.nih.gov/protein/13385532","Pfdn1")</f>
        <v>Pfdn1</v>
      </c>
      <c r="D5428" s="10">
        <f t="shared" si="84"/>
        <v>5.5298233842563853</v>
      </c>
      <c r="F5428" s="8" t="str">
        <f>HYPERLINK("https://esbl.nhlbi.nih.gov/Databases/mpkFractions/proteomic_fractions_log_files/Yang_log_img/13385532.jpg","show blot")</f>
        <v>show blot</v>
      </c>
      <c r="H5428" s="8" t="str">
        <f>HYPERLINK("https://esbl.nhlbi.nih.gov/Databases/mpkFractions/proteomic_fractions_linear_files/Yang_linear_img/13385532.jpg","show blot")</f>
        <v>show blot</v>
      </c>
      <c r="J5428" s="5" t="s">
        <v>10650</v>
      </c>
      <c r="L5428" s="11">
        <v>5.5298233842563853</v>
      </c>
      <c r="N5428" s="12"/>
    </row>
    <row r="5429" spans="1:14" s="5" customFormat="1" ht="15" customHeight="1" x14ac:dyDescent="0.25">
      <c r="A5429" s="9" t="s">
        <v>10651</v>
      </c>
      <c r="C5429" s="9" t="str">
        <f>HYPERLINK("http://www.ncbi.nlm.nih.gov/protein/31981577","Pfdn2")</f>
        <v>Pfdn2</v>
      </c>
      <c r="D5429" s="10">
        <f t="shared" si="84"/>
        <v>5.5747416480395557</v>
      </c>
      <c r="F5429" s="8" t="str">
        <f>HYPERLINK("https://esbl.nhlbi.nih.gov/Databases/mpkFractions/proteomic_fractions_log_files/Yang_log_img/31981577.jpg","show blot")</f>
        <v>show blot</v>
      </c>
      <c r="H5429" s="8" t="str">
        <f>HYPERLINK("https://esbl.nhlbi.nih.gov/Databases/mpkFractions/proteomic_fractions_linear_files/Yang_linear_img/31981577.jpg","show blot")</f>
        <v>show blot</v>
      </c>
      <c r="J5429" s="5" t="s">
        <v>10652</v>
      </c>
      <c r="L5429" s="11">
        <v>5.5747416480395557</v>
      </c>
      <c r="N5429" s="12"/>
    </row>
    <row r="5430" spans="1:14" s="5" customFormat="1" ht="15" customHeight="1" x14ac:dyDescent="0.25">
      <c r="A5430" s="9" t="s">
        <v>10653</v>
      </c>
      <c r="C5430" s="9" t="str">
        <f>HYPERLINK("http://www.ncbi.nlm.nih.gov/protein/158711747","Pfdn4")</f>
        <v>Pfdn4</v>
      </c>
      <c r="D5430" s="10">
        <f t="shared" si="84"/>
        <v>4.7992892238540774</v>
      </c>
      <c r="F5430" s="8" t="str">
        <f>HYPERLINK("https://esbl.nhlbi.nih.gov/Databases/mpkFractions/proteomic_fractions_log_files/Yang_log_img/158711747.jpg","show blot")</f>
        <v>show blot</v>
      </c>
      <c r="H5430" s="8" t="str">
        <f>HYPERLINK("https://esbl.nhlbi.nih.gov/Databases/mpkFractions/proteomic_fractions_linear_files/Yang_linear_img/158711747.jpg","show blot")</f>
        <v>show blot</v>
      </c>
      <c r="J5430" s="5" t="s">
        <v>10654</v>
      </c>
      <c r="L5430" s="11">
        <v>4.7992892238540774</v>
      </c>
      <c r="N5430" s="12"/>
    </row>
    <row r="5431" spans="1:14" s="5" customFormat="1" ht="15" customHeight="1" x14ac:dyDescent="0.25">
      <c r="A5431" s="9" t="s">
        <v>10655</v>
      </c>
      <c r="C5431" s="9" t="str">
        <f>HYPERLINK("http://www.ncbi.nlm.nih.gov/protein/315507139","Pfdn4")</f>
        <v>Pfdn4</v>
      </c>
      <c r="D5431" s="10">
        <f t="shared" si="84"/>
        <v>4.7992892238540774</v>
      </c>
      <c r="F5431" s="8" t="str">
        <f>HYPERLINK("https://esbl.nhlbi.nih.gov/Databases/mpkFractions/proteomic_fractions_log_files/Yang_log_img/315507139.jpg","show blot")</f>
        <v>show blot</v>
      </c>
      <c r="H5431" s="8" t="str">
        <f>HYPERLINK("https://esbl.nhlbi.nih.gov/Databases/mpkFractions/proteomic_fractions_linear_files/Yang_linear_img/315507139.jpg","show blot")</f>
        <v>show blot</v>
      </c>
      <c r="J5431" s="5" t="s">
        <v>10656</v>
      </c>
      <c r="L5431" s="11">
        <v>4.7992892238540774</v>
      </c>
      <c r="N5431" s="12"/>
    </row>
    <row r="5432" spans="1:14" s="5" customFormat="1" ht="15" customHeight="1" x14ac:dyDescent="0.25">
      <c r="A5432" s="9" t="s">
        <v>10657</v>
      </c>
      <c r="C5432" s="9" t="str">
        <f>HYPERLINK("http://www.ncbi.nlm.nih.gov/protein/61656178","Pfdn4")</f>
        <v>Pfdn4</v>
      </c>
      <c r="D5432" s="10">
        <f t="shared" si="84"/>
        <v>4.7992892238540774</v>
      </c>
      <c r="F5432" s="8" t="str">
        <f>HYPERLINK("https://esbl.nhlbi.nih.gov/Databases/mpkFractions/proteomic_fractions_log_files/Yang_log_img/61656178.jpg","show blot")</f>
        <v>show blot</v>
      </c>
      <c r="H5432" s="8" t="str">
        <f>HYPERLINK("https://esbl.nhlbi.nih.gov/Databases/mpkFractions/proteomic_fractions_linear_files/Yang_linear_img/61656178.jpg","show blot")</f>
        <v>show blot</v>
      </c>
      <c r="J5432" s="5" t="s">
        <v>10658</v>
      </c>
      <c r="L5432" s="11">
        <v>4.7992892238540774</v>
      </c>
      <c r="N5432" s="12"/>
    </row>
    <row r="5433" spans="1:14" s="5" customFormat="1" ht="15" customHeight="1" x14ac:dyDescent="0.25">
      <c r="A5433" s="9" t="s">
        <v>10659</v>
      </c>
      <c r="C5433" s="9" t="str">
        <f>HYPERLINK("http://www.ncbi.nlm.nih.gov/protein/55741463","Pfdn5")</f>
        <v>Pfdn5</v>
      </c>
      <c r="D5433" s="10">
        <f t="shared" si="84"/>
        <v>5.2715898892085402</v>
      </c>
      <c r="F5433" s="8" t="str">
        <f>HYPERLINK("https://esbl.nhlbi.nih.gov/Databases/mpkFractions/proteomic_fractions_log_files/Yang_log_img/55741463.jpg","show blot")</f>
        <v>show blot</v>
      </c>
      <c r="H5433" s="8" t="str">
        <f>HYPERLINK("https://esbl.nhlbi.nih.gov/Databases/mpkFractions/proteomic_fractions_linear_files/Yang_linear_img/55741463.jpg","show blot")</f>
        <v>show blot</v>
      </c>
      <c r="J5433" s="5" t="s">
        <v>10660</v>
      </c>
      <c r="L5433" s="11">
        <v>5.2715898892085402</v>
      </c>
      <c r="N5433" s="12"/>
    </row>
    <row r="5434" spans="1:14" s="5" customFormat="1" ht="15" customHeight="1" x14ac:dyDescent="0.25">
      <c r="A5434" s="9" t="s">
        <v>10661</v>
      </c>
      <c r="C5434" s="9" t="str">
        <f>HYPERLINK("http://www.ncbi.nlm.nih.gov/protein/295293207","Pfkfb3")</f>
        <v>Pfkfb3</v>
      </c>
      <c r="D5434" s="10">
        <f t="shared" si="84"/>
        <v>3.735991970651205</v>
      </c>
      <c r="F5434" s="8" t="str">
        <f>HYPERLINK("https://esbl.nhlbi.nih.gov/Databases/mpkFractions/proteomic_fractions_log_files/Yang_log_img/295293207.jpg","show blot")</f>
        <v>show blot</v>
      </c>
      <c r="H5434" s="8" t="str">
        <f>HYPERLINK("https://esbl.nhlbi.nih.gov/Databases/mpkFractions/proteomic_fractions_linear_files/Yang_linear_img/295293207.jpg","show blot")</f>
        <v>show blot</v>
      </c>
      <c r="J5434" s="5" t="s">
        <v>10662</v>
      </c>
      <c r="L5434" s="11">
        <v>3.735991970651205</v>
      </c>
      <c r="N5434" s="12"/>
    </row>
    <row r="5435" spans="1:14" s="5" customFormat="1" ht="15" customHeight="1" x14ac:dyDescent="0.25">
      <c r="A5435" s="9" t="s">
        <v>10663</v>
      </c>
      <c r="C5435" s="9" t="str">
        <f>HYPERLINK("http://www.ncbi.nlm.nih.gov/protein/295293209","Pfkfb3")</f>
        <v>Pfkfb3</v>
      </c>
      <c r="D5435" s="10">
        <f t="shared" si="84"/>
        <v>3.735991970651205</v>
      </c>
      <c r="F5435" s="8" t="str">
        <f>HYPERLINK("https://esbl.nhlbi.nih.gov/Databases/mpkFractions/proteomic_fractions_log_files/Yang_log_img/295293209.jpg","show blot")</f>
        <v>show blot</v>
      </c>
      <c r="H5435" s="8" t="str">
        <f>HYPERLINK("https://esbl.nhlbi.nih.gov/Databases/mpkFractions/proteomic_fractions_linear_files/Yang_linear_img/295293209.jpg","show blot")</f>
        <v>show blot</v>
      </c>
      <c r="J5435" s="5" t="s">
        <v>10664</v>
      </c>
      <c r="L5435" s="11">
        <v>3.735991970651205</v>
      </c>
      <c r="N5435" s="12"/>
    </row>
    <row r="5436" spans="1:14" s="5" customFormat="1" ht="15" customHeight="1" x14ac:dyDescent="0.25">
      <c r="A5436" s="9" t="s">
        <v>10665</v>
      </c>
      <c r="C5436" s="9" t="str">
        <f>HYPERLINK("http://www.ncbi.nlm.nih.gov/protein/295293211","Pfkfb3")</f>
        <v>Pfkfb3</v>
      </c>
      <c r="D5436" s="10">
        <f t="shared" si="84"/>
        <v>3.735991970651205</v>
      </c>
      <c r="F5436" s="8" t="str">
        <f>HYPERLINK("https://esbl.nhlbi.nih.gov/Databases/mpkFractions/proteomic_fractions_log_files/Yang_log_img/295293211.jpg","show blot")</f>
        <v>show blot</v>
      </c>
      <c r="H5436" s="8" t="str">
        <f>HYPERLINK("https://esbl.nhlbi.nih.gov/Databases/mpkFractions/proteomic_fractions_linear_files/Yang_linear_img/295293211.jpg","show blot")</f>
        <v>show blot</v>
      </c>
      <c r="J5436" s="5" t="s">
        <v>10666</v>
      </c>
      <c r="L5436" s="11">
        <v>3.735991970651205</v>
      </c>
      <c r="N5436" s="12"/>
    </row>
    <row r="5437" spans="1:14" s="5" customFormat="1" ht="15" customHeight="1" x14ac:dyDescent="0.25">
      <c r="A5437" s="9" t="s">
        <v>10667</v>
      </c>
      <c r="C5437" s="9" t="str">
        <f>HYPERLINK("http://www.ncbi.nlm.nih.gov/protein/295293213","Pfkfb3")</f>
        <v>Pfkfb3</v>
      </c>
      <c r="D5437" s="10">
        <f t="shared" si="84"/>
        <v>3.735991970651205</v>
      </c>
      <c r="F5437" s="8" t="str">
        <f>HYPERLINK("https://esbl.nhlbi.nih.gov/Databases/mpkFractions/proteomic_fractions_log_files/Yang_log_img/295293213.jpg","show blot")</f>
        <v>show blot</v>
      </c>
      <c r="H5437" s="8" t="str">
        <f>HYPERLINK("https://esbl.nhlbi.nih.gov/Databases/mpkFractions/proteomic_fractions_linear_files/Yang_linear_img/295293213.jpg","show blot")</f>
        <v>show blot</v>
      </c>
      <c r="J5437" s="5" t="s">
        <v>10668</v>
      </c>
      <c r="L5437" s="11">
        <v>3.735991970651205</v>
      </c>
      <c r="N5437" s="12"/>
    </row>
    <row r="5438" spans="1:14" s="5" customFormat="1" ht="15" customHeight="1" x14ac:dyDescent="0.25">
      <c r="A5438" s="9" t="s">
        <v>10669</v>
      </c>
      <c r="C5438" s="9" t="str">
        <f>HYPERLINK("http://www.ncbi.nlm.nih.gov/protein/295293215","Pfkfb3")</f>
        <v>Pfkfb3</v>
      </c>
      <c r="D5438" s="10">
        <f t="shared" si="84"/>
        <v>3.735991970651205</v>
      </c>
      <c r="F5438" s="8" t="str">
        <f>HYPERLINK("https://esbl.nhlbi.nih.gov/Databases/mpkFractions/proteomic_fractions_log_files/Yang_log_img/295293215.jpg","show blot")</f>
        <v>show blot</v>
      </c>
      <c r="H5438" s="8" t="str">
        <f>HYPERLINK("https://esbl.nhlbi.nih.gov/Databases/mpkFractions/proteomic_fractions_linear_files/Yang_linear_img/295293215.jpg","show blot")</f>
        <v>show blot</v>
      </c>
      <c r="J5438" s="5" t="s">
        <v>10670</v>
      </c>
      <c r="L5438" s="11">
        <v>3.735991970651205</v>
      </c>
      <c r="N5438" s="12"/>
    </row>
    <row r="5439" spans="1:14" s="5" customFormat="1" ht="15" customHeight="1" x14ac:dyDescent="0.25">
      <c r="A5439" s="9" t="s">
        <v>10671</v>
      </c>
      <c r="C5439" s="9" t="str">
        <f>HYPERLINK("http://www.ncbi.nlm.nih.gov/protein/295293217","Pfkfb3")</f>
        <v>Pfkfb3</v>
      </c>
      <c r="D5439" s="10">
        <f t="shared" si="84"/>
        <v>3.735991970651205</v>
      </c>
      <c r="F5439" s="8" t="str">
        <f>HYPERLINK("https://esbl.nhlbi.nih.gov/Databases/mpkFractions/proteomic_fractions_log_files/Yang_log_img/295293217.jpg","show blot")</f>
        <v>show blot</v>
      </c>
      <c r="H5439" s="8" t="str">
        <f>HYPERLINK("https://esbl.nhlbi.nih.gov/Databases/mpkFractions/proteomic_fractions_linear_files/Yang_linear_img/295293217.jpg","show blot")</f>
        <v>show blot</v>
      </c>
      <c r="J5439" s="5" t="s">
        <v>10672</v>
      </c>
      <c r="L5439" s="11">
        <v>3.735991970651205</v>
      </c>
      <c r="N5439" s="12"/>
    </row>
    <row r="5440" spans="1:14" s="5" customFormat="1" ht="15" customHeight="1" x14ac:dyDescent="0.25">
      <c r="A5440" s="9" t="s">
        <v>10673</v>
      </c>
      <c r="C5440" s="9" t="str">
        <f>HYPERLINK("http://www.ncbi.nlm.nih.gov/protein/295293220","Pfkfb3")</f>
        <v>Pfkfb3</v>
      </c>
      <c r="D5440" s="10">
        <f t="shared" si="84"/>
        <v>3.735991970651205</v>
      </c>
      <c r="F5440" s="8" t="str">
        <f>HYPERLINK("https://esbl.nhlbi.nih.gov/Databases/mpkFractions/proteomic_fractions_log_files/Yang_log_img/295293220.jpg","show blot")</f>
        <v>show blot</v>
      </c>
      <c r="H5440" s="8" t="str">
        <f>HYPERLINK("https://esbl.nhlbi.nih.gov/Databases/mpkFractions/proteomic_fractions_linear_files/Yang_linear_img/295293220.jpg","show blot")</f>
        <v>show blot</v>
      </c>
      <c r="J5440" s="5" t="s">
        <v>10674</v>
      </c>
      <c r="L5440" s="11">
        <v>3.735991970651205</v>
      </c>
      <c r="N5440" s="12"/>
    </row>
    <row r="5441" spans="1:14" s="5" customFormat="1" ht="15" customHeight="1" x14ac:dyDescent="0.25">
      <c r="A5441" s="9" t="s">
        <v>10675</v>
      </c>
      <c r="C5441" s="9" t="str">
        <f>HYPERLINK("http://www.ncbi.nlm.nih.gov/protein/87298847","Pfkfb3")</f>
        <v>Pfkfb3</v>
      </c>
      <c r="D5441" s="10">
        <f t="shared" si="84"/>
        <v>3.735991970651205</v>
      </c>
      <c r="F5441" s="8" t="str">
        <f>HYPERLINK("https://esbl.nhlbi.nih.gov/Databases/mpkFractions/proteomic_fractions_log_files/Yang_log_img/87298847.jpg","show blot")</f>
        <v>show blot</v>
      </c>
      <c r="H5441" s="8" t="str">
        <f>HYPERLINK("https://esbl.nhlbi.nih.gov/Databases/mpkFractions/proteomic_fractions_linear_files/Yang_linear_img/87298847.jpg","show blot")</f>
        <v>show blot</v>
      </c>
      <c r="J5441" s="5" t="s">
        <v>10676</v>
      </c>
      <c r="L5441" s="11">
        <v>3.735991970651205</v>
      </c>
      <c r="N5441" s="12"/>
    </row>
    <row r="5442" spans="1:14" s="5" customFormat="1" ht="15" customHeight="1" x14ac:dyDescent="0.25">
      <c r="A5442" s="9" t="s">
        <v>10677</v>
      </c>
      <c r="C5442" s="9" t="str">
        <f>HYPERLINK("http://www.ncbi.nlm.nih.gov/protein/31560653","Pfkl")</f>
        <v>Pfkl</v>
      </c>
      <c r="D5442" s="10">
        <f t="shared" si="84"/>
        <v>6.4464089144293961</v>
      </c>
      <c r="F5442" s="8" t="str">
        <f>HYPERLINK("https://esbl.nhlbi.nih.gov/Databases/mpkFractions/proteomic_fractions_log_files/Yang_log_img/31560653.jpg","show blot")</f>
        <v>show blot</v>
      </c>
      <c r="H5442" s="8" t="str">
        <f>HYPERLINK("https://esbl.nhlbi.nih.gov/Databases/mpkFractions/proteomic_fractions_linear_files/Yang_linear_img/31560653.jpg","show blot")</f>
        <v>show blot</v>
      </c>
      <c r="J5442" s="5" t="s">
        <v>10678</v>
      </c>
      <c r="L5442" s="11">
        <v>6.4464089144293961</v>
      </c>
      <c r="N5442" s="12"/>
    </row>
    <row r="5443" spans="1:14" s="5" customFormat="1" ht="15" customHeight="1" x14ac:dyDescent="0.25">
      <c r="A5443" s="9" t="s">
        <v>10679</v>
      </c>
      <c r="C5443" s="9" t="str">
        <f>HYPERLINK("http://www.ncbi.nlm.nih.gov/protein/254553348;254553344","Pfkm")</f>
        <v>Pfkm</v>
      </c>
      <c r="D5443" s="10">
        <f t="shared" si="84"/>
        <v>5.6952481126869614</v>
      </c>
      <c r="F5443" s="8" t="str">
        <f>HYPERLINK("https://esbl.nhlbi.nih.gov/Databases/mpkFractions/proteomic_fractions_log_files/Yang_log_img/254553348;254553344.jpg","show blot")</f>
        <v>show blot</v>
      </c>
      <c r="H5443" s="8" t="str">
        <f>HYPERLINK("https://esbl.nhlbi.nih.gov/Databases/mpkFractions/proteomic_fractions_linear_files/Yang_linear_img/254553348;254553344.jpg","show blot")</f>
        <v>show blot</v>
      </c>
      <c r="J5443" s="5" t="s">
        <v>10680</v>
      </c>
      <c r="L5443" s="11">
        <v>5.6952481126869614</v>
      </c>
      <c r="N5443" s="12"/>
    </row>
    <row r="5444" spans="1:14" s="5" customFormat="1" ht="15" customHeight="1" x14ac:dyDescent="0.25">
      <c r="A5444" s="9" t="s">
        <v>10681</v>
      </c>
      <c r="C5444" s="9" t="str">
        <f>HYPERLINK("http://www.ncbi.nlm.nih.gov/protein/9790051","Pfkp")</f>
        <v>Pfkp</v>
      </c>
      <c r="D5444" s="10">
        <f t="shared" si="84"/>
        <v>5.9809047191617504</v>
      </c>
      <c r="F5444" s="8" t="str">
        <f>HYPERLINK("https://esbl.nhlbi.nih.gov/Databases/mpkFractions/proteomic_fractions_log_files/Yang_log_img/9790051.jpg","show blot")</f>
        <v>show blot</v>
      </c>
      <c r="H5444" s="8" t="str">
        <f>HYPERLINK("https://esbl.nhlbi.nih.gov/Databases/mpkFractions/proteomic_fractions_linear_files/Yang_linear_img/9790051.jpg","show blot")</f>
        <v>show blot</v>
      </c>
      <c r="J5444" s="5" t="s">
        <v>10682</v>
      </c>
      <c r="L5444" s="11">
        <v>5.9809047191617504</v>
      </c>
      <c r="N5444" s="12"/>
    </row>
    <row r="5445" spans="1:14" s="5" customFormat="1" ht="15" customHeight="1" x14ac:dyDescent="0.25">
      <c r="A5445" s="9" t="s">
        <v>10683</v>
      </c>
      <c r="C5445" s="9" t="str">
        <f>HYPERLINK("http://www.ncbi.nlm.nih.gov/protein/6755040","Pfn1")</f>
        <v>Pfn1</v>
      </c>
      <c r="D5445" s="10">
        <f t="shared" ref="D5445:D5508" si="85">L5445</f>
        <v>7.0740772483070478</v>
      </c>
      <c r="F5445" s="8" t="str">
        <f>HYPERLINK("https://esbl.nhlbi.nih.gov/Databases/mpkFractions/proteomic_fractions_log_files/Yang_log_img/6755040.jpg","show blot")</f>
        <v>show blot</v>
      </c>
      <c r="H5445" s="8" t="str">
        <f>HYPERLINK("https://esbl.nhlbi.nih.gov/Databases/mpkFractions/proteomic_fractions_linear_files/Yang_linear_img/6755040.jpg","show blot")</f>
        <v>show blot</v>
      </c>
      <c r="J5445" s="5" t="s">
        <v>10684</v>
      </c>
      <c r="L5445" s="11">
        <v>7.0740772483070478</v>
      </c>
      <c r="N5445" s="12"/>
    </row>
    <row r="5446" spans="1:14" s="5" customFormat="1" ht="15" customHeight="1" x14ac:dyDescent="0.25">
      <c r="A5446" s="9" t="s">
        <v>10685</v>
      </c>
      <c r="C5446" s="9" t="str">
        <f>HYPERLINK("http://www.ncbi.nlm.nih.gov/protein/9506971","Pfn2")</f>
        <v>Pfn2</v>
      </c>
      <c r="D5446" s="10">
        <f t="shared" si="85"/>
        <v>5.2787986919005183</v>
      </c>
      <c r="F5446" s="8" t="str">
        <f>HYPERLINK("https://esbl.nhlbi.nih.gov/Databases/mpkFractions/proteomic_fractions_log_files/Yang_log_img/9506971.jpg","show blot")</f>
        <v>show blot</v>
      </c>
      <c r="H5446" s="8" t="str">
        <f>HYPERLINK("https://esbl.nhlbi.nih.gov/Databases/mpkFractions/proteomic_fractions_linear_files/Yang_linear_img/9506971.jpg","show blot")</f>
        <v>show blot</v>
      </c>
      <c r="J5446" s="5" t="s">
        <v>10686</v>
      </c>
      <c r="L5446" s="11">
        <v>5.2787986919005183</v>
      </c>
      <c r="N5446" s="12"/>
    </row>
    <row r="5447" spans="1:14" s="5" customFormat="1" ht="15" customHeight="1" x14ac:dyDescent="0.25">
      <c r="A5447" s="9" t="s">
        <v>10687</v>
      </c>
      <c r="C5447" s="9" t="str">
        <f>HYPERLINK("http://www.ncbi.nlm.nih.gov/protein/114326546","Pgam1")</f>
        <v>Pgam1</v>
      </c>
      <c r="D5447" s="10">
        <f t="shared" si="85"/>
        <v>7.1532566780833413</v>
      </c>
      <c r="F5447" s="8" t="str">
        <f>HYPERLINK("https://esbl.nhlbi.nih.gov/Databases/mpkFractions/proteomic_fractions_log_files/Yang_log_img/114326546.jpg","show blot")</f>
        <v>show blot</v>
      </c>
      <c r="H5447" s="8" t="str">
        <f>HYPERLINK("https://esbl.nhlbi.nih.gov/Databases/mpkFractions/proteomic_fractions_linear_files/Yang_linear_img/114326546.jpg","show blot")</f>
        <v>show blot</v>
      </c>
      <c r="J5447" s="5" t="s">
        <v>10688</v>
      </c>
      <c r="L5447" s="11">
        <v>7.1532566780833413</v>
      </c>
      <c r="N5447" s="12"/>
    </row>
    <row r="5448" spans="1:14" s="5" customFormat="1" ht="15" customHeight="1" x14ac:dyDescent="0.25">
      <c r="A5448" s="9" t="s">
        <v>10689</v>
      </c>
      <c r="C5448" s="9" t="str">
        <f>HYPERLINK("http://www.ncbi.nlm.nih.gov/protein/9256624","Pgam2")</f>
        <v>Pgam2</v>
      </c>
      <c r="D5448" s="10">
        <f t="shared" si="85"/>
        <v>6.7278642426331379</v>
      </c>
      <c r="F5448" s="8" t="str">
        <f>HYPERLINK("https://esbl.nhlbi.nih.gov/Databases/mpkFractions/proteomic_fractions_log_files/Yang_log_img/9256624.jpg","show blot")</f>
        <v>show blot</v>
      </c>
      <c r="H5448" s="8" t="str">
        <f>HYPERLINK("https://esbl.nhlbi.nih.gov/Databases/mpkFractions/proteomic_fractions_linear_files/Yang_linear_img/9256624.jpg","show blot")</f>
        <v>show blot</v>
      </c>
      <c r="J5448" s="5" t="s">
        <v>10690</v>
      </c>
      <c r="L5448" s="11">
        <v>6.7278642426331379</v>
      </c>
      <c r="N5448" s="12"/>
    </row>
    <row r="5449" spans="1:14" s="5" customFormat="1" ht="15" customHeight="1" x14ac:dyDescent="0.25">
      <c r="A5449" s="9" t="s">
        <v>10691</v>
      </c>
      <c r="C5449" s="9" t="str">
        <f>HYPERLINK("http://www.ncbi.nlm.nih.gov/protein/254587960","Pgam5")</f>
        <v>Pgam5</v>
      </c>
      <c r="D5449" s="10">
        <f t="shared" si="85"/>
        <v>5.3861962544763147</v>
      </c>
      <c r="F5449" s="8" t="str">
        <f>HYPERLINK("https://esbl.nhlbi.nih.gov/Databases/mpkFractions/proteomic_fractions_log_files/Yang_log_img/254587960.jpg","show blot")</f>
        <v>show blot</v>
      </c>
      <c r="H5449" s="8" t="str">
        <f>HYPERLINK("https://esbl.nhlbi.nih.gov/Databases/mpkFractions/proteomic_fractions_linear_files/Yang_linear_img/254587960.jpg","show blot")</f>
        <v>show blot</v>
      </c>
      <c r="J5449" s="5" t="s">
        <v>10692</v>
      </c>
      <c r="L5449" s="11">
        <v>5.3861962544763147</v>
      </c>
      <c r="N5449" s="12"/>
    </row>
    <row r="5450" spans="1:14" s="5" customFormat="1" ht="15" customHeight="1" x14ac:dyDescent="0.25">
      <c r="A5450" s="9" t="s">
        <v>10693</v>
      </c>
      <c r="C5450" s="9" t="str">
        <f>HYPERLINK("http://www.ncbi.nlm.nih.gov/protein/254587962","Pgam5")</f>
        <v>Pgam5</v>
      </c>
      <c r="D5450" s="10">
        <f t="shared" si="85"/>
        <v>5.3861962544763147</v>
      </c>
      <c r="F5450" s="8" t="str">
        <f>HYPERLINK("https://esbl.nhlbi.nih.gov/Databases/mpkFractions/proteomic_fractions_log_files/Yang_log_img/254587962.jpg","show blot")</f>
        <v>show blot</v>
      </c>
      <c r="H5450" s="8" t="str">
        <f>HYPERLINK("https://esbl.nhlbi.nih.gov/Databases/mpkFractions/proteomic_fractions_linear_files/Yang_linear_img/254587962.jpg","show blot")</f>
        <v>show blot</v>
      </c>
      <c r="J5450" s="5" t="s">
        <v>10694</v>
      </c>
      <c r="L5450" s="11">
        <v>5.3861962544763147</v>
      </c>
      <c r="N5450" s="12"/>
    </row>
    <row r="5451" spans="1:14" s="5" customFormat="1" ht="15" customHeight="1" x14ac:dyDescent="0.25">
      <c r="A5451" s="9" t="s">
        <v>10695</v>
      </c>
      <c r="C5451" s="9" t="str">
        <f>HYPERLINK("http://www.ncbi.nlm.nih.gov/protein/254028203","Pgap1")</f>
        <v>Pgap1</v>
      </c>
      <c r="D5451" s="10">
        <f t="shared" si="85"/>
        <v>4.818816484547721</v>
      </c>
      <c r="F5451" s="8" t="str">
        <f>HYPERLINK("https://esbl.nhlbi.nih.gov/Databases/mpkFractions/proteomic_fractions_log_files/Yang_log_img/254028203.jpg","show blot")</f>
        <v>show blot</v>
      </c>
      <c r="H5451" s="8" t="str">
        <f>HYPERLINK("https://esbl.nhlbi.nih.gov/Databases/mpkFractions/proteomic_fractions_linear_files/Yang_linear_img/254028203.jpg","show blot")</f>
        <v>show blot</v>
      </c>
      <c r="J5451" s="5" t="s">
        <v>10696</v>
      </c>
      <c r="L5451" s="11">
        <v>4.818816484547721</v>
      </c>
      <c r="N5451" s="12"/>
    </row>
    <row r="5452" spans="1:14" s="5" customFormat="1" ht="15" customHeight="1" x14ac:dyDescent="0.25">
      <c r="A5452" s="9" t="s">
        <v>10697</v>
      </c>
      <c r="C5452" s="9" t="str">
        <f>HYPERLINK("http://www.ncbi.nlm.nih.gov/protein/114326508","Pgap3")</f>
        <v>Pgap3</v>
      </c>
      <c r="D5452" s="10">
        <f t="shared" si="85"/>
        <v>2.5637756648507568</v>
      </c>
      <c r="F5452" s="8" t="str">
        <f>HYPERLINK("https://esbl.nhlbi.nih.gov/Databases/mpkFractions/proteomic_fractions_log_files/Yang_log_img/114326508.jpg","show blot")</f>
        <v>show blot</v>
      </c>
      <c r="H5452" s="8" t="str">
        <f>HYPERLINK("https://esbl.nhlbi.nih.gov/Databases/mpkFractions/proteomic_fractions_linear_files/Yang_linear_img/114326508.jpg","show blot")</f>
        <v>show blot</v>
      </c>
      <c r="J5452" s="5" t="s">
        <v>10698</v>
      </c>
      <c r="L5452" s="11">
        <v>2.5637756648507568</v>
      </c>
      <c r="N5452" s="12"/>
    </row>
    <row r="5453" spans="1:14" s="5" customFormat="1" ht="15" customHeight="1" x14ac:dyDescent="0.25">
      <c r="A5453" s="9" t="s">
        <v>10699</v>
      </c>
      <c r="C5453" s="9" t="str">
        <f>HYPERLINK("http://www.ncbi.nlm.nih.gov/protein/124486895","Pgd")</f>
        <v>Pgd</v>
      </c>
      <c r="D5453" s="10">
        <f t="shared" si="85"/>
        <v>6.4670955429741266</v>
      </c>
      <c r="F5453" s="8" t="str">
        <f>HYPERLINK("https://esbl.nhlbi.nih.gov/Databases/mpkFractions/proteomic_fractions_log_files/Yang_log_img/124486895.jpg","show blot")</f>
        <v>show blot</v>
      </c>
      <c r="H5453" s="8" t="str">
        <f>HYPERLINK("https://esbl.nhlbi.nih.gov/Databases/mpkFractions/proteomic_fractions_linear_files/Yang_linear_img/124486895.jpg","show blot")</f>
        <v>show blot</v>
      </c>
      <c r="J5453" s="5" t="s">
        <v>10700</v>
      </c>
      <c r="L5453" s="11">
        <v>6.4670955429741266</v>
      </c>
      <c r="N5453" s="12"/>
    </row>
    <row r="5454" spans="1:14" s="5" customFormat="1" ht="15" customHeight="1" x14ac:dyDescent="0.25">
      <c r="A5454" s="9" t="s">
        <v>10701</v>
      </c>
      <c r="C5454" s="9" t="str">
        <f>HYPERLINK("http://www.ncbi.nlm.nih.gov/protein/27369904","Pggt1b")</f>
        <v>Pggt1b</v>
      </c>
      <c r="D5454" s="10">
        <f t="shared" si="85"/>
        <v>4.4545470837871761</v>
      </c>
      <c r="F5454" s="8" t="str">
        <f>HYPERLINK("https://esbl.nhlbi.nih.gov/Databases/mpkFractions/proteomic_fractions_log_files/Yang_log_img/27369904.jpg","show blot")</f>
        <v>show blot</v>
      </c>
      <c r="H5454" s="8" t="str">
        <f>HYPERLINK("https://esbl.nhlbi.nih.gov/Databases/mpkFractions/proteomic_fractions_linear_files/Yang_linear_img/27369904.jpg","show blot")</f>
        <v>show blot</v>
      </c>
      <c r="J5454" s="5" t="s">
        <v>10702</v>
      </c>
      <c r="L5454" s="11">
        <v>4.4545470837871761</v>
      </c>
      <c r="N5454" s="12"/>
    </row>
    <row r="5455" spans="1:14" s="5" customFormat="1" ht="15" customHeight="1" x14ac:dyDescent="0.25">
      <c r="A5455" s="9" t="s">
        <v>10703</v>
      </c>
      <c r="C5455" s="9" t="str">
        <f>HYPERLINK("http://www.ncbi.nlm.nih.gov/protein/70778976","Pgk1")</f>
        <v>Pgk1</v>
      </c>
      <c r="D5455" s="10">
        <f t="shared" si="85"/>
        <v>7.3143022315715438</v>
      </c>
      <c r="F5455" s="8" t="str">
        <f>HYPERLINK("https://esbl.nhlbi.nih.gov/Databases/mpkFractions/proteomic_fractions_log_files/Yang_log_img/70778976.jpg","show blot")</f>
        <v>show blot</v>
      </c>
      <c r="H5455" s="8" t="str">
        <f>HYPERLINK("https://esbl.nhlbi.nih.gov/Databases/mpkFractions/proteomic_fractions_linear_files/Yang_linear_img/70778976.jpg","show blot")</f>
        <v>show blot</v>
      </c>
      <c r="J5455" s="5" t="s">
        <v>10704</v>
      </c>
      <c r="L5455" s="11">
        <v>7.3143022315715438</v>
      </c>
      <c r="N5455" s="12"/>
    </row>
    <row r="5456" spans="1:14" s="5" customFormat="1" ht="15" customHeight="1" x14ac:dyDescent="0.25">
      <c r="A5456" s="9" t="s">
        <v>10705</v>
      </c>
      <c r="C5456" s="9" t="str">
        <f>HYPERLINK("http://www.ncbi.nlm.nih.gov/protein/226246531","Pgk2")</f>
        <v>Pgk2</v>
      </c>
      <c r="D5456" s="10">
        <f t="shared" si="85"/>
        <v>6.7162347681526304</v>
      </c>
      <c r="F5456" s="8" t="str">
        <f>HYPERLINK("https://esbl.nhlbi.nih.gov/Databases/mpkFractions/proteomic_fractions_log_files/Yang_log_img/226246531.jpg","show blot")</f>
        <v>show blot</v>
      </c>
      <c r="H5456" s="8" t="str">
        <f>HYPERLINK("https://esbl.nhlbi.nih.gov/Databases/mpkFractions/proteomic_fractions_linear_files/Yang_linear_img/226246531.jpg","show blot")</f>
        <v>show blot</v>
      </c>
      <c r="J5456" s="5" t="s">
        <v>10706</v>
      </c>
      <c r="L5456" s="11">
        <v>6.7162347681526304</v>
      </c>
      <c r="N5456" s="12"/>
    </row>
    <row r="5457" spans="1:14" s="5" customFormat="1" ht="15" customHeight="1" x14ac:dyDescent="0.25">
      <c r="A5457" s="9" t="s">
        <v>10707</v>
      </c>
      <c r="C5457" s="9" t="str">
        <f>HYPERLINK("http://www.ncbi.nlm.nih.gov/protein/13384778","Pgls")</f>
        <v>Pgls</v>
      </c>
      <c r="D5457" s="10">
        <f t="shared" si="85"/>
        <v>5.9798864345487068</v>
      </c>
      <c r="F5457" s="8" t="str">
        <f>HYPERLINK("https://esbl.nhlbi.nih.gov/Databases/mpkFractions/proteomic_fractions_log_files/Yang_log_img/13384778.jpg","show blot")</f>
        <v>show blot</v>
      </c>
      <c r="H5457" s="8" t="str">
        <f>HYPERLINK("https://esbl.nhlbi.nih.gov/Databases/mpkFractions/proteomic_fractions_linear_files/Yang_linear_img/13384778.jpg","show blot")</f>
        <v>show blot</v>
      </c>
      <c r="J5457" s="5" t="s">
        <v>10708</v>
      </c>
      <c r="L5457" s="11">
        <v>5.9798864345487068</v>
      </c>
      <c r="N5457" s="12"/>
    </row>
    <row r="5458" spans="1:14" s="5" customFormat="1" ht="15" customHeight="1" x14ac:dyDescent="0.25">
      <c r="A5458" s="9" t="s">
        <v>10709</v>
      </c>
      <c r="C5458" s="9" t="str">
        <f>HYPERLINK("http://www.ncbi.nlm.nih.gov/protein/33859686","Pgm1")</f>
        <v>Pgm1</v>
      </c>
      <c r="D5458" s="10">
        <f t="shared" si="85"/>
        <v>5.1750770607709127</v>
      </c>
      <c r="F5458" s="8" t="str">
        <f>HYPERLINK("https://esbl.nhlbi.nih.gov/Databases/mpkFractions/proteomic_fractions_log_files/Yang_log_img/33859686.jpg","show blot")</f>
        <v>show blot</v>
      </c>
      <c r="H5458" s="8" t="str">
        <f>HYPERLINK("https://esbl.nhlbi.nih.gov/Databases/mpkFractions/proteomic_fractions_linear_files/Yang_linear_img/33859686.jpg","show blot")</f>
        <v>show blot</v>
      </c>
      <c r="J5458" s="5" t="s">
        <v>10710</v>
      </c>
      <c r="L5458" s="11">
        <v>5.1750770607709127</v>
      </c>
      <c r="N5458" s="12"/>
    </row>
    <row r="5459" spans="1:14" s="5" customFormat="1" ht="15" customHeight="1" x14ac:dyDescent="0.25">
      <c r="A5459" s="9" t="s">
        <v>10711</v>
      </c>
      <c r="C5459" s="9" t="str">
        <f>HYPERLINK("http://www.ncbi.nlm.nih.gov/protein/227330633","Pgm2")</f>
        <v>Pgm2</v>
      </c>
      <c r="D5459" s="10">
        <f t="shared" si="85"/>
        <v>6.0626595264574954</v>
      </c>
      <c r="F5459" s="8" t="str">
        <f>HYPERLINK("https://esbl.nhlbi.nih.gov/Databases/mpkFractions/proteomic_fractions_log_files/Yang_log_img/227330633.jpg","show blot")</f>
        <v>show blot</v>
      </c>
      <c r="H5459" s="8" t="str">
        <f>HYPERLINK("https://esbl.nhlbi.nih.gov/Databases/mpkFractions/proteomic_fractions_linear_files/Yang_linear_img/227330633.jpg","show blot")</f>
        <v>show blot</v>
      </c>
      <c r="J5459" s="5" t="s">
        <v>10712</v>
      </c>
      <c r="L5459" s="11">
        <v>6.0626595264574954</v>
      </c>
      <c r="N5459" s="12"/>
    </row>
    <row r="5460" spans="1:14" s="5" customFormat="1" ht="15" customHeight="1" x14ac:dyDescent="0.25">
      <c r="A5460" s="9" t="s">
        <v>10713</v>
      </c>
      <c r="C5460" s="9" t="str">
        <f>HYPERLINK("http://www.ncbi.nlm.nih.gov/protein/28076969","Pgm2l1")</f>
        <v>Pgm2l1</v>
      </c>
      <c r="D5460" s="10">
        <f t="shared" si="85"/>
        <v>4.3134762529062396</v>
      </c>
      <c r="F5460" s="8" t="str">
        <f>HYPERLINK("https://esbl.nhlbi.nih.gov/Databases/mpkFractions/proteomic_fractions_log_files/Yang_log_img/28076969.jpg","show blot")</f>
        <v>show blot</v>
      </c>
      <c r="H5460" s="8" t="str">
        <f>HYPERLINK("https://esbl.nhlbi.nih.gov/Databases/mpkFractions/proteomic_fractions_linear_files/Yang_linear_img/28076969.jpg","show blot")</f>
        <v>show blot</v>
      </c>
      <c r="J5460" s="5" t="s">
        <v>10714</v>
      </c>
      <c r="L5460" s="11">
        <v>4.3134762529062396</v>
      </c>
      <c r="N5460" s="12"/>
    </row>
    <row r="5461" spans="1:14" s="5" customFormat="1" ht="15" customHeight="1" x14ac:dyDescent="0.25">
      <c r="A5461" s="9" t="s">
        <v>10715</v>
      </c>
      <c r="C5461" s="9" t="str">
        <f>HYPERLINK("http://www.ncbi.nlm.nih.gov/protein/255522939","Pgm3")</f>
        <v>Pgm3</v>
      </c>
      <c r="D5461" s="10">
        <f t="shared" si="85"/>
        <v>4.5581873859656152</v>
      </c>
      <c r="F5461" s="8" t="str">
        <f>HYPERLINK("https://esbl.nhlbi.nih.gov/Databases/mpkFractions/proteomic_fractions_log_files/Yang_log_img/255522939.jpg","show blot")</f>
        <v>show blot</v>
      </c>
      <c r="H5461" s="8" t="str">
        <f>HYPERLINK("https://esbl.nhlbi.nih.gov/Databases/mpkFractions/proteomic_fractions_linear_files/Yang_linear_img/255522939.jpg","show blot")</f>
        <v>show blot</v>
      </c>
      <c r="J5461" s="5" t="s">
        <v>10716</v>
      </c>
      <c r="L5461" s="11">
        <v>4.5581873859656152</v>
      </c>
      <c r="N5461" s="12"/>
    </row>
    <row r="5462" spans="1:14" s="5" customFormat="1" ht="15" customHeight="1" x14ac:dyDescent="0.25">
      <c r="A5462" s="9" t="s">
        <v>10717</v>
      </c>
      <c r="C5462" s="9" t="str">
        <f>HYPERLINK("http://www.ncbi.nlm.nih.gov/protein/255522941","Pgm3")</f>
        <v>Pgm3</v>
      </c>
      <c r="D5462" s="10">
        <f t="shared" si="85"/>
        <v>4.5581873859656152</v>
      </c>
      <c r="F5462" s="8" t="str">
        <f>HYPERLINK("https://esbl.nhlbi.nih.gov/Databases/mpkFractions/proteomic_fractions_log_files/Yang_log_img/255522941.jpg","show blot")</f>
        <v>show blot</v>
      </c>
      <c r="H5462" s="8" t="str">
        <f>HYPERLINK("https://esbl.nhlbi.nih.gov/Databases/mpkFractions/proteomic_fractions_linear_files/Yang_linear_img/255522941.jpg","show blot")</f>
        <v>show blot</v>
      </c>
      <c r="J5462" s="5" t="s">
        <v>10718</v>
      </c>
      <c r="L5462" s="11">
        <v>4.5581873859656152</v>
      </c>
      <c r="N5462" s="12"/>
    </row>
    <row r="5463" spans="1:14" s="5" customFormat="1" ht="15" customHeight="1" x14ac:dyDescent="0.25">
      <c r="A5463" s="9" t="s">
        <v>10719</v>
      </c>
      <c r="C5463" s="9" t="str">
        <f>HYPERLINK("http://www.ncbi.nlm.nih.gov/protein/40254507","Pgp")</f>
        <v>Pgp</v>
      </c>
      <c r="D5463" s="10">
        <f t="shared" si="85"/>
        <v>6.0713282644449187</v>
      </c>
      <c r="F5463" s="8" t="str">
        <f>HYPERLINK("https://esbl.nhlbi.nih.gov/Databases/mpkFractions/proteomic_fractions_log_files/Yang_log_img/40254507.jpg","show blot")</f>
        <v>show blot</v>
      </c>
      <c r="H5463" s="8" t="str">
        <f>HYPERLINK("https://esbl.nhlbi.nih.gov/Databases/mpkFractions/proteomic_fractions_linear_files/Yang_linear_img/40254507.jpg","show blot")</f>
        <v>show blot</v>
      </c>
      <c r="J5463" s="5" t="s">
        <v>10720</v>
      </c>
      <c r="L5463" s="11">
        <v>6.0713282644449187</v>
      </c>
      <c r="N5463" s="12"/>
    </row>
    <row r="5464" spans="1:14" s="5" customFormat="1" ht="15" customHeight="1" x14ac:dyDescent="0.25">
      <c r="A5464" s="9" t="s">
        <v>10721</v>
      </c>
      <c r="C5464" s="9" t="str">
        <f>HYPERLINK("http://www.ncbi.nlm.nih.gov/protein/31980806","Pgrmc1")</f>
        <v>Pgrmc1</v>
      </c>
      <c r="D5464" s="10">
        <f t="shared" si="85"/>
        <v>5.417645410907812</v>
      </c>
      <c r="F5464" s="8" t="str">
        <f>HYPERLINK("https://esbl.nhlbi.nih.gov/Databases/mpkFractions/proteomic_fractions_log_files/Yang_log_img/31980806.jpg","show blot")</f>
        <v>show blot</v>
      </c>
      <c r="H5464" s="8" t="str">
        <f>HYPERLINK("https://esbl.nhlbi.nih.gov/Databases/mpkFractions/proteomic_fractions_linear_files/Yang_linear_img/31980806.jpg","show blot")</f>
        <v>show blot</v>
      </c>
      <c r="J5464" s="5" t="s">
        <v>10722</v>
      </c>
      <c r="L5464" s="11">
        <v>5.417645410907812</v>
      </c>
      <c r="N5464" s="12"/>
    </row>
    <row r="5465" spans="1:14" s="5" customFormat="1" ht="15" customHeight="1" x14ac:dyDescent="0.25">
      <c r="A5465" s="9" t="s">
        <v>10723</v>
      </c>
      <c r="C5465" s="9" t="str">
        <f>HYPERLINK("http://www.ncbi.nlm.nih.gov/protein/226442772","Pgrmc2")</f>
        <v>Pgrmc2</v>
      </c>
      <c r="D5465" s="10">
        <f t="shared" si="85"/>
        <v>5.6200810331326334</v>
      </c>
      <c r="F5465" s="8" t="str">
        <f>HYPERLINK("https://esbl.nhlbi.nih.gov/Databases/mpkFractions/proteomic_fractions_log_files/Yang_log_img/226442772.jpg","show blot")</f>
        <v>show blot</v>
      </c>
      <c r="H5465" s="8" t="str">
        <f>HYPERLINK("https://esbl.nhlbi.nih.gov/Databases/mpkFractions/proteomic_fractions_linear_files/Yang_linear_img/226442772.jpg","show blot")</f>
        <v>show blot</v>
      </c>
      <c r="J5465" s="5" t="s">
        <v>10724</v>
      </c>
      <c r="L5465" s="11">
        <v>5.6200810331326334</v>
      </c>
      <c r="N5465" s="12"/>
    </row>
    <row r="5466" spans="1:14" s="5" customFormat="1" ht="15" customHeight="1" x14ac:dyDescent="0.25">
      <c r="A5466" s="9" t="s">
        <v>10725</v>
      </c>
      <c r="C5466" s="9" t="str">
        <f>HYPERLINK("http://www.ncbi.nlm.nih.gov/protein/110626163","Pgs1")</f>
        <v>Pgs1</v>
      </c>
      <c r="D5466" s="10">
        <f t="shared" si="85"/>
        <v>3.2838241075625429</v>
      </c>
      <c r="F5466" s="8" t="str">
        <f>HYPERLINK("https://esbl.nhlbi.nih.gov/Databases/mpkFractions/proteomic_fractions_log_files/Yang_log_img/110626163.jpg","show blot")</f>
        <v>show blot</v>
      </c>
      <c r="H5466" s="8" t="str">
        <f>HYPERLINK("https://esbl.nhlbi.nih.gov/Databases/mpkFractions/proteomic_fractions_linear_files/Yang_linear_img/110626163.jpg","show blot")</f>
        <v>show blot</v>
      </c>
      <c r="J5466" s="5" t="s">
        <v>10726</v>
      </c>
      <c r="L5466" s="11">
        <v>3.2838241075625429</v>
      </c>
      <c r="N5466" s="12"/>
    </row>
    <row r="5467" spans="1:14" s="5" customFormat="1" ht="15" customHeight="1" x14ac:dyDescent="0.25">
      <c r="A5467" s="9" t="s">
        <v>10727</v>
      </c>
      <c r="C5467" s="9" t="str">
        <f>HYPERLINK("http://www.ncbi.nlm.nih.gov/protein/54144633","Phactr1")</f>
        <v>Phactr1</v>
      </c>
      <c r="D5467" s="10">
        <f t="shared" si="85"/>
        <v>2.801892979209692</v>
      </c>
      <c r="F5467" s="8" t="str">
        <f>HYPERLINK("https://esbl.nhlbi.nih.gov/Databases/mpkFractions/proteomic_fractions_log_files/Yang_log_img/54144633.jpg","show blot")</f>
        <v>show blot</v>
      </c>
      <c r="H5467" s="8" t="str">
        <f>HYPERLINK("https://esbl.nhlbi.nih.gov/Databases/mpkFractions/proteomic_fractions_linear_files/Yang_linear_img/54144633.jpg","show blot")</f>
        <v>show blot</v>
      </c>
      <c r="J5467" s="5" t="s">
        <v>10728</v>
      </c>
      <c r="L5467" s="11">
        <v>2.801892979209692</v>
      </c>
      <c r="N5467" s="12"/>
    </row>
    <row r="5468" spans="1:14" s="5" customFormat="1" ht="15" customHeight="1" x14ac:dyDescent="0.25">
      <c r="A5468" s="9" t="s">
        <v>10729</v>
      </c>
      <c r="C5468" s="9" t="str">
        <f>HYPERLINK("http://www.ncbi.nlm.nih.gov/protein/54144635","Phactr1")</f>
        <v>Phactr1</v>
      </c>
      <c r="D5468" s="10">
        <f t="shared" si="85"/>
        <v>2.801892979209692</v>
      </c>
      <c r="F5468" s="8" t="str">
        <f>HYPERLINK("https://esbl.nhlbi.nih.gov/Databases/mpkFractions/proteomic_fractions_log_files/Yang_log_img/54144635.jpg","show blot")</f>
        <v>show blot</v>
      </c>
      <c r="H5468" s="8" t="str">
        <f>HYPERLINK("https://esbl.nhlbi.nih.gov/Databases/mpkFractions/proteomic_fractions_linear_files/Yang_linear_img/54144635.jpg","show blot")</f>
        <v>show blot</v>
      </c>
      <c r="J5468" s="5" t="s">
        <v>10730</v>
      </c>
      <c r="L5468" s="11">
        <v>2.801892979209692</v>
      </c>
      <c r="N5468" s="12"/>
    </row>
    <row r="5469" spans="1:14" s="5" customFormat="1" ht="15" customHeight="1" x14ac:dyDescent="0.25">
      <c r="A5469" s="9" t="s">
        <v>10731</v>
      </c>
      <c r="C5469" s="9" t="str">
        <f>HYPERLINK("http://www.ncbi.nlm.nih.gov/protein/54144637","Phactr1")</f>
        <v>Phactr1</v>
      </c>
      <c r="D5469" s="10">
        <f t="shared" si="85"/>
        <v>2.801892979209692</v>
      </c>
      <c r="F5469" s="8" t="str">
        <f>HYPERLINK("https://esbl.nhlbi.nih.gov/Databases/mpkFractions/proteomic_fractions_log_files/Yang_log_img/54144637.jpg","show blot")</f>
        <v>show blot</v>
      </c>
      <c r="H5469" s="8" t="str">
        <f>HYPERLINK("https://esbl.nhlbi.nih.gov/Databases/mpkFractions/proteomic_fractions_linear_files/Yang_linear_img/54144637.jpg","show blot")</f>
        <v>show blot</v>
      </c>
      <c r="J5469" s="5" t="s">
        <v>10732</v>
      </c>
      <c r="L5469" s="11">
        <v>2.801892979209692</v>
      </c>
      <c r="N5469" s="12"/>
    </row>
    <row r="5470" spans="1:14" s="5" customFormat="1" ht="15" customHeight="1" x14ac:dyDescent="0.25">
      <c r="A5470" s="9" t="s">
        <v>10733</v>
      </c>
      <c r="C5470" s="9" t="str">
        <f>HYPERLINK("http://www.ncbi.nlm.nih.gov/protein/304361725","Phactr2")</f>
        <v>Phactr2</v>
      </c>
      <c r="D5470" s="10">
        <f t="shared" si="85"/>
        <v>4.3980785599728236</v>
      </c>
      <c r="F5470" s="8" t="str">
        <f>HYPERLINK("https://esbl.nhlbi.nih.gov/Databases/mpkFractions/proteomic_fractions_log_files/Yang_log_img/304361725.jpg","show blot")</f>
        <v>show blot</v>
      </c>
      <c r="H5470" s="8" t="str">
        <f>HYPERLINK("https://esbl.nhlbi.nih.gov/Databases/mpkFractions/proteomic_fractions_linear_files/Yang_linear_img/304361725.jpg","show blot")</f>
        <v>show blot</v>
      </c>
      <c r="J5470" s="5" t="s">
        <v>10734</v>
      </c>
      <c r="L5470" s="11">
        <v>4.3980785599728236</v>
      </c>
      <c r="N5470" s="12"/>
    </row>
    <row r="5471" spans="1:14" s="5" customFormat="1" ht="15" customHeight="1" x14ac:dyDescent="0.25">
      <c r="A5471" s="9" t="s">
        <v>10735</v>
      </c>
      <c r="C5471" s="9" t="str">
        <f>HYPERLINK("http://www.ncbi.nlm.nih.gov/protein/304361727","Phactr2")</f>
        <v>Phactr2</v>
      </c>
      <c r="D5471" s="10">
        <f t="shared" si="85"/>
        <v>4.3980785599728236</v>
      </c>
      <c r="F5471" s="8" t="str">
        <f>HYPERLINK("https://esbl.nhlbi.nih.gov/Databases/mpkFractions/proteomic_fractions_log_files/Yang_log_img/304361727.jpg","show blot")</f>
        <v>show blot</v>
      </c>
      <c r="H5471" s="8" t="str">
        <f>HYPERLINK("https://esbl.nhlbi.nih.gov/Databases/mpkFractions/proteomic_fractions_linear_files/Yang_linear_img/304361727.jpg","show blot")</f>
        <v>show blot</v>
      </c>
      <c r="J5471" s="5" t="s">
        <v>10736</v>
      </c>
      <c r="L5471" s="11">
        <v>4.3980785599728236</v>
      </c>
      <c r="N5471" s="12"/>
    </row>
    <row r="5472" spans="1:14" s="5" customFormat="1" ht="15" customHeight="1" x14ac:dyDescent="0.25">
      <c r="A5472" s="9" t="s">
        <v>10737</v>
      </c>
      <c r="C5472" s="9" t="str">
        <f>HYPERLINK("http://www.ncbi.nlm.nih.gov/protein/304361740","Phactr2")</f>
        <v>Phactr2</v>
      </c>
      <c r="D5472" s="10">
        <f t="shared" si="85"/>
        <v>4.3980785599728236</v>
      </c>
      <c r="F5472" s="8" t="str">
        <f>HYPERLINK("https://esbl.nhlbi.nih.gov/Databases/mpkFractions/proteomic_fractions_log_files/Yang_log_img/304361740.jpg","show blot")</f>
        <v>show blot</v>
      </c>
      <c r="H5472" s="8" t="str">
        <f>HYPERLINK("https://esbl.nhlbi.nih.gov/Databases/mpkFractions/proteomic_fractions_linear_files/Yang_linear_img/304361740.jpg","show blot")</f>
        <v>show blot</v>
      </c>
      <c r="J5472" s="5" t="s">
        <v>10738</v>
      </c>
      <c r="L5472" s="11">
        <v>4.3980785599728236</v>
      </c>
      <c r="N5472" s="12"/>
    </row>
    <row r="5473" spans="1:14" s="5" customFormat="1" ht="15" customHeight="1" x14ac:dyDescent="0.25">
      <c r="A5473" s="9" t="s">
        <v>10739</v>
      </c>
      <c r="C5473" s="9" t="str">
        <f>HYPERLINK("http://www.ncbi.nlm.nih.gov/protein/84781783","Phactr2")</f>
        <v>Phactr2</v>
      </c>
      <c r="D5473" s="10">
        <f t="shared" si="85"/>
        <v>4.3980785599728236</v>
      </c>
      <c r="F5473" s="8" t="str">
        <f>HYPERLINK("https://esbl.nhlbi.nih.gov/Databases/mpkFractions/proteomic_fractions_log_files/Yang_log_img/84781783.jpg","show blot")</f>
        <v>show blot</v>
      </c>
      <c r="H5473" s="8" t="str">
        <f>HYPERLINK("https://esbl.nhlbi.nih.gov/Databases/mpkFractions/proteomic_fractions_linear_files/Yang_linear_img/84781783.jpg","show blot")</f>
        <v>show blot</v>
      </c>
      <c r="J5473" s="5" t="s">
        <v>10740</v>
      </c>
      <c r="L5473" s="11">
        <v>4.3980785599728236</v>
      </c>
      <c r="N5473" s="12"/>
    </row>
    <row r="5474" spans="1:14" s="5" customFormat="1" ht="15" customHeight="1" x14ac:dyDescent="0.25">
      <c r="A5474" s="9" t="s">
        <v>10741</v>
      </c>
      <c r="C5474" s="9" t="str">
        <f>HYPERLINK("http://www.ncbi.nlm.nih.gov/protein/239985486","Phactr4")</f>
        <v>Phactr4</v>
      </c>
      <c r="D5474" s="10">
        <f t="shared" si="85"/>
        <v>3.97815013054915</v>
      </c>
      <c r="F5474" s="8" t="str">
        <f>HYPERLINK("https://esbl.nhlbi.nih.gov/Databases/mpkFractions/proteomic_fractions_log_files/Yang_log_img/239985486.jpg","show blot")</f>
        <v>show blot</v>
      </c>
      <c r="H5474" s="8" t="str">
        <f>HYPERLINK("https://esbl.nhlbi.nih.gov/Databases/mpkFractions/proteomic_fractions_linear_files/Yang_linear_img/239985486.jpg","show blot")</f>
        <v>show blot</v>
      </c>
      <c r="J5474" s="5" t="s">
        <v>10742</v>
      </c>
      <c r="L5474" s="11">
        <v>3.97815013054915</v>
      </c>
      <c r="N5474" s="12"/>
    </row>
    <row r="5475" spans="1:14" s="5" customFormat="1" ht="15" customHeight="1" x14ac:dyDescent="0.25">
      <c r="A5475" s="9" t="s">
        <v>10743</v>
      </c>
      <c r="C5475" s="9" t="str">
        <f>HYPERLINK("http://www.ncbi.nlm.nih.gov/protein/239985488","Phactr4")</f>
        <v>Phactr4</v>
      </c>
      <c r="D5475" s="10">
        <f t="shared" si="85"/>
        <v>3.97815013054915</v>
      </c>
      <c r="F5475" s="8" t="str">
        <f>HYPERLINK("https://esbl.nhlbi.nih.gov/Databases/mpkFractions/proteomic_fractions_log_files/Yang_log_img/239985488.jpg","show blot")</f>
        <v>show blot</v>
      </c>
      <c r="H5475" s="8" t="str">
        <f>HYPERLINK("https://esbl.nhlbi.nih.gov/Databases/mpkFractions/proteomic_fractions_linear_files/Yang_linear_img/239985488.jpg","show blot")</f>
        <v>show blot</v>
      </c>
      <c r="J5475" s="5" t="s">
        <v>10744</v>
      </c>
      <c r="L5475" s="11">
        <v>3.97815013054915</v>
      </c>
      <c r="N5475" s="12"/>
    </row>
    <row r="5476" spans="1:14" s="5" customFormat="1" ht="15" customHeight="1" x14ac:dyDescent="0.25">
      <c r="A5476" s="9" t="s">
        <v>10745</v>
      </c>
      <c r="C5476" s="9" t="str">
        <f>HYPERLINK("http://www.ncbi.nlm.nih.gov/protein/253314458","Phax")</f>
        <v>Phax</v>
      </c>
      <c r="D5476" s="10">
        <f t="shared" si="85"/>
        <v>4.6465613553836302</v>
      </c>
      <c r="F5476" s="8" t="str">
        <f>HYPERLINK("https://esbl.nhlbi.nih.gov/Databases/mpkFractions/proteomic_fractions_log_files/Yang_log_img/253314458.jpg","show blot")</f>
        <v>show blot</v>
      </c>
      <c r="H5476" s="8" t="str">
        <f>HYPERLINK("https://esbl.nhlbi.nih.gov/Databases/mpkFractions/proteomic_fractions_linear_files/Yang_linear_img/253314458.jpg","show blot")</f>
        <v>show blot</v>
      </c>
      <c r="J5476" s="5" t="s">
        <v>10746</v>
      </c>
      <c r="L5476" s="11">
        <v>4.6465613553836302</v>
      </c>
      <c r="N5476" s="12"/>
    </row>
    <row r="5477" spans="1:14" s="5" customFormat="1" ht="15" customHeight="1" x14ac:dyDescent="0.25">
      <c r="A5477" s="9" t="s">
        <v>10747</v>
      </c>
      <c r="C5477" s="9" t="str">
        <f>HYPERLINK("http://www.ncbi.nlm.nih.gov/protein/253314461","Phax")</f>
        <v>Phax</v>
      </c>
      <c r="D5477" s="10">
        <f t="shared" si="85"/>
        <v>4.6465613553836302</v>
      </c>
      <c r="F5477" s="8" t="str">
        <f>HYPERLINK("https://esbl.nhlbi.nih.gov/Databases/mpkFractions/proteomic_fractions_log_files/Yang_log_img/253314461.jpg","show blot")</f>
        <v>show blot</v>
      </c>
      <c r="H5477" s="8" t="str">
        <f>HYPERLINK("https://esbl.nhlbi.nih.gov/Databases/mpkFractions/proteomic_fractions_linear_files/Yang_linear_img/253314461.jpg","show blot")</f>
        <v>show blot</v>
      </c>
      <c r="J5477" s="5" t="s">
        <v>10748</v>
      </c>
      <c r="L5477" s="11">
        <v>4.6465613553836302</v>
      </c>
      <c r="N5477" s="12"/>
    </row>
    <row r="5478" spans="1:14" s="5" customFormat="1" ht="15" customHeight="1" x14ac:dyDescent="0.25">
      <c r="A5478" s="9" t="s">
        <v>10749</v>
      </c>
      <c r="C5478" s="9" t="str">
        <f>HYPERLINK("http://www.ncbi.nlm.nih.gov/protein/6679299","Phb")</f>
        <v>Phb</v>
      </c>
      <c r="D5478" s="10">
        <f t="shared" si="85"/>
        <v>6.5756078917245624</v>
      </c>
      <c r="F5478" s="8" t="str">
        <f>HYPERLINK("https://esbl.nhlbi.nih.gov/Databases/mpkFractions/proteomic_fractions_log_files/Yang_log_img/6679299.jpg","show blot")</f>
        <v>show blot</v>
      </c>
      <c r="H5478" s="8" t="str">
        <f>HYPERLINK("https://esbl.nhlbi.nih.gov/Databases/mpkFractions/proteomic_fractions_linear_files/Yang_linear_img/6679299.jpg","show blot")</f>
        <v>show blot</v>
      </c>
      <c r="J5478" s="5" t="s">
        <v>10750</v>
      </c>
      <c r="L5478" s="11">
        <v>6.5756078917245624</v>
      </c>
      <c r="N5478" s="12"/>
    </row>
    <row r="5479" spans="1:14" s="5" customFormat="1" ht="15" customHeight="1" x14ac:dyDescent="0.25">
      <c r="A5479" s="9" t="s">
        <v>10751</v>
      </c>
      <c r="C5479" s="9" t="str">
        <f>HYPERLINK("http://www.ncbi.nlm.nih.gov/protein/126723336","Phb2")</f>
        <v>Phb2</v>
      </c>
      <c r="D5479" s="10">
        <f t="shared" si="85"/>
        <v>6.8326395098565422</v>
      </c>
      <c r="F5479" s="8" t="str">
        <f>HYPERLINK("https://esbl.nhlbi.nih.gov/Databases/mpkFractions/proteomic_fractions_log_files/Yang_log_img/126723336.jpg","show blot")</f>
        <v>show blot</v>
      </c>
      <c r="H5479" s="8" t="str">
        <f>HYPERLINK("https://esbl.nhlbi.nih.gov/Databases/mpkFractions/proteomic_fractions_linear_files/Yang_linear_img/126723336.jpg","show blot")</f>
        <v>show blot</v>
      </c>
      <c r="J5479" s="5" t="s">
        <v>10752</v>
      </c>
      <c r="L5479" s="11">
        <v>6.8326395098565422</v>
      </c>
      <c r="N5479" s="12"/>
    </row>
    <row r="5480" spans="1:14" s="5" customFormat="1" ht="15" customHeight="1" x14ac:dyDescent="0.25">
      <c r="A5480" s="9" t="s">
        <v>10753</v>
      </c>
      <c r="C5480" s="9" t="str">
        <f>HYPERLINK("http://www.ncbi.nlm.nih.gov/protein/270288742","Phf14")</f>
        <v>Phf14</v>
      </c>
      <c r="D5480" s="10">
        <f t="shared" si="85"/>
        <v>3.3956131758523309</v>
      </c>
      <c r="F5480" s="8" t="str">
        <f>HYPERLINK("https://esbl.nhlbi.nih.gov/Databases/mpkFractions/proteomic_fractions_log_files/Yang_log_img/270288742.jpg","show blot")</f>
        <v>show blot</v>
      </c>
      <c r="H5480" s="8" t="str">
        <f>HYPERLINK("https://esbl.nhlbi.nih.gov/Databases/mpkFractions/proteomic_fractions_linear_files/Yang_linear_img/270288742.jpg","show blot")</f>
        <v>show blot</v>
      </c>
      <c r="J5480" s="5" t="s">
        <v>10754</v>
      </c>
      <c r="L5480" s="11">
        <v>3.3956131758523309</v>
      </c>
      <c r="N5480" s="12"/>
    </row>
    <row r="5481" spans="1:14" s="5" customFormat="1" ht="15" customHeight="1" x14ac:dyDescent="0.25">
      <c r="A5481" s="9" t="s">
        <v>10755</v>
      </c>
      <c r="C5481" s="9" t="str">
        <f>HYPERLINK("http://www.ncbi.nlm.nih.gov/protein/270288744","Phf14")</f>
        <v>Phf14</v>
      </c>
      <c r="D5481" s="10">
        <f t="shared" si="85"/>
        <v>3.3956131758523309</v>
      </c>
      <c r="F5481" s="8" t="str">
        <f>HYPERLINK("https://esbl.nhlbi.nih.gov/Databases/mpkFractions/proteomic_fractions_log_files/Yang_log_img/270288744.jpg","show blot")</f>
        <v>show blot</v>
      </c>
      <c r="H5481" s="8" t="str">
        <f>HYPERLINK("https://esbl.nhlbi.nih.gov/Databases/mpkFractions/proteomic_fractions_linear_files/Yang_linear_img/270288744.jpg","show blot")</f>
        <v>show blot</v>
      </c>
      <c r="J5481" s="5" t="s">
        <v>10756</v>
      </c>
      <c r="L5481" s="11">
        <v>3.3956131758523309</v>
      </c>
      <c r="N5481" s="12"/>
    </row>
    <row r="5482" spans="1:14" s="5" customFormat="1" ht="15" customHeight="1" x14ac:dyDescent="0.25">
      <c r="A5482" s="9" t="s">
        <v>10757</v>
      </c>
      <c r="C5482" s="9" t="str">
        <f>HYPERLINK("http://www.ncbi.nlm.nih.gov/protein/24415990","Phf5a")</f>
        <v>Phf5a</v>
      </c>
      <c r="D5482" s="10">
        <f t="shared" si="85"/>
        <v>5.5468899346018654</v>
      </c>
      <c r="F5482" s="8" t="str">
        <f>HYPERLINK("https://esbl.nhlbi.nih.gov/Databases/mpkFractions/proteomic_fractions_log_files/Yang_log_img/24415990.jpg","show blot")</f>
        <v>show blot</v>
      </c>
      <c r="H5482" s="8" t="str">
        <f>HYPERLINK("https://esbl.nhlbi.nih.gov/Databases/mpkFractions/proteomic_fractions_linear_files/Yang_linear_img/24415990.jpg","show blot")</f>
        <v>show blot</v>
      </c>
      <c r="J5482" s="5" t="s">
        <v>10758</v>
      </c>
      <c r="L5482" s="11">
        <v>5.5468899346018654</v>
      </c>
      <c r="N5482" s="12"/>
    </row>
    <row r="5483" spans="1:14" s="5" customFormat="1" ht="15" customHeight="1" x14ac:dyDescent="0.25">
      <c r="A5483" s="9" t="s">
        <v>10759</v>
      </c>
      <c r="C5483" s="9" t="str">
        <f>HYPERLINK("http://www.ncbi.nlm.nih.gov/protein/33563292","Phf6")</f>
        <v>Phf6</v>
      </c>
      <c r="D5483" s="10">
        <f t="shared" si="85"/>
        <v>3.8687899025839672</v>
      </c>
      <c r="F5483" s="8" t="str">
        <f>HYPERLINK("https://esbl.nhlbi.nih.gov/Databases/mpkFractions/proteomic_fractions_log_files/Yang_log_img/33563292.jpg","show blot")</f>
        <v>show blot</v>
      </c>
      <c r="H5483" s="8" t="str">
        <f>HYPERLINK("https://esbl.nhlbi.nih.gov/Databases/mpkFractions/proteomic_fractions_linear_files/Yang_linear_img/33563292.jpg","show blot")</f>
        <v>show blot</v>
      </c>
      <c r="J5483" s="5" t="s">
        <v>10760</v>
      </c>
      <c r="L5483" s="11">
        <v>3.8687899025839672</v>
      </c>
      <c r="N5483" s="12"/>
    </row>
    <row r="5484" spans="1:14" s="5" customFormat="1" ht="15" customHeight="1" x14ac:dyDescent="0.25">
      <c r="A5484" s="9" t="s">
        <v>10761</v>
      </c>
      <c r="C5484" s="9" t="str">
        <f>HYPERLINK("http://www.ncbi.nlm.nih.gov/protein/164518891","Phf8")</f>
        <v>Phf8</v>
      </c>
      <c r="D5484" s="10">
        <f t="shared" si="85"/>
        <v>1.504669298158049</v>
      </c>
      <c r="F5484" s="8" t="str">
        <f>HYPERLINK("https://esbl.nhlbi.nih.gov/Databases/mpkFractions/proteomic_fractions_log_files/Yang_log_img/164518891.jpg","show blot")</f>
        <v>show blot</v>
      </c>
      <c r="H5484" s="8" t="str">
        <f>HYPERLINK("https://esbl.nhlbi.nih.gov/Databases/mpkFractions/proteomic_fractions_linear_files/Yang_linear_img/164518891.jpg","show blot")</f>
        <v>show blot</v>
      </c>
      <c r="J5484" s="5" t="s">
        <v>10762</v>
      </c>
      <c r="L5484" s="11">
        <v>1.504669298158049</v>
      </c>
      <c r="N5484" s="12"/>
    </row>
    <row r="5485" spans="1:14" s="5" customFormat="1" ht="15" customHeight="1" x14ac:dyDescent="0.25">
      <c r="A5485" s="9" t="s">
        <v>10763</v>
      </c>
      <c r="C5485" s="9" t="str">
        <f>HYPERLINK("http://www.ncbi.nlm.nih.gov/protein/52353955","Phgdh")</f>
        <v>Phgdh</v>
      </c>
      <c r="D5485" s="10">
        <f t="shared" si="85"/>
        <v>6.6263384449850458</v>
      </c>
      <c r="F5485" s="8" t="str">
        <f>HYPERLINK("https://esbl.nhlbi.nih.gov/Databases/mpkFractions/proteomic_fractions_log_files/Yang_log_img/52353955.jpg","show blot")</f>
        <v>show blot</v>
      </c>
      <c r="H5485" s="8" t="str">
        <f>HYPERLINK("https://esbl.nhlbi.nih.gov/Databases/mpkFractions/proteomic_fractions_linear_files/Yang_linear_img/52353955.jpg","show blot")</f>
        <v>show blot</v>
      </c>
      <c r="J5485" s="5" t="s">
        <v>10764</v>
      </c>
      <c r="L5485" s="11">
        <v>6.6263384449850458</v>
      </c>
      <c r="N5485" s="12"/>
    </row>
    <row r="5486" spans="1:14" s="5" customFormat="1" ht="15" customHeight="1" x14ac:dyDescent="0.25">
      <c r="A5486" s="9" t="s">
        <v>10765</v>
      </c>
      <c r="C5486" s="9" t="str">
        <f>HYPERLINK("http://www.ncbi.nlm.nih.gov/protein/40789096","Phkb")</f>
        <v>Phkb</v>
      </c>
      <c r="D5486" s="10">
        <f t="shared" si="85"/>
        <v>3.242461332828491</v>
      </c>
      <c r="F5486" s="8" t="str">
        <f>HYPERLINK("https://esbl.nhlbi.nih.gov/Databases/mpkFractions/proteomic_fractions_log_files/Yang_log_img/40789096.jpg","show blot")</f>
        <v>show blot</v>
      </c>
      <c r="H5486" s="8" t="str">
        <f>HYPERLINK("https://esbl.nhlbi.nih.gov/Databases/mpkFractions/proteomic_fractions_linear_files/Yang_linear_img/40789096.jpg","show blot")</f>
        <v>show blot</v>
      </c>
      <c r="J5486" s="5" t="s">
        <v>10766</v>
      </c>
      <c r="L5486" s="11">
        <v>3.242461332828491</v>
      </c>
      <c r="N5486" s="12"/>
    </row>
    <row r="5487" spans="1:14" s="5" customFormat="1" ht="15" customHeight="1" x14ac:dyDescent="0.25">
      <c r="A5487" s="9" t="s">
        <v>10767</v>
      </c>
      <c r="C5487" s="9" t="str">
        <f>HYPERLINK("http://www.ncbi.nlm.nih.gov/protein/226442929","Phlda1")</f>
        <v>Phlda1</v>
      </c>
      <c r="D5487" s="10">
        <f t="shared" si="85"/>
        <v>2.4051375784353102</v>
      </c>
      <c r="F5487" s="8" t="str">
        <f>HYPERLINK("https://esbl.nhlbi.nih.gov/Databases/mpkFractions/proteomic_fractions_log_files/Yang_log_img/226442929.jpg","show blot")</f>
        <v>show blot</v>
      </c>
      <c r="H5487" s="8" t="str">
        <f>HYPERLINK("https://esbl.nhlbi.nih.gov/Databases/mpkFractions/proteomic_fractions_linear_files/Yang_linear_img/226442929.jpg","show blot")</f>
        <v>show blot</v>
      </c>
      <c r="J5487" s="5" t="s">
        <v>10768</v>
      </c>
      <c r="L5487" s="11">
        <v>2.4051375784353102</v>
      </c>
      <c r="N5487" s="12"/>
    </row>
    <row r="5488" spans="1:14" s="5" customFormat="1" ht="15" customHeight="1" x14ac:dyDescent="0.25">
      <c r="A5488" s="9" t="s">
        <v>10769</v>
      </c>
      <c r="C5488" s="9" t="str">
        <f>HYPERLINK("http://www.ncbi.nlm.nih.gov/protein/7305377","Phlda3")</f>
        <v>Phlda3</v>
      </c>
      <c r="D5488" s="10">
        <f t="shared" si="85"/>
        <v>2.2866809693549301</v>
      </c>
      <c r="F5488" s="8" t="str">
        <f>HYPERLINK("https://esbl.nhlbi.nih.gov/Databases/mpkFractions/proteomic_fractions_log_files/Yang_log_img/7305377.jpg","show blot")</f>
        <v>show blot</v>
      </c>
      <c r="H5488" s="8" t="str">
        <f>HYPERLINK("https://esbl.nhlbi.nih.gov/Databases/mpkFractions/proteomic_fractions_linear_files/Yang_linear_img/7305377.jpg","show blot")</f>
        <v>show blot</v>
      </c>
      <c r="J5488" s="5" t="s">
        <v>10770</v>
      </c>
      <c r="L5488" s="11">
        <v>2.2866809693549301</v>
      </c>
      <c r="N5488" s="12"/>
    </row>
    <row r="5489" spans="1:14" s="5" customFormat="1" ht="15" customHeight="1" x14ac:dyDescent="0.25">
      <c r="A5489" s="9" t="s">
        <v>10771</v>
      </c>
      <c r="C5489" s="9" t="str">
        <f>HYPERLINK("http://www.ncbi.nlm.nih.gov/protein/188528897","Phldb2")</f>
        <v>Phldb2</v>
      </c>
      <c r="D5489" s="10">
        <f t="shared" si="85"/>
        <v>3.4416920530406538</v>
      </c>
      <c r="F5489" s="8" t="str">
        <f>HYPERLINK("https://esbl.nhlbi.nih.gov/Databases/mpkFractions/proteomic_fractions_log_files/Yang_log_img/188528897.jpg","show blot")</f>
        <v>show blot</v>
      </c>
      <c r="H5489" s="8" t="str">
        <f>HYPERLINK("https://esbl.nhlbi.nih.gov/Databases/mpkFractions/proteomic_fractions_linear_files/Yang_linear_img/188528897.jpg","show blot")</f>
        <v>show blot</v>
      </c>
      <c r="J5489" s="5" t="s">
        <v>10772</v>
      </c>
      <c r="L5489" s="11">
        <v>3.4416920530406538</v>
      </c>
      <c r="N5489" s="12"/>
    </row>
    <row r="5490" spans="1:14" s="5" customFormat="1" ht="15" customHeight="1" x14ac:dyDescent="0.25">
      <c r="A5490" s="9" t="s">
        <v>10773</v>
      </c>
      <c r="C5490" s="9" t="str">
        <f>HYPERLINK("http://www.ncbi.nlm.nih.gov/protein/356995938","Phldb2")</f>
        <v>Phldb2</v>
      </c>
      <c r="D5490" s="10">
        <f t="shared" si="85"/>
        <v>3.4416920530406538</v>
      </c>
      <c r="F5490" s="8" t="str">
        <f>HYPERLINK("https://esbl.nhlbi.nih.gov/Databases/mpkFractions/proteomic_fractions_log_files/Yang_log_img/356995938.jpg","show blot")</f>
        <v>show blot</v>
      </c>
      <c r="H5490" s="8" t="str">
        <f>HYPERLINK("https://esbl.nhlbi.nih.gov/Databases/mpkFractions/proteomic_fractions_linear_files/Yang_linear_img/356995938.jpg","show blot")</f>
        <v>show blot</v>
      </c>
      <c r="J5490" s="5" t="s">
        <v>10774</v>
      </c>
      <c r="L5490" s="11">
        <v>3.4416920530406538</v>
      </c>
      <c r="N5490" s="12"/>
    </row>
    <row r="5491" spans="1:14" s="5" customFormat="1" ht="15" customHeight="1" x14ac:dyDescent="0.25">
      <c r="A5491" s="9" t="s">
        <v>10775</v>
      </c>
      <c r="C5491" s="9" t="str">
        <f>HYPERLINK("http://www.ncbi.nlm.nih.gov/protein/156616318","Phldb3")</f>
        <v>Phldb3</v>
      </c>
      <c r="D5491" s="10">
        <f t="shared" si="85"/>
        <v>3.6891886990184051</v>
      </c>
      <c r="F5491" s="8" t="str">
        <f>HYPERLINK("https://esbl.nhlbi.nih.gov/Databases/mpkFractions/proteomic_fractions_log_files/Yang_log_img/156616318.jpg","show blot")</f>
        <v>show blot</v>
      </c>
      <c r="H5491" s="8" t="str">
        <f>HYPERLINK("https://esbl.nhlbi.nih.gov/Databases/mpkFractions/proteomic_fractions_linear_files/Yang_linear_img/156616318.jpg","show blot")</f>
        <v>show blot</v>
      </c>
      <c r="J5491" s="5" t="s">
        <v>10776</v>
      </c>
      <c r="L5491" s="11">
        <v>3.6891886990184051</v>
      </c>
      <c r="N5491" s="12"/>
    </row>
    <row r="5492" spans="1:14" s="5" customFormat="1" ht="15" customHeight="1" x14ac:dyDescent="0.25">
      <c r="A5492" s="9" t="s">
        <v>10777</v>
      </c>
      <c r="C5492" s="9" t="str">
        <f>HYPERLINK("http://www.ncbi.nlm.nih.gov/protein/21312114","Phospho2")</f>
        <v>Phospho2</v>
      </c>
      <c r="D5492" s="10">
        <f t="shared" si="85"/>
        <v>3.545101236016829</v>
      </c>
      <c r="F5492" s="8" t="str">
        <f>HYPERLINK("https://esbl.nhlbi.nih.gov/Databases/mpkFractions/proteomic_fractions_log_files/Yang_log_img/21312114.jpg","show blot")</f>
        <v>show blot</v>
      </c>
      <c r="H5492" s="8" t="str">
        <f>HYPERLINK("https://esbl.nhlbi.nih.gov/Databases/mpkFractions/proteomic_fractions_linear_files/Yang_linear_img/21312114.jpg","show blot")</f>
        <v>show blot</v>
      </c>
      <c r="J5492" s="5" t="s">
        <v>10778</v>
      </c>
      <c r="L5492" s="11">
        <v>3.545101236016829</v>
      </c>
      <c r="N5492" s="12"/>
    </row>
    <row r="5493" spans="1:14" s="5" customFormat="1" ht="15" customHeight="1" x14ac:dyDescent="0.25">
      <c r="A5493" s="9" t="s">
        <v>10779</v>
      </c>
      <c r="C5493" s="9" t="str">
        <f>HYPERLINK("http://www.ncbi.nlm.nih.gov/protein/58037409","Phpt1")</f>
        <v>Phpt1</v>
      </c>
      <c r="D5493" s="10">
        <f t="shared" si="85"/>
        <v>5.429434069446919</v>
      </c>
      <c r="F5493" s="8" t="str">
        <f>HYPERLINK("https://esbl.nhlbi.nih.gov/Databases/mpkFractions/proteomic_fractions_log_files/Yang_log_img/58037409.jpg","show blot")</f>
        <v>show blot</v>
      </c>
      <c r="H5493" s="8" t="str">
        <f>HYPERLINK("https://esbl.nhlbi.nih.gov/Databases/mpkFractions/proteomic_fractions_linear_files/Yang_linear_img/58037409.jpg","show blot")</f>
        <v>show blot</v>
      </c>
      <c r="J5493" s="5" t="s">
        <v>10780</v>
      </c>
      <c r="L5493" s="11">
        <v>5.429434069446919</v>
      </c>
      <c r="N5493" s="12"/>
    </row>
    <row r="5494" spans="1:14" s="5" customFormat="1" ht="15" customHeight="1" x14ac:dyDescent="0.25">
      <c r="A5494" s="9" t="s">
        <v>10781</v>
      </c>
      <c r="C5494" s="9" t="str">
        <f>HYPERLINK("http://www.ncbi.nlm.nih.gov/protein/26986561","Phyhd1")</f>
        <v>Phyhd1</v>
      </c>
      <c r="D5494" s="10">
        <f t="shared" si="85"/>
        <v>3.3555856719042501</v>
      </c>
      <c r="F5494" s="8" t="str">
        <f>HYPERLINK("https://esbl.nhlbi.nih.gov/Databases/mpkFractions/proteomic_fractions_log_files/Yang_log_img/26986561.jpg","show blot")</f>
        <v>show blot</v>
      </c>
      <c r="H5494" s="8" t="str">
        <f>HYPERLINK("https://esbl.nhlbi.nih.gov/Databases/mpkFractions/proteomic_fractions_linear_files/Yang_linear_img/26986561.jpg","show blot")</f>
        <v>show blot</v>
      </c>
      <c r="J5494" s="5" t="s">
        <v>10782</v>
      </c>
      <c r="L5494" s="11">
        <v>3.3555856719042501</v>
      </c>
      <c r="N5494" s="12"/>
    </row>
    <row r="5495" spans="1:14" s="5" customFormat="1" ht="15" customHeight="1" x14ac:dyDescent="0.25">
      <c r="A5495" s="9" t="s">
        <v>10783</v>
      </c>
      <c r="C5495" s="9" t="str">
        <f>HYPERLINK("http://www.ncbi.nlm.nih.gov/protein/357540869","Phyhd1")</f>
        <v>Phyhd1</v>
      </c>
      <c r="D5495" s="10">
        <f t="shared" si="85"/>
        <v>3.3555856719042501</v>
      </c>
      <c r="F5495" s="8" t="str">
        <f>HYPERLINK("https://esbl.nhlbi.nih.gov/Databases/mpkFractions/proteomic_fractions_log_files/Yang_log_img/357540869.jpg","show blot")</f>
        <v>show blot</v>
      </c>
      <c r="H5495" s="8" t="str">
        <f>HYPERLINK("https://esbl.nhlbi.nih.gov/Databases/mpkFractions/proteomic_fractions_linear_files/Yang_linear_img/357540869.jpg","show blot")</f>
        <v>show blot</v>
      </c>
      <c r="J5495" s="5" t="s">
        <v>10784</v>
      </c>
      <c r="L5495" s="11">
        <v>3.3555856719042501</v>
      </c>
      <c r="N5495" s="12"/>
    </row>
    <row r="5496" spans="1:14" s="5" customFormat="1" ht="15" customHeight="1" x14ac:dyDescent="0.25">
      <c r="A5496" s="9" t="s">
        <v>10785</v>
      </c>
      <c r="C5496" s="9" t="str">
        <f>HYPERLINK("http://www.ncbi.nlm.nih.gov/protein/357588425","Phyhd1")</f>
        <v>Phyhd1</v>
      </c>
      <c r="D5496" s="10">
        <f t="shared" si="85"/>
        <v>3.3555856719042501</v>
      </c>
      <c r="F5496" s="8" t="str">
        <f>HYPERLINK("https://esbl.nhlbi.nih.gov/Databases/mpkFractions/proteomic_fractions_log_files/Yang_log_img/357588425.jpg","show blot")</f>
        <v>show blot</v>
      </c>
      <c r="H5496" s="8" t="str">
        <f>HYPERLINK("https://esbl.nhlbi.nih.gov/Databases/mpkFractions/proteomic_fractions_linear_files/Yang_linear_img/357588425.jpg","show blot")</f>
        <v>show blot</v>
      </c>
      <c r="J5496" s="5" t="s">
        <v>10786</v>
      </c>
      <c r="L5496" s="11">
        <v>3.3555856719042501</v>
      </c>
      <c r="N5496" s="12"/>
    </row>
    <row r="5497" spans="1:14" s="5" customFormat="1" ht="15" customHeight="1" x14ac:dyDescent="0.25">
      <c r="A5497" s="9" t="s">
        <v>10787</v>
      </c>
      <c r="C5497" s="9" t="str">
        <f>HYPERLINK("http://www.ncbi.nlm.nih.gov/protein/357588429","Phyhd1")</f>
        <v>Phyhd1</v>
      </c>
      <c r="D5497" s="10">
        <f t="shared" si="85"/>
        <v>3.3555856719042501</v>
      </c>
      <c r="F5497" s="8" t="str">
        <f>HYPERLINK("https://esbl.nhlbi.nih.gov/Databases/mpkFractions/proteomic_fractions_log_files/Yang_log_img/357588429.jpg","show blot")</f>
        <v>show blot</v>
      </c>
      <c r="H5497" s="8" t="str">
        <f>HYPERLINK("https://esbl.nhlbi.nih.gov/Databases/mpkFractions/proteomic_fractions_linear_files/Yang_linear_img/357588429.jpg","show blot")</f>
        <v>show blot</v>
      </c>
      <c r="J5497" s="5" t="s">
        <v>10788</v>
      </c>
      <c r="L5497" s="11">
        <v>3.3555856719042501</v>
      </c>
      <c r="N5497" s="12"/>
    </row>
    <row r="5498" spans="1:14" s="5" customFormat="1" ht="15" customHeight="1" x14ac:dyDescent="0.25">
      <c r="A5498" s="9" t="s">
        <v>10789</v>
      </c>
      <c r="C5498" s="9" t="str">
        <f>HYPERLINK("http://www.ncbi.nlm.nih.gov/protein/28077015","Phykpl")</f>
        <v>Phykpl</v>
      </c>
      <c r="D5498" s="10">
        <f t="shared" si="85"/>
        <v>3.62262839555898</v>
      </c>
      <c r="F5498" s="8" t="str">
        <f>HYPERLINK("https://esbl.nhlbi.nih.gov/Databases/mpkFractions/proteomic_fractions_log_files/Yang_log_img/28077015.jpg","show blot")</f>
        <v>show blot</v>
      </c>
      <c r="H5498" s="8" t="str">
        <f>HYPERLINK("https://esbl.nhlbi.nih.gov/Databases/mpkFractions/proteomic_fractions_linear_files/Yang_linear_img/28077015.jpg","show blot")</f>
        <v>show blot</v>
      </c>
      <c r="J5498" s="5" t="s">
        <v>10790</v>
      </c>
      <c r="L5498" s="11">
        <v>3.62262839555898</v>
      </c>
      <c r="N5498" s="12"/>
    </row>
    <row r="5499" spans="1:14" s="5" customFormat="1" ht="15" customHeight="1" x14ac:dyDescent="0.25">
      <c r="A5499" s="9" t="s">
        <v>10791</v>
      </c>
      <c r="C5499" s="9" t="str">
        <f>HYPERLINK("http://www.ncbi.nlm.nih.gov/protein/21703986","Pi4k2a")</f>
        <v>Pi4k2a</v>
      </c>
      <c r="D5499" s="10">
        <f t="shared" si="85"/>
        <v>4.7298330004826559</v>
      </c>
      <c r="F5499" s="8" t="str">
        <f>HYPERLINK("https://esbl.nhlbi.nih.gov/Databases/mpkFractions/proteomic_fractions_log_files/Yang_log_img/21703986.jpg","show blot")</f>
        <v>show blot</v>
      </c>
      <c r="H5499" s="8" t="str">
        <f>HYPERLINK("https://esbl.nhlbi.nih.gov/Databases/mpkFractions/proteomic_fractions_linear_files/Yang_linear_img/21703986.jpg","show blot")</f>
        <v>show blot</v>
      </c>
      <c r="J5499" s="5" t="s">
        <v>10792</v>
      </c>
      <c r="L5499" s="11">
        <v>4.7298330004826559</v>
      </c>
      <c r="N5499" s="12"/>
    </row>
    <row r="5500" spans="1:14" s="5" customFormat="1" ht="15" customHeight="1" x14ac:dyDescent="0.25">
      <c r="A5500" s="9" t="s">
        <v>10793</v>
      </c>
      <c r="C5500" s="9" t="str">
        <f>HYPERLINK("http://www.ncbi.nlm.nih.gov/protein/145966816","Pi4k2b")</f>
        <v>Pi4k2b</v>
      </c>
      <c r="D5500" s="10">
        <f t="shared" si="85"/>
        <v>1.7709963194959071</v>
      </c>
      <c r="F5500" s="8" t="str">
        <f>HYPERLINK("https://esbl.nhlbi.nih.gov/Databases/mpkFractions/proteomic_fractions_log_files/Yang_log_img/145966816.jpg","show blot")</f>
        <v>show blot</v>
      </c>
      <c r="H5500" s="8" t="str">
        <f>HYPERLINK("https://esbl.nhlbi.nih.gov/Databases/mpkFractions/proteomic_fractions_linear_files/Yang_linear_img/145966816.jpg","show blot")</f>
        <v>show blot</v>
      </c>
      <c r="J5500" s="5" t="s">
        <v>10794</v>
      </c>
      <c r="L5500" s="11">
        <v>1.7709963194959071</v>
      </c>
      <c r="N5500" s="12"/>
    </row>
    <row r="5501" spans="1:14" s="5" customFormat="1" ht="15" customHeight="1" x14ac:dyDescent="0.25">
      <c r="A5501" s="9" t="s">
        <v>10795</v>
      </c>
      <c r="C5501" s="9" t="str">
        <f>HYPERLINK("http://www.ncbi.nlm.nih.gov/protein/145966899","Pi4k2b")</f>
        <v>Pi4k2b</v>
      </c>
      <c r="D5501" s="10">
        <f t="shared" si="85"/>
        <v>1.7709963194959071</v>
      </c>
      <c r="F5501" s="8" t="str">
        <f>HYPERLINK("https://esbl.nhlbi.nih.gov/Databases/mpkFractions/proteomic_fractions_log_files/Yang_log_img/145966899.jpg","show blot")</f>
        <v>show blot</v>
      </c>
      <c r="H5501" s="8" t="str">
        <f>HYPERLINK("https://esbl.nhlbi.nih.gov/Databases/mpkFractions/proteomic_fractions_linear_files/Yang_linear_img/145966899.jpg","show blot")</f>
        <v>show blot</v>
      </c>
      <c r="J5501" s="5" t="s">
        <v>10796</v>
      </c>
      <c r="L5501" s="11">
        <v>1.7709963194959071</v>
      </c>
      <c r="N5501" s="12"/>
    </row>
    <row r="5502" spans="1:14" s="5" customFormat="1" ht="15" customHeight="1" x14ac:dyDescent="0.25">
      <c r="A5502" s="9" t="s">
        <v>10797</v>
      </c>
      <c r="C5502" s="9" t="str">
        <f>HYPERLINK("http://www.ncbi.nlm.nih.gov/protein/241982771","Pi4ka")</f>
        <v>Pi4ka</v>
      </c>
      <c r="D5502" s="10">
        <f t="shared" si="85"/>
        <v>3.3567547254978471</v>
      </c>
      <c r="F5502" s="8" t="str">
        <f>HYPERLINK("https://esbl.nhlbi.nih.gov/Databases/mpkFractions/proteomic_fractions_log_files/Yang_log_img/241982771.jpg","show blot")</f>
        <v>show blot</v>
      </c>
      <c r="H5502" s="8" t="str">
        <f>HYPERLINK("https://esbl.nhlbi.nih.gov/Databases/mpkFractions/proteomic_fractions_linear_files/Yang_linear_img/241982771.jpg","show blot")</f>
        <v>show blot</v>
      </c>
      <c r="J5502" s="5" t="s">
        <v>10798</v>
      </c>
      <c r="L5502" s="11">
        <v>3.3567547254978471</v>
      </c>
      <c r="N5502" s="12"/>
    </row>
    <row r="5503" spans="1:14" s="5" customFormat="1" ht="15" customHeight="1" x14ac:dyDescent="0.25">
      <c r="A5503" s="9" t="s">
        <v>10799</v>
      </c>
      <c r="C5503" s="9" t="str">
        <f>HYPERLINK("http://www.ncbi.nlm.nih.gov/protein/256000773","Pi4kb")</f>
        <v>Pi4kb</v>
      </c>
      <c r="D5503" s="10">
        <f t="shared" si="85"/>
        <v>3.559015750551862</v>
      </c>
      <c r="F5503" s="8" t="str">
        <f>HYPERLINK("https://esbl.nhlbi.nih.gov/Databases/mpkFractions/proteomic_fractions_log_files/Yang_log_img/256000773.jpg","show blot")</f>
        <v>show blot</v>
      </c>
      <c r="H5503" s="8" t="str">
        <f>HYPERLINK("https://esbl.nhlbi.nih.gov/Databases/mpkFractions/proteomic_fractions_linear_files/Yang_linear_img/256000773.jpg","show blot")</f>
        <v>show blot</v>
      </c>
      <c r="J5503" s="5" t="s">
        <v>10800</v>
      </c>
      <c r="L5503" s="11">
        <v>3.559015750551862</v>
      </c>
      <c r="N5503" s="12"/>
    </row>
    <row r="5504" spans="1:14" s="5" customFormat="1" ht="15" customHeight="1" x14ac:dyDescent="0.25">
      <c r="A5504" s="9" t="s">
        <v>10801</v>
      </c>
      <c r="C5504" s="9" t="str">
        <f>HYPERLINK("http://www.ncbi.nlm.nih.gov/protein/32567788","Picalm")</f>
        <v>Picalm</v>
      </c>
      <c r="D5504" s="10">
        <f t="shared" si="85"/>
        <v>4.2064845092692966</v>
      </c>
      <c r="F5504" s="8" t="str">
        <f>HYPERLINK("https://esbl.nhlbi.nih.gov/Databases/mpkFractions/proteomic_fractions_log_files/Yang_log_img/32567788.jpg","show blot")</f>
        <v>show blot</v>
      </c>
      <c r="H5504" s="8" t="str">
        <f>HYPERLINK("https://esbl.nhlbi.nih.gov/Databases/mpkFractions/proteomic_fractions_linear_files/Yang_linear_img/32567788.jpg","show blot")</f>
        <v>show blot</v>
      </c>
      <c r="J5504" s="5" t="s">
        <v>10802</v>
      </c>
      <c r="L5504" s="11">
        <v>4.2064845092692966</v>
      </c>
      <c r="N5504" s="12"/>
    </row>
    <row r="5505" spans="1:14" s="5" customFormat="1" ht="15" customHeight="1" x14ac:dyDescent="0.25">
      <c r="A5505" s="9" t="s">
        <v>10803</v>
      </c>
      <c r="C5505" s="9" t="str">
        <f>HYPERLINK("http://www.ncbi.nlm.nih.gov/protein/357394959","Picalm")</f>
        <v>Picalm</v>
      </c>
      <c r="D5505" s="10">
        <f t="shared" si="85"/>
        <v>4.2064845092692966</v>
      </c>
      <c r="F5505" s="8" t="str">
        <f>HYPERLINK("https://esbl.nhlbi.nih.gov/Databases/mpkFractions/proteomic_fractions_log_files/Yang_log_img/357394959.jpg","show blot")</f>
        <v>show blot</v>
      </c>
      <c r="H5505" s="8" t="str">
        <f>HYPERLINK("https://esbl.nhlbi.nih.gov/Databases/mpkFractions/proteomic_fractions_linear_files/Yang_linear_img/357394959.jpg","show blot")</f>
        <v>show blot</v>
      </c>
      <c r="J5505" s="5" t="s">
        <v>10804</v>
      </c>
      <c r="L5505" s="11">
        <v>4.2064845092692966</v>
      </c>
      <c r="N5505" s="12"/>
    </row>
    <row r="5506" spans="1:14" s="5" customFormat="1" ht="15" customHeight="1" x14ac:dyDescent="0.25">
      <c r="A5506" s="9" t="s">
        <v>10805</v>
      </c>
      <c r="C5506" s="9" t="str">
        <f>HYPERLINK("http://www.ncbi.nlm.nih.gov/protein/357394963","Picalm")</f>
        <v>Picalm</v>
      </c>
      <c r="D5506" s="10">
        <f t="shared" si="85"/>
        <v>4.2064845092692966</v>
      </c>
      <c r="F5506" s="8" t="str">
        <f>HYPERLINK("https://esbl.nhlbi.nih.gov/Databases/mpkFractions/proteomic_fractions_log_files/Yang_log_img/357394963.jpg","show blot")</f>
        <v>show blot</v>
      </c>
      <c r="H5506" s="8" t="str">
        <f>HYPERLINK("https://esbl.nhlbi.nih.gov/Databases/mpkFractions/proteomic_fractions_linear_files/Yang_linear_img/357394963.jpg","show blot")</f>
        <v>show blot</v>
      </c>
      <c r="J5506" s="5" t="s">
        <v>10806</v>
      </c>
      <c r="L5506" s="11">
        <v>4.2064845092692966</v>
      </c>
      <c r="N5506" s="12"/>
    </row>
    <row r="5507" spans="1:14" s="5" customFormat="1" ht="15" customHeight="1" x14ac:dyDescent="0.25">
      <c r="A5507" s="9" t="s">
        <v>10807</v>
      </c>
      <c r="C5507" s="9" t="str">
        <f>HYPERLINK("http://www.ncbi.nlm.nih.gov/protein/357394966","Picalm")</f>
        <v>Picalm</v>
      </c>
      <c r="D5507" s="10">
        <f t="shared" si="85"/>
        <v>4.2064845092692966</v>
      </c>
      <c r="F5507" s="8" t="str">
        <f>HYPERLINK("https://esbl.nhlbi.nih.gov/Databases/mpkFractions/proteomic_fractions_log_files/Yang_log_img/357394966.jpg","show blot")</f>
        <v>show blot</v>
      </c>
      <c r="H5507" s="8" t="str">
        <f>HYPERLINK("https://esbl.nhlbi.nih.gov/Databases/mpkFractions/proteomic_fractions_linear_files/Yang_linear_img/357394966.jpg","show blot")</f>
        <v>show blot</v>
      </c>
      <c r="J5507" s="5" t="s">
        <v>10808</v>
      </c>
      <c r="L5507" s="11">
        <v>4.2064845092692966</v>
      </c>
      <c r="N5507" s="12"/>
    </row>
    <row r="5508" spans="1:14" s="5" customFormat="1" ht="15" customHeight="1" x14ac:dyDescent="0.25">
      <c r="A5508" s="9" t="s">
        <v>10809</v>
      </c>
      <c r="C5508" s="9" t="str">
        <f>HYPERLINK("http://www.ncbi.nlm.nih.gov/protein/357394968","Picalm")</f>
        <v>Picalm</v>
      </c>
      <c r="D5508" s="10">
        <f t="shared" si="85"/>
        <v>4.2064845092692966</v>
      </c>
      <c r="F5508" s="8" t="str">
        <f>HYPERLINK("https://esbl.nhlbi.nih.gov/Databases/mpkFractions/proteomic_fractions_log_files/Yang_log_img/357394968.jpg","show blot")</f>
        <v>show blot</v>
      </c>
      <c r="H5508" s="8" t="str">
        <f>HYPERLINK("https://esbl.nhlbi.nih.gov/Databases/mpkFractions/proteomic_fractions_linear_files/Yang_linear_img/357394968.jpg","show blot")</f>
        <v>show blot</v>
      </c>
      <c r="J5508" s="5" t="s">
        <v>10810</v>
      </c>
      <c r="L5508" s="11">
        <v>4.2064845092692966</v>
      </c>
      <c r="N5508" s="12"/>
    </row>
    <row r="5509" spans="1:14" s="5" customFormat="1" ht="15" customHeight="1" x14ac:dyDescent="0.25">
      <c r="A5509" s="9" t="s">
        <v>10811</v>
      </c>
      <c r="C5509" s="9" t="str">
        <f>HYPERLINK("http://www.ncbi.nlm.nih.gov/protein/357394970","Picalm")</f>
        <v>Picalm</v>
      </c>
      <c r="D5509" s="10">
        <f t="shared" ref="D5509:D5572" si="86">L5509</f>
        <v>4.2064845092692966</v>
      </c>
      <c r="F5509" s="8" t="str">
        <f>HYPERLINK("https://esbl.nhlbi.nih.gov/Databases/mpkFractions/proteomic_fractions_log_files/Yang_log_img/357394970.jpg","show blot")</f>
        <v>show blot</v>
      </c>
      <c r="H5509" s="8" t="str">
        <f>HYPERLINK("https://esbl.nhlbi.nih.gov/Databases/mpkFractions/proteomic_fractions_linear_files/Yang_linear_img/357394970.jpg","show blot")</f>
        <v>show blot</v>
      </c>
      <c r="J5509" s="5" t="s">
        <v>10812</v>
      </c>
      <c r="L5509" s="11">
        <v>4.2064845092692966</v>
      </c>
      <c r="N5509" s="12"/>
    </row>
    <row r="5510" spans="1:14" s="5" customFormat="1" ht="15" customHeight="1" x14ac:dyDescent="0.25">
      <c r="A5510" s="9" t="s">
        <v>10813</v>
      </c>
      <c r="C5510" s="9" t="str">
        <f>HYPERLINK("http://www.ncbi.nlm.nih.gov/protein/257153376","Piezo1")</f>
        <v>Piezo1</v>
      </c>
      <c r="D5510" s="10">
        <f t="shared" si="86"/>
        <v>0.16747373254563799</v>
      </c>
      <c r="F5510" s="8" t="str">
        <f>HYPERLINK("https://esbl.nhlbi.nih.gov/Databases/mpkFractions/proteomic_fractions_log_files/Yang_log_img/257153376.jpg","show blot")</f>
        <v>show blot</v>
      </c>
      <c r="H5510" s="8" t="str">
        <f>HYPERLINK("https://esbl.nhlbi.nih.gov/Databases/mpkFractions/proteomic_fractions_linear_files/Yang_linear_img/257153376.jpg","show blot")</f>
        <v>show blot</v>
      </c>
      <c r="J5510" s="5" t="s">
        <v>10814</v>
      </c>
      <c r="L5510" s="11">
        <v>0.16747373254563799</v>
      </c>
      <c r="N5510" s="12"/>
    </row>
    <row r="5511" spans="1:14" s="5" customFormat="1" ht="15" customHeight="1" x14ac:dyDescent="0.25">
      <c r="A5511" s="9" t="s">
        <v>10815</v>
      </c>
      <c r="C5511" s="9" t="str">
        <f>HYPERLINK("http://www.ncbi.nlm.nih.gov/protein/124486987","Pigg")</f>
        <v>Pigg</v>
      </c>
      <c r="D5511" s="10">
        <f t="shared" si="86"/>
        <v>1.829881749885381</v>
      </c>
      <c r="F5511" s="8" t="str">
        <f>HYPERLINK("https://esbl.nhlbi.nih.gov/Databases/mpkFractions/proteomic_fractions_log_files/Yang_log_img/124486987.jpg","show blot")</f>
        <v>show blot</v>
      </c>
      <c r="H5511" s="8" t="str">
        <f>HYPERLINK("https://esbl.nhlbi.nih.gov/Databases/mpkFractions/proteomic_fractions_linear_files/Yang_linear_img/124486987.jpg","show blot")</f>
        <v>show blot</v>
      </c>
      <c r="J5511" s="5" t="s">
        <v>10816</v>
      </c>
      <c r="L5511" s="11">
        <v>1.829881749885381</v>
      </c>
      <c r="N5511" s="12"/>
    </row>
    <row r="5512" spans="1:14" s="5" customFormat="1" ht="15" customHeight="1" x14ac:dyDescent="0.25">
      <c r="A5512" s="9" t="s">
        <v>10817</v>
      </c>
      <c r="C5512" s="9" t="str">
        <f>HYPERLINK("http://www.ncbi.nlm.nih.gov/protein/41872422","Pigh")</f>
        <v>Pigh</v>
      </c>
      <c r="D5512" s="10">
        <f t="shared" si="86"/>
        <v>3.6618822714262622</v>
      </c>
      <c r="F5512" s="8" t="str">
        <f>HYPERLINK("https://esbl.nhlbi.nih.gov/Databases/mpkFractions/proteomic_fractions_log_files/Yang_log_img/41872422.jpg","show blot")</f>
        <v>show blot</v>
      </c>
      <c r="H5512" s="8" t="str">
        <f>HYPERLINK("https://esbl.nhlbi.nih.gov/Databases/mpkFractions/proteomic_fractions_linear_files/Yang_linear_img/41872422.jpg","show blot")</f>
        <v>show blot</v>
      </c>
      <c r="J5512" s="5" t="s">
        <v>10818</v>
      </c>
      <c r="L5512" s="11">
        <v>3.6618822714262622</v>
      </c>
      <c r="N5512" s="12"/>
    </row>
    <row r="5513" spans="1:14" s="5" customFormat="1" ht="15" customHeight="1" x14ac:dyDescent="0.25">
      <c r="A5513" s="9" t="s">
        <v>10819</v>
      </c>
      <c r="C5513" s="9" t="str">
        <f>HYPERLINK("http://www.ncbi.nlm.nih.gov/protein/29788753","Pigk")</f>
        <v>Pigk</v>
      </c>
      <c r="D5513" s="10">
        <f t="shared" si="86"/>
        <v>4.2995798630202078</v>
      </c>
      <c r="F5513" s="8" t="str">
        <f>HYPERLINK("https://esbl.nhlbi.nih.gov/Databases/mpkFractions/proteomic_fractions_log_files/Yang_log_img/29788753.jpg","show blot")</f>
        <v>show blot</v>
      </c>
      <c r="H5513" s="8" t="str">
        <f>HYPERLINK("https://esbl.nhlbi.nih.gov/Databases/mpkFractions/proteomic_fractions_linear_files/Yang_linear_img/29788753.jpg","show blot")</f>
        <v>show blot</v>
      </c>
      <c r="J5513" s="5" t="s">
        <v>10820</v>
      </c>
      <c r="L5513" s="11">
        <v>4.2995798630202078</v>
      </c>
      <c r="N5513" s="12"/>
    </row>
    <row r="5514" spans="1:14" s="5" customFormat="1" ht="15" customHeight="1" x14ac:dyDescent="0.25">
      <c r="A5514" s="9" t="s">
        <v>10821</v>
      </c>
      <c r="C5514" s="9" t="str">
        <f>HYPERLINK("http://www.ncbi.nlm.nih.gov/protein/29789447","Pigk")</f>
        <v>Pigk</v>
      </c>
      <c r="D5514" s="10">
        <f t="shared" si="86"/>
        <v>4.2995798630202078</v>
      </c>
      <c r="F5514" s="8" t="str">
        <f>HYPERLINK("https://esbl.nhlbi.nih.gov/Databases/mpkFractions/proteomic_fractions_log_files/Yang_log_img/29789447.jpg","show blot")</f>
        <v>show blot</v>
      </c>
      <c r="H5514" s="8" t="str">
        <f>HYPERLINK("https://esbl.nhlbi.nih.gov/Databases/mpkFractions/proteomic_fractions_linear_files/Yang_linear_img/29789447.jpg","show blot")</f>
        <v>show blot</v>
      </c>
      <c r="J5514" s="5" t="s">
        <v>10822</v>
      </c>
      <c r="L5514" s="11">
        <v>4.2995798630202078</v>
      </c>
      <c r="N5514" s="12"/>
    </row>
    <row r="5515" spans="1:14" s="5" customFormat="1" ht="15" customHeight="1" x14ac:dyDescent="0.25">
      <c r="A5515" s="9" t="s">
        <v>10823</v>
      </c>
      <c r="C5515" s="9" t="str">
        <f>HYPERLINK("http://www.ncbi.nlm.nih.gov/protein/19920329","Pigm")</f>
        <v>Pigm</v>
      </c>
      <c r="D5515" s="10">
        <f t="shared" si="86"/>
        <v>2.1018157859917439</v>
      </c>
      <c r="F5515" s="8" t="str">
        <f>HYPERLINK("https://esbl.nhlbi.nih.gov/Databases/mpkFractions/proteomic_fractions_log_files/Yang_log_img/19920329.jpg","show blot")</f>
        <v>show blot</v>
      </c>
      <c r="H5515" s="8" t="str">
        <f>HYPERLINK("https://esbl.nhlbi.nih.gov/Databases/mpkFractions/proteomic_fractions_linear_files/Yang_linear_img/19920329.jpg","show blot")</f>
        <v>show blot</v>
      </c>
      <c r="J5515" s="5" t="s">
        <v>10824</v>
      </c>
      <c r="L5515" s="11">
        <v>2.1018157859917439</v>
      </c>
      <c r="N5515" s="12"/>
    </row>
    <row r="5516" spans="1:14" s="5" customFormat="1" ht="15" customHeight="1" x14ac:dyDescent="0.25">
      <c r="A5516" s="9" t="s">
        <v>10825</v>
      </c>
      <c r="C5516" s="9" t="str">
        <f>HYPERLINK("http://www.ncbi.nlm.nih.gov/protein/41351529","Pigs")</f>
        <v>Pigs</v>
      </c>
      <c r="D5516" s="10">
        <f t="shared" si="86"/>
        <v>4.8252712985673663</v>
      </c>
      <c r="F5516" s="8" t="str">
        <f>HYPERLINK("https://esbl.nhlbi.nih.gov/Databases/mpkFractions/proteomic_fractions_log_files/Yang_log_img/41351529.jpg","show blot")</f>
        <v>show blot</v>
      </c>
      <c r="H5516" s="8" t="str">
        <f>HYPERLINK("https://esbl.nhlbi.nih.gov/Databases/mpkFractions/proteomic_fractions_linear_files/Yang_linear_img/41351529.jpg","show blot")</f>
        <v>show blot</v>
      </c>
      <c r="J5516" s="5" t="s">
        <v>10826</v>
      </c>
      <c r="L5516" s="11">
        <v>4.8252712985673663</v>
      </c>
      <c r="N5516" s="12"/>
    </row>
    <row r="5517" spans="1:14" s="5" customFormat="1" ht="15" customHeight="1" x14ac:dyDescent="0.25">
      <c r="A5517" s="9" t="s">
        <v>10827</v>
      </c>
      <c r="C5517" s="9" t="str">
        <f>HYPERLINK("http://www.ncbi.nlm.nih.gov/protein/120587021","Pigt")</f>
        <v>Pigt</v>
      </c>
      <c r="D5517" s="10">
        <f t="shared" si="86"/>
        <v>4.1255075908857322</v>
      </c>
      <c r="F5517" s="8" t="str">
        <f>HYPERLINK("https://esbl.nhlbi.nih.gov/Databases/mpkFractions/proteomic_fractions_log_files/Yang_log_img/120587021.jpg","show blot")</f>
        <v>show blot</v>
      </c>
      <c r="H5517" s="8" t="str">
        <f>HYPERLINK("https://esbl.nhlbi.nih.gov/Databases/mpkFractions/proteomic_fractions_linear_files/Yang_linear_img/120587021.jpg","show blot")</f>
        <v>show blot</v>
      </c>
      <c r="J5517" s="5" t="s">
        <v>10828</v>
      </c>
      <c r="L5517" s="11">
        <v>4.1255075908857322</v>
      </c>
      <c r="N5517" s="12"/>
    </row>
    <row r="5518" spans="1:14" s="5" customFormat="1" ht="15" customHeight="1" x14ac:dyDescent="0.25">
      <c r="A5518" s="9" t="s">
        <v>10829</v>
      </c>
      <c r="C5518" s="9" t="str">
        <f>HYPERLINK("http://www.ncbi.nlm.nih.gov/protein/52630436","Pigu")</f>
        <v>Pigu</v>
      </c>
      <c r="D5518" s="10">
        <f t="shared" si="86"/>
        <v>3.0762675653834499</v>
      </c>
      <c r="F5518" s="8" t="str">
        <f>HYPERLINK("https://esbl.nhlbi.nih.gov/Databases/mpkFractions/proteomic_fractions_log_files/Yang_log_img/52630436.jpg","show blot")</f>
        <v>show blot</v>
      </c>
      <c r="H5518" s="8" t="str">
        <f>HYPERLINK("https://esbl.nhlbi.nih.gov/Databases/mpkFractions/proteomic_fractions_linear_files/Yang_linear_img/52630436.jpg","show blot")</f>
        <v>show blot</v>
      </c>
      <c r="J5518" s="5" t="s">
        <v>10830</v>
      </c>
      <c r="L5518" s="11">
        <v>3.0762675653834499</v>
      </c>
      <c r="N5518" s="12"/>
    </row>
    <row r="5519" spans="1:14" s="5" customFormat="1" ht="15" customHeight="1" x14ac:dyDescent="0.25">
      <c r="A5519" s="9" t="s">
        <v>10831</v>
      </c>
      <c r="C5519" s="9" t="str">
        <f>HYPERLINK("http://www.ncbi.nlm.nih.gov/protein/21313052","Pih1d1")</f>
        <v>Pih1d1</v>
      </c>
      <c r="D5519" s="10">
        <f t="shared" si="86"/>
        <v>4.9640497525498546</v>
      </c>
      <c r="F5519" s="8" t="str">
        <f>HYPERLINK("https://esbl.nhlbi.nih.gov/Databases/mpkFractions/proteomic_fractions_log_files/Yang_log_img/21313052.jpg","show blot")</f>
        <v>show blot</v>
      </c>
      <c r="H5519" s="8" t="str">
        <f>HYPERLINK("https://esbl.nhlbi.nih.gov/Databases/mpkFractions/proteomic_fractions_linear_files/Yang_linear_img/21313052.jpg","show blot")</f>
        <v>show blot</v>
      </c>
      <c r="J5519" s="5" t="s">
        <v>10832</v>
      </c>
      <c r="L5519" s="11">
        <v>4.9640497525498546</v>
      </c>
      <c r="N5519" s="12"/>
    </row>
    <row r="5520" spans="1:14" s="5" customFormat="1" ht="15" customHeight="1" x14ac:dyDescent="0.25">
      <c r="A5520" s="9" t="s">
        <v>10833</v>
      </c>
      <c r="C5520" s="9" t="str">
        <f>HYPERLINK("http://www.ncbi.nlm.nih.gov/protein/145279206","Pik3c2a")</f>
        <v>Pik3c2a</v>
      </c>
      <c r="D5520" s="10">
        <f t="shared" si="86"/>
        <v>3.7082121593783262</v>
      </c>
      <c r="F5520" s="8" t="str">
        <f>HYPERLINK("https://esbl.nhlbi.nih.gov/Databases/mpkFractions/proteomic_fractions_log_files/Yang_log_img/145279206.jpg","show blot")</f>
        <v>show blot</v>
      </c>
      <c r="H5520" s="8" t="str">
        <f>HYPERLINK("https://esbl.nhlbi.nih.gov/Databases/mpkFractions/proteomic_fractions_linear_files/Yang_linear_img/145279206.jpg","show blot")</f>
        <v>show blot</v>
      </c>
      <c r="J5520" s="5" t="s">
        <v>10834</v>
      </c>
      <c r="L5520" s="11">
        <v>3.7082121593783262</v>
      </c>
      <c r="N5520" s="12"/>
    </row>
    <row r="5521" spans="1:14" s="5" customFormat="1" ht="15" customHeight="1" x14ac:dyDescent="0.25">
      <c r="A5521" s="9" t="s">
        <v>10835</v>
      </c>
      <c r="C5521" s="9" t="str">
        <f>HYPERLINK("http://www.ncbi.nlm.nih.gov/protein/42475974","Pik3c3")</f>
        <v>Pik3c3</v>
      </c>
      <c r="D5521" s="10">
        <f t="shared" si="86"/>
        <v>3.1640034808172248</v>
      </c>
      <c r="F5521" s="8" t="str">
        <f>HYPERLINK("https://esbl.nhlbi.nih.gov/Databases/mpkFractions/proteomic_fractions_log_files/Yang_log_img/42475974.jpg","show blot")</f>
        <v>show blot</v>
      </c>
      <c r="H5521" s="8" t="str">
        <f>HYPERLINK("https://esbl.nhlbi.nih.gov/Databases/mpkFractions/proteomic_fractions_linear_files/Yang_linear_img/42475974.jpg","show blot")</f>
        <v>show blot</v>
      </c>
      <c r="J5521" s="5" t="s">
        <v>10836</v>
      </c>
      <c r="L5521" s="11">
        <v>3.1640034808172248</v>
      </c>
      <c r="N5521" s="12"/>
    </row>
    <row r="5522" spans="1:14" s="5" customFormat="1" ht="15" customHeight="1" x14ac:dyDescent="0.25">
      <c r="A5522" s="9" t="s">
        <v>10837</v>
      </c>
      <c r="C5522" s="9" t="str">
        <f>HYPERLINK("http://www.ncbi.nlm.nih.gov/protein/269914109","Pik3cb")</f>
        <v>Pik3cb</v>
      </c>
      <c r="D5522" s="10">
        <f t="shared" si="86"/>
        <v>3.0941134899149589</v>
      </c>
      <c r="F5522" s="8" t="str">
        <f>HYPERLINK("https://esbl.nhlbi.nih.gov/Databases/mpkFractions/proteomic_fractions_log_files/Yang_log_img/269914109.jpg","show blot")</f>
        <v>show blot</v>
      </c>
      <c r="H5522" s="8" t="str">
        <f>HYPERLINK("https://esbl.nhlbi.nih.gov/Databases/mpkFractions/proteomic_fractions_linear_files/Yang_linear_img/269914109.jpg","show blot")</f>
        <v>show blot</v>
      </c>
      <c r="J5522" s="5" t="s">
        <v>10838</v>
      </c>
      <c r="L5522" s="11">
        <v>3.0941134899149589</v>
      </c>
      <c r="N5522" s="12"/>
    </row>
    <row r="5523" spans="1:14" s="5" customFormat="1" ht="15" customHeight="1" x14ac:dyDescent="0.25">
      <c r="A5523" s="9" t="s">
        <v>10839</v>
      </c>
      <c r="C5523" s="9" t="str">
        <f>HYPERLINK("http://www.ncbi.nlm.nih.gov/protein/255708439","Pik3cd")</f>
        <v>Pik3cd</v>
      </c>
      <c r="D5523" s="10">
        <f t="shared" si="86"/>
        <v>3.9627475226032112</v>
      </c>
      <c r="F5523" s="8" t="str">
        <f>HYPERLINK("https://esbl.nhlbi.nih.gov/Databases/mpkFractions/proteomic_fractions_log_files/Yang_log_img/255708439.jpg","show blot")</f>
        <v>show blot</v>
      </c>
      <c r="H5523" s="8" t="str">
        <f>HYPERLINK("https://esbl.nhlbi.nih.gov/Databases/mpkFractions/proteomic_fractions_linear_files/Yang_linear_img/255708439.jpg","show blot")</f>
        <v>show blot</v>
      </c>
      <c r="J5523" s="5" t="s">
        <v>10840</v>
      </c>
      <c r="L5523" s="11">
        <v>3.9627475226032112</v>
      </c>
      <c r="N5523" s="12"/>
    </row>
    <row r="5524" spans="1:14" s="5" customFormat="1" ht="15" customHeight="1" x14ac:dyDescent="0.25">
      <c r="A5524" s="9" t="s">
        <v>10841</v>
      </c>
      <c r="C5524" s="9" t="str">
        <f>HYPERLINK("http://www.ncbi.nlm.nih.gov/protein/255708441","Pik3cd")</f>
        <v>Pik3cd</v>
      </c>
      <c r="D5524" s="10">
        <f t="shared" si="86"/>
        <v>3.9627475226032112</v>
      </c>
      <c r="F5524" s="8" t="str">
        <f>HYPERLINK("https://esbl.nhlbi.nih.gov/Databases/mpkFractions/proteomic_fractions_log_files/Yang_log_img/255708441.jpg","show blot")</f>
        <v>show blot</v>
      </c>
      <c r="H5524" s="8" t="str">
        <f>HYPERLINK("https://esbl.nhlbi.nih.gov/Databases/mpkFractions/proteomic_fractions_linear_files/Yang_linear_img/255708441.jpg","show blot")</f>
        <v>show blot</v>
      </c>
      <c r="J5524" s="5" t="s">
        <v>10842</v>
      </c>
      <c r="L5524" s="11">
        <v>3.9627475226032112</v>
      </c>
      <c r="N5524" s="12"/>
    </row>
    <row r="5525" spans="1:14" s="5" customFormat="1" ht="15" customHeight="1" x14ac:dyDescent="0.25">
      <c r="A5525" s="9" t="s">
        <v>10843</v>
      </c>
      <c r="C5525" s="9" t="str">
        <f>HYPERLINK("http://www.ncbi.nlm.nih.gov/protein/255708443","Pik3cd")</f>
        <v>Pik3cd</v>
      </c>
      <c r="D5525" s="10">
        <f t="shared" si="86"/>
        <v>3.9627475226032112</v>
      </c>
      <c r="F5525" s="8" t="str">
        <f>HYPERLINK("https://esbl.nhlbi.nih.gov/Databases/mpkFractions/proteomic_fractions_log_files/Yang_log_img/255708443.jpg","show blot")</f>
        <v>show blot</v>
      </c>
      <c r="H5525" s="8" t="str">
        <f>HYPERLINK("https://esbl.nhlbi.nih.gov/Databases/mpkFractions/proteomic_fractions_linear_files/Yang_linear_img/255708443.jpg","show blot")</f>
        <v>show blot</v>
      </c>
      <c r="J5525" s="5" t="s">
        <v>10844</v>
      </c>
      <c r="L5525" s="11">
        <v>3.9627475226032112</v>
      </c>
      <c r="N5525" s="12"/>
    </row>
    <row r="5526" spans="1:14" s="5" customFormat="1" ht="15" customHeight="1" x14ac:dyDescent="0.25">
      <c r="A5526" s="9" t="s">
        <v>10845</v>
      </c>
      <c r="C5526" s="9" t="str">
        <f>HYPERLINK("http://www.ncbi.nlm.nih.gov/protein/255708445","Pik3cd")</f>
        <v>Pik3cd</v>
      </c>
      <c r="D5526" s="10">
        <f t="shared" si="86"/>
        <v>3.9627475226032112</v>
      </c>
      <c r="F5526" s="8" t="str">
        <f>HYPERLINK("https://esbl.nhlbi.nih.gov/Databases/mpkFractions/proteomic_fractions_log_files/Yang_log_img/255708445.jpg","show blot")</f>
        <v>show blot</v>
      </c>
      <c r="H5526" s="8" t="str">
        <f>HYPERLINK("https://esbl.nhlbi.nih.gov/Databases/mpkFractions/proteomic_fractions_linear_files/Yang_linear_img/255708445.jpg","show blot")</f>
        <v>show blot</v>
      </c>
      <c r="J5526" s="5" t="s">
        <v>10846</v>
      </c>
      <c r="L5526" s="11">
        <v>3.9627475226032112</v>
      </c>
      <c r="N5526" s="12"/>
    </row>
    <row r="5527" spans="1:14" s="5" customFormat="1" ht="15" customHeight="1" x14ac:dyDescent="0.25">
      <c r="A5527" s="9" t="s">
        <v>10847</v>
      </c>
      <c r="C5527" s="9" t="str">
        <f>HYPERLINK("http://www.ncbi.nlm.nih.gov/protein/71067114","Pik3cd")</f>
        <v>Pik3cd</v>
      </c>
      <c r="D5527" s="10">
        <f t="shared" si="86"/>
        <v>3.9627475226032112</v>
      </c>
      <c r="F5527" s="8" t="str">
        <f>HYPERLINK("https://esbl.nhlbi.nih.gov/Databases/mpkFractions/proteomic_fractions_log_files/Yang_log_img/71067114.jpg","show blot")</f>
        <v>show blot</v>
      </c>
      <c r="H5527" s="8" t="str">
        <f>HYPERLINK("https://esbl.nhlbi.nih.gov/Databases/mpkFractions/proteomic_fractions_linear_files/Yang_linear_img/71067114.jpg","show blot")</f>
        <v>show blot</v>
      </c>
      <c r="J5527" s="5" t="s">
        <v>10848</v>
      </c>
      <c r="L5527" s="11">
        <v>3.9627475226032112</v>
      </c>
      <c r="N5527" s="12"/>
    </row>
    <row r="5528" spans="1:14" s="5" customFormat="1" ht="15" customHeight="1" x14ac:dyDescent="0.25">
      <c r="A5528" s="9" t="s">
        <v>10849</v>
      </c>
      <c r="C5528" s="9" t="str">
        <f>HYPERLINK("http://www.ncbi.nlm.nih.gov/protein/244792921","Pik3r2")</f>
        <v>Pik3r2</v>
      </c>
      <c r="D5528" s="10">
        <f t="shared" si="86"/>
        <v>3.133481530053599</v>
      </c>
      <c r="F5528" s="8" t="str">
        <f>HYPERLINK("https://esbl.nhlbi.nih.gov/Databases/mpkFractions/proteomic_fractions_log_files/Yang_log_img/244792921.jpg","show blot")</f>
        <v>show blot</v>
      </c>
      <c r="H5528" s="8" t="str">
        <f>HYPERLINK("https://esbl.nhlbi.nih.gov/Databases/mpkFractions/proteomic_fractions_linear_files/Yang_linear_img/244792921.jpg","show blot")</f>
        <v>show blot</v>
      </c>
      <c r="J5528" s="5" t="s">
        <v>10850</v>
      </c>
      <c r="L5528" s="11">
        <v>3.133481530053599</v>
      </c>
      <c r="N5528" s="12"/>
    </row>
    <row r="5529" spans="1:14" s="5" customFormat="1" ht="15" customHeight="1" x14ac:dyDescent="0.25">
      <c r="A5529" s="9" t="s">
        <v>10851</v>
      </c>
      <c r="C5529" s="9" t="str">
        <f>HYPERLINK("http://www.ncbi.nlm.nih.gov/protein/124486789","Pik3r4")</f>
        <v>Pik3r4</v>
      </c>
      <c r="D5529" s="10">
        <f t="shared" si="86"/>
        <v>3.7079533612438191</v>
      </c>
      <c r="F5529" s="8" t="str">
        <f>HYPERLINK("https://esbl.nhlbi.nih.gov/Databases/mpkFractions/proteomic_fractions_log_files/Yang_log_img/124486789.jpg","show blot")</f>
        <v>show blot</v>
      </c>
      <c r="H5529" s="8" t="str">
        <f>HYPERLINK("https://esbl.nhlbi.nih.gov/Databases/mpkFractions/proteomic_fractions_linear_files/Yang_linear_img/124486789.jpg","show blot")</f>
        <v>show blot</v>
      </c>
      <c r="J5529" s="5" t="s">
        <v>10852</v>
      </c>
      <c r="L5529" s="11">
        <v>3.7079533612438191</v>
      </c>
      <c r="N5529" s="12"/>
    </row>
    <row r="5530" spans="1:14" s="5" customFormat="1" ht="15" customHeight="1" x14ac:dyDescent="0.25">
      <c r="A5530" s="9" t="s">
        <v>10853</v>
      </c>
      <c r="C5530" s="9" t="str">
        <f>HYPERLINK("http://www.ncbi.nlm.nih.gov/protein/126362959","Pik3r6")</f>
        <v>Pik3r6</v>
      </c>
      <c r="D5530" s="10">
        <f t="shared" si="86"/>
        <v>3.6039855490582049</v>
      </c>
      <c r="F5530" s="8" t="str">
        <f>HYPERLINK("https://esbl.nhlbi.nih.gov/Databases/mpkFractions/proteomic_fractions_log_files/Yang_log_img/126362959.jpg","show blot")</f>
        <v>show blot</v>
      </c>
      <c r="H5530" s="8" t="str">
        <f>HYPERLINK("https://esbl.nhlbi.nih.gov/Databases/mpkFractions/proteomic_fractions_linear_files/Yang_linear_img/126362959.jpg","show blot")</f>
        <v>show blot</v>
      </c>
      <c r="J5530" s="5" t="s">
        <v>10854</v>
      </c>
      <c r="L5530" s="11">
        <v>3.6039855490582049</v>
      </c>
      <c r="N5530" s="12"/>
    </row>
    <row r="5531" spans="1:14" s="5" customFormat="1" ht="15" customHeight="1" x14ac:dyDescent="0.25">
      <c r="A5531" s="9" t="s">
        <v>10855</v>
      </c>
      <c r="C5531" s="9" t="str">
        <f>HYPERLINK("http://www.ncbi.nlm.nih.gov/protein/52138727","Pik3r6")</f>
        <v>Pik3r6</v>
      </c>
      <c r="D5531" s="10">
        <f t="shared" si="86"/>
        <v>3.6039855490582049</v>
      </c>
      <c r="F5531" s="8" t="str">
        <f>HYPERLINK("https://esbl.nhlbi.nih.gov/Databases/mpkFractions/proteomic_fractions_log_files/Yang_log_img/52138727.jpg","show blot")</f>
        <v>show blot</v>
      </c>
      <c r="H5531" s="8" t="str">
        <f>HYPERLINK("https://esbl.nhlbi.nih.gov/Databases/mpkFractions/proteomic_fractions_linear_files/Yang_linear_img/52138727.jpg","show blot")</f>
        <v>show blot</v>
      </c>
      <c r="J5531" s="5" t="s">
        <v>10856</v>
      </c>
      <c r="L5531" s="11">
        <v>3.6039855490582049</v>
      </c>
      <c r="N5531" s="12"/>
    </row>
    <row r="5532" spans="1:14" s="5" customFormat="1" ht="15" customHeight="1" x14ac:dyDescent="0.25">
      <c r="A5532" s="9" t="s">
        <v>10857</v>
      </c>
      <c r="C5532" s="9" t="str">
        <f>HYPERLINK("http://www.ncbi.nlm.nih.gov/protein/115529473","Pikfyve")</f>
        <v>Pikfyve</v>
      </c>
      <c r="D5532" s="10">
        <f t="shared" si="86"/>
        <v>1.61822848902285</v>
      </c>
      <c r="F5532" s="8" t="str">
        <f>HYPERLINK("https://esbl.nhlbi.nih.gov/Databases/mpkFractions/proteomic_fractions_log_files/Yang_log_img/115529473.jpg","show blot")</f>
        <v>show blot</v>
      </c>
      <c r="H5532" s="8" t="str">
        <f>HYPERLINK("https://esbl.nhlbi.nih.gov/Databases/mpkFractions/proteomic_fractions_linear_files/Yang_linear_img/115529473.jpg","show blot")</f>
        <v>show blot</v>
      </c>
      <c r="J5532" s="5" t="s">
        <v>10858</v>
      </c>
      <c r="L5532" s="11">
        <v>1.61822848902285</v>
      </c>
      <c r="N5532" s="12"/>
    </row>
    <row r="5533" spans="1:14" s="5" customFormat="1" ht="15" customHeight="1" x14ac:dyDescent="0.25">
      <c r="A5533" s="9" t="s">
        <v>10859</v>
      </c>
      <c r="C5533" s="9" t="str">
        <f>HYPERLINK("http://www.ncbi.nlm.nih.gov/protein/12963653","Pin1")</f>
        <v>Pin1</v>
      </c>
      <c r="D5533" s="10">
        <f t="shared" si="86"/>
        <v>4.7478927765600263</v>
      </c>
      <c r="F5533" s="8" t="str">
        <f>HYPERLINK("https://esbl.nhlbi.nih.gov/Databases/mpkFractions/proteomic_fractions_log_files/Yang_log_img/12963653.jpg","show blot")</f>
        <v>show blot</v>
      </c>
      <c r="H5533" s="8" t="str">
        <f>HYPERLINK("https://esbl.nhlbi.nih.gov/Databases/mpkFractions/proteomic_fractions_linear_files/Yang_linear_img/12963653.jpg","show blot")</f>
        <v>show blot</v>
      </c>
      <c r="J5533" s="5" t="s">
        <v>10860</v>
      </c>
      <c r="L5533" s="11">
        <v>4.7478927765600263</v>
      </c>
      <c r="N5533" s="12"/>
    </row>
    <row r="5534" spans="1:14" s="5" customFormat="1" ht="15" customHeight="1" x14ac:dyDescent="0.25">
      <c r="A5534" s="9" t="s">
        <v>10861</v>
      </c>
      <c r="C5534" s="9" t="str">
        <f>HYPERLINK("http://www.ncbi.nlm.nih.gov/protein/85702071","Pin1rt1")</f>
        <v>Pin1rt1</v>
      </c>
      <c r="D5534" s="10">
        <f t="shared" si="86"/>
        <v>3.5803304377600438</v>
      </c>
      <c r="F5534" s="8" t="str">
        <f>HYPERLINK("https://esbl.nhlbi.nih.gov/Databases/mpkFractions/proteomic_fractions_log_files/Yang_log_img/85702071.jpg","show blot")</f>
        <v>show blot</v>
      </c>
      <c r="H5534" s="8" t="str">
        <f>HYPERLINK("https://esbl.nhlbi.nih.gov/Databases/mpkFractions/proteomic_fractions_linear_files/Yang_linear_img/85702071.jpg","show blot")</f>
        <v>show blot</v>
      </c>
      <c r="J5534" s="5" t="s">
        <v>10862</v>
      </c>
      <c r="L5534" s="11">
        <v>3.5803304377600438</v>
      </c>
      <c r="N5534" s="12"/>
    </row>
    <row r="5535" spans="1:14" s="5" customFormat="1" ht="15" customHeight="1" x14ac:dyDescent="0.25">
      <c r="A5535" s="9" t="s">
        <v>10863</v>
      </c>
      <c r="C5535" s="9" t="str">
        <f>HYPERLINK("http://www.ncbi.nlm.nih.gov/protein/125490368","Pip4k2a")</f>
        <v>Pip4k2a</v>
      </c>
      <c r="D5535" s="10">
        <f t="shared" si="86"/>
        <v>3.7941820652214919</v>
      </c>
      <c r="F5535" s="8" t="str">
        <f>HYPERLINK("https://esbl.nhlbi.nih.gov/Databases/mpkFractions/proteomic_fractions_log_files/Yang_log_img/125490368.jpg","show blot")</f>
        <v>show blot</v>
      </c>
      <c r="H5535" s="8" t="str">
        <f>HYPERLINK("https://esbl.nhlbi.nih.gov/Databases/mpkFractions/proteomic_fractions_linear_files/Yang_linear_img/125490368.jpg","show blot")</f>
        <v>show blot</v>
      </c>
      <c r="J5535" s="5" t="s">
        <v>10864</v>
      </c>
      <c r="L5535" s="11">
        <v>3.7941820652214919</v>
      </c>
      <c r="N5535" s="12"/>
    </row>
    <row r="5536" spans="1:14" s="5" customFormat="1" ht="15" customHeight="1" x14ac:dyDescent="0.25">
      <c r="A5536" s="9" t="s">
        <v>10865</v>
      </c>
      <c r="C5536" s="9" t="str">
        <f>HYPERLINK("http://www.ncbi.nlm.nih.gov/protein/33563294","Pip4k2b")</f>
        <v>Pip4k2b</v>
      </c>
      <c r="D5536" s="10">
        <f t="shared" si="86"/>
        <v>4.1054675906947109</v>
      </c>
      <c r="F5536" s="8" t="str">
        <f>HYPERLINK("https://esbl.nhlbi.nih.gov/Databases/mpkFractions/proteomic_fractions_log_files/Yang_log_img/33563294.jpg","show blot")</f>
        <v>show blot</v>
      </c>
      <c r="H5536" s="8" t="str">
        <f>HYPERLINK("https://esbl.nhlbi.nih.gov/Databases/mpkFractions/proteomic_fractions_linear_files/Yang_linear_img/33563294.jpg","show blot")</f>
        <v>show blot</v>
      </c>
      <c r="J5536" s="5" t="s">
        <v>10866</v>
      </c>
      <c r="L5536" s="11">
        <v>4.1054675906947109</v>
      </c>
      <c r="N5536" s="12"/>
    </row>
    <row r="5537" spans="1:14" s="5" customFormat="1" ht="15" customHeight="1" x14ac:dyDescent="0.25">
      <c r="A5537" s="9" t="s">
        <v>10867</v>
      </c>
      <c r="C5537" s="9" t="str">
        <f>HYPERLINK("http://www.ncbi.nlm.nih.gov/protein/17298686","Pip4k2c")</f>
        <v>Pip4k2c</v>
      </c>
      <c r="D5537" s="10">
        <f t="shared" si="86"/>
        <v>5.3406903320204302</v>
      </c>
      <c r="F5537" s="8" t="str">
        <f>HYPERLINK("https://esbl.nhlbi.nih.gov/Databases/mpkFractions/proteomic_fractions_log_files/Yang_log_img/17298686.jpg","show blot")</f>
        <v>show blot</v>
      </c>
      <c r="H5537" s="8" t="str">
        <f>HYPERLINK("https://esbl.nhlbi.nih.gov/Databases/mpkFractions/proteomic_fractions_linear_files/Yang_linear_img/17298686.jpg","show blot")</f>
        <v>show blot</v>
      </c>
      <c r="J5537" s="5" t="s">
        <v>10868</v>
      </c>
      <c r="L5537" s="11">
        <v>5.3406903320204302</v>
      </c>
      <c r="N5537" s="12"/>
    </row>
    <row r="5538" spans="1:14" s="5" customFormat="1" ht="15" customHeight="1" x14ac:dyDescent="0.25">
      <c r="A5538" s="9" t="s">
        <v>10869</v>
      </c>
      <c r="C5538" s="9" t="str">
        <f>HYPERLINK("http://www.ncbi.nlm.nih.gov/protein/31982833","Pip5k1a")</f>
        <v>Pip5k1a</v>
      </c>
      <c r="D5538" s="10">
        <f t="shared" si="86"/>
        <v>3.0490571674861182</v>
      </c>
      <c r="F5538" s="8" t="str">
        <f>HYPERLINK("https://esbl.nhlbi.nih.gov/Databases/mpkFractions/proteomic_fractions_log_files/Yang_log_img/31982833.jpg","show blot")</f>
        <v>show blot</v>
      </c>
      <c r="H5538" s="8" t="str">
        <f>HYPERLINK("https://esbl.nhlbi.nih.gov/Databases/mpkFractions/proteomic_fractions_linear_files/Yang_linear_img/31982833.jpg","show blot")</f>
        <v>show blot</v>
      </c>
      <c r="J5538" s="5" t="s">
        <v>10870</v>
      </c>
      <c r="L5538" s="11">
        <v>3.0490571674861182</v>
      </c>
      <c r="N5538" s="12"/>
    </row>
    <row r="5539" spans="1:14" s="5" customFormat="1" ht="15" customHeight="1" x14ac:dyDescent="0.25">
      <c r="A5539" s="9" t="s">
        <v>10871</v>
      </c>
      <c r="C5539" s="9" t="str">
        <f>HYPERLINK("http://www.ncbi.nlm.nih.gov/protein/226442755","Pip5k1c")</f>
        <v>Pip5k1c</v>
      </c>
      <c r="D5539" s="10">
        <f t="shared" si="86"/>
        <v>0.63971740485658801</v>
      </c>
      <c r="F5539" s="8" t="str">
        <f>HYPERLINK("https://esbl.nhlbi.nih.gov/Databases/mpkFractions/proteomic_fractions_log_files/Yang_log_img/226442755.jpg","show blot")</f>
        <v>show blot</v>
      </c>
      <c r="H5539" s="8" t="str">
        <f>HYPERLINK("https://esbl.nhlbi.nih.gov/Databases/mpkFractions/proteomic_fractions_linear_files/Yang_linear_img/226442755.jpg","show blot")</f>
        <v>show blot</v>
      </c>
      <c r="J5539" s="5" t="s">
        <v>10872</v>
      </c>
      <c r="L5539" s="11">
        <v>0.63971740485658801</v>
      </c>
      <c r="N5539" s="12"/>
    </row>
    <row r="5540" spans="1:14" s="5" customFormat="1" ht="15" customHeight="1" x14ac:dyDescent="0.25">
      <c r="A5540" s="9" t="s">
        <v>10873</v>
      </c>
      <c r="C5540" s="9" t="str">
        <f>HYPERLINK("http://www.ncbi.nlm.nih.gov/protein/226442759","Pip5k1c")</f>
        <v>Pip5k1c</v>
      </c>
      <c r="D5540" s="10">
        <f t="shared" si="86"/>
        <v>0.63971740485658801</v>
      </c>
      <c r="F5540" s="8" t="str">
        <f>HYPERLINK("https://esbl.nhlbi.nih.gov/Databases/mpkFractions/proteomic_fractions_log_files/Yang_log_img/226442759.jpg","show blot")</f>
        <v>show blot</v>
      </c>
      <c r="H5540" s="8" t="str">
        <f>HYPERLINK("https://esbl.nhlbi.nih.gov/Databases/mpkFractions/proteomic_fractions_linear_files/Yang_linear_img/226442759.jpg","show blot")</f>
        <v>show blot</v>
      </c>
      <c r="J5540" s="5" t="s">
        <v>10874</v>
      </c>
      <c r="L5540" s="11">
        <v>0.63971740485658801</v>
      </c>
      <c r="N5540" s="12"/>
    </row>
    <row r="5541" spans="1:14" s="5" customFormat="1" ht="15" customHeight="1" x14ac:dyDescent="0.25">
      <c r="A5541" s="9" t="s">
        <v>10875</v>
      </c>
      <c r="C5541" s="9" t="str">
        <f>HYPERLINK("http://www.ncbi.nlm.nih.gov/protein/126722757","Pisd")</f>
        <v>Pisd</v>
      </c>
      <c r="D5541" s="10">
        <f t="shared" si="86"/>
        <v>3.5965975287393861</v>
      </c>
      <c r="F5541" s="8" t="str">
        <f>HYPERLINK("https://esbl.nhlbi.nih.gov/Databases/mpkFractions/proteomic_fractions_log_files/Yang_log_img/126722757.jpg","show blot")</f>
        <v>show blot</v>
      </c>
      <c r="H5541" s="8" t="str">
        <f>HYPERLINK("https://esbl.nhlbi.nih.gov/Databases/mpkFractions/proteomic_fractions_linear_files/Yang_linear_img/126722757.jpg","show blot")</f>
        <v>show blot</v>
      </c>
      <c r="J5541" s="5" t="s">
        <v>10876</v>
      </c>
      <c r="L5541" s="11">
        <v>3.5965975287393861</v>
      </c>
      <c r="N5541" s="12"/>
    </row>
    <row r="5542" spans="1:14" s="5" customFormat="1" ht="15" customHeight="1" x14ac:dyDescent="0.25">
      <c r="A5542" s="9" t="s">
        <v>10877</v>
      </c>
      <c r="C5542" s="9" t="str">
        <f>HYPERLINK("http://www.ncbi.nlm.nih.gov/protein/6679337","Pitpna")</f>
        <v>Pitpna</v>
      </c>
      <c r="D5542" s="10">
        <f t="shared" si="86"/>
        <v>5.6986809858574379</v>
      </c>
      <c r="F5542" s="8" t="str">
        <f>HYPERLINK("https://esbl.nhlbi.nih.gov/Databases/mpkFractions/proteomic_fractions_log_files/Yang_log_img/6679337.jpg","show blot")</f>
        <v>show blot</v>
      </c>
      <c r="H5542" s="8" t="str">
        <f>HYPERLINK("https://esbl.nhlbi.nih.gov/Databases/mpkFractions/proteomic_fractions_linear_files/Yang_linear_img/6679337.jpg","show blot")</f>
        <v>show blot</v>
      </c>
      <c r="J5542" s="5" t="s">
        <v>10878</v>
      </c>
      <c r="L5542" s="11">
        <v>5.6986809858574379</v>
      </c>
      <c r="N5542" s="12"/>
    </row>
    <row r="5543" spans="1:14" s="5" customFormat="1" ht="15" customHeight="1" x14ac:dyDescent="0.25">
      <c r="A5543" s="9" t="s">
        <v>10879</v>
      </c>
      <c r="C5543" s="9" t="str">
        <f>HYPERLINK("http://www.ncbi.nlm.nih.gov/protein/9790159","Pitpnb")</f>
        <v>Pitpnb</v>
      </c>
      <c r="D5543" s="10">
        <f t="shared" si="86"/>
        <v>5.6384510645661248</v>
      </c>
      <c r="F5543" s="8" t="str">
        <f>HYPERLINK("https://esbl.nhlbi.nih.gov/Databases/mpkFractions/proteomic_fractions_log_files/Yang_log_img/9790159.jpg","show blot")</f>
        <v>show blot</v>
      </c>
      <c r="H5543" s="8" t="str">
        <f>HYPERLINK("https://esbl.nhlbi.nih.gov/Databases/mpkFractions/proteomic_fractions_linear_files/Yang_linear_img/9790159.jpg","show blot")</f>
        <v>show blot</v>
      </c>
      <c r="J5543" s="5" t="s">
        <v>10880</v>
      </c>
      <c r="L5543" s="11">
        <v>5.6384510645661248</v>
      </c>
      <c r="N5543" s="12"/>
    </row>
    <row r="5544" spans="1:14" s="5" customFormat="1" ht="15" customHeight="1" x14ac:dyDescent="0.25">
      <c r="A5544" s="9" t="s">
        <v>10881</v>
      </c>
      <c r="C5544" s="9" t="str">
        <f>HYPERLINK("http://www.ncbi.nlm.nih.gov/protein/21699068","Pitrm1")</f>
        <v>Pitrm1</v>
      </c>
      <c r="D5544" s="10">
        <f t="shared" si="86"/>
        <v>4.5959061847022067</v>
      </c>
      <c r="F5544" s="8" t="str">
        <f>HYPERLINK("https://esbl.nhlbi.nih.gov/Databases/mpkFractions/proteomic_fractions_log_files/Yang_log_img/21699068.jpg","show blot")</f>
        <v>show blot</v>
      </c>
      <c r="H5544" s="8" t="str">
        <f>HYPERLINK("https://esbl.nhlbi.nih.gov/Databases/mpkFractions/proteomic_fractions_linear_files/Yang_linear_img/21699068.jpg","show blot")</f>
        <v>show blot</v>
      </c>
      <c r="J5544" s="5" t="s">
        <v>10882</v>
      </c>
      <c r="L5544" s="11">
        <v>4.5959061847022067</v>
      </c>
      <c r="N5544" s="12"/>
    </row>
    <row r="5545" spans="1:14" s="5" customFormat="1" ht="15" customHeight="1" x14ac:dyDescent="0.25">
      <c r="A5545" s="9" t="s">
        <v>10883</v>
      </c>
      <c r="C5545" s="9" t="str">
        <f>HYPERLINK("http://www.ncbi.nlm.nih.gov/protein/10946610","Piwil2")</f>
        <v>Piwil2</v>
      </c>
      <c r="D5545" s="10">
        <f t="shared" si="86"/>
        <v>3.5866034139033331</v>
      </c>
      <c r="F5545" s="8" t="str">
        <f>HYPERLINK("https://esbl.nhlbi.nih.gov/Databases/mpkFractions/proteomic_fractions_log_files/Yang_log_img/10946610.jpg","show blot")</f>
        <v>show blot</v>
      </c>
      <c r="H5545" s="8" t="str">
        <f>HYPERLINK("https://esbl.nhlbi.nih.gov/Databases/mpkFractions/proteomic_fractions_linear_files/Yang_linear_img/10946610.jpg","show blot")</f>
        <v>show blot</v>
      </c>
      <c r="J5545" s="5" t="s">
        <v>10884</v>
      </c>
      <c r="L5545" s="11">
        <v>3.5866034139033331</v>
      </c>
      <c r="N5545" s="12"/>
    </row>
    <row r="5546" spans="1:14" s="5" customFormat="1" ht="15" customHeight="1" x14ac:dyDescent="0.25">
      <c r="A5546" s="9" t="s">
        <v>10885</v>
      </c>
      <c r="C5546" s="9" t="str">
        <f>HYPERLINK("http://www.ncbi.nlm.nih.gov/protein/21450079","Pja2")</f>
        <v>Pja2</v>
      </c>
      <c r="D5546" s="10">
        <f t="shared" si="86"/>
        <v>3.0599399199441488</v>
      </c>
      <c r="F5546" s="8" t="str">
        <f>HYPERLINK("https://esbl.nhlbi.nih.gov/Databases/mpkFractions/proteomic_fractions_log_files/Yang_log_img/21450079.jpg","show blot")</f>
        <v>show blot</v>
      </c>
      <c r="H5546" s="8" t="str">
        <f>HYPERLINK("https://esbl.nhlbi.nih.gov/Databases/mpkFractions/proteomic_fractions_linear_files/Yang_linear_img/21450079.jpg","show blot")</f>
        <v>show blot</v>
      </c>
      <c r="J5546" s="5" t="s">
        <v>10886</v>
      </c>
      <c r="L5546" s="11">
        <v>3.0599399199441488</v>
      </c>
      <c r="N5546" s="12"/>
    </row>
    <row r="5547" spans="1:14" s="5" customFormat="1" ht="15" customHeight="1" x14ac:dyDescent="0.25">
      <c r="A5547" s="9" t="s">
        <v>10887</v>
      </c>
      <c r="C5547" s="9" t="str">
        <f>HYPERLINK("http://www.ncbi.nlm.nih.gov/protein/70794801","Pja2")</f>
        <v>Pja2</v>
      </c>
      <c r="D5547" s="10">
        <f t="shared" si="86"/>
        <v>3.0599399199441488</v>
      </c>
      <c r="F5547" s="8" t="str">
        <f>HYPERLINK("https://esbl.nhlbi.nih.gov/Databases/mpkFractions/proteomic_fractions_log_files/Yang_log_img/70794801.jpg","show blot")</f>
        <v>show blot</v>
      </c>
      <c r="H5547" s="8" t="str">
        <f>HYPERLINK("https://esbl.nhlbi.nih.gov/Databases/mpkFractions/proteomic_fractions_linear_files/Yang_linear_img/70794801.jpg","show blot")</f>
        <v>show blot</v>
      </c>
      <c r="J5547" s="5" t="s">
        <v>10888</v>
      </c>
      <c r="L5547" s="11">
        <v>3.0599399199441488</v>
      </c>
      <c r="N5547" s="12"/>
    </row>
    <row r="5548" spans="1:14" s="5" customFormat="1" ht="15" customHeight="1" x14ac:dyDescent="0.25">
      <c r="A5548" s="9" t="s">
        <v>10889</v>
      </c>
      <c r="C5548" s="9" t="str">
        <f>HYPERLINK("http://www.ncbi.nlm.nih.gov/protein/164519057","Pkd2")</f>
        <v>Pkd2</v>
      </c>
      <c r="D5548" s="10">
        <f t="shared" si="86"/>
        <v>2.7592033326159808</v>
      </c>
      <c r="F5548" s="8" t="str">
        <f>HYPERLINK("https://esbl.nhlbi.nih.gov/Databases/mpkFractions/proteomic_fractions_log_files/Yang_log_img/164519057.jpg","show blot")</f>
        <v>show blot</v>
      </c>
      <c r="H5548" s="8" t="str">
        <f>HYPERLINK("https://esbl.nhlbi.nih.gov/Databases/mpkFractions/proteomic_fractions_linear_files/Yang_linear_img/164519057.jpg","show blot")</f>
        <v>show blot</v>
      </c>
      <c r="J5548" s="5" t="s">
        <v>10890</v>
      </c>
      <c r="L5548" s="11">
        <v>2.7592033326159808</v>
      </c>
      <c r="N5548" s="12"/>
    </row>
    <row r="5549" spans="1:14" s="5" customFormat="1" ht="15" customHeight="1" x14ac:dyDescent="0.25">
      <c r="A5549" s="9" t="s">
        <v>10891</v>
      </c>
      <c r="C5549" s="9" t="str">
        <f>HYPERLINK("http://www.ncbi.nlm.nih.gov/protein/126157466","Pkhd1")</f>
        <v>Pkhd1</v>
      </c>
      <c r="D5549" s="10">
        <f t="shared" si="86"/>
        <v>1.8729435829434691</v>
      </c>
      <c r="F5549" s="8" t="str">
        <f>HYPERLINK("https://esbl.nhlbi.nih.gov/Databases/mpkFractions/proteomic_fractions_log_files/Yang_log_img/126157466.jpg","show blot")</f>
        <v>show blot</v>
      </c>
      <c r="H5549" s="8" t="str">
        <f>HYPERLINK("https://esbl.nhlbi.nih.gov/Databases/mpkFractions/proteomic_fractions_linear_files/Yang_linear_img/126157466.jpg","show blot")</f>
        <v>show blot</v>
      </c>
      <c r="J5549" s="5" t="s">
        <v>10892</v>
      </c>
      <c r="L5549" s="11">
        <v>1.8729435829434691</v>
      </c>
      <c r="N5549" s="12"/>
    </row>
    <row r="5550" spans="1:14" s="5" customFormat="1" ht="15" customHeight="1" x14ac:dyDescent="0.25">
      <c r="A5550" s="9" t="s">
        <v>10893</v>
      </c>
      <c r="C5550" s="9" t="str">
        <f>HYPERLINK("http://www.ncbi.nlm.nih.gov/protein/6755088","Pkig")</f>
        <v>Pkig</v>
      </c>
      <c r="D5550" s="10">
        <f t="shared" si="86"/>
        <v>4.2252363926150531</v>
      </c>
      <c r="F5550" s="8" t="str">
        <f>HYPERLINK("https://esbl.nhlbi.nih.gov/Databases/mpkFractions/proteomic_fractions_log_files/Yang_log_img/6755088.jpg","show blot")</f>
        <v>show blot</v>
      </c>
      <c r="H5550" s="8" t="str">
        <f>HYPERLINK("https://esbl.nhlbi.nih.gov/Databases/mpkFractions/proteomic_fractions_linear_files/Yang_linear_img/6755088.jpg","show blot")</f>
        <v>show blot</v>
      </c>
      <c r="J5550" s="5" t="s">
        <v>10894</v>
      </c>
      <c r="L5550" s="11">
        <v>4.2252363926150531</v>
      </c>
      <c r="N5550" s="12"/>
    </row>
    <row r="5551" spans="1:14" s="5" customFormat="1" ht="15" customHeight="1" x14ac:dyDescent="0.25">
      <c r="A5551" s="9" t="s">
        <v>10895</v>
      </c>
      <c r="C5551" s="9" t="str">
        <f>HYPERLINK("http://www.ncbi.nlm.nih.gov/protein/153792131","Pklr")</f>
        <v>Pklr</v>
      </c>
      <c r="D5551" s="10">
        <f t="shared" si="86"/>
        <v>6.2229489201770747</v>
      </c>
      <c r="F5551" s="8" t="str">
        <f>HYPERLINK("https://esbl.nhlbi.nih.gov/Databases/mpkFractions/proteomic_fractions_log_files/Yang_log_img/153792131.jpg","show blot")</f>
        <v>show blot</v>
      </c>
      <c r="H5551" s="8" t="str">
        <f>HYPERLINK("https://esbl.nhlbi.nih.gov/Databases/mpkFractions/proteomic_fractions_linear_files/Yang_linear_img/153792131.jpg","show blot")</f>
        <v>show blot</v>
      </c>
      <c r="J5551" s="5" t="s">
        <v>10896</v>
      </c>
      <c r="L5551" s="11">
        <v>6.2229489201770747</v>
      </c>
      <c r="N5551" s="12"/>
    </row>
    <row r="5552" spans="1:14" s="5" customFormat="1" ht="15" customHeight="1" x14ac:dyDescent="0.25">
      <c r="A5552" s="9" t="s">
        <v>10897</v>
      </c>
      <c r="C5552" s="9" t="str">
        <f>HYPERLINK("http://www.ncbi.nlm.nih.gov/protein/153792772","Pklr")</f>
        <v>Pklr</v>
      </c>
      <c r="D5552" s="10">
        <f t="shared" si="86"/>
        <v>6.2229489201770747</v>
      </c>
      <c r="F5552" s="8" t="str">
        <f>HYPERLINK("https://esbl.nhlbi.nih.gov/Databases/mpkFractions/proteomic_fractions_log_files/Yang_log_img/153792772.jpg","show blot")</f>
        <v>show blot</v>
      </c>
      <c r="H5552" s="8" t="str">
        <f>HYPERLINK("https://esbl.nhlbi.nih.gov/Databases/mpkFractions/proteomic_fractions_linear_files/Yang_linear_img/153792772.jpg","show blot")</f>
        <v>show blot</v>
      </c>
      <c r="J5552" s="5" t="s">
        <v>10898</v>
      </c>
      <c r="L5552" s="11">
        <v>6.2229489201770747</v>
      </c>
      <c r="N5552" s="12"/>
    </row>
    <row r="5553" spans="1:14" s="5" customFormat="1" ht="15" customHeight="1" x14ac:dyDescent="0.25">
      <c r="A5553" s="9" t="s">
        <v>10899</v>
      </c>
      <c r="C5553" s="9" t="str">
        <f>HYPERLINK("http://www.ncbi.nlm.nih.gov/protein/31981562","Pkm")</f>
        <v>Pkm</v>
      </c>
      <c r="D5553" s="10">
        <f t="shared" si="86"/>
        <v>7.3653896900965394</v>
      </c>
      <c r="F5553" s="8" t="str">
        <f>HYPERLINK("https://esbl.nhlbi.nih.gov/Databases/mpkFractions/proteomic_fractions_log_files/Yang_log_img/31981562.jpg","show blot")</f>
        <v>show blot</v>
      </c>
      <c r="H5553" s="8" t="str">
        <f>HYPERLINK("https://esbl.nhlbi.nih.gov/Databases/mpkFractions/proteomic_fractions_linear_files/Yang_linear_img/31981562.jpg","show blot")</f>
        <v>show blot</v>
      </c>
      <c r="J5553" s="5" t="s">
        <v>10900</v>
      </c>
      <c r="L5553" s="11">
        <v>7.3653896900965394</v>
      </c>
      <c r="N5553" s="12"/>
    </row>
    <row r="5554" spans="1:14" s="5" customFormat="1" ht="15" customHeight="1" x14ac:dyDescent="0.25">
      <c r="A5554" s="9" t="s">
        <v>10901</v>
      </c>
      <c r="C5554" s="9" t="str">
        <f>HYPERLINK("http://www.ncbi.nlm.nih.gov/protein/359807367","Pkm")</f>
        <v>Pkm</v>
      </c>
      <c r="D5554" s="10">
        <f t="shared" si="86"/>
        <v>7.3653896900965394</v>
      </c>
      <c r="F5554" s="8" t="str">
        <f>HYPERLINK("https://esbl.nhlbi.nih.gov/Databases/mpkFractions/proteomic_fractions_log_files/Yang_log_img/359807367.jpg","show blot")</f>
        <v>show blot</v>
      </c>
      <c r="H5554" s="8" t="str">
        <f>HYPERLINK("https://esbl.nhlbi.nih.gov/Databases/mpkFractions/proteomic_fractions_linear_files/Yang_linear_img/359807367.jpg","show blot")</f>
        <v>show blot</v>
      </c>
      <c r="J5554" s="5" t="s">
        <v>10902</v>
      </c>
      <c r="L5554" s="11">
        <v>7.3653896900965394</v>
      </c>
      <c r="N5554" s="12"/>
    </row>
    <row r="5555" spans="1:14" s="5" customFormat="1" ht="15" customHeight="1" x14ac:dyDescent="0.25">
      <c r="A5555" s="9" t="s">
        <v>10903</v>
      </c>
      <c r="C5555" s="9" t="str">
        <f>HYPERLINK("http://www.ncbi.nlm.nih.gov/protein/313760674","Pkn1")</f>
        <v>Pkn1</v>
      </c>
      <c r="D5555" s="10">
        <f t="shared" si="86"/>
        <v>4.1964599807102108</v>
      </c>
      <c r="F5555" s="8" t="str">
        <f>HYPERLINK("https://esbl.nhlbi.nih.gov/Databases/mpkFractions/proteomic_fractions_log_files/Yang_log_img/313760674.jpg","show blot")</f>
        <v>show blot</v>
      </c>
      <c r="H5555" s="8" t="str">
        <f>HYPERLINK("https://esbl.nhlbi.nih.gov/Databases/mpkFractions/proteomic_fractions_linear_files/Yang_linear_img/313760674.jpg","show blot")</f>
        <v>show blot</v>
      </c>
      <c r="J5555" s="5" t="s">
        <v>10904</v>
      </c>
      <c r="L5555" s="11">
        <v>4.1964599807102108</v>
      </c>
      <c r="N5555" s="12"/>
    </row>
    <row r="5556" spans="1:14" s="5" customFormat="1" ht="15" customHeight="1" x14ac:dyDescent="0.25">
      <c r="A5556" s="9" t="s">
        <v>10905</v>
      </c>
      <c r="C5556" s="9" t="str">
        <f>HYPERLINK("http://www.ncbi.nlm.nih.gov/protein/32813439","Pkn1")</f>
        <v>Pkn1</v>
      </c>
      <c r="D5556" s="10">
        <f t="shared" si="86"/>
        <v>4.1964599807102108</v>
      </c>
      <c r="F5556" s="8" t="str">
        <f>HYPERLINK("https://esbl.nhlbi.nih.gov/Databases/mpkFractions/proteomic_fractions_log_files/Yang_log_img/32813439.jpg","show blot")</f>
        <v>show blot</v>
      </c>
      <c r="H5556" s="8" t="str">
        <f>HYPERLINK("https://esbl.nhlbi.nih.gov/Databases/mpkFractions/proteomic_fractions_linear_files/Yang_linear_img/32813439.jpg","show blot")</f>
        <v>show blot</v>
      </c>
      <c r="J5556" s="5" t="s">
        <v>10906</v>
      </c>
      <c r="L5556" s="11">
        <v>4.1964599807102108</v>
      </c>
      <c r="N5556" s="12"/>
    </row>
    <row r="5557" spans="1:14" s="5" customFormat="1" ht="15" customHeight="1" x14ac:dyDescent="0.25">
      <c r="A5557" s="9" t="s">
        <v>10907</v>
      </c>
      <c r="C5557" s="9" t="str">
        <f>HYPERLINK("http://www.ncbi.nlm.nih.gov/protein/260099670","Pkn2")</f>
        <v>Pkn2</v>
      </c>
      <c r="D5557" s="10">
        <f t="shared" si="86"/>
        <v>4.5500101652456104</v>
      </c>
      <c r="F5557" s="8" t="str">
        <f>HYPERLINK("https://esbl.nhlbi.nih.gov/Databases/mpkFractions/proteomic_fractions_log_files/Yang_log_img/260099670.jpg","show blot")</f>
        <v>show blot</v>
      </c>
      <c r="H5557" s="8" t="str">
        <f>HYPERLINK("https://esbl.nhlbi.nih.gov/Databases/mpkFractions/proteomic_fractions_linear_files/Yang_linear_img/260099670.jpg","show blot")</f>
        <v>show blot</v>
      </c>
      <c r="J5557" s="5" t="s">
        <v>10908</v>
      </c>
      <c r="L5557" s="11">
        <v>4.5500101652456104</v>
      </c>
      <c r="N5557" s="12"/>
    </row>
    <row r="5558" spans="1:14" s="5" customFormat="1" ht="15" customHeight="1" x14ac:dyDescent="0.25">
      <c r="A5558" s="9" t="s">
        <v>10909</v>
      </c>
      <c r="C5558" s="9" t="str">
        <f>HYPERLINK("http://www.ncbi.nlm.nih.gov/protein/24418929","Pkn3")</f>
        <v>Pkn3</v>
      </c>
      <c r="D5558" s="10">
        <f t="shared" si="86"/>
        <v>2.946732907660579</v>
      </c>
      <c r="F5558" s="8" t="str">
        <f>HYPERLINK("https://esbl.nhlbi.nih.gov/Databases/mpkFractions/proteomic_fractions_log_files/Yang_log_img/24418929.jpg","show blot")</f>
        <v>show blot</v>
      </c>
      <c r="H5558" s="8" t="str">
        <f>HYPERLINK("https://esbl.nhlbi.nih.gov/Databases/mpkFractions/proteomic_fractions_linear_files/Yang_linear_img/24418929.jpg","show blot")</f>
        <v>show blot</v>
      </c>
      <c r="J5558" s="5" t="s">
        <v>10910</v>
      </c>
      <c r="L5558" s="11">
        <v>2.946732907660579</v>
      </c>
      <c r="N5558" s="12"/>
    </row>
    <row r="5559" spans="1:14" s="5" customFormat="1" ht="15" customHeight="1" x14ac:dyDescent="0.25">
      <c r="A5559" s="9" t="s">
        <v>10911</v>
      </c>
      <c r="C5559" s="9" t="str">
        <f>HYPERLINK("http://www.ncbi.nlm.nih.gov/protein/21312960","Pkp2")</f>
        <v>Pkp2</v>
      </c>
      <c r="D5559" s="10">
        <f t="shared" si="86"/>
        <v>4.5958977639739613</v>
      </c>
      <c r="F5559" s="8" t="str">
        <f>HYPERLINK("https://esbl.nhlbi.nih.gov/Databases/mpkFractions/proteomic_fractions_log_files/Yang_log_img/21312960.jpg","show blot")</f>
        <v>show blot</v>
      </c>
      <c r="H5559" s="8" t="str">
        <f>HYPERLINK("https://esbl.nhlbi.nih.gov/Databases/mpkFractions/proteomic_fractions_linear_files/Yang_linear_img/21312960.jpg","show blot")</f>
        <v>show blot</v>
      </c>
      <c r="J5559" s="5" t="s">
        <v>10912</v>
      </c>
      <c r="L5559" s="11">
        <v>4.5958977639739613</v>
      </c>
      <c r="N5559" s="12"/>
    </row>
    <row r="5560" spans="1:14" s="5" customFormat="1" ht="15" customHeight="1" x14ac:dyDescent="0.25">
      <c r="A5560" s="9" t="s">
        <v>10913</v>
      </c>
      <c r="C5560" s="9" t="str">
        <f>HYPERLINK("http://www.ncbi.nlm.nih.gov/protein/242332585","Pkp3")</f>
        <v>Pkp3</v>
      </c>
      <c r="D5560" s="10">
        <f t="shared" si="86"/>
        <v>3.583722710291124</v>
      </c>
      <c r="F5560" s="8" t="str">
        <f>HYPERLINK("https://esbl.nhlbi.nih.gov/Databases/mpkFractions/proteomic_fractions_log_files/Yang_log_img/242332585.jpg","show blot")</f>
        <v>show blot</v>
      </c>
      <c r="H5560" s="8" t="str">
        <f>HYPERLINK("https://esbl.nhlbi.nih.gov/Databases/mpkFractions/proteomic_fractions_linear_files/Yang_linear_img/242332585.jpg","show blot")</f>
        <v>show blot</v>
      </c>
      <c r="J5560" s="5" t="s">
        <v>10914</v>
      </c>
      <c r="L5560" s="11">
        <v>3.583722710291124</v>
      </c>
      <c r="N5560" s="12"/>
    </row>
    <row r="5561" spans="1:14" s="5" customFormat="1" ht="15" customHeight="1" x14ac:dyDescent="0.25">
      <c r="A5561" s="9" t="s">
        <v>10915</v>
      </c>
      <c r="C5561" s="9" t="str">
        <f>HYPERLINK("http://www.ncbi.nlm.nih.gov/protein/242332587","Pkp3")</f>
        <v>Pkp3</v>
      </c>
      <c r="D5561" s="10">
        <f t="shared" si="86"/>
        <v>3.583722710291124</v>
      </c>
      <c r="F5561" s="8" t="str">
        <f>HYPERLINK("https://esbl.nhlbi.nih.gov/Databases/mpkFractions/proteomic_fractions_log_files/Yang_log_img/242332587.jpg","show blot")</f>
        <v>show blot</v>
      </c>
      <c r="H5561" s="8" t="str">
        <f>HYPERLINK("https://esbl.nhlbi.nih.gov/Databases/mpkFractions/proteomic_fractions_linear_files/Yang_linear_img/242332587.jpg","show blot")</f>
        <v>show blot</v>
      </c>
      <c r="J5561" s="5" t="s">
        <v>10916</v>
      </c>
      <c r="L5561" s="11">
        <v>3.583722710291124</v>
      </c>
      <c r="N5561" s="12"/>
    </row>
    <row r="5562" spans="1:14" s="5" customFormat="1" ht="15" customHeight="1" x14ac:dyDescent="0.25">
      <c r="A5562" s="9" t="s">
        <v>10917</v>
      </c>
      <c r="C5562" s="9" t="str">
        <f>HYPERLINK("http://www.ncbi.nlm.nih.gov/protein/19527008","Pla2g15")</f>
        <v>Pla2g15</v>
      </c>
      <c r="D5562" s="10">
        <f t="shared" si="86"/>
        <v>4.0022717794267884</v>
      </c>
      <c r="F5562" s="8" t="str">
        <f>HYPERLINK("https://esbl.nhlbi.nih.gov/Databases/mpkFractions/proteomic_fractions_log_files/Yang_log_img/19527008.jpg","show blot")</f>
        <v>show blot</v>
      </c>
      <c r="H5562" s="8" t="str">
        <f>HYPERLINK("https://esbl.nhlbi.nih.gov/Databases/mpkFractions/proteomic_fractions_linear_files/Yang_linear_img/19527008.jpg","show blot")</f>
        <v>show blot</v>
      </c>
      <c r="J5562" s="5" t="s">
        <v>10918</v>
      </c>
      <c r="L5562" s="11">
        <v>4.0022717794267884</v>
      </c>
      <c r="N5562" s="12"/>
    </row>
    <row r="5563" spans="1:14" s="5" customFormat="1" ht="15" customHeight="1" x14ac:dyDescent="0.25">
      <c r="A5563" s="9" t="s">
        <v>10919</v>
      </c>
      <c r="C5563" s="9" t="str">
        <f>HYPERLINK("http://www.ncbi.nlm.nih.gov/protein/84781797","Pla2g16")</f>
        <v>Pla2g16</v>
      </c>
      <c r="D5563" s="10">
        <f t="shared" si="86"/>
        <v>3.3429965445962289</v>
      </c>
      <c r="F5563" s="8" t="str">
        <f>HYPERLINK("https://esbl.nhlbi.nih.gov/Databases/mpkFractions/proteomic_fractions_log_files/Yang_log_img/84781797.jpg","show blot")</f>
        <v>show blot</v>
      </c>
      <c r="H5563" s="8" t="str">
        <f>HYPERLINK("https://esbl.nhlbi.nih.gov/Databases/mpkFractions/proteomic_fractions_linear_files/Yang_linear_img/84781797.jpg","show blot")</f>
        <v>show blot</v>
      </c>
      <c r="J5563" s="5" t="s">
        <v>10920</v>
      </c>
      <c r="L5563" s="11">
        <v>3.3429965445962289</v>
      </c>
      <c r="N5563" s="12"/>
    </row>
    <row r="5564" spans="1:14" s="5" customFormat="1" ht="15" customHeight="1" x14ac:dyDescent="0.25">
      <c r="A5564" s="9" t="s">
        <v>10921</v>
      </c>
      <c r="C5564" s="9" t="str">
        <f>HYPERLINK("http://www.ncbi.nlm.nih.gov/protein/6679369","Pla2g4a")</f>
        <v>Pla2g4a</v>
      </c>
      <c r="D5564" s="10">
        <f t="shared" si="86"/>
        <v>4.9222030406139696</v>
      </c>
      <c r="F5564" s="8" t="str">
        <f>HYPERLINK("https://esbl.nhlbi.nih.gov/Databases/mpkFractions/proteomic_fractions_log_files/Yang_log_img/6679369.jpg","show blot")</f>
        <v>show blot</v>
      </c>
      <c r="H5564" s="8" t="str">
        <f>HYPERLINK("https://esbl.nhlbi.nih.gov/Databases/mpkFractions/proteomic_fractions_linear_files/Yang_linear_img/6679369.jpg","show blot")</f>
        <v>show blot</v>
      </c>
      <c r="J5564" s="5" t="s">
        <v>10922</v>
      </c>
      <c r="L5564" s="11">
        <v>4.9222030406139696</v>
      </c>
      <c r="N5564" s="12"/>
    </row>
    <row r="5565" spans="1:14" s="5" customFormat="1" ht="15" customHeight="1" x14ac:dyDescent="0.25">
      <c r="A5565" s="9" t="s">
        <v>10923</v>
      </c>
      <c r="C5565" s="9" t="str">
        <f>HYPERLINK("http://www.ncbi.nlm.nih.gov/protein/167900427","Pla2g4b")</f>
        <v>Pla2g4b</v>
      </c>
      <c r="D5565" s="10">
        <f t="shared" si="86"/>
        <v>1.22814649328495</v>
      </c>
      <c r="F5565" s="8" t="str">
        <f>HYPERLINK("https://esbl.nhlbi.nih.gov/Databases/mpkFractions/proteomic_fractions_log_files/Yang_log_img/167900427.jpg","show blot")</f>
        <v>show blot</v>
      </c>
      <c r="H5565" s="8" t="str">
        <f>HYPERLINK("https://esbl.nhlbi.nih.gov/Databases/mpkFractions/proteomic_fractions_linear_files/Yang_linear_img/167900427.jpg","show blot")</f>
        <v>show blot</v>
      </c>
      <c r="J5565" s="5" t="s">
        <v>10924</v>
      </c>
      <c r="L5565" s="11">
        <v>1.22814649328495</v>
      </c>
      <c r="N5565" s="12"/>
    </row>
    <row r="5566" spans="1:14" s="5" customFormat="1" ht="15" customHeight="1" x14ac:dyDescent="0.25">
      <c r="A5566" s="9" t="s">
        <v>10925</v>
      </c>
      <c r="C5566" s="9" t="str">
        <f>HYPERLINK("http://www.ncbi.nlm.nih.gov/protein/312222739","Pla2g6")</f>
        <v>Pla2g6</v>
      </c>
      <c r="D5566" s="10">
        <f t="shared" si="86"/>
        <v>3.7224899392325379</v>
      </c>
      <c r="F5566" s="8" t="str">
        <f>HYPERLINK("https://esbl.nhlbi.nih.gov/Databases/mpkFractions/proteomic_fractions_log_files/Yang_log_img/312222739.jpg","show blot")</f>
        <v>show blot</v>
      </c>
      <c r="H5566" s="8" t="str">
        <f>HYPERLINK("https://esbl.nhlbi.nih.gov/Databases/mpkFractions/proteomic_fractions_linear_files/Yang_linear_img/312222739.jpg","show blot")</f>
        <v>show blot</v>
      </c>
      <c r="J5566" s="5" t="s">
        <v>10926</v>
      </c>
      <c r="L5566" s="11">
        <v>3.7224899392325379</v>
      </c>
      <c r="N5566" s="12"/>
    </row>
    <row r="5567" spans="1:14" s="5" customFormat="1" ht="15" customHeight="1" x14ac:dyDescent="0.25">
      <c r="A5567" s="9" t="s">
        <v>10927</v>
      </c>
      <c r="C5567" s="9" t="str">
        <f>HYPERLINK("http://www.ncbi.nlm.nih.gov/protein/8393978;312222745","Pla2g6")</f>
        <v>Pla2g6</v>
      </c>
      <c r="D5567" s="10">
        <f t="shared" si="86"/>
        <v>3.7224899392325379</v>
      </c>
      <c r="F5567" s="8" t="str">
        <f>HYPERLINK("https://esbl.nhlbi.nih.gov/Databases/mpkFractions/proteomic_fractions_log_files/Yang_log_img/8393978;312222745.jpg","show blot")</f>
        <v>show blot</v>
      </c>
      <c r="H5567" s="8" t="str">
        <f>HYPERLINK("https://esbl.nhlbi.nih.gov/Databases/mpkFractions/proteomic_fractions_linear_files/Yang_linear_img/8393978;312222745.jpg","show blot")</f>
        <v>show blot</v>
      </c>
      <c r="J5567" s="5" t="s">
        <v>10928</v>
      </c>
      <c r="L5567" s="11">
        <v>3.7224899392325379</v>
      </c>
      <c r="N5567" s="12"/>
    </row>
    <row r="5568" spans="1:14" s="5" customFormat="1" ht="15" customHeight="1" x14ac:dyDescent="0.25">
      <c r="A5568" s="9" t="s">
        <v>10929</v>
      </c>
      <c r="C5568" s="9" t="str">
        <f>HYPERLINK("http://www.ncbi.nlm.nih.gov/protein/31980752","Pla2g7")</f>
        <v>Pla2g7</v>
      </c>
      <c r="D5568" s="10">
        <f t="shared" si="86"/>
        <v>3.984265963694209</v>
      </c>
      <c r="F5568" s="8" t="str">
        <f>HYPERLINK("https://esbl.nhlbi.nih.gov/Databases/mpkFractions/proteomic_fractions_log_files/Yang_log_img/31980752.jpg","show blot")</f>
        <v>show blot</v>
      </c>
      <c r="H5568" s="8" t="str">
        <f>HYPERLINK("https://esbl.nhlbi.nih.gov/Databases/mpkFractions/proteomic_fractions_linear_files/Yang_linear_img/31980752.jpg","show blot")</f>
        <v>show blot</v>
      </c>
      <c r="J5568" s="5" t="s">
        <v>10930</v>
      </c>
      <c r="L5568" s="11">
        <v>3.984265963694209</v>
      </c>
      <c r="N5568" s="12"/>
    </row>
    <row r="5569" spans="1:14" s="5" customFormat="1" ht="15" customHeight="1" x14ac:dyDescent="0.25">
      <c r="A5569" s="9" t="s">
        <v>10931</v>
      </c>
      <c r="C5569" s="9" t="str">
        <f>HYPERLINK("http://www.ncbi.nlm.nih.gov/protein/114431250","Plaa")</f>
        <v>Plaa</v>
      </c>
      <c r="D5569" s="10">
        <f t="shared" si="86"/>
        <v>4.8399545003553861</v>
      </c>
      <c r="F5569" s="8" t="str">
        <f>HYPERLINK("https://esbl.nhlbi.nih.gov/Databases/mpkFractions/proteomic_fractions_log_files/Yang_log_img/114431250.jpg","show blot")</f>
        <v>show blot</v>
      </c>
      <c r="H5569" s="8" t="str">
        <f>HYPERLINK("https://esbl.nhlbi.nih.gov/Databases/mpkFractions/proteomic_fractions_linear_files/Yang_linear_img/114431250.jpg","show blot")</f>
        <v>show blot</v>
      </c>
      <c r="J5569" s="5" t="s">
        <v>10932</v>
      </c>
      <c r="L5569" s="11">
        <v>4.8399545003553861</v>
      </c>
      <c r="N5569" s="12"/>
    </row>
    <row r="5570" spans="1:14" s="5" customFormat="1" ht="15" customHeight="1" x14ac:dyDescent="0.25">
      <c r="A5570" s="9" t="s">
        <v>10933</v>
      </c>
      <c r="C5570" s="9" t="str">
        <f>HYPERLINK("http://www.ncbi.nlm.nih.gov/protein/21105853","Plac8")</f>
        <v>Plac8</v>
      </c>
      <c r="D5570" s="10">
        <f t="shared" si="86"/>
        <v>2.721604544280138</v>
      </c>
      <c r="F5570" s="8" t="str">
        <f>HYPERLINK("https://esbl.nhlbi.nih.gov/Databases/mpkFractions/proteomic_fractions_log_files/Yang_log_img/21105853.jpg","show blot")</f>
        <v>show blot</v>
      </c>
      <c r="H5570" s="8" t="str">
        <f>HYPERLINK("https://esbl.nhlbi.nih.gov/Databases/mpkFractions/proteomic_fractions_linear_files/Yang_linear_img/21105853.jpg","show blot")</f>
        <v>show blot</v>
      </c>
      <c r="J5570" s="5" t="s">
        <v>10934</v>
      </c>
      <c r="L5570" s="11">
        <v>2.721604544280138</v>
      </c>
      <c r="N5570" s="12"/>
    </row>
    <row r="5571" spans="1:14" s="5" customFormat="1" ht="15" customHeight="1" x14ac:dyDescent="0.25">
      <c r="A5571" s="9" t="s">
        <v>10935</v>
      </c>
      <c r="C5571" s="9" t="str">
        <f>HYPERLINK("http://www.ncbi.nlm.nih.gov/protein/6679377","Plau")</f>
        <v>Plau</v>
      </c>
      <c r="D5571" s="10">
        <f t="shared" si="86"/>
        <v>3.7127551672740848</v>
      </c>
      <c r="F5571" s="8" t="str">
        <f>HYPERLINK("https://esbl.nhlbi.nih.gov/Databases/mpkFractions/proteomic_fractions_log_files/Yang_log_img/6679377.jpg","show blot")</f>
        <v>show blot</v>
      </c>
      <c r="H5571" s="8" t="str">
        <f>HYPERLINK("https://esbl.nhlbi.nih.gov/Databases/mpkFractions/proteomic_fractions_linear_files/Yang_linear_img/6679377.jpg","show blot")</f>
        <v>show blot</v>
      </c>
      <c r="J5571" s="5" t="s">
        <v>10936</v>
      </c>
      <c r="L5571" s="11">
        <v>3.7127551672740848</v>
      </c>
      <c r="N5571" s="12"/>
    </row>
    <row r="5572" spans="1:14" s="5" customFormat="1" ht="15" customHeight="1" x14ac:dyDescent="0.25">
      <c r="A5572" s="9" t="s">
        <v>10937</v>
      </c>
      <c r="C5572" s="9" t="str">
        <f>HYPERLINK("http://www.ncbi.nlm.nih.gov/protein/31560090","Plbd2")</f>
        <v>Plbd2</v>
      </c>
      <c r="D5572" s="10">
        <f t="shared" si="86"/>
        <v>4.9263617037154424</v>
      </c>
      <c r="F5572" s="8" t="str">
        <f>HYPERLINK("https://esbl.nhlbi.nih.gov/Databases/mpkFractions/proteomic_fractions_log_files/Yang_log_img/31560090.jpg","show blot")</f>
        <v>show blot</v>
      </c>
      <c r="H5572" s="8" t="str">
        <f>HYPERLINK("https://esbl.nhlbi.nih.gov/Databases/mpkFractions/proteomic_fractions_linear_files/Yang_linear_img/31560090.jpg","show blot")</f>
        <v>show blot</v>
      </c>
      <c r="J5572" s="5" t="s">
        <v>10938</v>
      </c>
      <c r="L5572" s="11">
        <v>4.9263617037154424</v>
      </c>
      <c r="N5572" s="12"/>
    </row>
    <row r="5573" spans="1:14" s="5" customFormat="1" ht="15" customHeight="1" x14ac:dyDescent="0.25">
      <c r="A5573" s="9" t="s">
        <v>10939</v>
      </c>
      <c r="C5573" s="9" t="str">
        <f>HYPERLINK("http://www.ncbi.nlm.nih.gov/protein/31982122","Plcb3")</f>
        <v>Plcb3</v>
      </c>
      <c r="D5573" s="10">
        <f t="shared" ref="D5573:D5636" si="87">L5573</f>
        <v>5.2461755706423299</v>
      </c>
      <c r="F5573" s="8" t="str">
        <f>HYPERLINK("https://esbl.nhlbi.nih.gov/Databases/mpkFractions/proteomic_fractions_log_files/Yang_log_img/31982122.jpg","show blot")</f>
        <v>show blot</v>
      </c>
      <c r="H5573" s="8" t="str">
        <f>HYPERLINK("https://esbl.nhlbi.nih.gov/Databases/mpkFractions/proteomic_fractions_linear_files/Yang_linear_img/31982122.jpg","show blot")</f>
        <v>show blot</v>
      </c>
      <c r="J5573" s="5" t="s">
        <v>10940</v>
      </c>
      <c r="L5573" s="11">
        <v>5.2461755706423299</v>
      </c>
      <c r="N5573" s="12"/>
    </row>
    <row r="5574" spans="1:14" s="5" customFormat="1" ht="15" customHeight="1" x14ac:dyDescent="0.25">
      <c r="A5574" s="9" t="s">
        <v>10941</v>
      </c>
      <c r="C5574" s="9" t="str">
        <f>HYPERLINK("http://www.ncbi.nlm.nih.gov/protein/9790167","Plcd1")</f>
        <v>Plcd1</v>
      </c>
      <c r="D5574" s="10">
        <f t="shared" si="87"/>
        <v>3.5420370017228788</v>
      </c>
      <c r="F5574" s="8" t="str">
        <f>HYPERLINK("https://esbl.nhlbi.nih.gov/Databases/mpkFractions/proteomic_fractions_log_files/Yang_log_img/9790167.jpg","show blot")</f>
        <v>show blot</v>
      </c>
      <c r="H5574" s="8" t="str">
        <f>HYPERLINK("https://esbl.nhlbi.nih.gov/Databases/mpkFractions/proteomic_fractions_linear_files/Yang_linear_img/9790167.jpg","show blot")</f>
        <v>show blot</v>
      </c>
      <c r="J5574" s="5" t="s">
        <v>10942</v>
      </c>
      <c r="L5574" s="11">
        <v>3.5420370017228788</v>
      </c>
      <c r="N5574" s="12"/>
    </row>
    <row r="5575" spans="1:14" s="5" customFormat="1" ht="15" customHeight="1" x14ac:dyDescent="0.25">
      <c r="A5575" s="9" t="s">
        <v>10943</v>
      </c>
      <c r="C5575" s="9" t="str">
        <f>HYPERLINK("http://www.ncbi.nlm.nih.gov/protein/258645148","Plcd3")</f>
        <v>Plcd3</v>
      </c>
      <c r="D5575" s="10">
        <f t="shared" si="87"/>
        <v>3.2736640432218169</v>
      </c>
      <c r="F5575" s="8" t="str">
        <f>HYPERLINK("https://esbl.nhlbi.nih.gov/Databases/mpkFractions/proteomic_fractions_log_files/Yang_log_img/258645148.jpg","show blot")</f>
        <v>show blot</v>
      </c>
      <c r="H5575" s="8" t="str">
        <f>HYPERLINK("https://esbl.nhlbi.nih.gov/Databases/mpkFractions/proteomic_fractions_linear_files/Yang_linear_img/258645148.jpg","show blot")</f>
        <v>show blot</v>
      </c>
      <c r="J5575" s="5" t="s">
        <v>10944</v>
      </c>
      <c r="L5575" s="11">
        <v>3.2736640432218169</v>
      </c>
      <c r="N5575" s="12"/>
    </row>
    <row r="5576" spans="1:14" s="5" customFormat="1" ht="15" customHeight="1" x14ac:dyDescent="0.25">
      <c r="A5576" s="9" t="s">
        <v>10945</v>
      </c>
      <c r="C5576" s="9" t="str">
        <f>HYPERLINK("http://www.ncbi.nlm.nih.gov/protein/41393059","Plcg1")</f>
        <v>Plcg1</v>
      </c>
      <c r="D5576" s="10">
        <f t="shared" si="87"/>
        <v>4.0522665055720601</v>
      </c>
      <c r="F5576" s="8" t="str">
        <f>HYPERLINK("https://esbl.nhlbi.nih.gov/Databases/mpkFractions/proteomic_fractions_log_files/Yang_log_img/41393059.jpg","show blot")</f>
        <v>show blot</v>
      </c>
      <c r="H5576" s="8" t="str">
        <f>HYPERLINK("https://esbl.nhlbi.nih.gov/Databases/mpkFractions/proteomic_fractions_linear_files/Yang_linear_img/41393059.jpg","show blot")</f>
        <v>show blot</v>
      </c>
      <c r="J5576" s="5" t="s">
        <v>10946</v>
      </c>
      <c r="L5576" s="11">
        <v>4.0522665055720601</v>
      </c>
      <c r="N5576" s="12"/>
    </row>
    <row r="5577" spans="1:14" s="5" customFormat="1" ht="15" customHeight="1" x14ac:dyDescent="0.25">
      <c r="A5577" s="9" t="s">
        <v>10947</v>
      </c>
      <c r="C5577" s="9" t="str">
        <f>HYPERLINK("http://www.ncbi.nlm.nih.gov/protein/26986603","Plcg2")</f>
        <v>Plcg2</v>
      </c>
      <c r="D5577" s="10">
        <f t="shared" si="87"/>
        <v>5.0999069731707873</v>
      </c>
      <c r="F5577" s="8" t="str">
        <f>HYPERLINK("https://esbl.nhlbi.nih.gov/Databases/mpkFractions/proteomic_fractions_log_files/Yang_log_img/26986603.jpg","show blot")</f>
        <v>show blot</v>
      </c>
      <c r="H5577" s="8" t="str">
        <f>HYPERLINK("https://esbl.nhlbi.nih.gov/Databases/mpkFractions/proteomic_fractions_linear_files/Yang_linear_img/26986603.jpg","show blot")</f>
        <v>show blot</v>
      </c>
      <c r="J5577" s="5" t="s">
        <v>10948</v>
      </c>
      <c r="L5577" s="11">
        <v>5.0999069731707873</v>
      </c>
      <c r="N5577" s="12"/>
    </row>
    <row r="5578" spans="1:14" s="5" customFormat="1" ht="15" customHeight="1" x14ac:dyDescent="0.25">
      <c r="A5578" s="9" t="s">
        <v>10949</v>
      </c>
      <c r="C5578" s="9" t="str">
        <f>HYPERLINK("http://www.ncbi.nlm.nih.gov/protein/295148200","Plch1")</f>
        <v>Plch1</v>
      </c>
      <c r="D5578" s="10">
        <f t="shared" si="87"/>
        <v>3.3863925653110001</v>
      </c>
      <c r="F5578" s="8" t="str">
        <f>HYPERLINK("https://esbl.nhlbi.nih.gov/Databases/mpkFractions/proteomic_fractions_log_files/Yang_log_img/295148200.jpg","show blot")</f>
        <v>show blot</v>
      </c>
      <c r="H5578" s="8" t="str">
        <f>HYPERLINK("https://esbl.nhlbi.nih.gov/Databases/mpkFractions/proteomic_fractions_linear_files/Yang_linear_img/295148200.jpg","show blot")</f>
        <v>show blot</v>
      </c>
      <c r="J5578" s="5" t="s">
        <v>10950</v>
      </c>
      <c r="L5578" s="11">
        <v>3.3863925653110001</v>
      </c>
      <c r="N5578" s="12"/>
    </row>
    <row r="5579" spans="1:14" s="5" customFormat="1" ht="15" customHeight="1" x14ac:dyDescent="0.25">
      <c r="A5579" s="9" t="s">
        <v>10951</v>
      </c>
      <c r="C5579" s="9" t="str">
        <f>HYPERLINK("http://www.ncbi.nlm.nih.gov/protein/295148202","Plch1")</f>
        <v>Plch1</v>
      </c>
      <c r="D5579" s="10">
        <f t="shared" si="87"/>
        <v>3.3863925653110001</v>
      </c>
      <c r="F5579" s="8" t="str">
        <f>HYPERLINK("https://esbl.nhlbi.nih.gov/Databases/mpkFractions/proteomic_fractions_log_files/Yang_log_img/295148202.jpg","show blot")</f>
        <v>show blot</v>
      </c>
      <c r="H5579" s="8" t="str">
        <f>HYPERLINK("https://esbl.nhlbi.nih.gov/Databases/mpkFractions/proteomic_fractions_linear_files/Yang_linear_img/295148202.jpg","show blot")</f>
        <v>show blot</v>
      </c>
      <c r="J5579" s="5" t="s">
        <v>10952</v>
      </c>
      <c r="L5579" s="11">
        <v>3.3863925653110001</v>
      </c>
      <c r="N5579" s="12"/>
    </row>
    <row r="5580" spans="1:14" s="5" customFormat="1" ht="15" customHeight="1" x14ac:dyDescent="0.25">
      <c r="A5580" s="9" t="s">
        <v>10953</v>
      </c>
      <c r="C5580" s="9" t="str">
        <f>HYPERLINK("http://www.ncbi.nlm.nih.gov/protein/295148204","Plch1")</f>
        <v>Plch1</v>
      </c>
      <c r="D5580" s="10">
        <f t="shared" si="87"/>
        <v>3.3863925653110001</v>
      </c>
      <c r="F5580" s="8" t="str">
        <f>HYPERLINK("https://esbl.nhlbi.nih.gov/Databases/mpkFractions/proteomic_fractions_log_files/Yang_log_img/295148204.jpg","show blot")</f>
        <v>show blot</v>
      </c>
      <c r="H5580" s="8" t="str">
        <f>HYPERLINK("https://esbl.nhlbi.nih.gov/Databases/mpkFractions/proteomic_fractions_linear_files/Yang_linear_img/295148204.jpg","show blot")</f>
        <v>show blot</v>
      </c>
      <c r="J5580" s="5" t="s">
        <v>10954</v>
      </c>
      <c r="L5580" s="11">
        <v>3.3863925653110001</v>
      </c>
      <c r="N5580" s="12"/>
    </row>
    <row r="5581" spans="1:14" s="5" customFormat="1" ht="15" customHeight="1" x14ac:dyDescent="0.25">
      <c r="A5581" s="9" t="s">
        <v>10955</v>
      </c>
      <c r="C5581" s="9" t="str">
        <f>HYPERLINK("http://www.ncbi.nlm.nih.gov/protein/197333710","Plcxd2")</f>
        <v>Plcxd2</v>
      </c>
      <c r="D5581" s="10">
        <f t="shared" si="87"/>
        <v>4.8815048057032779</v>
      </c>
      <c r="F5581" s="8" t="str">
        <f>HYPERLINK("https://esbl.nhlbi.nih.gov/Databases/mpkFractions/proteomic_fractions_log_files/Yang_log_img/197333710.jpg","show blot")</f>
        <v>show blot</v>
      </c>
      <c r="H5581" s="8" t="str">
        <f>HYPERLINK("https://esbl.nhlbi.nih.gov/Databases/mpkFractions/proteomic_fractions_linear_files/Yang_linear_img/197333710.jpg","show blot")</f>
        <v>show blot</v>
      </c>
      <c r="J5581" s="5" t="s">
        <v>10956</v>
      </c>
      <c r="L5581" s="11">
        <v>4.8815048057032779</v>
      </c>
      <c r="N5581" s="12"/>
    </row>
    <row r="5582" spans="1:14" s="5" customFormat="1" ht="15" customHeight="1" x14ac:dyDescent="0.25">
      <c r="A5582" s="9" t="s">
        <v>10957</v>
      </c>
      <c r="C5582" s="9" t="str">
        <f>HYPERLINK("http://www.ncbi.nlm.nih.gov/protein/6679379","Pld2")</f>
        <v>Pld2</v>
      </c>
      <c r="D5582" s="10">
        <f t="shared" si="87"/>
        <v>3.4920694438050122</v>
      </c>
      <c r="F5582" s="8" t="str">
        <f>HYPERLINK("https://esbl.nhlbi.nih.gov/Databases/mpkFractions/proteomic_fractions_log_files/Yang_log_img/6679379.jpg","show blot")</f>
        <v>show blot</v>
      </c>
      <c r="H5582" s="8" t="str">
        <f>HYPERLINK("https://esbl.nhlbi.nih.gov/Databases/mpkFractions/proteomic_fractions_linear_files/Yang_linear_img/6679379.jpg","show blot")</f>
        <v>show blot</v>
      </c>
      <c r="J5582" s="5" t="s">
        <v>10958</v>
      </c>
      <c r="L5582" s="11">
        <v>3.4920694438050122</v>
      </c>
      <c r="N5582" s="12"/>
    </row>
    <row r="5583" spans="1:14" s="5" customFormat="1" ht="15" customHeight="1" x14ac:dyDescent="0.25">
      <c r="A5583" s="9" t="s">
        <v>10959</v>
      </c>
      <c r="C5583" s="9" t="str">
        <f>HYPERLINK("http://www.ncbi.nlm.nih.gov/protein/7242181","Pld3")</f>
        <v>Pld3</v>
      </c>
      <c r="D5583" s="10">
        <f t="shared" si="87"/>
        <v>2.3476208555133069</v>
      </c>
      <c r="F5583" s="8" t="str">
        <f>HYPERLINK("https://esbl.nhlbi.nih.gov/Databases/mpkFractions/proteomic_fractions_log_files/Yang_log_img/7242181.jpg","show blot")</f>
        <v>show blot</v>
      </c>
      <c r="H5583" s="8" t="str">
        <f>HYPERLINK("https://esbl.nhlbi.nih.gov/Databases/mpkFractions/proteomic_fractions_linear_files/Yang_linear_img/7242181.jpg","show blot")</f>
        <v>show blot</v>
      </c>
      <c r="J5583" s="5" t="s">
        <v>10960</v>
      </c>
      <c r="L5583" s="11">
        <v>2.3476208555133069</v>
      </c>
      <c r="N5583" s="12"/>
    </row>
    <row r="5584" spans="1:14" s="5" customFormat="1" ht="15" customHeight="1" x14ac:dyDescent="0.25">
      <c r="A5584" s="9" t="s">
        <v>10961</v>
      </c>
      <c r="C5584" s="9" t="str">
        <f>HYPERLINK("http://www.ncbi.nlm.nih.gov/protein/256000745;256367522","Plec")</f>
        <v>Plec</v>
      </c>
      <c r="D5584" s="10">
        <f t="shared" si="87"/>
        <v>5.2268654924724478</v>
      </c>
      <c r="F5584" s="8" t="str">
        <f>HYPERLINK("https://esbl.nhlbi.nih.gov/Databases/mpkFractions/proteomic_fractions_log_files/Yang_log_img/256000745;256367522.jpg","show blot")</f>
        <v>show blot</v>
      </c>
      <c r="H5584" s="8" t="str">
        <f>HYPERLINK("https://esbl.nhlbi.nih.gov/Databases/mpkFractions/proteomic_fractions_linear_files/Yang_linear_img/256000745;256367522.jpg","show blot")</f>
        <v>show blot</v>
      </c>
      <c r="J5584" s="5" t="s">
        <v>10962</v>
      </c>
      <c r="L5584" s="11">
        <v>5.2268654924724478</v>
      </c>
      <c r="N5584" s="12"/>
    </row>
    <row r="5585" spans="1:14" s="5" customFormat="1" ht="15" customHeight="1" x14ac:dyDescent="0.25">
      <c r="A5585" s="9" t="s">
        <v>10963</v>
      </c>
      <c r="C5585" s="9" t="str">
        <f>HYPERLINK("http://www.ncbi.nlm.nih.gov/protein/256367522","Plec")</f>
        <v>Plec</v>
      </c>
      <c r="D5585" s="10">
        <f t="shared" si="87"/>
        <v>5.2268654924724478</v>
      </c>
      <c r="F5585" s="8" t="str">
        <f>HYPERLINK("https://esbl.nhlbi.nih.gov/Databases/mpkFractions/proteomic_fractions_log_files/Yang_log_img/256367522.jpg","show blot")</f>
        <v>show blot</v>
      </c>
      <c r="H5585" s="8" t="str">
        <f>HYPERLINK("https://esbl.nhlbi.nih.gov/Databases/mpkFractions/proteomic_fractions_linear_files/Yang_linear_img/256367522.jpg","show blot")</f>
        <v>show blot</v>
      </c>
      <c r="J5585" s="5" t="s">
        <v>10962</v>
      </c>
      <c r="L5585" s="11">
        <v>5.2268654924724478</v>
      </c>
      <c r="N5585" s="12"/>
    </row>
    <row r="5586" spans="1:14" s="5" customFormat="1" ht="15" customHeight="1" x14ac:dyDescent="0.25">
      <c r="A5586" s="9" t="s">
        <v>10964</v>
      </c>
      <c r="C5586" s="9" t="str">
        <f>HYPERLINK("http://www.ncbi.nlm.nih.gov/protein/254675115","Plec")</f>
        <v>Plec</v>
      </c>
      <c r="D5586" s="10">
        <f t="shared" si="87"/>
        <v>5.2268654924724478</v>
      </c>
      <c r="F5586" s="8" t="str">
        <f>HYPERLINK("https://esbl.nhlbi.nih.gov/Databases/mpkFractions/proteomic_fractions_log_files/Yang_log_img/254675115.jpg","show blot")</f>
        <v>show blot</v>
      </c>
      <c r="H5586" s="8" t="str">
        <f>HYPERLINK("https://esbl.nhlbi.nih.gov/Databases/mpkFractions/proteomic_fractions_linear_files/Yang_linear_img/254675115.jpg","show blot")</f>
        <v>show blot</v>
      </c>
      <c r="J5586" s="5" t="s">
        <v>10965</v>
      </c>
      <c r="L5586" s="11">
        <v>5.2268654924724478</v>
      </c>
      <c r="N5586" s="12"/>
    </row>
    <row r="5587" spans="1:14" s="5" customFormat="1" ht="15" customHeight="1" x14ac:dyDescent="0.25">
      <c r="A5587" s="9" t="s">
        <v>10966</v>
      </c>
      <c r="C5587" s="9" t="str">
        <f>HYPERLINK("http://www.ncbi.nlm.nih.gov/protein/254675117","Plec")</f>
        <v>Plec</v>
      </c>
      <c r="D5587" s="10">
        <f t="shared" si="87"/>
        <v>5.2268654924724478</v>
      </c>
      <c r="F5587" s="8" t="str">
        <f>HYPERLINK("https://esbl.nhlbi.nih.gov/Databases/mpkFractions/proteomic_fractions_log_files/Yang_log_img/254675117.jpg","show blot")</f>
        <v>show blot</v>
      </c>
      <c r="H5587" s="8" t="str">
        <f>HYPERLINK("https://esbl.nhlbi.nih.gov/Databases/mpkFractions/proteomic_fractions_linear_files/Yang_linear_img/254675117.jpg","show blot")</f>
        <v>show blot</v>
      </c>
      <c r="J5587" s="5" t="s">
        <v>10967</v>
      </c>
      <c r="L5587" s="11">
        <v>5.2268654924724478</v>
      </c>
      <c r="N5587" s="12"/>
    </row>
    <row r="5588" spans="1:14" s="5" customFormat="1" ht="15" customHeight="1" x14ac:dyDescent="0.25">
      <c r="A5588" s="9" t="s">
        <v>10968</v>
      </c>
      <c r="C5588" s="9" t="str">
        <f>HYPERLINK("http://www.ncbi.nlm.nih.gov/protein/254675119","Plec")</f>
        <v>Plec</v>
      </c>
      <c r="D5588" s="10">
        <f t="shared" si="87"/>
        <v>5.2268654924724478</v>
      </c>
      <c r="F5588" s="8" t="str">
        <f>HYPERLINK("https://esbl.nhlbi.nih.gov/Databases/mpkFractions/proteomic_fractions_log_files/Yang_log_img/254675119.jpg","show blot")</f>
        <v>show blot</v>
      </c>
      <c r="H5588" s="8" t="str">
        <f>HYPERLINK("https://esbl.nhlbi.nih.gov/Databases/mpkFractions/proteomic_fractions_linear_files/Yang_linear_img/254675119.jpg","show blot")</f>
        <v>show blot</v>
      </c>
      <c r="J5588" s="5" t="s">
        <v>10969</v>
      </c>
      <c r="L5588" s="11">
        <v>5.2268654924724478</v>
      </c>
      <c r="N5588" s="12"/>
    </row>
    <row r="5589" spans="1:14" s="5" customFormat="1" ht="15" customHeight="1" x14ac:dyDescent="0.25">
      <c r="A5589" s="9" t="s">
        <v>10970</v>
      </c>
      <c r="C5589" s="9" t="str">
        <f>HYPERLINK("http://www.ncbi.nlm.nih.gov/protein/254675195","Plec")</f>
        <v>Plec</v>
      </c>
      <c r="D5589" s="10">
        <f t="shared" si="87"/>
        <v>5.2268654924724478</v>
      </c>
      <c r="F5589" s="8" t="str">
        <f>HYPERLINK("https://esbl.nhlbi.nih.gov/Databases/mpkFractions/proteomic_fractions_log_files/Yang_log_img/254675195.jpg","show blot")</f>
        <v>show blot</v>
      </c>
      <c r="H5589" s="8" t="str">
        <f>HYPERLINK("https://esbl.nhlbi.nih.gov/Databases/mpkFractions/proteomic_fractions_linear_files/Yang_linear_img/254675195.jpg","show blot")</f>
        <v>show blot</v>
      </c>
      <c r="J5589" s="5" t="s">
        <v>10971</v>
      </c>
      <c r="L5589" s="11">
        <v>5.2268654924724478</v>
      </c>
      <c r="N5589" s="12"/>
    </row>
    <row r="5590" spans="1:14" s="5" customFormat="1" ht="15" customHeight="1" x14ac:dyDescent="0.25">
      <c r="A5590" s="9" t="s">
        <v>10972</v>
      </c>
      <c r="C5590" s="9" t="str">
        <f>HYPERLINK("http://www.ncbi.nlm.nih.gov/protein/254675201","Plec")</f>
        <v>Plec</v>
      </c>
      <c r="D5590" s="10">
        <f t="shared" si="87"/>
        <v>5.2268654924724478</v>
      </c>
      <c r="F5590" s="8" t="str">
        <f>HYPERLINK("https://esbl.nhlbi.nih.gov/Databases/mpkFractions/proteomic_fractions_log_files/Yang_log_img/254675201.jpg","show blot")</f>
        <v>show blot</v>
      </c>
      <c r="H5590" s="8" t="str">
        <f>HYPERLINK("https://esbl.nhlbi.nih.gov/Databases/mpkFractions/proteomic_fractions_linear_files/Yang_linear_img/254675201.jpg","show blot")</f>
        <v>show blot</v>
      </c>
      <c r="J5590" s="5" t="s">
        <v>10973</v>
      </c>
      <c r="L5590" s="11">
        <v>5.2268654924724478</v>
      </c>
      <c r="N5590" s="12"/>
    </row>
    <row r="5591" spans="1:14" s="5" customFormat="1" ht="15" customHeight="1" x14ac:dyDescent="0.25">
      <c r="A5591" s="9" t="s">
        <v>10974</v>
      </c>
      <c r="C5591" s="9" t="str">
        <f>HYPERLINK("http://www.ncbi.nlm.nih.gov/protein/254675244","Plec")</f>
        <v>Plec</v>
      </c>
      <c r="D5591" s="10">
        <f t="shared" si="87"/>
        <v>5.2268654924724478</v>
      </c>
      <c r="F5591" s="8" t="str">
        <f>HYPERLINK("https://esbl.nhlbi.nih.gov/Databases/mpkFractions/proteomic_fractions_log_files/Yang_log_img/254675244.jpg","show blot")</f>
        <v>show blot</v>
      </c>
      <c r="H5591" s="8" t="str">
        <f>HYPERLINK("https://esbl.nhlbi.nih.gov/Databases/mpkFractions/proteomic_fractions_linear_files/Yang_linear_img/254675244.jpg","show blot")</f>
        <v>show blot</v>
      </c>
      <c r="J5591" s="5" t="s">
        <v>10975</v>
      </c>
      <c r="L5591" s="11">
        <v>5.2268654924724478</v>
      </c>
      <c r="N5591" s="12"/>
    </row>
    <row r="5592" spans="1:14" s="5" customFormat="1" ht="15" customHeight="1" x14ac:dyDescent="0.25">
      <c r="A5592" s="9" t="s">
        <v>10976</v>
      </c>
      <c r="C5592" s="9" t="str">
        <f>HYPERLINK("http://www.ncbi.nlm.nih.gov/protein/254675251","Plec")</f>
        <v>Plec</v>
      </c>
      <c r="D5592" s="10">
        <f t="shared" si="87"/>
        <v>5.2268654924724478</v>
      </c>
      <c r="F5592" s="8" t="str">
        <f>HYPERLINK("https://esbl.nhlbi.nih.gov/Databases/mpkFractions/proteomic_fractions_log_files/Yang_log_img/254675251.jpg","show blot")</f>
        <v>show blot</v>
      </c>
      <c r="H5592" s="8" t="str">
        <f>HYPERLINK("https://esbl.nhlbi.nih.gov/Databases/mpkFractions/proteomic_fractions_linear_files/Yang_linear_img/254675251.jpg","show blot")</f>
        <v>show blot</v>
      </c>
      <c r="J5592" s="5" t="s">
        <v>10977</v>
      </c>
      <c r="L5592" s="11">
        <v>5.2268654924724478</v>
      </c>
      <c r="N5592" s="12"/>
    </row>
    <row r="5593" spans="1:14" s="5" customFormat="1" ht="15" customHeight="1" x14ac:dyDescent="0.25">
      <c r="A5593" s="9" t="s">
        <v>10978</v>
      </c>
      <c r="C5593" s="9" t="str">
        <f>HYPERLINK("http://www.ncbi.nlm.nih.gov/protein/254675253","Plec")</f>
        <v>Plec</v>
      </c>
      <c r="D5593" s="10">
        <f t="shared" si="87"/>
        <v>5.2268654924724478</v>
      </c>
      <c r="F5593" s="8" t="str">
        <f>HYPERLINK("https://esbl.nhlbi.nih.gov/Databases/mpkFractions/proteomic_fractions_log_files/Yang_log_img/254675253.jpg","show blot")</f>
        <v>show blot</v>
      </c>
      <c r="H5593" s="8" t="str">
        <f>HYPERLINK("https://esbl.nhlbi.nih.gov/Databases/mpkFractions/proteomic_fractions_linear_files/Yang_linear_img/254675253.jpg","show blot")</f>
        <v>show blot</v>
      </c>
      <c r="J5593" s="5" t="s">
        <v>10979</v>
      </c>
      <c r="L5593" s="11">
        <v>5.2268654924724478</v>
      </c>
      <c r="N5593" s="12"/>
    </row>
    <row r="5594" spans="1:14" s="5" customFormat="1" ht="15" customHeight="1" x14ac:dyDescent="0.25">
      <c r="A5594" s="9" t="s">
        <v>10980</v>
      </c>
      <c r="C5594" s="9" t="str">
        <f>HYPERLINK("http://www.ncbi.nlm.nih.gov/protein/254675259","Plec")</f>
        <v>Plec</v>
      </c>
      <c r="D5594" s="10">
        <f t="shared" si="87"/>
        <v>5.2268654924724478</v>
      </c>
      <c r="F5594" s="8" t="str">
        <f>HYPERLINK("https://esbl.nhlbi.nih.gov/Databases/mpkFractions/proteomic_fractions_log_files/Yang_log_img/254675259.jpg","show blot")</f>
        <v>show blot</v>
      </c>
      <c r="H5594" s="8" t="str">
        <f>HYPERLINK("https://esbl.nhlbi.nih.gov/Databases/mpkFractions/proteomic_fractions_linear_files/Yang_linear_img/254675259.jpg","show blot")</f>
        <v>show blot</v>
      </c>
      <c r="J5594" s="5" t="s">
        <v>10981</v>
      </c>
      <c r="L5594" s="11">
        <v>5.2268654924724478</v>
      </c>
      <c r="N5594" s="12"/>
    </row>
    <row r="5595" spans="1:14" s="5" customFormat="1" ht="15" customHeight="1" x14ac:dyDescent="0.25">
      <c r="A5595" s="9" t="s">
        <v>10982</v>
      </c>
      <c r="C5595" s="9" t="str">
        <f>HYPERLINK("http://www.ncbi.nlm.nih.gov/protein/254675265","Plec")</f>
        <v>Plec</v>
      </c>
      <c r="D5595" s="10">
        <f t="shared" si="87"/>
        <v>5.2268654924724478</v>
      </c>
      <c r="F5595" s="8" t="str">
        <f>HYPERLINK("https://esbl.nhlbi.nih.gov/Databases/mpkFractions/proteomic_fractions_log_files/Yang_log_img/254675265.jpg","show blot")</f>
        <v>show blot</v>
      </c>
      <c r="H5595" s="8" t="str">
        <f>HYPERLINK("https://esbl.nhlbi.nih.gov/Databases/mpkFractions/proteomic_fractions_linear_files/Yang_linear_img/254675265.jpg","show blot")</f>
        <v>show blot</v>
      </c>
      <c r="J5595" s="5" t="s">
        <v>10983</v>
      </c>
      <c r="L5595" s="11">
        <v>5.2268654924724478</v>
      </c>
      <c r="N5595" s="12"/>
    </row>
    <row r="5596" spans="1:14" s="5" customFormat="1" ht="15" customHeight="1" x14ac:dyDescent="0.25">
      <c r="A5596" s="9" t="s">
        <v>10984</v>
      </c>
      <c r="C5596" s="9" t="str">
        <f>HYPERLINK("http://www.ncbi.nlm.nih.gov/protein/256418964","Plec")</f>
        <v>Plec</v>
      </c>
      <c r="D5596" s="10">
        <f t="shared" si="87"/>
        <v>5.2268654924724478</v>
      </c>
      <c r="F5596" s="8" t="str">
        <f>HYPERLINK("https://esbl.nhlbi.nih.gov/Databases/mpkFractions/proteomic_fractions_log_files/Yang_log_img/256418964.jpg","show blot")</f>
        <v>show blot</v>
      </c>
      <c r="H5596" s="8" t="str">
        <f>HYPERLINK("https://esbl.nhlbi.nih.gov/Databases/mpkFractions/proteomic_fractions_linear_files/Yang_linear_img/256418964.jpg","show blot")</f>
        <v>show blot</v>
      </c>
      <c r="J5596" s="5" t="s">
        <v>10985</v>
      </c>
      <c r="L5596" s="11">
        <v>5.2268654924724478</v>
      </c>
      <c r="N5596" s="12"/>
    </row>
    <row r="5597" spans="1:14" s="5" customFormat="1" ht="15" customHeight="1" x14ac:dyDescent="0.25">
      <c r="A5597" s="9" t="s">
        <v>10986</v>
      </c>
      <c r="C5597" s="9" t="str">
        <f>HYPERLINK("http://www.ncbi.nlm.nih.gov/protein/19527162","Plekha1")</f>
        <v>Plekha1</v>
      </c>
      <c r="D5597" s="10">
        <f t="shared" si="87"/>
        <v>1.7325999285816009</v>
      </c>
      <c r="F5597" s="8" t="str">
        <f>HYPERLINK("https://esbl.nhlbi.nih.gov/Databases/mpkFractions/proteomic_fractions_log_files/Yang_log_img/19527162.jpg","show blot")</f>
        <v>show blot</v>
      </c>
      <c r="H5597" s="8" t="str">
        <f>HYPERLINK("https://esbl.nhlbi.nih.gov/Databases/mpkFractions/proteomic_fractions_linear_files/Yang_linear_img/19527162.jpg","show blot")</f>
        <v>show blot</v>
      </c>
      <c r="J5597" s="5" t="s">
        <v>10987</v>
      </c>
      <c r="L5597" s="11">
        <v>1.7325999285816009</v>
      </c>
      <c r="N5597" s="12"/>
    </row>
    <row r="5598" spans="1:14" s="5" customFormat="1" ht="15" customHeight="1" x14ac:dyDescent="0.25">
      <c r="A5598" s="9" t="s">
        <v>10988</v>
      </c>
      <c r="C5598" s="9" t="str">
        <f>HYPERLINK("http://www.ncbi.nlm.nih.gov/protein/13752587","Plekha2")</f>
        <v>Plekha2</v>
      </c>
      <c r="D5598" s="10">
        <f t="shared" si="87"/>
        <v>3.5198372157074962</v>
      </c>
      <c r="F5598" s="8" t="str">
        <f>HYPERLINK("https://esbl.nhlbi.nih.gov/Databases/mpkFractions/proteomic_fractions_log_files/Yang_log_img/13752587.jpg","show blot")</f>
        <v>show blot</v>
      </c>
      <c r="H5598" s="8" t="str">
        <f>HYPERLINK("https://esbl.nhlbi.nih.gov/Databases/mpkFractions/proteomic_fractions_linear_files/Yang_linear_img/13752587.jpg","show blot")</f>
        <v>show blot</v>
      </c>
      <c r="J5598" s="5" t="s">
        <v>10989</v>
      </c>
      <c r="L5598" s="11">
        <v>3.5198372157074962</v>
      </c>
      <c r="N5598" s="12"/>
    </row>
    <row r="5599" spans="1:14" s="5" customFormat="1" ht="15" customHeight="1" x14ac:dyDescent="0.25">
      <c r="A5599" s="9" t="s">
        <v>10990</v>
      </c>
      <c r="C5599" s="9" t="str">
        <f>HYPERLINK("http://www.ncbi.nlm.nih.gov/protein/237681204","Plekha6")</f>
        <v>Plekha6</v>
      </c>
      <c r="D5599" s="10">
        <f t="shared" si="87"/>
        <v>2.761641068064558</v>
      </c>
      <c r="F5599" s="8" t="str">
        <f>HYPERLINK("https://esbl.nhlbi.nih.gov/Databases/mpkFractions/proteomic_fractions_log_files/Yang_log_img/237681204.jpg","show blot")</f>
        <v>show blot</v>
      </c>
      <c r="H5599" s="8" t="str">
        <f>HYPERLINK("https://esbl.nhlbi.nih.gov/Databases/mpkFractions/proteomic_fractions_linear_files/Yang_linear_img/237681204.jpg","show blot")</f>
        <v>show blot</v>
      </c>
      <c r="J5599" s="5" t="s">
        <v>10991</v>
      </c>
      <c r="L5599" s="11">
        <v>2.761641068064558</v>
      </c>
      <c r="N5599" s="12"/>
    </row>
    <row r="5600" spans="1:14" s="5" customFormat="1" ht="15" customHeight="1" x14ac:dyDescent="0.25">
      <c r="A5600" s="9" t="s">
        <v>10992</v>
      </c>
      <c r="C5600" s="9" t="str">
        <f>HYPERLINK("http://www.ncbi.nlm.nih.gov/protein/33636693","Plekha6")</f>
        <v>Plekha6</v>
      </c>
      <c r="D5600" s="10">
        <f t="shared" si="87"/>
        <v>2.761641068064558</v>
      </c>
      <c r="F5600" s="8" t="str">
        <f>HYPERLINK("https://esbl.nhlbi.nih.gov/Databases/mpkFractions/proteomic_fractions_log_files/Yang_log_img/33636693.jpg","show blot")</f>
        <v>show blot</v>
      </c>
      <c r="H5600" s="8" t="str">
        <f>HYPERLINK("https://esbl.nhlbi.nih.gov/Databases/mpkFractions/proteomic_fractions_linear_files/Yang_linear_img/33636693.jpg","show blot")</f>
        <v>show blot</v>
      </c>
      <c r="J5600" s="5" t="s">
        <v>10993</v>
      </c>
      <c r="L5600" s="11">
        <v>2.761641068064558</v>
      </c>
      <c r="N5600" s="12"/>
    </row>
    <row r="5601" spans="1:14" s="5" customFormat="1" ht="15" customHeight="1" x14ac:dyDescent="0.25">
      <c r="A5601" s="9" t="s">
        <v>10994</v>
      </c>
      <c r="C5601" s="9" t="str">
        <f>HYPERLINK("http://www.ncbi.nlm.nih.gov/protein/170650667","Plekhf1")</f>
        <v>Plekhf1</v>
      </c>
      <c r="D5601" s="10">
        <f t="shared" si="87"/>
        <v>3.6252635300352809</v>
      </c>
      <c r="F5601" s="8" t="str">
        <f>HYPERLINK("https://esbl.nhlbi.nih.gov/Databases/mpkFractions/proteomic_fractions_log_files/Yang_log_img/170650667.jpg","show blot")</f>
        <v>show blot</v>
      </c>
      <c r="H5601" s="8" t="str">
        <f>HYPERLINK("https://esbl.nhlbi.nih.gov/Databases/mpkFractions/proteomic_fractions_linear_files/Yang_linear_img/170650667.jpg","show blot")</f>
        <v>show blot</v>
      </c>
      <c r="J5601" s="5" t="s">
        <v>10995</v>
      </c>
      <c r="L5601" s="11">
        <v>3.6252635300352809</v>
      </c>
      <c r="N5601" s="12"/>
    </row>
    <row r="5602" spans="1:14" s="5" customFormat="1" ht="15" customHeight="1" x14ac:dyDescent="0.25">
      <c r="A5602" s="9" t="s">
        <v>10996</v>
      </c>
      <c r="C5602" s="9" t="str">
        <f>HYPERLINK("http://www.ncbi.nlm.nih.gov/protein/29611667","Plekhf2")</f>
        <v>Plekhf2</v>
      </c>
      <c r="D5602" s="10">
        <f t="shared" si="87"/>
        <v>3.669467192527335</v>
      </c>
      <c r="F5602" s="8" t="str">
        <f>HYPERLINK("https://esbl.nhlbi.nih.gov/Databases/mpkFractions/proteomic_fractions_log_files/Yang_log_img/29611667.jpg","show blot")</f>
        <v>show blot</v>
      </c>
      <c r="H5602" s="8" t="str">
        <f>HYPERLINK("https://esbl.nhlbi.nih.gov/Databases/mpkFractions/proteomic_fractions_linear_files/Yang_linear_img/29611667.jpg","show blot")</f>
        <v>show blot</v>
      </c>
      <c r="J5602" s="5" t="s">
        <v>10997</v>
      </c>
      <c r="L5602" s="11">
        <v>3.669467192527335</v>
      </c>
      <c r="N5602" s="12"/>
    </row>
    <row r="5603" spans="1:14" s="5" customFormat="1" ht="15" customHeight="1" x14ac:dyDescent="0.25">
      <c r="A5603" s="9" t="s">
        <v>10998</v>
      </c>
      <c r="C5603" s="9" t="str">
        <f>HYPERLINK("http://www.ncbi.nlm.nih.gov/protein/84794546","Plekhg1")</f>
        <v>Plekhg1</v>
      </c>
      <c r="D5603" s="10">
        <f t="shared" si="87"/>
        <v>3.2396844066787072</v>
      </c>
      <c r="F5603" s="8" t="str">
        <f>HYPERLINK("https://esbl.nhlbi.nih.gov/Databases/mpkFractions/proteomic_fractions_log_files/Yang_log_img/84794546.jpg","show blot")</f>
        <v>show blot</v>
      </c>
      <c r="H5603" s="8" t="str">
        <f>HYPERLINK("https://esbl.nhlbi.nih.gov/Databases/mpkFractions/proteomic_fractions_linear_files/Yang_linear_img/84794546.jpg","show blot")</f>
        <v>show blot</v>
      </c>
      <c r="J5603" s="5" t="s">
        <v>10999</v>
      </c>
      <c r="L5603" s="11">
        <v>3.2396844066787072</v>
      </c>
      <c r="N5603" s="12"/>
    </row>
    <row r="5604" spans="1:14" s="5" customFormat="1" ht="15" customHeight="1" x14ac:dyDescent="0.25">
      <c r="A5604" s="9" t="s">
        <v>11000</v>
      </c>
      <c r="C5604" s="9" t="str">
        <f>HYPERLINK("http://www.ncbi.nlm.nih.gov/protein/167621502","Plekhg3")</f>
        <v>Plekhg3</v>
      </c>
      <c r="D5604" s="10">
        <f t="shared" si="87"/>
        <v>3.6406245443988752</v>
      </c>
      <c r="F5604" s="8" t="str">
        <f>HYPERLINK("https://esbl.nhlbi.nih.gov/Databases/mpkFractions/proteomic_fractions_log_files/Yang_log_img/167621502.jpg","show blot")</f>
        <v>show blot</v>
      </c>
      <c r="H5604" s="8" t="str">
        <f>HYPERLINK("https://esbl.nhlbi.nih.gov/Databases/mpkFractions/proteomic_fractions_linear_files/Yang_linear_img/167621502.jpg","show blot")</f>
        <v>show blot</v>
      </c>
      <c r="J5604" s="5" t="s">
        <v>11001</v>
      </c>
      <c r="L5604" s="11">
        <v>3.6406245443988752</v>
      </c>
      <c r="N5604" s="12"/>
    </row>
    <row r="5605" spans="1:14" s="5" customFormat="1" ht="15" customHeight="1" x14ac:dyDescent="0.25">
      <c r="A5605" s="9" t="s">
        <v>11002</v>
      </c>
      <c r="C5605" s="9" t="str">
        <f>HYPERLINK("http://www.ncbi.nlm.nih.gov/protein/188497685","Plekhh2")</f>
        <v>Plekhh2</v>
      </c>
      <c r="D5605" s="10">
        <f t="shared" si="87"/>
        <v>3.1525304011855839</v>
      </c>
      <c r="F5605" s="8" t="str">
        <f>HYPERLINK("https://esbl.nhlbi.nih.gov/Databases/mpkFractions/proteomic_fractions_log_files/Yang_log_img/188497685.jpg","show blot")</f>
        <v>show blot</v>
      </c>
      <c r="H5605" s="8" t="str">
        <f>HYPERLINK("https://esbl.nhlbi.nih.gov/Databases/mpkFractions/proteomic_fractions_linear_files/Yang_linear_img/188497685.jpg","show blot")</f>
        <v>show blot</v>
      </c>
      <c r="J5605" s="5" t="s">
        <v>11003</v>
      </c>
      <c r="L5605" s="11">
        <v>3.1525304011855839</v>
      </c>
      <c r="N5605" s="12"/>
    </row>
    <row r="5606" spans="1:14" s="5" customFormat="1" ht="15" customHeight="1" x14ac:dyDescent="0.25">
      <c r="A5606" s="9" t="s">
        <v>11004</v>
      </c>
      <c r="C5606" s="9" t="str">
        <f>HYPERLINK("http://www.ncbi.nlm.nih.gov/protein/124286797","Plet1")</f>
        <v>Plet1</v>
      </c>
      <c r="D5606" s="10">
        <f t="shared" si="87"/>
        <v>5.6374114397228512</v>
      </c>
      <c r="F5606" s="8" t="str">
        <f>HYPERLINK("https://esbl.nhlbi.nih.gov/Databases/mpkFractions/proteomic_fractions_log_files/Yang_log_img/124286797.jpg","show blot")</f>
        <v>show blot</v>
      </c>
      <c r="H5606" s="8" t="str">
        <f>HYPERLINK("https://esbl.nhlbi.nih.gov/Databases/mpkFractions/proteomic_fractions_linear_files/Yang_linear_img/124286797.jpg","show blot")</f>
        <v>show blot</v>
      </c>
      <c r="J5606" s="5" t="s">
        <v>11005</v>
      </c>
      <c r="L5606" s="11">
        <v>5.6374114397228512</v>
      </c>
      <c r="N5606" s="12"/>
    </row>
    <row r="5607" spans="1:14" s="5" customFormat="1" ht="15" customHeight="1" x14ac:dyDescent="0.25">
      <c r="A5607" s="9" t="s">
        <v>11006</v>
      </c>
      <c r="C5607" s="9" t="str">
        <f>HYPERLINK("http://www.ncbi.nlm.nih.gov/protein/257471003","Plg")</f>
        <v>Plg</v>
      </c>
      <c r="D5607" s="10">
        <f t="shared" si="87"/>
        <v>3.352432697351472</v>
      </c>
      <c r="F5607" s="8" t="str">
        <f>HYPERLINK("https://esbl.nhlbi.nih.gov/Databases/mpkFractions/proteomic_fractions_log_files/Yang_log_img/257471003.jpg","show blot")</f>
        <v>show blot</v>
      </c>
      <c r="H5607" s="8" t="str">
        <f>HYPERLINK("https://esbl.nhlbi.nih.gov/Databases/mpkFractions/proteomic_fractions_linear_files/Yang_linear_img/257471003.jpg","show blot")</f>
        <v>show blot</v>
      </c>
      <c r="J5607" s="5" t="s">
        <v>11007</v>
      </c>
      <c r="L5607" s="11">
        <v>3.352432697351472</v>
      </c>
      <c r="N5607" s="12"/>
    </row>
    <row r="5608" spans="1:14" s="5" customFormat="1" ht="15" customHeight="1" x14ac:dyDescent="0.25">
      <c r="A5608" s="9" t="s">
        <v>11008</v>
      </c>
      <c r="C5608" s="9" t="str">
        <f>HYPERLINK("http://www.ncbi.nlm.nih.gov/protein/21312800","Plgrkt")</f>
        <v>Plgrkt</v>
      </c>
      <c r="D5608" s="10">
        <f t="shared" si="87"/>
        <v>5.3989620777534117</v>
      </c>
      <c r="F5608" s="8" t="str">
        <f>HYPERLINK("https://esbl.nhlbi.nih.gov/Databases/mpkFractions/proteomic_fractions_log_files/Yang_log_img/21312800.jpg","show blot")</f>
        <v>show blot</v>
      </c>
      <c r="H5608" s="8" t="str">
        <f>HYPERLINK("https://esbl.nhlbi.nih.gov/Databases/mpkFractions/proteomic_fractions_linear_files/Yang_linear_img/21312800.jpg","show blot")</f>
        <v>show blot</v>
      </c>
      <c r="J5608" s="5" t="s">
        <v>11009</v>
      </c>
      <c r="L5608" s="11">
        <v>5.3989620777534117</v>
      </c>
      <c r="N5608" s="12"/>
    </row>
    <row r="5609" spans="1:14" s="5" customFormat="1" ht="15" customHeight="1" x14ac:dyDescent="0.25">
      <c r="A5609" s="9" t="s">
        <v>11010</v>
      </c>
      <c r="C5609" s="9" t="str">
        <f>HYPERLINK("http://www.ncbi.nlm.nih.gov/protein/116235489","Plin2")</f>
        <v>Plin2</v>
      </c>
      <c r="D5609" s="10">
        <f t="shared" si="87"/>
        <v>5.6008219970980813</v>
      </c>
      <c r="F5609" s="8" t="str">
        <f>HYPERLINK("https://esbl.nhlbi.nih.gov/Databases/mpkFractions/proteomic_fractions_log_files/Yang_log_img/116235489.jpg","show blot")</f>
        <v>show blot</v>
      </c>
      <c r="H5609" s="8" t="str">
        <f>HYPERLINK("https://esbl.nhlbi.nih.gov/Databases/mpkFractions/proteomic_fractions_linear_files/Yang_linear_img/116235489.jpg","show blot")</f>
        <v>show blot</v>
      </c>
      <c r="J5609" s="5" t="s">
        <v>11011</v>
      </c>
      <c r="L5609" s="11">
        <v>5.6008219970980813</v>
      </c>
      <c r="N5609" s="12"/>
    </row>
    <row r="5610" spans="1:14" s="5" customFormat="1" ht="15" customHeight="1" x14ac:dyDescent="0.25">
      <c r="A5610" s="9" t="s">
        <v>11012</v>
      </c>
      <c r="C5610" s="9" t="str">
        <f>HYPERLINK("http://www.ncbi.nlm.nih.gov/protein/13385312","Plin3")</f>
        <v>Plin3</v>
      </c>
      <c r="D5610" s="10">
        <f t="shared" si="87"/>
        <v>6.2635133659982882</v>
      </c>
      <c r="F5610" s="8" t="str">
        <f>HYPERLINK("https://esbl.nhlbi.nih.gov/Databases/mpkFractions/proteomic_fractions_log_files/Yang_log_img/13385312.jpg","show blot")</f>
        <v>show blot</v>
      </c>
      <c r="H5610" s="8" t="str">
        <f>HYPERLINK("https://esbl.nhlbi.nih.gov/Databases/mpkFractions/proteomic_fractions_linear_files/Yang_linear_img/13385312.jpg","show blot")</f>
        <v>show blot</v>
      </c>
      <c r="J5610" s="5" t="s">
        <v>11013</v>
      </c>
      <c r="L5610" s="11">
        <v>6.2635133659982882</v>
      </c>
      <c r="N5610" s="12"/>
    </row>
    <row r="5611" spans="1:14" s="5" customFormat="1" ht="15" customHeight="1" x14ac:dyDescent="0.25">
      <c r="A5611" s="9" t="s">
        <v>11014</v>
      </c>
      <c r="C5611" s="9" t="str">
        <f>HYPERLINK("http://www.ncbi.nlm.nih.gov/protein/128485538","Plk1")</f>
        <v>Plk1</v>
      </c>
      <c r="D5611" s="10">
        <f t="shared" si="87"/>
        <v>2.258841439607342</v>
      </c>
      <c r="F5611" s="8" t="str">
        <f>HYPERLINK("https://esbl.nhlbi.nih.gov/Databases/mpkFractions/proteomic_fractions_log_files/Yang_log_img/128485538.jpg","show blot")</f>
        <v>show blot</v>
      </c>
      <c r="H5611" s="8" t="str">
        <f>HYPERLINK("https://esbl.nhlbi.nih.gov/Databases/mpkFractions/proteomic_fractions_linear_files/Yang_linear_img/128485538.jpg","show blot")</f>
        <v>show blot</v>
      </c>
      <c r="J5611" s="5" t="s">
        <v>11015</v>
      </c>
      <c r="L5611" s="11">
        <v>2.258841439607342</v>
      </c>
      <c r="N5611" s="12"/>
    </row>
    <row r="5612" spans="1:14" s="5" customFormat="1" ht="15" customHeight="1" x14ac:dyDescent="0.25">
      <c r="A5612" s="9" t="s">
        <v>11016</v>
      </c>
      <c r="C5612" s="9" t="str">
        <f>HYPERLINK("http://www.ncbi.nlm.nih.gov/protein/165932300","Plk2")</f>
        <v>Plk2</v>
      </c>
      <c r="D5612" s="10">
        <f t="shared" si="87"/>
        <v>3.7586297002670821</v>
      </c>
      <c r="F5612" s="8" t="str">
        <f>HYPERLINK("https://esbl.nhlbi.nih.gov/Databases/mpkFractions/proteomic_fractions_log_files/Yang_log_img/165932300.jpg","show blot")</f>
        <v>show blot</v>
      </c>
      <c r="H5612" s="8" t="str">
        <f>HYPERLINK("https://esbl.nhlbi.nih.gov/Databases/mpkFractions/proteomic_fractions_linear_files/Yang_linear_img/165932300.jpg","show blot")</f>
        <v>show blot</v>
      </c>
      <c r="J5612" s="5" t="s">
        <v>11017</v>
      </c>
      <c r="L5612" s="11">
        <v>3.7586297002670821</v>
      </c>
      <c r="N5612" s="12"/>
    </row>
    <row r="5613" spans="1:14" s="5" customFormat="1" ht="15" customHeight="1" x14ac:dyDescent="0.25">
      <c r="A5613" s="9" t="s">
        <v>11018</v>
      </c>
      <c r="C5613" s="9" t="str">
        <f>HYPERLINK("http://www.ncbi.nlm.nih.gov/protein/6755110","Plod3")</f>
        <v>Plod3</v>
      </c>
      <c r="D5613" s="10">
        <f t="shared" si="87"/>
        <v>3.0415796426902979</v>
      </c>
      <c r="F5613" s="8" t="str">
        <f>HYPERLINK("https://esbl.nhlbi.nih.gov/Databases/mpkFractions/proteomic_fractions_log_files/Yang_log_img/6755110.jpg","show blot")</f>
        <v>show blot</v>
      </c>
      <c r="H5613" s="8" t="str">
        <f>HYPERLINK("https://esbl.nhlbi.nih.gov/Databases/mpkFractions/proteomic_fractions_linear_files/Yang_linear_img/6755110.jpg","show blot")</f>
        <v>show blot</v>
      </c>
      <c r="J5613" s="5" t="s">
        <v>11019</v>
      </c>
      <c r="L5613" s="11">
        <v>3.0415796426902979</v>
      </c>
      <c r="N5613" s="12"/>
    </row>
    <row r="5614" spans="1:14" s="5" customFormat="1" ht="15" customHeight="1" x14ac:dyDescent="0.25">
      <c r="A5614" s="9" t="s">
        <v>11020</v>
      </c>
      <c r="C5614" s="9" t="str">
        <f>HYPERLINK("http://www.ncbi.nlm.nih.gov/protein/9790169","Plp2")</f>
        <v>Plp2</v>
      </c>
      <c r="D5614" s="10">
        <f t="shared" si="87"/>
        <v>4.713823041411846</v>
      </c>
      <c r="F5614" s="8" t="str">
        <f>HYPERLINK("https://esbl.nhlbi.nih.gov/Databases/mpkFractions/proteomic_fractions_log_files/Yang_log_img/9790169.jpg","show blot")</f>
        <v>show blot</v>
      </c>
      <c r="H5614" s="8" t="str">
        <f>HYPERLINK("https://esbl.nhlbi.nih.gov/Databases/mpkFractions/proteomic_fractions_linear_files/Yang_linear_img/9790169.jpg","show blot")</f>
        <v>show blot</v>
      </c>
      <c r="J5614" s="5" t="s">
        <v>11021</v>
      </c>
      <c r="L5614" s="11">
        <v>4.713823041411846</v>
      </c>
      <c r="N5614" s="12"/>
    </row>
    <row r="5615" spans="1:14" s="5" customFormat="1" ht="15" customHeight="1" x14ac:dyDescent="0.25">
      <c r="A5615" s="9" t="s">
        <v>11022</v>
      </c>
      <c r="C5615" s="9" t="str">
        <f>HYPERLINK("http://www.ncbi.nlm.nih.gov/protein/31980791","Plrg1")</f>
        <v>Plrg1</v>
      </c>
      <c r="D5615" s="10">
        <f t="shared" si="87"/>
        <v>4.3429320253719599</v>
      </c>
      <c r="F5615" s="8" t="str">
        <f>HYPERLINK("https://esbl.nhlbi.nih.gov/Databases/mpkFractions/proteomic_fractions_log_files/Yang_log_img/31980791.jpg","show blot")</f>
        <v>show blot</v>
      </c>
      <c r="H5615" s="8" t="str">
        <f>HYPERLINK("https://esbl.nhlbi.nih.gov/Databases/mpkFractions/proteomic_fractions_linear_files/Yang_linear_img/31980791.jpg","show blot")</f>
        <v>show blot</v>
      </c>
      <c r="J5615" s="5" t="s">
        <v>11023</v>
      </c>
      <c r="L5615" s="11">
        <v>4.3429320253719599</v>
      </c>
      <c r="N5615" s="12"/>
    </row>
    <row r="5616" spans="1:14" s="5" customFormat="1" ht="15" customHeight="1" x14ac:dyDescent="0.25">
      <c r="A5616" s="9" t="s">
        <v>11024</v>
      </c>
      <c r="C5616" s="9" t="str">
        <f>HYPERLINK("http://www.ncbi.nlm.nih.gov/protein/85986577","Pls1")</f>
        <v>Pls1</v>
      </c>
      <c r="D5616" s="10">
        <f t="shared" si="87"/>
        <v>5.635402428737458</v>
      </c>
      <c r="F5616" s="8" t="str">
        <f>HYPERLINK("https://esbl.nhlbi.nih.gov/Databases/mpkFractions/proteomic_fractions_log_files/Yang_log_img/85986577.jpg","show blot")</f>
        <v>show blot</v>
      </c>
      <c r="H5616" s="8" t="str">
        <f>HYPERLINK("https://esbl.nhlbi.nih.gov/Databases/mpkFractions/proteomic_fractions_linear_files/Yang_linear_img/85986577.jpg","show blot")</f>
        <v>show blot</v>
      </c>
      <c r="J5616" s="5" t="s">
        <v>11025</v>
      </c>
      <c r="L5616" s="11">
        <v>5.635402428737458</v>
      </c>
      <c r="N5616" s="12"/>
    </row>
    <row r="5617" spans="1:14" s="5" customFormat="1" ht="15" customHeight="1" x14ac:dyDescent="0.25">
      <c r="A5617" s="9" t="s">
        <v>11026</v>
      </c>
      <c r="C5617" s="9" t="str">
        <f>HYPERLINK("http://www.ncbi.nlm.nih.gov/protein/262050551","Pls3")</f>
        <v>Pls3</v>
      </c>
      <c r="D5617" s="10">
        <f t="shared" si="87"/>
        <v>5.8416030281470581</v>
      </c>
      <c r="F5617" s="8" t="str">
        <f>HYPERLINK("https://esbl.nhlbi.nih.gov/Databases/mpkFractions/proteomic_fractions_log_files/Yang_log_img/262050551.jpg","show blot")</f>
        <v>show blot</v>
      </c>
      <c r="H5617" s="8" t="str">
        <f>HYPERLINK("https://esbl.nhlbi.nih.gov/Databases/mpkFractions/proteomic_fractions_linear_files/Yang_linear_img/262050551.jpg","show blot")</f>
        <v>show blot</v>
      </c>
      <c r="J5617" s="5" t="s">
        <v>11027</v>
      </c>
      <c r="L5617" s="11">
        <v>5.8416030281470581</v>
      </c>
      <c r="N5617" s="12"/>
    </row>
    <row r="5618" spans="1:14" s="5" customFormat="1" ht="15" customHeight="1" x14ac:dyDescent="0.25">
      <c r="A5618" s="9" t="s">
        <v>11028</v>
      </c>
      <c r="C5618" s="9" t="str">
        <f>HYPERLINK("http://www.ncbi.nlm.nih.gov/protein/262050551;262050553","Pls3")</f>
        <v>Pls3</v>
      </c>
      <c r="D5618" s="10">
        <f t="shared" si="87"/>
        <v>5.8416030281470581</v>
      </c>
      <c r="F5618" s="8" t="str">
        <f>HYPERLINK("https://esbl.nhlbi.nih.gov/Databases/mpkFractions/proteomic_fractions_log_files/Yang_log_img/262050551;262050553.jpg","show blot")</f>
        <v>show blot</v>
      </c>
      <c r="H5618" s="8" t="str">
        <f>HYPERLINK("https://esbl.nhlbi.nih.gov/Databases/mpkFractions/proteomic_fractions_linear_files/Yang_linear_img/262050551;262050553.jpg","show blot")</f>
        <v>show blot</v>
      </c>
      <c r="J5618" s="5" t="s">
        <v>11027</v>
      </c>
      <c r="L5618" s="11">
        <v>5.8416030281470581</v>
      </c>
      <c r="N5618" s="12"/>
    </row>
    <row r="5619" spans="1:14" s="5" customFormat="1" ht="15" customHeight="1" x14ac:dyDescent="0.25">
      <c r="A5619" s="9" t="s">
        <v>11029</v>
      </c>
      <c r="C5619" s="9" t="str">
        <f>HYPERLINK("http://www.ncbi.nlm.nih.gov/protein/262050553;262050551","Pls3")</f>
        <v>Pls3</v>
      </c>
      <c r="D5619" s="10">
        <f t="shared" si="87"/>
        <v>5.8416030281470581</v>
      </c>
      <c r="F5619" s="8" t="str">
        <f>HYPERLINK("https://esbl.nhlbi.nih.gov/Databases/mpkFractions/proteomic_fractions_log_files/Yang_log_img/262050553;262050551.jpg","show blot")</f>
        <v>show blot</v>
      </c>
      <c r="H5619" s="8" t="str">
        <f>HYPERLINK("https://esbl.nhlbi.nih.gov/Databases/mpkFractions/proteomic_fractions_linear_files/Yang_linear_img/262050553;262050551.jpg","show blot")</f>
        <v>show blot</v>
      </c>
      <c r="J5619" s="5" t="s">
        <v>11027</v>
      </c>
      <c r="L5619" s="11">
        <v>5.8416030281470581</v>
      </c>
      <c r="N5619" s="12"/>
    </row>
    <row r="5620" spans="1:14" s="5" customFormat="1" ht="15" customHeight="1" x14ac:dyDescent="0.25">
      <c r="A5620" s="9" t="s">
        <v>11030</v>
      </c>
      <c r="C5620" s="9" t="str">
        <f>HYPERLINK("http://www.ncbi.nlm.nih.gov/protein/194328695","Plscr1")</f>
        <v>Plscr1</v>
      </c>
      <c r="D5620" s="10">
        <f t="shared" si="87"/>
        <v>4.7228818309138498</v>
      </c>
      <c r="F5620" s="8" t="str">
        <f>HYPERLINK("https://esbl.nhlbi.nih.gov/Databases/mpkFractions/proteomic_fractions_log_files/Yang_log_img/194328695.jpg","show blot")</f>
        <v>show blot</v>
      </c>
      <c r="H5620" s="8" t="str">
        <f>HYPERLINK("https://esbl.nhlbi.nih.gov/Databases/mpkFractions/proteomic_fractions_linear_files/Yang_linear_img/194328695.jpg","show blot")</f>
        <v>show blot</v>
      </c>
      <c r="J5620" s="5" t="s">
        <v>11031</v>
      </c>
      <c r="L5620" s="11">
        <v>4.7228818309138498</v>
      </c>
      <c r="N5620" s="12"/>
    </row>
    <row r="5621" spans="1:14" s="5" customFormat="1" ht="15" customHeight="1" x14ac:dyDescent="0.25">
      <c r="A5621" s="9" t="s">
        <v>11032</v>
      </c>
      <c r="C5621" s="9" t="str">
        <f>HYPERLINK("http://www.ncbi.nlm.nih.gov/protein/12963735","Plscr3")</f>
        <v>Plscr3</v>
      </c>
      <c r="D5621" s="10">
        <f t="shared" si="87"/>
        <v>5.0123828639113066</v>
      </c>
      <c r="F5621" s="8" t="str">
        <f>HYPERLINK("https://esbl.nhlbi.nih.gov/Databases/mpkFractions/proteomic_fractions_log_files/Yang_log_img/12963735.jpg","show blot")</f>
        <v>show blot</v>
      </c>
      <c r="H5621" s="8" t="str">
        <f>HYPERLINK("https://esbl.nhlbi.nih.gov/Databases/mpkFractions/proteomic_fractions_linear_files/Yang_linear_img/12963735.jpg","show blot")</f>
        <v>show blot</v>
      </c>
      <c r="J5621" s="5" t="s">
        <v>11033</v>
      </c>
      <c r="L5621" s="11">
        <v>5.0123828639113066</v>
      </c>
      <c r="N5621" s="12"/>
    </row>
    <row r="5622" spans="1:14" s="5" customFormat="1" ht="15" customHeight="1" x14ac:dyDescent="0.25">
      <c r="A5622" s="9" t="s">
        <v>11034</v>
      </c>
      <c r="C5622" s="9" t="str">
        <f>HYPERLINK("http://www.ncbi.nlm.nih.gov/protein/255522953","Plvap")</f>
        <v>Plvap</v>
      </c>
      <c r="D5622" s="10">
        <f t="shared" si="87"/>
        <v>3.732388934301917</v>
      </c>
      <c r="F5622" s="8" t="str">
        <f>HYPERLINK("https://esbl.nhlbi.nih.gov/Databases/mpkFractions/proteomic_fractions_log_files/Yang_log_img/255522953.jpg","show blot")</f>
        <v>show blot</v>
      </c>
      <c r="H5622" s="8" t="str">
        <f>HYPERLINK("https://esbl.nhlbi.nih.gov/Databases/mpkFractions/proteomic_fractions_linear_files/Yang_linear_img/255522953.jpg","show blot")</f>
        <v>show blot</v>
      </c>
      <c r="J5622" s="5" t="s">
        <v>11035</v>
      </c>
      <c r="L5622" s="11">
        <v>3.732388934301917</v>
      </c>
      <c r="N5622" s="12"/>
    </row>
    <row r="5623" spans="1:14" s="5" customFormat="1" ht="15" customHeight="1" x14ac:dyDescent="0.25">
      <c r="A5623" s="9" t="s">
        <v>11036</v>
      </c>
      <c r="C5623" s="9" t="str">
        <f>HYPERLINK("http://www.ncbi.nlm.nih.gov/protein/6679389","Plxna1")</f>
        <v>Plxna1</v>
      </c>
      <c r="D5623" s="10">
        <f t="shared" si="87"/>
        <v>3.3805902445767528</v>
      </c>
      <c r="F5623" s="8" t="str">
        <f>HYPERLINK("https://esbl.nhlbi.nih.gov/Databases/mpkFractions/proteomic_fractions_log_files/Yang_log_img/6679389.jpg","show blot")</f>
        <v>show blot</v>
      </c>
      <c r="H5623" s="8" t="str">
        <f>HYPERLINK("https://esbl.nhlbi.nih.gov/Databases/mpkFractions/proteomic_fractions_linear_files/Yang_linear_img/6679389.jpg","show blot")</f>
        <v>show blot</v>
      </c>
      <c r="J5623" s="5" t="s">
        <v>11037</v>
      </c>
      <c r="L5623" s="11">
        <v>3.3805902445767528</v>
      </c>
      <c r="N5623" s="12"/>
    </row>
    <row r="5624" spans="1:14" s="5" customFormat="1" ht="15" customHeight="1" x14ac:dyDescent="0.25">
      <c r="A5624" s="9" t="s">
        <v>11038</v>
      </c>
      <c r="C5624" s="9" t="str">
        <f>HYPERLINK("http://www.ncbi.nlm.nih.gov/protein/113722113","Plxna2")</f>
        <v>Plxna2</v>
      </c>
      <c r="D5624" s="10">
        <f t="shared" si="87"/>
        <v>5.0675784286202896</v>
      </c>
      <c r="F5624" s="8" t="str">
        <f>HYPERLINK("https://esbl.nhlbi.nih.gov/Databases/mpkFractions/proteomic_fractions_log_files/Yang_log_img/113722113.jpg","show blot")</f>
        <v>show blot</v>
      </c>
      <c r="H5624" s="8" t="str">
        <f>HYPERLINK("https://esbl.nhlbi.nih.gov/Databases/mpkFractions/proteomic_fractions_linear_files/Yang_linear_img/113722113.jpg","show blot")</f>
        <v>show blot</v>
      </c>
      <c r="J5624" s="5" t="s">
        <v>11039</v>
      </c>
      <c r="L5624" s="11">
        <v>5.0675784286202896</v>
      </c>
      <c r="N5624" s="12"/>
    </row>
    <row r="5625" spans="1:14" s="5" customFormat="1" ht="15" customHeight="1" x14ac:dyDescent="0.25">
      <c r="A5625" s="9" t="s">
        <v>11040</v>
      </c>
      <c r="C5625" s="9" t="str">
        <f>HYPERLINK("http://www.ncbi.nlm.nih.gov/protein/124286839","Plxna3")</f>
        <v>Plxna3</v>
      </c>
      <c r="D5625" s="10">
        <f t="shared" si="87"/>
        <v>1.897093035047658</v>
      </c>
      <c r="F5625" s="8" t="str">
        <f>HYPERLINK("https://esbl.nhlbi.nih.gov/Databases/mpkFractions/proteomic_fractions_log_files/Yang_log_img/124286839.jpg","show blot")</f>
        <v>show blot</v>
      </c>
      <c r="H5625" s="8" t="str">
        <f>HYPERLINK("https://esbl.nhlbi.nih.gov/Databases/mpkFractions/proteomic_fractions_linear_files/Yang_linear_img/124286839.jpg","show blot")</f>
        <v>show blot</v>
      </c>
      <c r="J5625" s="5" t="s">
        <v>11041</v>
      </c>
      <c r="L5625" s="11">
        <v>1.897093035047658</v>
      </c>
      <c r="N5625" s="12"/>
    </row>
    <row r="5626" spans="1:14" s="5" customFormat="1" ht="15" customHeight="1" x14ac:dyDescent="0.25">
      <c r="A5626" s="9" t="s">
        <v>11042</v>
      </c>
      <c r="C5626" s="9" t="str">
        <f>HYPERLINK("http://www.ncbi.nlm.nih.gov/protein/171543899","Plxna4")</f>
        <v>Plxna4</v>
      </c>
      <c r="D5626" s="10">
        <f t="shared" si="87"/>
        <v>1.8887409606828931</v>
      </c>
      <c r="F5626" s="8" t="str">
        <f>HYPERLINK("https://esbl.nhlbi.nih.gov/Databases/mpkFractions/proteomic_fractions_log_files/Yang_log_img/171543899.jpg","show blot")</f>
        <v>show blot</v>
      </c>
      <c r="H5626" s="8" t="str">
        <f>HYPERLINK("https://esbl.nhlbi.nih.gov/Databases/mpkFractions/proteomic_fractions_linear_files/Yang_linear_img/171543899.jpg","show blot")</f>
        <v>show blot</v>
      </c>
      <c r="J5626" s="5" t="s">
        <v>11043</v>
      </c>
      <c r="L5626" s="11">
        <v>1.8887409606828931</v>
      </c>
      <c r="N5626" s="12"/>
    </row>
    <row r="5627" spans="1:14" s="5" customFormat="1" ht="15" customHeight="1" x14ac:dyDescent="0.25">
      <c r="A5627" s="9" t="s">
        <v>11044</v>
      </c>
      <c r="C5627" s="9" t="str">
        <f>HYPERLINK("http://www.ncbi.nlm.nih.gov/protein/225690610","Plxnb1")</f>
        <v>Plxnb1</v>
      </c>
      <c r="D5627" s="10">
        <f t="shared" si="87"/>
        <v>3.1516844517867542</v>
      </c>
      <c r="F5627" s="8" t="str">
        <f>HYPERLINK("https://esbl.nhlbi.nih.gov/Databases/mpkFractions/proteomic_fractions_log_files/Yang_log_img/225690610.jpg","show blot")</f>
        <v>show blot</v>
      </c>
      <c r="H5627" s="8" t="str">
        <f>HYPERLINK("https://esbl.nhlbi.nih.gov/Databases/mpkFractions/proteomic_fractions_linear_files/Yang_linear_img/225690610.jpg","show blot")</f>
        <v>show blot</v>
      </c>
      <c r="J5627" s="5" t="s">
        <v>11045</v>
      </c>
      <c r="L5627" s="11">
        <v>3.1516844517867542</v>
      </c>
      <c r="N5627" s="12"/>
    </row>
    <row r="5628" spans="1:14" s="5" customFormat="1" ht="15" customHeight="1" x14ac:dyDescent="0.25">
      <c r="A5628" s="9" t="s">
        <v>11046</v>
      </c>
      <c r="C5628" s="9" t="str">
        <f>HYPERLINK("http://www.ncbi.nlm.nih.gov/protein/226958474","Plxnb2")</f>
        <v>Plxnb2</v>
      </c>
      <c r="D5628" s="10">
        <f t="shared" si="87"/>
        <v>4.9274542520518496</v>
      </c>
      <c r="F5628" s="8" t="str">
        <f>HYPERLINK("https://esbl.nhlbi.nih.gov/Databases/mpkFractions/proteomic_fractions_log_files/Yang_log_img/226958474.jpg","show blot")</f>
        <v>show blot</v>
      </c>
      <c r="H5628" s="8" t="str">
        <f>HYPERLINK("https://esbl.nhlbi.nih.gov/Databases/mpkFractions/proteomic_fractions_linear_files/Yang_linear_img/226958474.jpg","show blot")</f>
        <v>show blot</v>
      </c>
      <c r="J5628" s="5" t="s">
        <v>11047</v>
      </c>
      <c r="L5628" s="11">
        <v>4.9274542520518496</v>
      </c>
      <c r="N5628" s="12"/>
    </row>
    <row r="5629" spans="1:14" s="5" customFormat="1" ht="15" customHeight="1" x14ac:dyDescent="0.25">
      <c r="A5629" s="9" t="s">
        <v>11048</v>
      </c>
      <c r="C5629" s="9" t="str">
        <f>HYPERLINK("http://www.ncbi.nlm.nih.gov/protein/13385420","Pmf1")</f>
        <v>Pmf1</v>
      </c>
      <c r="D5629" s="10">
        <f t="shared" si="87"/>
        <v>4.7144659736852059</v>
      </c>
      <c r="F5629" s="8" t="str">
        <f>HYPERLINK("https://esbl.nhlbi.nih.gov/Databases/mpkFractions/proteomic_fractions_log_files/Yang_log_img/13385420.jpg","show blot")</f>
        <v>show blot</v>
      </c>
      <c r="H5629" s="8" t="str">
        <f>HYPERLINK("https://esbl.nhlbi.nih.gov/Databases/mpkFractions/proteomic_fractions_linear_files/Yang_linear_img/13385420.jpg","show blot")</f>
        <v>show blot</v>
      </c>
      <c r="J5629" s="5" t="s">
        <v>11049</v>
      </c>
      <c r="L5629" s="11">
        <v>4.7144659736852059</v>
      </c>
      <c r="N5629" s="12"/>
    </row>
    <row r="5630" spans="1:14" s="5" customFormat="1" ht="15" customHeight="1" x14ac:dyDescent="0.25">
      <c r="A5630" s="9" t="s">
        <v>11050</v>
      </c>
      <c r="C5630" s="9" t="str">
        <f>HYPERLINK("http://www.ncbi.nlm.nih.gov/protein/9910570","Pmfbp1")</f>
        <v>Pmfbp1</v>
      </c>
      <c r="D5630" s="10">
        <f t="shared" si="87"/>
        <v>4.0941721033726903</v>
      </c>
      <c r="F5630" s="8" t="str">
        <f>HYPERLINK("https://esbl.nhlbi.nih.gov/Databases/mpkFractions/proteomic_fractions_log_files/Yang_log_img/9910570.jpg","show blot")</f>
        <v>show blot</v>
      </c>
      <c r="H5630" s="8" t="str">
        <f>HYPERLINK("https://esbl.nhlbi.nih.gov/Databases/mpkFractions/proteomic_fractions_linear_files/Yang_linear_img/9910570.jpg","show blot")</f>
        <v>show blot</v>
      </c>
      <c r="J5630" s="5" t="s">
        <v>11051</v>
      </c>
      <c r="L5630" s="11">
        <v>4.0941721033726903</v>
      </c>
      <c r="N5630" s="12"/>
    </row>
    <row r="5631" spans="1:14" s="5" customFormat="1" ht="15" customHeight="1" x14ac:dyDescent="0.25">
      <c r="A5631" s="9" t="s">
        <v>11052</v>
      </c>
      <c r="C5631" s="9" t="str">
        <f>HYPERLINK("http://www.ncbi.nlm.nih.gov/protein/160333282","Pml")</f>
        <v>Pml</v>
      </c>
      <c r="D5631" s="10">
        <f t="shared" si="87"/>
        <v>4.6576556299980956</v>
      </c>
      <c r="F5631" s="8" t="str">
        <f>HYPERLINK("https://esbl.nhlbi.nih.gov/Databases/mpkFractions/proteomic_fractions_log_files/Yang_log_img/160333282.jpg","show blot")</f>
        <v>show blot</v>
      </c>
      <c r="H5631" s="8" t="str">
        <f>HYPERLINK("https://esbl.nhlbi.nih.gov/Databases/mpkFractions/proteomic_fractions_linear_files/Yang_linear_img/160333282.jpg","show blot")</f>
        <v>show blot</v>
      </c>
      <c r="J5631" s="5" t="s">
        <v>11053</v>
      </c>
      <c r="L5631" s="11">
        <v>4.6576556299980956</v>
      </c>
      <c r="N5631" s="12"/>
    </row>
    <row r="5632" spans="1:14" s="5" customFormat="1" ht="15" customHeight="1" x14ac:dyDescent="0.25">
      <c r="A5632" s="9" t="s">
        <v>11054</v>
      </c>
      <c r="C5632" s="9" t="str">
        <f>HYPERLINK("http://www.ncbi.nlm.nih.gov/protein/160333286","Pml")</f>
        <v>Pml</v>
      </c>
      <c r="D5632" s="10">
        <f t="shared" si="87"/>
        <v>4.6576556299980956</v>
      </c>
      <c r="F5632" s="8" t="str">
        <f>HYPERLINK("https://esbl.nhlbi.nih.gov/Databases/mpkFractions/proteomic_fractions_log_files/Yang_log_img/160333286.jpg","show blot")</f>
        <v>show blot</v>
      </c>
      <c r="H5632" s="8" t="str">
        <f>HYPERLINK("https://esbl.nhlbi.nih.gov/Databases/mpkFractions/proteomic_fractions_linear_files/Yang_linear_img/160333286.jpg","show blot")</f>
        <v>show blot</v>
      </c>
      <c r="J5632" s="5" t="s">
        <v>11055</v>
      </c>
      <c r="L5632" s="11">
        <v>4.6576556299980956</v>
      </c>
      <c r="N5632" s="12"/>
    </row>
    <row r="5633" spans="1:14" s="5" customFormat="1" ht="15" customHeight="1" x14ac:dyDescent="0.25">
      <c r="A5633" s="9" t="s">
        <v>11056</v>
      </c>
      <c r="C5633" s="9" t="str">
        <f>HYPERLINK("http://www.ncbi.nlm.nih.gov/protein/33468959","Pmm1")</f>
        <v>Pmm1</v>
      </c>
      <c r="D5633" s="10">
        <f t="shared" si="87"/>
        <v>5.3780258267985976</v>
      </c>
      <c r="F5633" s="8" t="str">
        <f>HYPERLINK("https://esbl.nhlbi.nih.gov/Databases/mpkFractions/proteomic_fractions_log_files/Yang_log_img/33468959.jpg","show blot")</f>
        <v>show blot</v>
      </c>
      <c r="H5633" s="8" t="str">
        <f>HYPERLINK("https://esbl.nhlbi.nih.gov/Databases/mpkFractions/proteomic_fractions_linear_files/Yang_linear_img/33468959.jpg","show blot")</f>
        <v>show blot</v>
      </c>
      <c r="J5633" s="5" t="s">
        <v>11057</v>
      </c>
      <c r="L5633" s="11">
        <v>5.3780258267985976</v>
      </c>
      <c r="N5633" s="12"/>
    </row>
    <row r="5634" spans="1:14" s="5" customFormat="1" ht="15" customHeight="1" x14ac:dyDescent="0.25">
      <c r="A5634" s="9" t="s">
        <v>11058</v>
      </c>
      <c r="C5634" s="9" t="str">
        <f>HYPERLINK("http://www.ncbi.nlm.nih.gov/protein/8393988","Pmm2")</f>
        <v>Pmm2</v>
      </c>
      <c r="D5634" s="10">
        <f t="shared" si="87"/>
        <v>5.9377162771234939</v>
      </c>
      <c r="F5634" s="8" t="str">
        <f>HYPERLINK("https://esbl.nhlbi.nih.gov/Databases/mpkFractions/proteomic_fractions_log_files/Yang_log_img/8393988.jpg","show blot")</f>
        <v>show blot</v>
      </c>
      <c r="H5634" s="8" t="str">
        <f>HYPERLINK("https://esbl.nhlbi.nih.gov/Databases/mpkFractions/proteomic_fractions_linear_files/Yang_linear_img/8393988.jpg","show blot")</f>
        <v>show blot</v>
      </c>
      <c r="J5634" s="5" t="s">
        <v>11059</v>
      </c>
      <c r="L5634" s="11">
        <v>5.9377162771234939</v>
      </c>
      <c r="N5634" s="12"/>
    </row>
    <row r="5635" spans="1:14" s="5" customFormat="1" ht="15" customHeight="1" x14ac:dyDescent="0.25">
      <c r="A5635" s="9" t="s">
        <v>11060</v>
      </c>
      <c r="C5635" s="9" t="str">
        <f>HYPERLINK("http://www.ncbi.nlm.nih.gov/protein/27502349","Pmpca")</f>
        <v>Pmpca</v>
      </c>
      <c r="D5635" s="10">
        <f t="shared" si="87"/>
        <v>4.5104373293287852</v>
      </c>
      <c r="F5635" s="8" t="str">
        <f>HYPERLINK("https://esbl.nhlbi.nih.gov/Databases/mpkFractions/proteomic_fractions_log_files/Yang_log_img/27502349.jpg","show blot")</f>
        <v>show blot</v>
      </c>
      <c r="H5635" s="8" t="str">
        <f>HYPERLINK("https://esbl.nhlbi.nih.gov/Databases/mpkFractions/proteomic_fractions_linear_files/Yang_linear_img/27502349.jpg","show blot")</f>
        <v>show blot</v>
      </c>
      <c r="J5635" s="5" t="s">
        <v>11061</v>
      </c>
      <c r="L5635" s="11">
        <v>4.5104373293287852</v>
      </c>
      <c r="N5635" s="12"/>
    </row>
    <row r="5636" spans="1:14" s="5" customFormat="1" ht="15" customHeight="1" x14ac:dyDescent="0.25">
      <c r="A5636" s="9" t="s">
        <v>11062</v>
      </c>
      <c r="C5636" s="9" t="str">
        <f>HYPERLINK("http://www.ncbi.nlm.nih.gov/protein/95113671","Pmpcb")</f>
        <v>Pmpcb</v>
      </c>
      <c r="D5636" s="10">
        <f t="shared" si="87"/>
        <v>5.0238113413745786</v>
      </c>
      <c r="F5636" s="8" t="str">
        <f>HYPERLINK("https://esbl.nhlbi.nih.gov/Databases/mpkFractions/proteomic_fractions_log_files/Yang_log_img/95113671.jpg","show blot")</f>
        <v>show blot</v>
      </c>
      <c r="H5636" s="8" t="str">
        <f>HYPERLINK("https://esbl.nhlbi.nih.gov/Databases/mpkFractions/proteomic_fractions_linear_files/Yang_linear_img/95113671.jpg","show blot")</f>
        <v>show blot</v>
      </c>
      <c r="J5636" s="5" t="s">
        <v>11063</v>
      </c>
      <c r="L5636" s="11">
        <v>5.0238113413745786</v>
      </c>
      <c r="N5636" s="12"/>
    </row>
    <row r="5637" spans="1:14" s="5" customFormat="1" ht="15" customHeight="1" x14ac:dyDescent="0.25">
      <c r="A5637" s="9" t="s">
        <v>11064</v>
      </c>
      <c r="C5637" s="9" t="str">
        <f>HYPERLINK("http://www.ncbi.nlm.nih.gov/protein/121583910","Pms2")</f>
        <v>Pms2</v>
      </c>
      <c r="D5637" s="10">
        <f t="shared" ref="D5637:D5700" si="88">L5637</f>
        <v>2.541364198363063</v>
      </c>
      <c r="F5637" s="8" t="str">
        <f>HYPERLINK("https://esbl.nhlbi.nih.gov/Databases/mpkFractions/proteomic_fractions_log_files/Yang_log_img/121583910.jpg","show blot")</f>
        <v>show blot</v>
      </c>
      <c r="H5637" s="8" t="str">
        <f>HYPERLINK("https://esbl.nhlbi.nih.gov/Databases/mpkFractions/proteomic_fractions_linear_files/Yang_linear_img/121583910.jpg","show blot")</f>
        <v>show blot</v>
      </c>
      <c r="J5637" s="5" t="s">
        <v>11065</v>
      </c>
      <c r="L5637" s="11">
        <v>2.541364198363063</v>
      </c>
      <c r="N5637" s="12"/>
    </row>
    <row r="5638" spans="1:14" s="5" customFormat="1" ht="15" customHeight="1" x14ac:dyDescent="0.25">
      <c r="A5638" s="9" t="s">
        <v>11066</v>
      </c>
      <c r="C5638" s="9" t="str">
        <f>HYPERLINK("http://www.ncbi.nlm.nih.gov/protein/254588056","Pmvk")</f>
        <v>Pmvk</v>
      </c>
      <c r="D5638" s="10">
        <f t="shared" si="88"/>
        <v>4.7158199731082284</v>
      </c>
      <c r="F5638" s="8" t="str">
        <f>HYPERLINK("https://esbl.nhlbi.nih.gov/Databases/mpkFractions/proteomic_fractions_log_files/Yang_log_img/254588056.jpg","show blot")</f>
        <v>show blot</v>
      </c>
      <c r="H5638" s="8" t="str">
        <f>HYPERLINK("https://esbl.nhlbi.nih.gov/Databases/mpkFractions/proteomic_fractions_linear_files/Yang_linear_img/254588056.jpg","show blot")</f>
        <v>show blot</v>
      </c>
      <c r="J5638" s="5" t="s">
        <v>11067</v>
      </c>
      <c r="L5638" s="11">
        <v>4.7158199731082284</v>
      </c>
      <c r="N5638" s="12"/>
    </row>
    <row r="5639" spans="1:14" s="5" customFormat="1" ht="15" customHeight="1" x14ac:dyDescent="0.25">
      <c r="A5639" s="9" t="s">
        <v>11068</v>
      </c>
      <c r="C5639" s="9" t="str">
        <f>HYPERLINK("http://www.ncbi.nlm.nih.gov/protein/254588058","Pmvk")</f>
        <v>Pmvk</v>
      </c>
      <c r="D5639" s="10">
        <f t="shared" si="88"/>
        <v>4.7158199731082284</v>
      </c>
      <c r="F5639" s="8" t="str">
        <f>HYPERLINK("https://esbl.nhlbi.nih.gov/Databases/mpkFractions/proteomic_fractions_log_files/Yang_log_img/254588058.jpg","show blot")</f>
        <v>show blot</v>
      </c>
      <c r="H5639" s="8" t="str">
        <f>HYPERLINK("https://esbl.nhlbi.nih.gov/Databases/mpkFractions/proteomic_fractions_linear_files/Yang_linear_img/254588058.jpg","show blot")</f>
        <v>show blot</v>
      </c>
      <c r="J5639" s="5" t="s">
        <v>11069</v>
      </c>
      <c r="L5639" s="11">
        <v>4.7158199731082284</v>
      </c>
      <c r="N5639" s="12"/>
    </row>
    <row r="5640" spans="1:14" s="5" customFormat="1" ht="15" customHeight="1" x14ac:dyDescent="0.25">
      <c r="A5640" s="9" t="s">
        <v>11070</v>
      </c>
      <c r="C5640" s="9" t="str">
        <f>HYPERLINK("http://www.ncbi.nlm.nih.gov/protein/87239984","Pnkd")</f>
        <v>Pnkd</v>
      </c>
      <c r="D5640" s="10">
        <f t="shared" si="88"/>
        <v>2.203508111070394</v>
      </c>
      <c r="F5640" s="8" t="str">
        <f>HYPERLINK("https://esbl.nhlbi.nih.gov/Databases/mpkFractions/proteomic_fractions_log_files/Yang_log_img/87239984.jpg","show blot")</f>
        <v>show blot</v>
      </c>
      <c r="H5640" s="8" t="str">
        <f>HYPERLINK("https://esbl.nhlbi.nih.gov/Databases/mpkFractions/proteomic_fractions_linear_files/Yang_linear_img/87239984.jpg","show blot")</f>
        <v>show blot</v>
      </c>
      <c r="J5640" s="5" t="s">
        <v>11071</v>
      </c>
      <c r="L5640" s="11">
        <v>2.203508111070394</v>
      </c>
      <c r="N5640" s="12"/>
    </row>
    <row r="5641" spans="1:14" s="5" customFormat="1" ht="15" customHeight="1" x14ac:dyDescent="0.25">
      <c r="A5641" s="9" t="s">
        <v>11072</v>
      </c>
      <c r="C5641" s="9" t="str">
        <f>HYPERLINK("http://www.ncbi.nlm.nih.gov/protein/87239988","Pnkd")</f>
        <v>Pnkd</v>
      </c>
      <c r="D5641" s="10">
        <f t="shared" si="88"/>
        <v>2.203508111070394</v>
      </c>
      <c r="F5641" s="8" t="str">
        <f>HYPERLINK("https://esbl.nhlbi.nih.gov/Databases/mpkFractions/proteomic_fractions_log_files/Yang_log_img/87239988.jpg","show blot")</f>
        <v>show blot</v>
      </c>
      <c r="H5641" s="8" t="str">
        <f>HYPERLINK("https://esbl.nhlbi.nih.gov/Databases/mpkFractions/proteomic_fractions_linear_files/Yang_linear_img/87239988.jpg","show blot")</f>
        <v>show blot</v>
      </c>
      <c r="J5641" s="5" t="s">
        <v>11073</v>
      </c>
      <c r="L5641" s="11">
        <v>2.203508111070394</v>
      </c>
      <c r="N5641" s="12"/>
    </row>
    <row r="5642" spans="1:14" s="5" customFormat="1" ht="15" customHeight="1" x14ac:dyDescent="0.25">
      <c r="A5642" s="9" t="s">
        <v>11074</v>
      </c>
      <c r="C5642" s="9" t="str">
        <f>HYPERLINK("http://www.ncbi.nlm.nih.gov/protein/118601009","Pnkp")</f>
        <v>Pnkp</v>
      </c>
      <c r="D5642" s="10">
        <f t="shared" si="88"/>
        <v>5.0586963432764227</v>
      </c>
      <c r="F5642" s="8" t="str">
        <f>HYPERLINK("https://esbl.nhlbi.nih.gov/Databases/mpkFractions/proteomic_fractions_log_files/Yang_log_img/118601009.jpg","show blot")</f>
        <v>show blot</v>
      </c>
      <c r="H5642" s="8" t="str">
        <f>HYPERLINK("https://esbl.nhlbi.nih.gov/Databases/mpkFractions/proteomic_fractions_linear_files/Yang_linear_img/118601009.jpg","show blot")</f>
        <v>show blot</v>
      </c>
      <c r="J5642" s="5" t="s">
        <v>11075</v>
      </c>
      <c r="L5642" s="11">
        <v>5.0586963432764227</v>
      </c>
      <c r="N5642" s="12"/>
    </row>
    <row r="5643" spans="1:14" s="5" customFormat="1" ht="15" customHeight="1" x14ac:dyDescent="0.25">
      <c r="A5643" s="9" t="s">
        <v>11076</v>
      </c>
      <c r="C5643" s="9" t="str">
        <f>HYPERLINK("http://www.ncbi.nlm.nih.gov/protein/112420990","Pnn")</f>
        <v>Pnn</v>
      </c>
      <c r="D5643" s="10">
        <f t="shared" si="88"/>
        <v>4.6939250447186964</v>
      </c>
      <c r="F5643" s="8" t="str">
        <f>HYPERLINK("https://esbl.nhlbi.nih.gov/Databases/mpkFractions/proteomic_fractions_log_files/Yang_log_img/112420990.jpg","show blot")</f>
        <v>show blot</v>
      </c>
      <c r="H5643" s="8" t="str">
        <f>HYPERLINK("https://esbl.nhlbi.nih.gov/Databases/mpkFractions/proteomic_fractions_linear_files/Yang_linear_img/112420990.jpg","show blot")</f>
        <v>show blot</v>
      </c>
      <c r="J5643" s="5" t="s">
        <v>11077</v>
      </c>
      <c r="L5643" s="11">
        <v>4.6939250447186964</v>
      </c>
      <c r="N5643" s="12"/>
    </row>
    <row r="5644" spans="1:14" s="5" customFormat="1" ht="15" customHeight="1" x14ac:dyDescent="0.25">
      <c r="A5644" s="9" t="s">
        <v>11078</v>
      </c>
      <c r="C5644" s="9" t="str">
        <f>HYPERLINK("http://www.ncbi.nlm.nih.gov/protein/13384846","Pno1")</f>
        <v>Pno1</v>
      </c>
      <c r="D5644" s="10">
        <f t="shared" si="88"/>
        <v>4.7779923939476863</v>
      </c>
      <c r="F5644" s="8" t="str">
        <f>HYPERLINK("https://esbl.nhlbi.nih.gov/Databases/mpkFractions/proteomic_fractions_log_files/Yang_log_img/13384846.jpg","show blot")</f>
        <v>show blot</v>
      </c>
      <c r="H5644" s="8" t="str">
        <f>HYPERLINK("https://esbl.nhlbi.nih.gov/Databases/mpkFractions/proteomic_fractions_linear_files/Yang_linear_img/13384846.jpg","show blot")</f>
        <v>show blot</v>
      </c>
      <c r="J5644" s="5" t="s">
        <v>11079</v>
      </c>
      <c r="L5644" s="11">
        <v>4.7779923939476863</v>
      </c>
      <c r="N5644" s="12"/>
    </row>
    <row r="5645" spans="1:14" s="5" customFormat="1" ht="15" customHeight="1" x14ac:dyDescent="0.25">
      <c r="A5645" s="9" t="s">
        <v>11080</v>
      </c>
      <c r="C5645" s="9" t="str">
        <f>HYPERLINK("http://www.ncbi.nlm.nih.gov/protein/7305395","Pnp")</f>
        <v>Pnp</v>
      </c>
      <c r="D5645" s="10">
        <f t="shared" si="88"/>
        <v>6.2043950581054688</v>
      </c>
      <c r="F5645" s="8" t="str">
        <f>HYPERLINK("https://esbl.nhlbi.nih.gov/Databases/mpkFractions/proteomic_fractions_log_files/Yang_log_img/7305395.jpg","show blot")</f>
        <v>show blot</v>
      </c>
      <c r="H5645" s="8" t="str">
        <f>HYPERLINK("https://esbl.nhlbi.nih.gov/Databases/mpkFractions/proteomic_fractions_linear_files/Yang_linear_img/7305395.jpg","show blot")</f>
        <v>show blot</v>
      </c>
      <c r="J5645" s="5" t="s">
        <v>11081</v>
      </c>
      <c r="L5645" s="11">
        <v>6.2043950581054688</v>
      </c>
      <c r="N5645" s="12"/>
    </row>
    <row r="5646" spans="1:14" s="5" customFormat="1" ht="15" customHeight="1" x14ac:dyDescent="0.25">
      <c r="A5646" s="9" t="s">
        <v>11082</v>
      </c>
      <c r="C5646" s="9" t="str">
        <f>HYPERLINK("http://www.ncbi.nlm.nih.gov/protein/183074535","Pnp2")</f>
        <v>Pnp2</v>
      </c>
      <c r="D5646" s="10">
        <f t="shared" si="88"/>
        <v>5.7444949097576474</v>
      </c>
      <c r="F5646" s="8" t="str">
        <f>HYPERLINK("https://esbl.nhlbi.nih.gov/Databases/mpkFractions/proteomic_fractions_log_files/Yang_log_img/183074535.jpg","show blot")</f>
        <v>show blot</v>
      </c>
      <c r="H5646" s="8" t="str">
        <f>HYPERLINK("https://esbl.nhlbi.nih.gov/Databases/mpkFractions/proteomic_fractions_linear_files/Yang_linear_img/183074535.jpg","show blot")</f>
        <v>show blot</v>
      </c>
      <c r="J5646" s="5" t="s">
        <v>11083</v>
      </c>
      <c r="L5646" s="11">
        <v>5.7444949097576474</v>
      </c>
      <c r="N5646" s="12"/>
    </row>
    <row r="5647" spans="1:14" s="5" customFormat="1" ht="15" customHeight="1" x14ac:dyDescent="0.25">
      <c r="A5647" s="9" t="s">
        <v>11084</v>
      </c>
      <c r="C5647" s="9" t="str">
        <f>HYPERLINK("http://www.ncbi.nlm.nih.gov/protein/170763470","Pnpla6")</f>
        <v>Pnpla6</v>
      </c>
      <c r="D5647" s="10">
        <f t="shared" si="88"/>
        <v>3.6934730570770391</v>
      </c>
      <c r="F5647" s="8" t="str">
        <f>HYPERLINK("https://esbl.nhlbi.nih.gov/Databases/mpkFractions/proteomic_fractions_log_files/Yang_log_img/170763470.jpg","show blot")</f>
        <v>show blot</v>
      </c>
      <c r="H5647" s="8" t="str">
        <f>HYPERLINK("https://esbl.nhlbi.nih.gov/Databases/mpkFractions/proteomic_fractions_linear_files/Yang_linear_img/170763470.jpg","show blot")</f>
        <v>show blot</v>
      </c>
      <c r="J5647" s="5" t="s">
        <v>11085</v>
      </c>
      <c r="L5647" s="11">
        <v>3.6934730570770391</v>
      </c>
      <c r="N5647" s="12"/>
    </row>
    <row r="5648" spans="1:14" s="5" customFormat="1" ht="15" customHeight="1" x14ac:dyDescent="0.25">
      <c r="A5648" s="9" t="s">
        <v>11086</v>
      </c>
      <c r="C5648" s="9" t="str">
        <f>HYPERLINK("http://www.ncbi.nlm.nih.gov/protein/390608665","Pnpla6")</f>
        <v>Pnpla6</v>
      </c>
      <c r="D5648" s="10">
        <f t="shared" si="88"/>
        <v>3.6934730570770391</v>
      </c>
      <c r="F5648" s="8" t="str">
        <f>HYPERLINK("https://esbl.nhlbi.nih.gov/Databases/mpkFractions/proteomic_fractions_log_files/Yang_log_img/390608665.jpg","show blot")</f>
        <v>show blot</v>
      </c>
      <c r="H5648" s="8" t="str">
        <f>HYPERLINK("https://esbl.nhlbi.nih.gov/Databases/mpkFractions/proteomic_fractions_linear_files/Yang_linear_img/390608665.jpg","show blot")</f>
        <v>show blot</v>
      </c>
      <c r="J5648" s="5" t="s">
        <v>11087</v>
      </c>
      <c r="L5648" s="11">
        <v>3.6934730570770391</v>
      </c>
      <c r="N5648" s="12"/>
    </row>
    <row r="5649" spans="1:14" s="5" customFormat="1" ht="15" customHeight="1" x14ac:dyDescent="0.25">
      <c r="A5649" s="9" t="s">
        <v>11088</v>
      </c>
      <c r="C5649" s="9" t="str">
        <f>HYPERLINK("http://www.ncbi.nlm.nih.gov/protein/118130807","Pnpla8")</f>
        <v>Pnpla8</v>
      </c>
      <c r="D5649" s="10">
        <f t="shared" si="88"/>
        <v>2.433700020869682</v>
      </c>
      <c r="F5649" s="8" t="str">
        <f>HYPERLINK("https://esbl.nhlbi.nih.gov/Databases/mpkFractions/proteomic_fractions_log_files/Yang_log_img/118130807.jpg","show blot")</f>
        <v>show blot</v>
      </c>
      <c r="H5649" s="8" t="str">
        <f>HYPERLINK("https://esbl.nhlbi.nih.gov/Databases/mpkFractions/proteomic_fractions_linear_files/Yang_linear_img/118130807.jpg","show blot")</f>
        <v>show blot</v>
      </c>
      <c r="J5649" s="5" t="s">
        <v>11089</v>
      </c>
      <c r="L5649" s="11">
        <v>2.433700020869682</v>
      </c>
      <c r="N5649" s="12"/>
    </row>
    <row r="5650" spans="1:14" s="5" customFormat="1" ht="15" customHeight="1" x14ac:dyDescent="0.25">
      <c r="A5650" s="9" t="s">
        <v>11090</v>
      </c>
      <c r="C5650" s="9" t="str">
        <f>HYPERLINK("http://www.ncbi.nlm.nih.gov/protein/19527238","Pnpo")</f>
        <v>Pnpo</v>
      </c>
      <c r="D5650" s="10">
        <f t="shared" si="88"/>
        <v>4.9111982686632247</v>
      </c>
      <c r="F5650" s="8" t="str">
        <f>HYPERLINK("https://esbl.nhlbi.nih.gov/Databases/mpkFractions/proteomic_fractions_log_files/Yang_log_img/19527238.jpg","show blot")</f>
        <v>show blot</v>
      </c>
      <c r="H5650" s="8" t="str">
        <f>HYPERLINK("https://esbl.nhlbi.nih.gov/Databases/mpkFractions/proteomic_fractions_linear_files/Yang_linear_img/19527238.jpg","show blot")</f>
        <v>show blot</v>
      </c>
      <c r="J5650" s="5" t="s">
        <v>11091</v>
      </c>
      <c r="L5650" s="11">
        <v>4.9111982686632247</v>
      </c>
      <c r="N5650" s="12"/>
    </row>
    <row r="5651" spans="1:14" s="5" customFormat="1" ht="15" customHeight="1" x14ac:dyDescent="0.25">
      <c r="A5651" s="9" t="s">
        <v>11092</v>
      </c>
      <c r="C5651" s="9" t="str">
        <f>HYPERLINK("http://www.ncbi.nlm.nih.gov/protein/377833162","Pnpt1")</f>
        <v>Pnpt1</v>
      </c>
      <c r="D5651" s="10">
        <f t="shared" si="88"/>
        <v>4.0455117337349638</v>
      </c>
      <c r="F5651" s="8" t="str">
        <f>HYPERLINK("https://esbl.nhlbi.nih.gov/Databases/mpkFractions/proteomic_fractions_log_files/Yang_log_img/377833162.jpg","show blot")</f>
        <v>show blot</v>
      </c>
      <c r="H5651" s="8" t="str">
        <f>HYPERLINK("https://esbl.nhlbi.nih.gov/Databases/mpkFractions/proteomic_fractions_linear_files/Yang_linear_img/377833162.jpg","show blot")</f>
        <v>show blot</v>
      </c>
      <c r="J5651" s="5" t="s">
        <v>11093</v>
      </c>
      <c r="L5651" s="11">
        <v>4.0455117337349638</v>
      </c>
      <c r="N5651" s="12"/>
    </row>
    <row r="5652" spans="1:14" s="5" customFormat="1" ht="15" customHeight="1" x14ac:dyDescent="0.25">
      <c r="A5652" s="9" t="s">
        <v>11094</v>
      </c>
      <c r="C5652" s="9" t="str">
        <f>HYPERLINK("http://www.ncbi.nlm.nih.gov/protein/407261876","Pnpt1")</f>
        <v>Pnpt1</v>
      </c>
      <c r="D5652" s="10">
        <f t="shared" si="88"/>
        <v>4.0455117337349638</v>
      </c>
      <c r="F5652" s="8" t="str">
        <f>HYPERLINK("https://esbl.nhlbi.nih.gov/Databases/mpkFractions/proteomic_fractions_log_files/Yang_log_img/407261876.jpg","show blot")</f>
        <v>show blot</v>
      </c>
      <c r="H5652" s="8" t="str">
        <f>HYPERLINK("https://esbl.nhlbi.nih.gov/Databases/mpkFractions/proteomic_fractions_linear_files/Yang_linear_img/407261876.jpg","show blot")</f>
        <v>show blot</v>
      </c>
      <c r="J5652" s="5" t="s">
        <v>11095</v>
      </c>
      <c r="L5652" s="11">
        <v>4.0455117337349638</v>
      </c>
      <c r="N5652" s="12"/>
    </row>
    <row r="5653" spans="1:14" s="5" customFormat="1" ht="15" customHeight="1" x14ac:dyDescent="0.25">
      <c r="A5653" s="9" t="s">
        <v>11096</v>
      </c>
      <c r="C5653" s="9" t="str">
        <f>HYPERLINK("http://www.ncbi.nlm.nih.gov/protein/407261878","Pnpt1")</f>
        <v>Pnpt1</v>
      </c>
      <c r="D5653" s="10">
        <f t="shared" si="88"/>
        <v>4.0455117337349638</v>
      </c>
      <c r="F5653" s="8" t="str">
        <f>HYPERLINK("https://esbl.nhlbi.nih.gov/Databases/mpkFractions/proteomic_fractions_log_files/Yang_log_img/407261878.jpg","show blot")</f>
        <v>show blot</v>
      </c>
      <c r="H5653" s="8" t="str">
        <f>HYPERLINK("https://esbl.nhlbi.nih.gov/Databases/mpkFractions/proteomic_fractions_linear_files/Yang_linear_img/407261878.jpg","show blot")</f>
        <v>show blot</v>
      </c>
      <c r="J5653" s="5" t="s">
        <v>11095</v>
      </c>
      <c r="L5653" s="11">
        <v>4.0455117337349638</v>
      </c>
      <c r="N5653" s="12"/>
    </row>
    <row r="5654" spans="1:14" s="5" customFormat="1" ht="15" customHeight="1" x14ac:dyDescent="0.25">
      <c r="A5654" s="9" t="s">
        <v>11097</v>
      </c>
      <c r="C5654" s="9" t="str">
        <f>HYPERLINK("http://www.ncbi.nlm.nih.gov/protein/407261880","Pnpt1")</f>
        <v>Pnpt1</v>
      </c>
      <c r="D5654" s="10">
        <f t="shared" si="88"/>
        <v>4.0455117337349638</v>
      </c>
      <c r="F5654" s="8" t="str">
        <f>HYPERLINK("https://esbl.nhlbi.nih.gov/Databases/mpkFractions/proteomic_fractions_log_files/Yang_log_img/407261880.jpg","show blot")</f>
        <v>show blot</v>
      </c>
      <c r="H5654" s="8" t="str">
        <f>HYPERLINK("https://esbl.nhlbi.nih.gov/Databases/mpkFractions/proteomic_fractions_linear_files/Yang_linear_img/407261880.jpg","show blot")</f>
        <v>show blot</v>
      </c>
      <c r="J5654" s="5" t="s">
        <v>11095</v>
      </c>
      <c r="L5654" s="11">
        <v>4.0455117337349638</v>
      </c>
      <c r="N5654" s="12"/>
    </row>
    <row r="5655" spans="1:14" s="5" customFormat="1" ht="15" customHeight="1" x14ac:dyDescent="0.25">
      <c r="A5655" s="9" t="s">
        <v>11098</v>
      </c>
      <c r="C5655" s="9" t="str">
        <f>HYPERLINK("http://www.ncbi.nlm.nih.gov/protein/31657132","Pof1b")</f>
        <v>Pof1b</v>
      </c>
      <c r="D5655" s="10">
        <f t="shared" si="88"/>
        <v>3.686022901254093</v>
      </c>
      <c r="F5655" s="8" t="str">
        <f>HYPERLINK("https://esbl.nhlbi.nih.gov/Databases/mpkFractions/proteomic_fractions_log_files/Yang_log_img/31657132.jpg","show blot")</f>
        <v>show blot</v>
      </c>
      <c r="H5655" s="8" t="str">
        <f>HYPERLINK("https://esbl.nhlbi.nih.gov/Databases/mpkFractions/proteomic_fractions_linear_files/Yang_linear_img/31657132.jpg","show blot")</f>
        <v>show blot</v>
      </c>
      <c r="J5655" s="5" t="s">
        <v>11099</v>
      </c>
      <c r="L5655" s="11">
        <v>3.686022901254093</v>
      </c>
      <c r="N5655" s="12"/>
    </row>
    <row r="5656" spans="1:14" s="5" customFormat="1" ht="15" customHeight="1" x14ac:dyDescent="0.25">
      <c r="A5656" s="9" t="s">
        <v>11100</v>
      </c>
      <c r="C5656" s="9" t="str">
        <f>HYPERLINK("http://www.ncbi.nlm.nih.gov/protein/19525731","Pofut2")</f>
        <v>Pofut2</v>
      </c>
      <c r="D5656" s="10">
        <f t="shared" si="88"/>
        <v>3.8305642010610712</v>
      </c>
      <c r="F5656" s="8" t="str">
        <f>HYPERLINK("https://esbl.nhlbi.nih.gov/Databases/mpkFractions/proteomic_fractions_log_files/Yang_log_img/19525731.jpg","show blot")</f>
        <v>show blot</v>
      </c>
      <c r="H5656" s="8" t="str">
        <f>HYPERLINK("https://esbl.nhlbi.nih.gov/Databases/mpkFractions/proteomic_fractions_linear_files/Yang_linear_img/19525731.jpg","show blot")</f>
        <v>show blot</v>
      </c>
      <c r="J5656" s="5" t="s">
        <v>11101</v>
      </c>
      <c r="L5656" s="11">
        <v>3.8305642010610712</v>
      </c>
      <c r="N5656" s="12"/>
    </row>
    <row r="5657" spans="1:14" s="5" customFormat="1" ht="15" customHeight="1" x14ac:dyDescent="0.25">
      <c r="A5657" s="9" t="s">
        <v>11102</v>
      </c>
      <c r="C5657" s="9" t="str">
        <f>HYPERLINK("http://www.ncbi.nlm.nih.gov/protein/27369505","Poglut1")</f>
        <v>Poglut1</v>
      </c>
      <c r="D5657" s="10">
        <f t="shared" si="88"/>
        <v>3.9745911836146108</v>
      </c>
      <c r="F5657" s="8" t="str">
        <f>HYPERLINK("https://esbl.nhlbi.nih.gov/Databases/mpkFractions/proteomic_fractions_log_files/Yang_log_img/27369505.jpg","show blot")</f>
        <v>show blot</v>
      </c>
      <c r="H5657" s="8" t="str">
        <f>HYPERLINK("https://esbl.nhlbi.nih.gov/Databases/mpkFractions/proteomic_fractions_linear_files/Yang_linear_img/27369505.jpg","show blot")</f>
        <v>show blot</v>
      </c>
      <c r="J5657" s="5" t="s">
        <v>11103</v>
      </c>
      <c r="L5657" s="11">
        <v>3.9745911836146108</v>
      </c>
      <c r="N5657" s="12"/>
    </row>
    <row r="5658" spans="1:14" s="5" customFormat="1" ht="15" customHeight="1" x14ac:dyDescent="0.25">
      <c r="A5658" s="9" t="s">
        <v>11104</v>
      </c>
      <c r="C5658" s="9" t="str">
        <f>HYPERLINK("http://www.ncbi.nlm.nih.gov/protein/6679409","Pola1")</f>
        <v>Pola1</v>
      </c>
      <c r="D5658" s="10">
        <f t="shared" si="88"/>
        <v>4.8676090321581924</v>
      </c>
      <c r="F5658" s="8" t="str">
        <f>HYPERLINK("https://esbl.nhlbi.nih.gov/Databases/mpkFractions/proteomic_fractions_log_files/Yang_log_img/6679409.jpg","show blot")</f>
        <v>show blot</v>
      </c>
      <c r="H5658" s="8" t="str">
        <f>HYPERLINK("https://esbl.nhlbi.nih.gov/Databases/mpkFractions/proteomic_fractions_linear_files/Yang_linear_img/6679409.jpg","show blot")</f>
        <v>show blot</v>
      </c>
      <c r="J5658" s="5" t="s">
        <v>11105</v>
      </c>
      <c r="L5658" s="11">
        <v>4.8676090321581924</v>
      </c>
      <c r="N5658" s="12"/>
    </row>
    <row r="5659" spans="1:14" s="5" customFormat="1" ht="15" customHeight="1" x14ac:dyDescent="0.25">
      <c r="A5659" s="9" t="s">
        <v>11106</v>
      </c>
      <c r="C5659" s="9" t="str">
        <f>HYPERLINK("http://www.ncbi.nlm.nih.gov/protein/255708463","Pola2")</f>
        <v>Pola2</v>
      </c>
      <c r="D5659" s="10">
        <f t="shared" si="88"/>
        <v>5.1555199777038281</v>
      </c>
      <c r="F5659" s="8" t="str">
        <f>HYPERLINK("https://esbl.nhlbi.nih.gov/Databases/mpkFractions/proteomic_fractions_log_files/Yang_log_img/255708463.jpg","show blot")</f>
        <v>show blot</v>
      </c>
      <c r="H5659" s="8" t="str">
        <f>HYPERLINK("https://esbl.nhlbi.nih.gov/Databases/mpkFractions/proteomic_fractions_linear_files/Yang_linear_img/255708463.jpg","show blot")</f>
        <v>show blot</v>
      </c>
      <c r="J5659" s="5" t="s">
        <v>11107</v>
      </c>
      <c r="L5659" s="11">
        <v>5.1555199777038281</v>
      </c>
      <c r="N5659" s="12"/>
    </row>
    <row r="5660" spans="1:14" s="5" customFormat="1" ht="15" customHeight="1" x14ac:dyDescent="0.25">
      <c r="A5660" s="9" t="s">
        <v>11108</v>
      </c>
      <c r="C5660" s="9" t="str">
        <f>HYPERLINK("http://www.ncbi.nlm.nih.gov/protein/31982107","Pola2")</f>
        <v>Pola2</v>
      </c>
      <c r="D5660" s="10">
        <f t="shared" si="88"/>
        <v>5.1555199777038281</v>
      </c>
      <c r="F5660" s="8" t="str">
        <f>HYPERLINK("https://esbl.nhlbi.nih.gov/Databases/mpkFractions/proteomic_fractions_log_files/Yang_log_img/31982107.jpg","show blot")</f>
        <v>show blot</v>
      </c>
      <c r="H5660" s="8" t="str">
        <f>HYPERLINK("https://esbl.nhlbi.nih.gov/Databases/mpkFractions/proteomic_fractions_linear_files/Yang_linear_img/31982107.jpg","show blot")</f>
        <v>show blot</v>
      </c>
      <c r="J5660" s="5" t="s">
        <v>11109</v>
      </c>
      <c r="L5660" s="11">
        <v>5.1555199777038281</v>
      </c>
      <c r="N5660" s="12"/>
    </row>
    <row r="5661" spans="1:14" s="5" customFormat="1" ht="15" customHeight="1" x14ac:dyDescent="0.25">
      <c r="A5661" s="9" t="s">
        <v>11110</v>
      </c>
      <c r="C5661" s="9" t="str">
        <f>HYPERLINK("http://www.ncbi.nlm.nih.gov/protein/21729749","Polb")</f>
        <v>Polb</v>
      </c>
      <c r="D5661" s="10">
        <f t="shared" si="88"/>
        <v>4.1667594859228876</v>
      </c>
      <c r="F5661" s="8" t="str">
        <f>HYPERLINK("https://esbl.nhlbi.nih.gov/Databases/mpkFractions/proteomic_fractions_log_files/Yang_log_img/21729749.jpg","show blot")</f>
        <v>show blot</v>
      </c>
      <c r="H5661" s="8" t="str">
        <f>HYPERLINK("https://esbl.nhlbi.nih.gov/Databases/mpkFractions/proteomic_fractions_linear_files/Yang_linear_img/21729749.jpg","show blot")</f>
        <v>show blot</v>
      </c>
      <c r="J5661" s="5" t="s">
        <v>11111</v>
      </c>
      <c r="L5661" s="11">
        <v>4.1667594859228876</v>
      </c>
      <c r="N5661" s="12"/>
    </row>
    <row r="5662" spans="1:14" s="5" customFormat="1" ht="15" customHeight="1" x14ac:dyDescent="0.25">
      <c r="A5662" s="9" t="s">
        <v>11112</v>
      </c>
      <c r="C5662" s="9" t="str">
        <f>HYPERLINK("http://www.ncbi.nlm.nih.gov/protein/254587977","Pold1")</f>
        <v>Pold1</v>
      </c>
      <c r="D5662" s="10">
        <f t="shared" si="88"/>
        <v>5.2407980622135364</v>
      </c>
      <c r="F5662" s="8" t="str">
        <f>HYPERLINK("https://esbl.nhlbi.nih.gov/Databases/mpkFractions/proteomic_fractions_log_files/Yang_log_img/254587977.jpg","show blot")</f>
        <v>show blot</v>
      </c>
      <c r="H5662" s="8" t="str">
        <f>HYPERLINK("https://esbl.nhlbi.nih.gov/Databases/mpkFractions/proteomic_fractions_linear_files/Yang_linear_img/254587977.jpg","show blot")</f>
        <v>show blot</v>
      </c>
      <c r="J5662" s="5" t="s">
        <v>11113</v>
      </c>
      <c r="L5662" s="11">
        <v>5.2407980622135364</v>
      </c>
      <c r="N5662" s="12"/>
    </row>
    <row r="5663" spans="1:14" s="5" customFormat="1" ht="15" customHeight="1" x14ac:dyDescent="0.25">
      <c r="A5663" s="9" t="s">
        <v>11114</v>
      </c>
      <c r="C5663" s="9" t="str">
        <f>HYPERLINK("http://www.ncbi.nlm.nih.gov/protein/226423863","Pold2")</f>
        <v>Pold2</v>
      </c>
      <c r="D5663" s="10">
        <f t="shared" si="88"/>
        <v>5.2795813091202897</v>
      </c>
      <c r="F5663" s="8" t="str">
        <f>HYPERLINK("https://esbl.nhlbi.nih.gov/Databases/mpkFractions/proteomic_fractions_log_files/Yang_log_img/226423863.jpg","show blot")</f>
        <v>show blot</v>
      </c>
      <c r="H5663" s="8" t="str">
        <f>HYPERLINK("https://esbl.nhlbi.nih.gov/Databases/mpkFractions/proteomic_fractions_linear_files/Yang_linear_img/226423863.jpg","show blot")</f>
        <v>show blot</v>
      </c>
      <c r="J5663" s="5" t="s">
        <v>11115</v>
      </c>
      <c r="L5663" s="11">
        <v>5.2795813091202897</v>
      </c>
      <c r="N5663" s="12"/>
    </row>
    <row r="5664" spans="1:14" s="5" customFormat="1" ht="15" customHeight="1" x14ac:dyDescent="0.25">
      <c r="A5664" s="9" t="s">
        <v>11116</v>
      </c>
      <c r="C5664" s="9" t="str">
        <f>HYPERLINK("http://www.ncbi.nlm.nih.gov/protein/29789321","Pold3")</f>
        <v>Pold3</v>
      </c>
      <c r="D5664" s="10">
        <f t="shared" si="88"/>
        <v>5.2012163118721162</v>
      </c>
      <c r="F5664" s="8" t="str">
        <f>HYPERLINK("https://esbl.nhlbi.nih.gov/Databases/mpkFractions/proteomic_fractions_log_files/Yang_log_img/29789321.jpg","show blot")</f>
        <v>show blot</v>
      </c>
      <c r="H5664" s="8" t="str">
        <f>HYPERLINK("https://esbl.nhlbi.nih.gov/Databases/mpkFractions/proteomic_fractions_linear_files/Yang_linear_img/29789321.jpg","show blot")</f>
        <v>show blot</v>
      </c>
      <c r="J5664" s="5" t="s">
        <v>11117</v>
      </c>
      <c r="L5664" s="11">
        <v>5.2012163118721162</v>
      </c>
      <c r="N5664" s="12"/>
    </row>
    <row r="5665" spans="1:14" s="5" customFormat="1" ht="15" customHeight="1" x14ac:dyDescent="0.25">
      <c r="A5665" s="9" t="s">
        <v>11118</v>
      </c>
      <c r="C5665" s="9" t="str">
        <f>HYPERLINK("http://www.ncbi.nlm.nih.gov/protein/21312396","Pold4")</f>
        <v>Pold4</v>
      </c>
      <c r="D5665" s="10">
        <f t="shared" si="88"/>
        <v>3.050184483548172</v>
      </c>
      <c r="F5665" s="8" t="str">
        <f>HYPERLINK("https://esbl.nhlbi.nih.gov/Databases/mpkFractions/proteomic_fractions_log_files/Yang_log_img/21312396.jpg","show blot")</f>
        <v>show blot</v>
      </c>
      <c r="H5665" s="8" t="str">
        <f>HYPERLINK("https://esbl.nhlbi.nih.gov/Databases/mpkFractions/proteomic_fractions_linear_files/Yang_linear_img/21312396.jpg","show blot")</f>
        <v>show blot</v>
      </c>
      <c r="J5665" s="5" t="s">
        <v>11119</v>
      </c>
      <c r="L5665" s="11">
        <v>3.050184483548172</v>
      </c>
      <c r="N5665" s="12"/>
    </row>
    <row r="5666" spans="1:14" s="5" customFormat="1" ht="15" customHeight="1" x14ac:dyDescent="0.25">
      <c r="A5666" s="9" t="s">
        <v>11120</v>
      </c>
      <c r="C5666" s="9" t="str">
        <f>HYPERLINK("http://www.ncbi.nlm.nih.gov/protein/14780884","Poldip2")</f>
        <v>Poldip2</v>
      </c>
      <c r="D5666" s="10">
        <f t="shared" si="88"/>
        <v>4.3532128017003284</v>
      </c>
      <c r="F5666" s="8" t="str">
        <f>HYPERLINK("https://esbl.nhlbi.nih.gov/Databases/mpkFractions/proteomic_fractions_log_files/Yang_log_img/14780884.jpg","show blot")</f>
        <v>show blot</v>
      </c>
      <c r="H5666" s="8" t="str">
        <f>HYPERLINK("https://esbl.nhlbi.nih.gov/Databases/mpkFractions/proteomic_fractions_linear_files/Yang_linear_img/14780884.jpg","show blot")</f>
        <v>show blot</v>
      </c>
      <c r="J5666" s="5" t="s">
        <v>11121</v>
      </c>
      <c r="L5666" s="11">
        <v>4.3532128017003284</v>
      </c>
      <c r="N5666" s="12"/>
    </row>
    <row r="5667" spans="1:14" s="5" customFormat="1" ht="15" customHeight="1" x14ac:dyDescent="0.25">
      <c r="A5667" s="9" t="s">
        <v>11122</v>
      </c>
      <c r="C5667" s="9" t="str">
        <f>HYPERLINK("http://www.ncbi.nlm.nih.gov/protein/30519969","Poldip3")</f>
        <v>Poldip3</v>
      </c>
      <c r="D5667" s="10">
        <f t="shared" si="88"/>
        <v>4.6697971081628582</v>
      </c>
      <c r="F5667" s="8" t="str">
        <f>HYPERLINK("https://esbl.nhlbi.nih.gov/Databases/mpkFractions/proteomic_fractions_log_files/Yang_log_img/30519969.jpg","show blot")</f>
        <v>show blot</v>
      </c>
      <c r="H5667" s="8" t="str">
        <f>HYPERLINK("https://esbl.nhlbi.nih.gov/Databases/mpkFractions/proteomic_fractions_linear_files/Yang_linear_img/30519969.jpg","show blot")</f>
        <v>show blot</v>
      </c>
      <c r="J5667" s="5" t="s">
        <v>11123</v>
      </c>
      <c r="L5667" s="11">
        <v>4.6697971081628582</v>
      </c>
      <c r="N5667" s="12"/>
    </row>
    <row r="5668" spans="1:14" s="5" customFormat="1" ht="15" customHeight="1" x14ac:dyDescent="0.25">
      <c r="A5668" s="9" t="s">
        <v>11124</v>
      </c>
      <c r="C5668" s="9" t="str">
        <f>HYPERLINK("http://www.ncbi.nlm.nih.gov/protein/195947387","Pole")</f>
        <v>Pole</v>
      </c>
      <c r="D5668" s="10">
        <f t="shared" si="88"/>
        <v>3.7338315232469732</v>
      </c>
      <c r="F5668" s="8" t="str">
        <f>HYPERLINK("https://esbl.nhlbi.nih.gov/Databases/mpkFractions/proteomic_fractions_log_files/Yang_log_img/195947387.jpg","show blot")</f>
        <v>show blot</v>
      </c>
      <c r="H5668" s="8" t="str">
        <f>HYPERLINK("https://esbl.nhlbi.nih.gov/Databases/mpkFractions/proteomic_fractions_linear_files/Yang_linear_img/195947387.jpg","show blot")</f>
        <v>show blot</v>
      </c>
      <c r="J5668" s="5" t="s">
        <v>11125</v>
      </c>
      <c r="L5668" s="11">
        <v>3.7338315232469732</v>
      </c>
      <c r="N5668" s="12"/>
    </row>
    <row r="5669" spans="1:14" s="5" customFormat="1" ht="15" customHeight="1" x14ac:dyDescent="0.25">
      <c r="A5669" s="9" t="s">
        <v>11126</v>
      </c>
      <c r="C5669" s="9" t="str">
        <f>HYPERLINK("http://www.ncbi.nlm.nih.gov/protein/33468927","Pole2")</f>
        <v>Pole2</v>
      </c>
      <c r="D5669" s="10">
        <f t="shared" si="88"/>
        <v>3.9193167199476169</v>
      </c>
      <c r="F5669" s="8" t="str">
        <f>HYPERLINK("https://esbl.nhlbi.nih.gov/Databases/mpkFractions/proteomic_fractions_log_files/Yang_log_img/33468927.jpg","show blot")</f>
        <v>show blot</v>
      </c>
      <c r="H5669" s="8" t="str">
        <f>HYPERLINK("https://esbl.nhlbi.nih.gov/Databases/mpkFractions/proteomic_fractions_linear_files/Yang_linear_img/33468927.jpg","show blot")</f>
        <v>show blot</v>
      </c>
      <c r="J5669" s="5" t="s">
        <v>11127</v>
      </c>
      <c r="L5669" s="11">
        <v>3.9193167199476169</v>
      </c>
      <c r="N5669" s="12"/>
    </row>
    <row r="5670" spans="1:14" s="5" customFormat="1" ht="15" customHeight="1" x14ac:dyDescent="0.25">
      <c r="A5670" s="9" t="s">
        <v>11128</v>
      </c>
      <c r="C5670" s="9" t="str">
        <f>HYPERLINK("http://www.ncbi.nlm.nih.gov/protein/31981174","Pole3")</f>
        <v>Pole3</v>
      </c>
      <c r="D5670" s="10">
        <f t="shared" si="88"/>
        <v>4.5567613781393623</v>
      </c>
      <c r="F5670" s="8" t="str">
        <f>HYPERLINK("https://esbl.nhlbi.nih.gov/Databases/mpkFractions/proteomic_fractions_log_files/Yang_log_img/31981174.jpg","show blot")</f>
        <v>show blot</v>
      </c>
      <c r="H5670" s="8" t="str">
        <f>HYPERLINK("https://esbl.nhlbi.nih.gov/Databases/mpkFractions/proteomic_fractions_linear_files/Yang_linear_img/31981174.jpg","show blot")</f>
        <v>show blot</v>
      </c>
      <c r="J5670" s="5" t="s">
        <v>11129</v>
      </c>
      <c r="L5670" s="11">
        <v>4.5567613781393623</v>
      </c>
      <c r="N5670" s="12"/>
    </row>
    <row r="5671" spans="1:14" s="5" customFormat="1" ht="15" customHeight="1" x14ac:dyDescent="0.25">
      <c r="A5671" s="9" t="s">
        <v>11130</v>
      </c>
      <c r="C5671" s="9" t="str">
        <f>HYPERLINK("http://www.ncbi.nlm.nih.gov/protein/13385366","Pole4")</f>
        <v>Pole4</v>
      </c>
      <c r="D5671" s="10">
        <f t="shared" si="88"/>
        <v>4.9076930690574443</v>
      </c>
      <c r="F5671" s="8" t="str">
        <f>HYPERLINK("https://esbl.nhlbi.nih.gov/Databases/mpkFractions/proteomic_fractions_log_files/Yang_log_img/13385366.jpg","show blot")</f>
        <v>show blot</v>
      </c>
      <c r="H5671" s="8" t="str">
        <f>HYPERLINK("https://esbl.nhlbi.nih.gov/Databases/mpkFractions/proteomic_fractions_linear_files/Yang_linear_img/13385366.jpg","show blot")</f>
        <v>show blot</v>
      </c>
      <c r="J5671" s="5" t="s">
        <v>11131</v>
      </c>
      <c r="L5671" s="11">
        <v>4.9076930690574443</v>
      </c>
      <c r="N5671" s="12"/>
    </row>
    <row r="5672" spans="1:14" s="5" customFormat="1" ht="15" customHeight="1" x14ac:dyDescent="0.25">
      <c r="A5672" s="9" t="s">
        <v>11132</v>
      </c>
      <c r="C5672" s="9" t="str">
        <f>HYPERLINK("http://www.ncbi.nlm.nih.gov/protein/256985188","Polr1a")</f>
        <v>Polr1a</v>
      </c>
      <c r="D5672" s="10">
        <f t="shared" si="88"/>
        <v>2.6516626084201649</v>
      </c>
      <c r="F5672" s="8" t="str">
        <f>HYPERLINK("https://esbl.nhlbi.nih.gov/Databases/mpkFractions/proteomic_fractions_log_files/Yang_log_img/256985188.jpg","show blot")</f>
        <v>show blot</v>
      </c>
      <c r="H5672" s="8" t="str">
        <f>HYPERLINK("https://esbl.nhlbi.nih.gov/Databases/mpkFractions/proteomic_fractions_linear_files/Yang_linear_img/256985188.jpg","show blot")</f>
        <v>show blot</v>
      </c>
      <c r="J5672" s="5" t="s">
        <v>11133</v>
      </c>
      <c r="L5672" s="11">
        <v>2.6516626084201649</v>
      </c>
      <c r="N5672" s="12"/>
    </row>
    <row r="5673" spans="1:14" s="5" customFormat="1" ht="15" customHeight="1" x14ac:dyDescent="0.25">
      <c r="A5673" s="9" t="s">
        <v>11134</v>
      </c>
      <c r="C5673" s="9" t="str">
        <f>HYPERLINK("http://www.ncbi.nlm.nih.gov/protein/224967092","Polr1b")</f>
        <v>Polr1b</v>
      </c>
      <c r="D5673" s="10">
        <f t="shared" si="88"/>
        <v>1.818514557288194</v>
      </c>
      <c r="F5673" s="8" t="str">
        <f>HYPERLINK("https://esbl.nhlbi.nih.gov/Databases/mpkFractions/proteomic_fractions_log_files/Yang_log_img/224967092.jpg","show blot")</f>
        <v>show blot</v>
      </c>
      <c r="H5673" s="8" t="str">
        <f>HYPERLINK("https://esbl.nhlbi.nih.gov/Databases/mpkFractions/proteomic_fractions_linear_files/Yang_linear_img/224967092.jpg","show blot")</f>
        <v>show blot</v>
      </c>
      <c r="J5673" s="5" t="s">
        <v>11135</v>
      </c>
      <c r="L5673" s="11">
        <v>1.818514557288194</v>
      </c>
      <c r="N5673" s="12"/>
    </row>
    <row r="5674" spans="1:14" s="5" customFormat="1" ht="15" customHeight="1" x14ac:dyDescent="0.25">
      <c r="A5674" s="9" t="s">
        <v>11136</v>
      </c>
      <c r="C5674" s="9" t="str">
        <f>HYPERLINK("http://www.ncbi.nlm.nih.gov/protein/119226251","Polr1c")</f>
        <v>Polr1c</v>
      </c>
      <c r="D5674" s="10">
        <f t="shared" si="88"/>
        <v>4.876815370435847</v>
      </c>
      <c r="F5674" s="8" t="str">
        <f>HYPERLINK("https://esbl.nhlbi.nih.gov/Databases/mpkFractions/proteomic_fractions_log_files/Yang_log_img/119226251.jpg","show blot")</f>
        <v>show blot</v>
      </c>
      <c r="H5674" s="8" t="str">
        <f>HYPERLINK("https://esbl.nhlbi.nih.gov/Databases/mpkFractions/proteomic_fractions_linear_files/Yang_linear_img/119226251.jpg","show blot")</f>
        <v>show blot</v>
      </c>
      <c r="J5674" s="5" t="s">
        <v>11137</v>
      </c>
      <c r="L5674" s="11">
        <v>4.876815370435847</v>
      </c>
      <c r="N5674" s="12"/>
    </row>
    <row r="5675" spans="1:14" s="5" customFormat="1" ht="15" customHeight="1" x14ac:dyDescent="0.25">
      <c r="A5675" s="9" t="s">
        <v>11138</v>
      </c>
      <c r="C5675" s="9" t="str">
        <f>HYPERLINK("http://www.ncbi.nlm.nih.gov/protein/6677791","Polr1d")</f>
        <v>Polr1d</v>
      </c>
      <c r="D5675" s="10">
        <f t="shared" si="88"/>
        <v>4.7715467901201238</v>
      </c>
      <c r="F5675" s="8" t="str">
        <f>HYPERLINK("https://esbl.nhlbi.nih.gov/Databases/mpkFractions/proteomic_fractions_log_files/Yang_log_img/6677791.jpg","show blot")</f>
        <v>show blot</v>
      </c>
      <c r="H5675" s="8" t="str">
        <f>HYPERLINK("https://esbl.nhlbi.nih.gov/Databases/mpkFractions/proteomic_fractions_linear_files/Yang_linear_img/6677791.jpg","show blot")</f>
        <v>show blot</v>
      </c>
      <c r="J5675" s="5" t="s">
        <v>11139</v>
      </c>
      <c r="L5675" s="11">
        <v>4.7715467901201238</v>
      </c>
      <c r="N5675" s="12"/>
    </row>
    <row r="5676" spans="1:14" s="5" customFormat="1" ht="15" customHeight="1" x14ac:dyDescent="0.25">
      <c r="A5676" s="9" t="s">
        <v>11140</v>
      </c>
      <c r="C5676" s="9" t="str">
        <f>HYPERLINK("http://www.ncbi.nlm.nih.gov/protein/6677795","Polr2a")</f>
        <v>Polr2a</v>
      </c>
      <c r="D5676" s="10">
        <f t="shared" si="88"/>
        <v>3.5532047426592972</v>
      </c>
      <c r="F5676" s="8" t="str">
        <f>HYPERLINK("https://esbl.nhlbi.nih.gov/Databases/mpkFractions/proteomic_fractions_log_files/Yang_log_img/6677795.jpg","show blot")</f>
        <v>show blot</v>
      </c>
      <c r="H5676" s="8" t="str">
        <f>HYPERLINK("https://esbl.nhlbi.nih.gov/Databases/mpkFractions/proteomic_fractions_linear_files/Yang_linear_img/6677795.jpg","show blot")</f>
        <v>show blot</v>
      </c>
      <c r="J5676" s="5" t="s">
        <v>11141</v>
      </c>
      <c r="L5676" s="11">
        <v>3.5532047426592972</v>
      </c>
      <c r="N5676" s="12"/>
    </row>
    <row r="5677" spans="1:14" s="5" customFormat="1" ht="15" customHeight="1" x14ac:dyDescent="0.25">
      <c r="A5677" s="9" t="s">
        <v>11142</v>
      </c>
      <c r="C5677" s="9" t="str">
        <f>HYPERLINK("http://www.ncbi.nlm.nih.gov/protein/226958589","Polr2b")</f>
        <v>Polr2b</v>
      </c>
      <c r="D5677" s="10">
        <f t="shared" si="88"/>
        <v>4.8003195128208374</v>
      </c>
      <c r="F5677" s="8" t="str">
        <f>HYPERLINK("https://esbl.nhlbi.nih.gov/Databases/mpkFractions/proteomic_fractions_log_files/Yang_log_img/226958589.jpg","show blot")</f>
        <v>show blot</v>
      </c>
      <c r="H5677" s="8" t="str">
        <f>HYPERLINK("https://esbl.nhlbi.nih.gov/Databases/mpkFractions/proteomic_fractions_linear_files/Yang_linear_img/226958589.jpg","show blot")</f>
        <v>show blot</v>
      </c>
      <c r="J5677" s="5" t="s">
        <v>11143</v>
      </c>
      <c r="L5677" s="11">
        <v>4.8003195128208374</v>
      </c>
      <c r="N5677" s="12"/>
    </row>
    <row r="5678" spans="1:14" s="5" customFormat="1" ht="15" customHeight="1" x14ac:dyDescent="0.25">
      <c r="A5678" s="9" t="s">
        <v>11144</v>
      </c>
      <c r="C5678" s="9" t="str">
        <f>HYPERLINK("http://www.ncbi.nlm.nih.gov/protein/29336059","Polr2c")</f>
        <v>Polr2c</v>
      </c>
      <c r="D5678" s="10">
        <f t="shared" si="88"/>
        <v>5.091266238303727</v>
      </c>
      <c r="F5678" s="8" t="str">
        <f>HYPERLINK("https://esbl.nhlbi.nih.gov/Databases/mpkFractions/proteomic_fractions_log_files/Yang_log_img/29336059.jpg","show blot")</f>
        <v>show blot</v>
      </c>
      <c r="H5678" s="8" t="str">
        <f>HYPERLINK("https://esbl.nhlbi.nih.gov/Databases/mpkFractions/proteomic_fractions_linear_files/Yang_linear_img/29336059.jpg","show blot")</f>
        <v>show blot</v>
      </c>
      <c r="J5678" s="5" t="s">
        <v>11145</v>
      </c>
      <c r="L5678" s="11">
        <v>5.091266238303727</v>
      </c>
      <c r="N5678" s="12"/>
    </row>
    <row r="5679" spans="1:14" s="5" customFormat="1" ht="15" customHeight="1" x14ac:dyDescent="0.25">
      <c r="A5679" s="9" t="s">
        <v>11146</v>
      </c>
      <c r="C5679" s="9" t="str">
        <f>HYPERLINK("http://www.ncbi.nlm.nih.gov/protein/28076931","Polr2d")</f>
        <v>Polr2d</v>
      </c>
      <c r="D5679" s="10">
        <f t="shared" si="88"/>
        <v>4.4907989027066337</v>
      </c>
      <c r="F5679" s="8" t="str">
        <f>HYPERLINK("https://esbl.nhlbi.nih.gov/Databases/mpkFractions/proteomic_fractions_log_files/Yang_log_img/28076931.jpg","show blot")</f>
        <v>show blot</v>
      </c>
      <c r="H5679" s="8" t="str">
        <f>HYPERLINK("https://esbl.nhlbi.nih.gov/Databases/mpkFractions/proteomic_fractions_linear_files/Yang_linear_img/28076931.jpg","show blot")</f>
        <v>show blot</v>
      </c>
      <c r="J5679" s="5" t="s">
        <v>11147</v>
      </c>
      <c r="L5679" s="11">
        <v>4.4907989027066337</v>
      </c>
      <c r="N5679" s="12"/>
    </row>
    <row r="5680" spans="1:14" s="5" customFormat="1" ht="15" customHeight="1" x14ac:dyDescent="0.25">
      <c r="A5680" s="9" t="s">
        <v>11148</v>
      </c>
      <c r="C5680" s="9" t="str">
        <f>HYPERLINK("http://www.ncbi.nlm.nih.gov/protein/21312246","Polr2d")</f>
        <v>Polr2d</v>
      </c>
      <c r="D5680" s="10">
        <f t="shared" si="88"/>
        <v>4.4907989027066337</v>
      </c>
      <c r="F5680" s="8" t="str">
        <f>HYPERLINK("https://esbl.nhlbi.nih.gov/Databases/mpkFractions/proteomic_fractions_log_files/Yang_log_img/21312246.jpg","show blot")</f>
        <v>show blot</v>
      </c>
      <c r="H5680" s="8" t="str">
        <f>HYPERLINK("https://esbl.nhlbi.nih.gov/Databases/mpkFractions/proteomic_fractions_linear_files/Yang_linear_img/21312246.jpg","show blot")</f>
        <v>show blot</v>
      </c>
      <c r="J5680" s="5" t="s">
        <v>11149</v>
      </c>
      <c r="L5680" s="11">
        <v>4.4907989027066337</v>
      </c>
      <c r="N5680" s="12"/>
    </row>
    <row r="5681" spans="1:14" s="5" customFormat="1" ht="15" customHeight="1" x14ac:dyDescent="0.25">
      <c r="A5681" s="9" t="s">
        <v>11150</v>
      </c>
      <c r="C5681" s="9" t="str">
        <f>HYPERLINK("http://www.ncbi.nlm.nih.gov/protein/124249077","Polr2e")</f>
        <v>Polr2e</v>
      </c>
      <c r="D5681" s="10">
        <f t="shared" si="88"/>
        <v>5.2290296606766713</v>
      </c>
      <c r="F5681" s="8" t="str">
        <f>HYPERLINK("https://esbl.nhlbi.nih.gov/Databases/mpkFractions/proteomic_fractions_log_files/Yang_log_img/124249077.jpg","show blot")</f>
        <v>show blot</v>
      </c>
      <c r="H5681" s="8" t="str">
        <f>HYPERLINK("https://esbl.nhlbi.nih.gov/Databases/mpkFractions/proteomic_fractions_linear_files/Yang_linear_img/124249077.jpg","show blot")</f>
        <v>show blot</v>
      </c>
      <c r="J5681" s="5" t="s">
        <v>11151</v>
      </c>
      <c r="L5681" s="11">
        <v>5.2290296606766713</v>
      </c>
      <c r="N5681" s="12"/>
    </row>
    <row r="5682" spans="1:14" s="5" customFormat="1" ht="15" customHeight="1" x14ac:dyDescent="0.25">
      <c r="A5682" s="9" t="s">
        <v>11152</v>
      </c>
      <c r="C5682" s="9" t="str">
        <f>HYPERLINK("http://www.ncbi.nlm.nih.gov/protein/13385826","Polr2g")</f>
        <v>Polr2g</v>
      </c>
      <c r="D5682" s="10">
        <f t="shared" si="88"/>
        <v>5.1367575701128851</v>
      </c>
      <c r="F5682" s="8" t="str">
        <f>HYPERLINK("https://esbl.nhlbi.nih.gov/Databases/mpkFractions/proteomic_fractions_log_files/Yang_log_img/13385826.jpg","show blot")</f>
        <v>show blot</v>
      </c>
      <c r="H5682" s="8" t="str">
        <f>HYPERLINK("https://esbl.nhlbi.nih.gov/Databases/mpkFractions/proteomic_fractions_linear_files/Yang_linear_img/13385826.jpg","show blot")</f>
        <v>show blot</v>
      </c>
      <c r="J5682" s="5" t="s">
        <v>11153</v>
      </c>
      <c r="L5682" s="11">
        <v>5.1367575701128851</v>
      </c>
      <c r="N5682" s="12"/>
    </row>
    <row r="5683" spans="1:14" s="5" customFormat="1" ht="15" customHeight="1" x14ac:dyDescent="0.25">
      <c r="A5683" s="9" t="s">
        <v>11154</v>
      </c>
      <c r="C5683" s="9" t="str">
        <f>HYPERLINK("http://www.ncbi.nlm.nih.gov/protein/21704118","Polr2h")</f>
        <v>Polr2h</v>
      </c>
      <c r="D5683" s="10">
        <f t="shared" si="88"/>
        <v>5.5108672816148641</v>
      </c>
      <c r="F5683" s="8" t="str">
        <f>HYPERLINK("https://esbl.nhlbi.nih.gov/Databases/mpkFractions/proteomic_fractions_log_files/Yang_log_img/21704118.jpg","show blot")</f>
        <v>show blot</v>
      </c>
      <c r="H5683" s="8" t="str">
        <f>HYPERLINK("https://esbl.nhlbi.nih.gov/Databases/mpkFractions/proteomic_fractions_linear_files/Yang_linear_img/21704118.jpg","show blot")</f>
        <v>show blot</v>
      </c>
      <c r="J5683" s="5" t="s">
        <v>11155</v>
      </c>
      <c r="L5683" s="11">
        <v>5.5108672816148641</v>
      </c>
      <c r="N5683" s="12"/>
    </row>
    <row r="5684" spans="1:14" s="5" customFormat="1" ht="15" customHeight="1" x14ac:dyDescent="0.25">
      <c r="A5684" s="9" t="s">
        <v>11156</v>
      </c>
      <c r="C5684" s="9" t="str">
        <f>HYPERLINK("http://www.ncbi.nlm.nih.gov/protein/110625757","Polr2i")</f>
        <v>Polr2i</v>
      </c>
      <c r="D5684" s="10">
        <f t="shared" si="88"/>
        <v>4.8049100397203697</v>
      </c>
      <c r="F5684" s="8" t="str">
        <f>HYPERLINK("https://esbl.nhlbi.nih.gov/Databases/mpkFractions/proteomic_fractions_log_files/Yang_log_img/110625757.jpg","show blot")</f>
        <v>show blot</v>
      </c>
      <c r="H5684" s="8" t="str">
        <f>HYPERLINK("https://esbl.nhlbi.nih.gov/Databases/mpkFractions/proteomic_fractions_linear_files/Yang_linear_img/110625757.jpg","show blot")</f>
        <v>show blot</v>
      </c>
      <c r="J5684" s="5" t="s">
        <v>11157</v>
      </c>
      <c r="L5684" s="11">
        <v>4.8049100397203697</v>
      </c>
      <c r="N5684" s="12"/>
    </row>
    <row r="5685" spans="1:14" s="5" customFormat="1" ht="15" customHeight="1" x14ac:dyDescent="0.25">
      <c r="A5685" s="9" t="s">
        <v>11158</v>
      </c>
      <c r="C5685" s="9" t="str">
        <f>HYPERLINK("http://www.ncbi.nlm.nih.gov/protein/188219604","Polr2j")</f>
        <v>Polr2j</v>
      </c>
      <c r="D5685" s="10">
        <f t="shared" si="88"/>
        <v>4.9670350044456031</v>
      </c>
      <c r="F5685" s="8" t="str">
        <f>HYPERLINK("https://esbl.nhlbi.nih.gov/Databases/mpkFractions/proteomic_fractions_log_files/Yang_log_img/188219604.jpg","show blot")</f>
        <v>show blot</v>
      </c>
      <c r="H5685" s="8" t="str">
        <f>HYPERLINK("https://esbl.nhlbi.nih.gov/Databases/mpkFractions/proteomic_fractions_linear_files/Yang_linear_img/188219604.jpg","show blot")</f>
        <v>show blot</v>
      </c>
      <c r="J5685" s="5" t="s">
        <v>11159</v>
      </c>
      <c r="L5685" s="11">
        <v>4.9670350044456031</v>
      </c>
      <c r="N5685" s="12"/>
    </row>
    <row r="5686" spans="1:14" s="5" customFormat="1" ht="15" customHeight="1" x14ac:dyDescent="0.25">
      <c r="A5686" s="9" t="s">
        <v>11160</v>
      </c>
      <c r="C5686" s="9" t="str">
        <f>HYPERLINK("http://www.ncbi.nlm.nih.gov/protein/219881031","Polr2l")</f>
        <v>Polr2l</v>
      </c>
      <c r="D5686" s="10">
        <f t="shared" si="88"/>
        <v>3.208944964181486</v>
      </c>
      <c r="F5686" s="8" t="str">
        <f>HYPERLINK("https://esbl.nhlbi.nih.gov/Databases/mpkFractions/proteomic_fractions_log_files/Yang_log_img/219881031.jpg","show blot")</f>
        <v>show blot</v>
      </c>
      <c r="H5686" s="8" t="str">
        <f>HYPERLINK("https://esbl.nhlbi.nih.gov/Databases/mpkFractions/proteomic_fractions_linear_files/Yang_linear_img/219881031.jpg","show blot")</f>
        <v>show blot</v>
      </c>
      <c r="J5686" s="5" t="s">
        <v>11161</v>
      </c>
      <c r="L5686" s="11">
        <v>3.208944964181486</v>
      </c>
      <c r="N5686" s="12"/>
    </row>
    <row r="5687" spans="1:14" s="5" customFormat="1" ht="15" customHeight="1" x14ac:dyDescent="0.25">
      <c r="A5687" s="9" t="s">
        <v>11162</v>
      </c>
      <c r="C5687" s="9" t="str">
        <f>HYPERLINK("http://www.ncbi.nlm.nih.gov/protein/258645114","Polr2m")</f>
        <v>Polr2m</v>
      </c>
      <c r="D5687" s="10">
        <f t="shared" si="88"/>
        <v>3.3991124865751612</v>
      </c>
      <c r="F5687" s="8" t="str">
        <f>HYPERLINK("https://esbl.nhlbi.nih.gov/Databases/mpkFractions/proteomic_fractions_log_files/Yang_log_img/258645114.jpg","show blot")</f>
        <v>show blot</v>
      </c>
      <c r="H5687" s="8" t="str">
        <f>HYPERLINK("https://esbl.nhlbi.nih.gov/Databases/mpkFractions/proteomic_fractions_linear_files/Yang_linear_img/258645114.jpg","show blot")</f>
        <v>show blot</v>
      </c>
      <c r="J5687" s="5" t="s">
        <v>11163</v>
      </c>
      <c r="L5687" s="11">
        <v>3.3991124865751612</v>
      </c>
      <c r="N5687" s="12"/>
    </row>
    <row r="5688" spans="1:14" s="5" customFormat="1" ht="15" customHeight="1" x14ac:dyDescent="0.25">
      <c r="A5688" s="9" t="s">
        <v>11164</v>
      </c>
      <c r="C5688" s="9" t="str">
        <f>HYPERLINK("http://www.ncbi.nlm.nih.gov/protein/30519919","Polr2m")</f>
        <v>Polr2m</v>
      </c>
      <c r="D5688" s="10">
        <f t="shared" si="88"/>
        <v>3.3991124865751612</v>
      </c>
      <c r="F5688" s="8" t="str">
        <f>HYPERLINK("https://esbl.nhlbi.nih.gov/Databases/mpkFractions/proteomic_fractions_log_files/Yang_log_img/30519919.jpg","show blot")</f>
        <v>show blot</v>
      </c>
      <c r="H5688" s="8" t="str">
        <f>HYPERLINK("https://esbl.nhlbi.nih.gov/Databases/mpkFractions/proteomic_fractions_linear_files/Yang_linear_img/30519919.jpg","show blot")</f>
        <v>show blot</v>
      </c>
      <c r="J5688" s="5" t="s">
        <v>11165</v>
      </c>
      <c r="L5688" s="11">
        <v>3.3991124865751612</v>
      </c>
      <c r="N5688" s="12"/>
    </row>
    <row r="5689" spans="1:14" s="5" customFormat="1" ht="15" customHeight="1" x14ac:dyDescent="0.25">
      <c r="A5689" s="9" t="s">
        <v>11166</v>
      </c>
      <c r="C5689" s="9" t="str">
        <f>HYPERLINK("http://www.ncbi.nlm.nih.gov/protein/46195739","Polr3b")</f>
        <v>Polr3b</v>
      </c>
      <c r="D5689" s="10">
        <f t="shared" si="88"/>
        <v>2.1604584581142099</v>
      </c>
      <c r="F5689" s="8" t="str">
        <f>HYPERLINK("https://esbl.nhlbi.nih.gov/Databases/mpkFractions/proteomic_fractions_log_files/Yang_log_img/46195739.jpg","show blot")</f>
        <v>show blot</v>
      </c>
      <c r="H5689" s="8" t="str">
        <f>HYPERLINK("https://esbl.nhlbi.nih.gov/Databases/mpkFractions/proteomic_fractions_linear_files/Yang_linear_img/46195739.jpg","show blot")</f>
        <v>show blot</v>
      </c>
      <c r="J5689" s="5" t="s">
        <v>11167</v>
      </c>
      <c r="L5689" s="11">
        <v>2.1604584581142099</v>
      </c>
      <c r="N5689" s="12"/>
    </row>
    <row r="5690" spans="1:14" s="5" customFormat="1" ht="15" customHeight="1" x14ac:dyDescent="0.25">
      <c r="A5690" s="9" t="s">
        <v>11168</v>
      </c>
      <c r="C5690" s="9" t="str">
        <f>HYPERLINK("http://www.ncbi.nlm.nih.gov/protein/198278473","Polr3c")</f>
        <v>Polr3c</v>
      </c>
      <c r="D5690" s="10">
        <f t="shared" si="88"/>
        <v>4.3143448930489878</v>
      </c>
      <c r="F5690" s="8" t="str">
        <f>HYPERLINK("https://esbl.nhlbi.nih.gov/Databases/mpkFractions/proteomic_fractions_log_files/Yang_log_img/198278473.jpg","show blot")</f>
        <v>show blot</v>
      </c>
      <c r="H5690" s="8" t="str">
        <f>HYPERLINK("https://esbl.nhlbi.nih.gov/Databases/mpkFractions/proteomic_fractions_linear_files/Yang_linear_img/198278473.jpg","show blot")</f>
        <v>show blot</v>
      </c>
      <c r="J5690" s="5" t="s">
        <v>11169</v>
      </c>
      <c r="L5690" s="11">
        <v>4.3143448930489878</v>
      </c>
      <c r="N5690" s="12"/>
    </row>
    <row r="5691" spans="1:14" s="5" customFormat="1" ht="15" customHeight="1" x14ac:dyDescent="0.25">
      <c r="A5691" s="9" t="s">
        <v>11170</v>
      </c>
      <c r="C5691" s="9" t="str">
        <f>HYPERLINK("http://www.ncbi.nlm.nih.gov/protein/27754160","Polr3f")</f>
        <v>Polr3f</v>
      </c>
      <c r="D5691" s="10">
        <f t="shared" si="88"/>
        <v>3.4803027647188132</v>
      </c>
      <c r="F5691" s="8" t="str">
        <f>HYPERLINK("https://esbl.nhlbi.nih.gov/Databases/mpkFractions/proteomic_fractions_log_files/Yang_log_img/27754160.jpg","show blot")</f>
        <v>show blot</v>
      </c>
      <c r="H5691" s="8" t="str">
        <f>HYPERLINK("https://esbl.nhlbi.nih.gov/Databases/mpkFractions/proteomic_fractions_linear_files/Yang_linear_img/27754160.jpg","show blot")</f>
        <v>show blot</v>
      </c>
      <c r="J5691" s="5" t="s">
        <v>11171</v>
      </c>
      <c r="L5691" s="11">
        <v>3.4803027647188132</v>
      </c>
      <c r="N5691" s="12"/>
    </row>
    <row r="5692" spans="1:14" s="5" customFormat="1" ht="15" customHeight="1" x14ac:dyDescent="0.25">
      <c r="A5692" s="9" t="s">
        <v>11172</v>
      </c>
      <c r="C5692" s="9" t="str">
        <f>HYPERLINK("http://www.ncbi.nlm.nih.gov/protein/281332113","Polrmt")</f>
        <v>Polrmt</v>
      </c>
      <c r="D5692" s="10">
        <f t="shared" si="88"/>
        <v>2.0563506971384822</v>
      </c>
      <c r="F5692" s="8" t="str">
        <f>HYPERLINK("https://esbl.nhlbi.nih.gov/Databases/mpkFractions/proteomic_fractions_log_files/Yang_log_img/281332113.jpg","show blot")</f>
        <v>show blot</v>
      </c>
      <c r="H5692" s="8" t="str">
        <f>HYPERLINK("https://esbl.nhlbi.nih.gov/Databases/mpkFractions/proteomic_fractions_linear_files/Yang_linear_img/281332113.jpg","show blot")</f>
        <v>show blot</v>
      </c>
      <c r="J5692" s="5" t="s">
        <v>11173</v>
      </c>
      <c r="L5692" s="11">
        <v>2.0563506971384822</v>
      </c>
      <c r="N5692" s="12"/>
    </row>
    <row r="5693" spans="1:14" s="5" customFormat="1" ht="15" customHeight="1" x14ac:dyDescent="0.25">
      <c r="A5693" s="9" t="s">
        <v>11174</v>
      </c>
      <c r="C5693" s="9" t="str">
        <f>HYPERLINK("http://www.ncbi.nlm.nih.gov/protein/13385086","Pomp")</f>
        <v>Pomp</v>
      </c>
      <c r="D5693" s="10">
        <f t="shared" si="88"/>
        <v>2.4992770146675909</v>
      </c>
      <c r="F5693" s="8" t="str">
        <f>HYPERLINK("https://esbl.nhlbi.nih.gov/Databases/mpkFractions/proteomic_fractions_log_files/Yang_log_img/13385086.jpg","show blot")</f>
        <v>show blot</v>
      </c>
      <c r="H5693" s="8" t="str">
        <f>HYPERLINK("https://esbl.nhlbi.nih.gov/Databases/mpkFractions/proteomic_fractions_linear_files/Yang_linear_img/13385086.jpg","show blot")</f>
        <v>show blot</v>
      </c>
      <c r="J5693" s="5" t="s">
        <v>11175</v>
      </c>
      <c r="L5693" s="11">
        <v>2.4992770146675909</v>
      </c>
      <c r="N5693" s="12"/>
    </row>
    <row r="5694" spans="1:14" s="5" customFormat="1" ht="15" customHeight="1" x14ac:dyDescent="0.25">
      <c r="A5694" s="9" t="s">
        <v>11176</v>
      </c>
      <c r="C5694" s="9" t="str">
        <f>HYPERLINK("http://www.ncbi.nlm.nih.gov/protein/27370510","Pon3")</f>
        <v>Pon3</v>
      </c>
      <c r="D5694" s="10">
        <f t="shared" si="88"/>
        <v>3.783881448712342</v>
      </c>
      <c r="F5694" s="8" t="str">
        <f>HYPERLINK("https://esbl.nhlbi.nih.gov/Databases/mpkFractions/proteomic_fractions_log_files/Yang_log_img/27370510.jpg","show blot")</f>
        <v>show blot</v>
      </c>
      <c r="H5694" s="8" t="str">
        <f>HYPERLINK("https://esbl.nhlbi.nih.gov/Databases/mpkFractions/proteomic_fractions_linear_files/Yang_linear_img/27370510.jpg","show blot")</f>
        <v>show blot</v>
      </c>
      <c r="J5694" s="5" t="s">
        <v>11177</v>
      </c>
      <c r="L5694" s="11">
        <v>3.783881448712342</v>
      </c>
      <c r="N5694" s="12"/>
    </row>
    <row r="5695" spans="1:14" s="5" customFormat="1" ht="15" customHeight="1" x14ac:dyDescent="0.25">
      <c r="A5695" s="9" t="s">
        <v>11178</v>
      </c>
      <c r="C5695" s="9" t="str">
        <f>HYPERLINK("http://www.ncbi.nlm.nih.gov/protein/21312814","Pop1")</f>
        <v>Pop1</v>
      </c>
      <c r="D5695" s="10">
        <f t="shared" si="88"/>
        <v>4.065804149411413</v>
      </c>
      <c r="F5695" s="8" t="str">
        <f>HYPERLINK("https://esbl.nhlbi.nih.gov/Databases/mpkFractions/proteomic_fractions_log_files/Yang_log_img/21312814.jpg","show blot")</f>
        <v>show blot</v>
      </c>
      <c r="H5695" s="8" t="str">
        <f>HYPERLINK("https://esbl.nhlbi.nih.gov/Databases/mpkFractions/proteomic_fractions_linear_files/Yang_linear_img/21312814.jpg","show blot")</f>
        <v>show blot</v>
      </c>
      <c r="J5695" s="5" t="s">
        <v>11179</v>
      </c>
      <c r="L5695" s="11">
        <v>4.065804149411413</v>
      </c>
      <c r="N5695" s="12"/>
    </row>
    <row r="5696" spans="1:14" s="5" customFormat="1" ht="15" customHeight="1" x14ac:dyDescent="0.25">
      <c r="A5696" s="9" t="s">
        <v>11180</v>
      </c>
      <c r="C5696" s="9" t="str">
        <f>HYPERLINK("http://www.ncbi.nlm.nih.gov/protein/23097256","Pop1")</f>
        <v>Pop1</v>
      </c>
      <c r="D5696" s="10">
        <f t="shared" si="88"/>
        <v>4.065804149411413</v>
      </c>
      <c r="F5696" s="8" t="str">
        <f>HYPERLINK("https://esbl.nhlbi.nih.gov/Databases/mpkFractions/proteomic_fractions_log_files/Yang_log_img/23097256.jpg","show blot")</f>
        <v>show blot</v>
      </c>
      <c r="H5696" s="8" t="str">
        <f>HYPERLINK("https://esbl.nhlbi.nih.gov/Databases/mpkFractions/proteomic_fractions_linear_files/Yang_linear_img/23097256.jpg","show blot")</f>
        <v>show blot</v>
      </c>
      <c r="J5696" s="5" t="s">
        <v>11181</v>
      </c>
      <c r="L5696" s="11">
        <v>4.065804149411413</v>
      </c>
      <c r="N5696" s="12"/>
    </row>
    <row r="5697" spans="1:14" s="5" customFormat="1" ht="15" customHeight="1" x14ac:dyDescent="0.25">
      <c r="A5697" s="9" t="s">
        <v>11182</v>
      </c>
      <c r="C5697" s="9" t="str">
        <f>HYPERLINK("http://www.ncbi.nlm.nih.gov/protein/13384772","Pop4")</f>
        <v>Pop4</v>
      </c>
      <c r="D5697" s="10">
        <f t="shared" si="88"/>
        <v>4.2918792979176494</v>
      </c>
      <c r="F5697" s="8" t="str">
        <f>HYPERLINK("https://esbl.nhlbi.nih.gov/Databases/mpkFractions/proteomic_fractions_log_files/Yang_log_img/13384772.jpg","show blot")</f>
        <v>show blot</v>
      </c>
      <c r="H5697" s="8" t="str">
        <f>HYPERLINK("https://esbl.nhlbi.nih.gov/Databases/mpkFractions/proteomic_fractions_linear_files/Yang_linear_img/13384772.jpg","show blot")</f>
        <v>show blot</v>
      </c>
      <c r="J5697" s="5" t="s">
        <v>11183</v>
      </c>
      <c r="L5697" s="11">
        <v>4.2918792979176494</v>
      </c>
      <c r="N5697" s="12"/>
    </row>
    <row r="5698" spans="1:14" s="5" customFormat="1" ht="15" customHeight="1" x14ac:dyDescent="0.25">
      <c r="A5698" s="9" t="s">
        <v>11184</v>
      </c>
      <c r="C5698" s="9" t="str">
        <f>HYPERLINK("http://www.ncbi.nlm.nih.gov/protein/20270200","Pop5")</f>
        <v>Pop5</v>
      </c>
      <c r="D5698" s="10">
        <f t="shared" si="88"/>
        <v>4.123726484369052</v>
      </c>
      <c r="F5698" s="8" t="str">
        <f>HYPERLINK("https://esbl.nhlbi.nih.gov/Databases/mpkFractions/proteomic_fractions_log_files/Yang_log_img/20270200.jpg","show blot")</f>
        <v>show blot</v>
      </c>
      <c r="H5698" s="8" t="str">
        <f>HYPERLINK("https://esbl.nhlbi.nih.gov/Databases/mpkFractions/proteomic_fractions_linear_files/Yang_linear_img/20270200.jpg","show blot")</f>
        <v>show blot</v>
      </c>
      <c r="J5698" s="5" t="s">
        <v>11185</v>
      </c>
      <c r="L5698" s="11">
        <v>4.123726484369052</v>
      </c>
      <c r="N5698" s="12"/>
    </row>
    <row r="5699" spans="1:14" s="5" customFormat="1" ht="15" customHeight="1" x14ac:dyDescent="0.25">
      <c r="A5699" s="9" t="s">
        <v>11186</v>
      </c>
      <c r="C5699" s="9" t="str">
        <f>HYPERLINK("http://www.ncbi.nlm.nih.gov/protein/13899215","Pop7")</f>
        <v>Pop7</v>
      </c>
      <c r="D5699" s="10">
        <f t="shared" si="88"/>
        <v>4.239639704161835</v>
      </c>
      <c r="F5699" s="8" t="str">
        <f>HYPERLINK("https://esbl.nhlbi.nih.gov/Databases/mpkFractions/proteomic_fractions_log_files/Yang_log_img/13899215.jpg","show blot")</f>
        <v>show blot</v>
      </c>
      <c r="H5699" s="8" t="str">
        <f>HYPERLINK("https://esbl.nhlbi.nih.gov/Databases/mpkFractions/proteomic_fractions_linear_files/Yang_linear_img/13899215.jpg","show blot")</f>
        <v>show blot</v>
      </c>
      <c r="J5699" s="5" t="s">
        <v>11187</v>
      </c>
      <c r="L5699" s="11">
        <v>4.239639704161835</v>
      </c>
      <c r="N5699" s="12"/>
    </row>
    <row r="5700" spans="1:14" s="5" customFormat="1" ht="15" customHeight="1" x14ac:dyDescent="0.25">
      <c r="A5700" s="9" t="s">
        <v>11188</v>
      </c>
      <c r="C5700" s="9" t="str">
        <f>HYPERLINK("http://www.ncbi.nlm.nih.gov/protein/6679421","Por")</f>
        <v>Por</v>
      </c>
      <c r="D5700" s="10">
        <f t="shared" si="88"/>
        <v>5.7606319399701036</v>
      </c>
      <c r="F5700" s="8" t="str">
        <f>HYPERLINK("https://esbl.nhlbi.nih.gov/Databases/mpkFractions/proteomic_fractions_log_files/Yang_log_img/6679421.jpg","show blot")</f>
        <v>show blot</v>
      </c>
      <c r="H5700" s="8" t="str">
        <f>HYPERLINK("https://esbl.nhlbi.nih.gov/Databases/mpkFractions/proteomic_fractions_linear_files/Yang_linear_img/6679421.jpg","show blot")</f>
        <v>show blot</v>
      </c>
      <c r="J5700" s="5" t="s">
        <v>11189</v>
      </c>
      <c r="L5700" s="11">
        <v>5.7606319399701036</v>
      </c>
      <c r="N5700" s="12"/>
    </row>
    <row r="5701" spans="1:14" s="5" customFormat="1" ht="15" customHeight="1" x14ac:dyDescent="0.25">
      <c r="A5701" s="9" t="s">
        <v>11190</v>
      </c>
      <c r="C5701" s="9" t="str">
        <f>HYPERLINK("http://www.ncbi.nlm.nih.gov/protein/27754065","Ppa1")</f>
        <v>Ppa1</v>
      </c>
      <c r="D5701" s="10">
        <f t="shared" ref="D5701:D5764" si="89">L5701</f>
        <v>5.8215461970235554</v>
      </c>
      <c r="F5701" s="8" t="str">
        <f>HYPERLINK("https://esbl.nhlbi.nih.gov/Databases/mpkFractions/proteomic_fractions_log_files/Yang_log_img/27754065.jpg","show blot")</f>
        <v>show blot</v>
      </c>
      <c r="H5701" s="8" t="str">
        <f>HYPERLINK("https://esbl.nhlbi.nih.gov/Databases/mpkFractions/proteomic_fractions_linear_files/Yang_linear_img/27754065.jpg","show blot")</f>
        <v>show blot</v>
      </c>
      <c r="J5701" s="5" t="s">
        <v>11191</v>
      </c>
      <c r="L5701" s="11">
        <v>5.8215461970235554</v>
      </c>
      <c r="N5701" s="12"/>
    </row>
    <row r="5702" spans="1:14" s="5" customFormat="1" ht="15" customHeight="1" x14ac:dyDescent="0.25">
      <c r="A5702" s="9" t="s">
        <v>11192</v>
      </c>
      <c r="C5702" s="9" t="str">
        <f>HYPERLINK("http://www.ncbi.nlm.nih.gov/protein/22203753","Ppa2")</f>
        <v>Ppa2</v>
      </c>
      <c r="D5702" s="10">
        <f t="shared" si="89"/>
        <v>5.4760610051413581</v>
      </c>
      <c r="F5702" s="8" t="str">
        <f>HYPERLINK("https://esbl.nhlbi.nih.gov/Databases/mpkFractions/proteomic_fractions_log_files/Yang_log_img/22203753.jpg","show blot")</f>
        <v>show blot</v>
      </c>
      <c r="H5702" s="8" t="str">
        <f>HYPERLINK("https://esbl.nhlbi.nih.gov/Databases/mpkFractions/proteomic_fractions_linear_files/Yang_linear_img/22203753.jpg","show blot")</f>
        <v>show blot</v>
      </c>
      <c r="J5702" s="5" t="s">
        <v>11193</v>
      </c>
      <c r="L5702" s="11">
        <v>5.4760610051413581</v>
      </c>
      <c r="N5702" s="12"/>
    </row>
    <row r="5703" spans="1:14" s="5" customFormat="1" ht="15" customHeight="1" x14ac:dyDescent="0.25">
      <c r="A5703" s="9" t="s">
        <v>11194</v>
      </c>
      <c r="C5703" s="9" t="str">
        <f>HYPERLINK("http://www.ncbi.nlm.nih.gov/protein/110431341","Ppap2c")</f>
        <v>Ppap2c</v>
      </c>
      <c r="D5703" s="10">
        <f t="shared" si="89"/>
        <v>5.210922067930416</v>
      </c>
      <c r="F5703" s="8" t="str">
        <f>HYPERLINK("https://esbl.nhlbi.nih.gov/Databases/mpkFractions/proteomic_fractions_log_files/Yang_log_img/110431341.jpg","show blot")</f>
        <v>show blot</v>
      </c>
      <c r="H5703" s="8" t="str">
        <f>HYPERLINK("https://esbl.nhlbi.nih.gov/Databases/mpkFractions/proteomic_fractions_linear_files/Yang_linear_img/110431341.jpg","show blot")</f>
        <v>show blot</v>
      </c>
      <c r="J5703" s="5" t="s">
        <v>11195</v>
      </c>
      <c r="L5703" s="11">
        <v>5.210922067930416</v>
      </c>
      <c r="N5703" s="12"/>
    </row>
    <row r="5704" spans="1:14" s="5" customFormat="1" ht="15" customHeight="1" x14ac:dyDescent="0.25">
      <c r="A5704" s="9" t="s">
        <v>11196</v>
      </c>
      <c r="C5704" s="9" t="str">
        <f>HYPERLINK("http://www.ncbi.nlm.nih.gov/protein/77861908","Ppapdc2")</f>
        <v>Ppapdc2</v>
      </c>
      <c r="D5704" s="10">
        <f t="shared" si="89"/>
        <v>3.8030647826059072</v>
      </c>
      <c r="F5704" s="8" t="str">
        <f>HYPERLINK("https://esbl.nhlbi.nih.gov/Databases/mpkFractions/proteomic_fractions_log_files/Yang_log_img/77861908.jpg","show blot")</f>
        <v>show blot</v>
      </c>
      <c r="H5704" s="8" t="str">
        <f>HYPERLINK("https://esbl.nhlbi.nih.gov/Databases/mpkFractions/proteomic_fractions_linear_files/Yang_linear_img/77861908.jpg","show blot")</f>
        <v>show blot</v>
      </c>
      <c r="J5704" s="5" t="s">
        <v>11197</v>
      </c>
      <c r="L5704" s="11">
        <v>3.8030647826059072</v>
      </c>
      <c r="N5704" s="12"/>
    </row>
    <row r="5705" spans="1:14" s="5" customFormat="1" ht="15" customHeight="1" x14ac:dyDescent="0.25">
      <c r="A5705" s="9" t="s">
        <v>11198</v>
      </c>
      <c r="C5705" s="9" t="str">
        <f>HYPERLINK("http://www.ncbi.nlm.nih.gov/protein/26024309","Ppat")</f>
        <v>Ppat</v>
      </c>
      <c r="D5705" s="10">
        <f t="shared" si="89"/>
        <v>5.5755230850028612</v>
      </c>
      <c r="F5705" s="8" t="str">
        <f>HYPERLINK("https://esbl.nhlbi.nih.gov/Databases/mpkFractions/proteomic_fractions_log_files/Yang_log_img/26024309.jpg","show blot")</f>
        <v>show blot</v>
      </c>
      <c r="H5705" s="8" t="str">
        <f>HYPERLINK("https://esbl.nhlbi.nih.gov/Databases/mpkFractions/proteomic_fractions_linear_files/Yang_linear_img/26024309.jpg","show blot")</f>
        <v>show blot</v>
      </c>
      <c r="J5705" s="5" t="s">
        <v>11199</v>
      </c>
      <c r="L5705" s="11">
        <v>5.5755230850028612</v>
      </c>
      <c r="N5705" s="12"/>
    </row>
    <row r="5706" spans="1:14" s="5" customFormat="1" ht="15" customHeight="1" x14ac:dyDescent="0.25">
      <c r="A5706" s="9" t="s">
        <v>11200</v>
      </c>
      <c r="C5706" s="9" t="str">
        <f>HYPERLINK("http://www.ncbi.nlm.nih.gov/protein/28849879","Ppcdc")</f>
        <v>Ppcdc</v>
      </c>
      <c r="D5706" s="10">
        <f t="shared" si="89"/>
        <v>5.0084292997521436</v>
      </c>
      <c r="F5706" s="8" t="str">
        <f>HYPERLINK("https://esbl.nhlbi.nih.gov/Databases/mpkFractions/proteomic_fractions_log_files/Yang_log_img/28849879.jpg","show blot")</f>
        <v>show blot</v>
      </c>
      <c r="H5706" s="8" t="str">
        <f>HYPERLINK("https://esbl.nhlbi.nih.gov/Databases/mpkFractions/proteomic_fractions_linear_files/Yang_linear_img/28849879.jpg","show blot")</f>
        <v>show blot</v>
      </c>
      <c r="J5706" s="5" t="s">
        <v>11201</v>
      </c>
      <c r="L5706" s="11">
        <v>5.0084292997521436</v>
      </c>
      <c r="N5706" s="12"/>
    </row>
    <row r="5707" spans="1:14" s="5" customFormat="1" ht="15" customHeight="1" x14ac:dyDescent="0.25">
      <c r="A5707" s="9" t="s">
        <v>11202</v>
      </c>
      <c r="C5707" s="9" t="str">
        <f>HYPERLINK("http://www.ncbi.nlm.nih.gov/protein/76096364","Ppcs")</f>
        <v>Ppcs</v>
      </c>
      <c r="D5707" s="10">
        <f t="shared" si="89"/>
        <v>4.2077169746497107</v>
      </c>
      <c r="F5707" s="8" t="str">
        <f>HYPERLINK("https://esbl.nhlbi.nih.gov/Databases/mpkFractions/proteomic_fractions_log_files/Yang_log_img/76096364.jpg","show blot")</f>
        <v>show blot</v>
      </c>
      <c r="H5707" s="8" t="str">
        <f>HYPERLINK("https://esbl.nhlbi.nih.gov/Databases/mpkFractions/proteomic_fractions_linear_files/Yang_linear_img/76096364.jpg","show blot")</f>
        <v>show blot</v>
      </c>
      <c r="J5707" s="5" t="s">
        <v>11203</v>
      </c>
      <c r="L5707" s="11">
        <v>4.2077169746497107</v>
      </c>
      <c r="N5707" s="12"/>
    </row>
    <row r="5708" spans="1:14" s="5" customFormat="1" ht="15" customHeight="1" x14ac:dyDescent="0.25">
      <c r="A5708" s="9" t="s">
        <v>11204</v>
      </c>
      <c r="C5708" s="9" t="str">
        <f>HYPERLINK("http://www.ncbi.nlm.nih.gov/protein/189491857","Ppfia1")</f>
        <v>Ppfia1</v>
      </c>
      <c r="D5708" s="10">
        <f t="shared" si="89"/>
        <v>3.1565642938321541</v>
      </c>
      <c r="F5708" s="8" t="str">
        <f>HYPERLINK("https://esbl.nhlbi.nih.gov/Databases/mpkFractions/proteomic_fractions_log_files/Yang_log_img/189491857.jpg","show blot")</f>
        <v>show blot</v>
      </c>
      <c r="H5708" s="8" t="str">
        <f>HYPERLINK("https://esbl.nhlbi.nih.gov/Databases/mpkFractions/proteomic_fractions_linear_files/Yang_linear_img/189491857.jpg","show blot")</f>
        <v>show blot</v>
      </c>
      <c r="J5708" s="5" t="s">
        <v>11205</v>
      </c>
      <c r="L5708" s="11">
        <v>3.1565642938321541</v>
      </c>
      <c r="N5708" s="12"/>
    </row>
    <row r="5709" spans="1:14" s="5" customFormat="1" ht="15" customHeight="1" x14ac:dyDescent="0.25">
      <c r="A5709" s="9" t="s">
        <v>11206</v>
      </c>
      <c r="C5709" s="9" t="str">
        <f>HYPERLINK("http://www.ncbi.nlm.nih.gov/protein/304361734","Ppfia1")</f>
        <v>Ppfia1</v>
      </c>
      <c r="D5709" s="10">
        <f t="shared" si="89"/>
        <v>3.1565642938321541</v>
      </c>
      <c r="F5709" s="8" t="str">
        <f>HYPERLINK("https://esbl.nhlbi.nih.gov/Databases/mpkFractions/proteomic_fractions_log_files/Yang_log_img/304361734.jpg","show blot")</f>
        <v>show blot</v>
      </c>
      <c r="H5709" s="8" t="str">
        <f>HYPERLINK("https://esbl.nhlbi.nih.gov/Databases/mpkFractions/proteomic_fractions_linear_files/Yang_linear_img/304361734.jpg","show blot")</f>
        <v>show blot</v>
      </c>
      <c r="J5709" s="5" t="s">
        <v>11207</v>
      </c>
      <c r="L5709" s="11">
        <v>3.1565642938321541</v>
      </c>
      <c r="N5709" s="12"/>
    </row>
    <row r="5710" spans="1:14" s="5" customFormat="1" ht="15" customHeight="1" x14ac:dyDescent="0.25">
      <c r="A5710" s="9" t="s">
        <v>11208</v>
      </c>
      <c r="C5710" s="9" t="str">
        <f>HYPERLINK("http://www.ncbi.nlm.nih.gov/protein/281371356","Ppfibp1")</f>
        <v>Ppfibp1</v>
      </c>
      <c r="D5710" s="10">
        <f t="shared" si="89"/>
        <v>3.8016585029303882</v>
      </c>
      <c r="F5710" s="8" t="str">
        <f>HYPERLINK("https://esbl.nhlbi.nih.gov/Databases/mpkFractions/proteomic_fractions_log_files/Yang_log_img/281371356.jpg","show blot")</f>
        <v>show blot</v>
      </c>
      <c r="H5710" s="8" t="str">
        <f>HYPERLINK("https://esbl.nhlbi.nih.gov/Databases/mpkFractions/proteomic_fractions_linear_files/Yang_linear_img/281371356.jpg","show blot")</f>
        <v>show blot</v>
      </c>
      <c r="J5710" s="5" t="s">
        <v>11209</v>
      </c>
      <c r="L5710" s="11">
        <v>3.8016585029303882</v>
      </c>
      <c r="N5710" s="12"/>
    </row>
    <row r="5711" spans="1:14" s="5" customFormat="1" ht="15" customHeight="1" x14ac:dyDescent="0.25">
      <c r="A5711" s="9" t="s">
        <v>11210</v>
      </c>
      <c r="C5711" s="9" t="str">
        <f>HYPERLINK("http://www.ncbi.nlm.nih.gov/protein/49274606","Ppfibp1")</f>
        <v>Ppfibp1</v>
      </c>
      <c r="D5711" s="10">
        <f t="shared" si="89"/>
        <v>3.8016585029303882</v>
      </c>
      <c r="F5711" s="8" t="str">
        <f>HYPERLINK("https://esbl.nhlbi.nih.gov/Databases/mpkFractions/proteomic_fractions_log_files/Yang_log_img/49274606.jpg","show blot")</f>
        <v>show blot</v>
      </c>
      <c r="H5711" s="8" t="str">
        <f>HYPERLINK("https://esbl.nhlbi.nih.gov/Databases/mpkFractions/proteomic_fractions_linear_files/Yang_linear_img/49274606.jpg","show blot")</f>
        <v>show blot</v>
      </c>
      <c r="J5711" s="5" t="s">
        <v>11211</v>
      </c>
      <c r="L5711" s="11">
        <v>3.8016585029303882</v>
      </c>
      <c r="N5711" s="12"/>
    </row>
    <row r="5712" spans="1:14" s="5" customFormat="1" ht="15" customHeight="1" x14ac:dyDescent="0.25">
      <c r="A5712" s="9" t="s">
        <v>11212</v>
      </c>
      <c r="C5712" s="9" t="str">
        <f>HYPERLINK("http://www.ncbi.nlm.nih.gov/protein/6679439","Ppia")</f>
        <v>Ppia</v>
      </c>
      <c r="D5712" s="10">
        <f t="shared" si="89"/>
        <v>7.5249724462542238</v>
      </c>
      <c r="F5712" s="8" t="str">
        <f>HYPERLINK("https://esbl.nhlbi.nih.gov/Databases/mpkFractions/proteomic_fractions_log_files/Yang_log_img/6679439.jpg","show blot")</f>
        <v>show blot</v>
      </c>
      <c r="H5712" s="8" t="str">
        <f>HYPERLINK("https://esbl.nhlbi.nih.gov/Databases/mpkFractions/proteomic_fractions_linear_files/Yang_linear_img/6679439.jpg","show blot")</f>
        <v>show blot</v>
      </c>
      <c r="J5712" s="5" t="s">
        <v>11213</v>
      </c>
      <c r="L5712" s="11">
        <v>7.5249724462542238</v>
      </c>
      <c r="N5712" s="12"/>
    </row>
    <row r="5713" spans="1:14" s="5" customFormat="1" ht="15" customHeight="1" x14ac:dyDescent="0.25">
      <c r="A5713" s="9" t="s">
        <v>11214</v>
      </c>
      <c r="C5713" s="9" t="str">
        <f>HYPERLINK("http://www.ncbi.nlm.nih.gov/protein/71774133","Ppib")</f>
        <v>Ppib</v>
      </c>
      <c r="D5713" s="10">
        <f t="shared" si="89"/>
        <v>6.6996284982169714</v>
      </c>
      <c r="F5713" s="8" t="str">
        <f>HYPERLINK("https://esbl.nhlbi.nih.gov/Databases/mpkFractions/proteomic_fractions_log_files/Yang_log_img/71774133.jpg","show blot")</f>
        <v>show blot</v>
      </c>
      <c r="H5713" s="8" t="str">
        <f>HYPERLINK("https://esbl.nhlbi.nih.gov/Databases/mpkFractions/proteomic_fractions_linear_files/Yang_linear_img/71774133.jpg","show blot")</f>
        <v>show blot</v>
      </c>
      <c r="J5713" s="5" t="s">
        <v>11215</v>
      </c>
      <c r="L5713" s="11">
        <v>6.6996284982169714</v>
      </c>
      <c r="N5713" s="12"/>
    </row>
    <row r="5714" spans="1:14" s="5" customFormat="1" ht="15" customHeight="1" x14ac:dyDescent="0.25">
      <c r="A5714" s="9" t="s">
        <v>11216</v>
      </c>
      <c r="C5714" s="9" t="str">
        <f>HYPERLINK("http://www.ncbi.nlm.nih.gov/protein/6679441","Ppic")</f>
        <v>Ppic</v>
      </c>
      <c r="D5714" s="10">
        <f t="shared" si="89"/>
        <v>4.6342925819743597</v>
      </c>
      <c r="F5714" s="8" t="str">
        <f>HYPERLINK("https://esbl.nhlbi.nih.gov/Databases/mpkFractions/proteomic_fractions_log_files/Yang_log_img/6679441.jpg","show blot")</f>
        <v>show blot</v>
      </c>
      <c r="H5714" s="8" t="str">
        <f>HYPERLINK("https://esbl.nhlbi.nih.gov/Databases/mpkFractions/proteomic_fractions_linear_files/Yang_linear_img/6679441.jpg","show blot")</f>
        <v>show blot</v>
      </c>
      <c r="J5714" s="5" t="s">
        <v>11217</v>
      </c>
      <c r="L5714" s="11">
        <v>4.6342925819743597</v>
      </c>
      <c r="N5714" s="12"/>
    </row>
    <row r="5715" spans="1:14" s="5" customFormat="1" ht="15" customHeight="1" x14ac:dyDescent="0.25">
      <c r="A5715" s="9" t="s">
        <v>11218</v>
      </c>
      <c r="C5715" s="9" t="str">
        <f>HYPERLINK("http://www.ncbi.nlm.nih.gov/protein/13385854","Ppid")</f>
        <v>Ppid</v>
      </c>
      <c r="D5715" s="10">
        <f t="shared" si="89"/>
        <v>6.1604450423539614</v>
      </c>
      <c r="F5715" s="8" t="str">
        <f>HYPERLINK("https://esbl.nhlbi.nih.gov/Databases/mpkFractions/proteomic_fractions_log_files/Yang_log_img/13385854.jpg","show blot")</f>
        <v>show blot</v>
      </c>
      <c r="H5715" s="8" t="str">
        <f>HYPERLINK("https://esbl.nhlbi.nih.gov/Databases/mpkFractions/proteomic_fractions_linear_files/Yang_linear_img/13385854.jpg","show blot")</f>
        <v>show blot</v>
      </c>
      <c r="J5715" s="5" t="s">
        <v>11219</v>
      </c>
      <c r="L5715" s="11">
        <v>6.1604450423539614</v>
      </c>
      <c r="N5715" s="12"/>
    </row>
    <row r="5716" spans="1:14" s="5" customFormat="1" ht="15" customHeight="1" x14ac:dyDescent="0.25">
      <c r="A5716" s="9" t="s">
        <v>11220</v>
      </c>
      <c r="C5716" s="9" t="str">
        <f>HYPERLINK("http://www.ncbi.nlm.nih.gov/protein/14196340","Ppie")</f>
        <v>Ppie</v>
      </c>
      <c r="D5716" s="10">
        <f t="shared" si="89"/>
        <v>4.082863594805354</v>
      </c>
      <c r="F5716" s="8" t="str">
        <f>HYPERLINK("https://esbl.nhlbi.nih.gov/Databases/mpkFractions/proteomic_fractions_log_files/Yang_log_img/14196340.jpg","show blot")</f>
        <v>show blot</v>
      </c>
      <c r="H5716" s="8" t="str">
        <f>HYPERLINK("https://esbl.nhlbi.nih.gov/Databases/mpkFractions/proteomic_fractions_linear_files/Yang_linear_img/14196340.jpg","show blot")</f>
        <v>show blot</v>
      </c>
      <c r="J5716" s="5" t="s">
        <v>11221</v>
      </c>
      <c r="L5716" s="11">
        <v>4.082863594805354</v>
      </c>
      <c r="N5716" s="12"/>
    </row>
    <row r="5717" spans="1:14" s="5" customFormat="1" ht="15" customHeight="1" x14ac:dyDescent="0.25">
      <c r="A5717" s="9" t="s">
        <v>11222</v>
      </c>
      <c r="C5717" s="9" t="str">
        <f>HYPERLINK("http://www.ncbi.nlm.nih.gov/protein/19527310","Ppif")</f>
        <v>Ppif</v>
      </c>
      <c r="D5717" s="10">
        <f t="shared" si="89"/>
        <v>4.6333134956426223</v>
      </c>
      <c r="F5717" s="8" t="str">
        <f>HYPERLINK("https://esbl.nhlbi.nih.gov/Databases/mpkFractions/proteomic_fractions_log_files/Yang_log_img/19527310.jpg","show blot")</f>
        <v>show blot</v>
      </c>
      <c r="H5717" s="8" t="str">
        <f>HYPERLINK("https://esbl.nhlbi.nih.gov/Databases/mpkFractions/proteomic_fractions_linear_files/Yang_linear_img/19527310.jpg","show blot")</f>
        <v>show blot</v>
      </c>
      <c r="J5717" s="5" t="s">
        <v>11223</v>
      </c>
      <c r="L5717" s="11">
        <v>4.6333134956426223</v>
      </c>
      <c r="N5717" s="12"/>
    </row>
    <row r="5718" spans="1:14" s="5" customFormat="1" ht="15" customHeight="1" x14ac:dyDescent="0.25">
      <c r="A5718" s="9" t="s">
        <v>11224</v>
      </c>
      <c r="C5718" s="9" t="str">
        <f>HYPERLINK("http://www.ncbi.nlm.nih.gov/protein/124487333","Ppig")</f>
        <v>Ppig</v>
      </c>
      <c r="D5718" s="10">
        <f t="shared" si="89"/>
        <v>3.865330125978407</v>
      </c>
      <c r="F5718" s="8" t="str">
        <f>HYPERLINK("https://esbl.nhlbi.nih.gov/Databases/mpkFractions/proteomic_fractions_log_files/Yang_log_img/124487333.jpg","show blot")</f>
        <v>show blot</v>
      </c>
      <c r="H5718" s="8" t="str">
        <f>HYPERLINK("https://esbl.nhlbi.nih.gov/Databases/mpkFractions/proteomic_fractions_linear_files/Yang_linear_img/124487333.jpg","show blot")</f>
        <v>show blot</v>
      </c>
      <c r="J5718" s="5" t="s">
        <v>11225</v>
      </c>
      <c r="L5718" s="11">
        <v>3.865330125978407</v>
      </c>
      <c r="N5718" s="12"/>
    </row>
    <row r="5719" spans="1:14" s="5" customFormat="1" ht="15" customHeight="1" x14ac:dyDescent="0.25">
      <c r="A5719" s="9" t="s">
        <v>11226</v>
      </c>
      <c r="C5719" s="9" t="str">
        <f>HYPERLINK("http://www.ncbi.nlm.nih.gov/protein/158631196","Ppih")</f>
        <v>Ppih</v>
      </c>
      <c r="D5719" s="10">
        <f t="shared" si="89"/>
        <v>5.260487988817184</v>
      </c>
      <c r="F5719" s="8" t="str">
        <f>HYPERLINK("https://esbl.nhlbi.nih.gov/Databases/mpkFractions/proteomic_fractions_log_files/Yang_log_img/158631196.jpg","show blot")</f>
        <v>show blot</v>
      </c>
      <c r="H5719" s="8" t="str">
        <f>HYPERLINK("https://esbl.nhlbi.nih.gov/Databases/mpkFractions/proteomic_fractions_linear_files/Yang_linear_img/158631196.jpg","show blot")</f>
        <v>show blot</v>
      </c>
      <c r="J5719" s="5" t="s">
        <v>11227</v>
      </c>
      <c r="L5719" s="11">
        <v>5.260487988817184</v>
      </c>
      <c r="N5719" s="12"/>
    </row>
    <row r="5720" spans="1:14" s="5" customFormat="1" ht="15" customHeight="1" x14ac:dyDescent="0.25">
      <c r="A5720" s="9" t="s">
        <v>11228</v>
      </c>
      <c r="C5720" s="9" t="str">
        <f>HYPERLINK("http://www.ncbi.nlm.nih.gov/protein/21312022","Ppih")</f>
        <v>Ppih</v>
      </c>
      <c r="D5720" s="10">
        <f t="shared" si="89"/>
        <v>5.260487988817184</v>
      </c>
      <c r="F5720" s="8" t="str">
        <f>HYPERLINK("https://esbl.nhlbi.nih.gov/Databases/mpkFractions/proteomic_fractions_log_files/Yang_log_img/21312022.jpg","show blot")</f>
        <v>show blot</v>
      </c>
      <c r="H5720" s="8" t="str">
        <f>HYPERLINK("https://esbl.nhlbi.nih.gov/Databases/mpkFractions/proteomic_fractions_linear_files/Yang_linear_img/21312022.jpg","show blot")</f>
        <v>show blot</v>
      </c>
      <c r="J5720" s="5" t="s">
        <v>11229</v>
      </c>
      <c r="L5720" s="11">
        <v>5.260487988817184</v>
      </c>
      <c r="N5720" s="12"/>
    </row>
    <row r="5721" spans="1:14" s="5" customFormat="1" ht="15" customHeight="1" x14ac:dyDescent="0.25">
      <c r="A5721" s="9" t="s">
        <v>11230</v>
      </c>
      <c r="C5721" s="9" t="str">
        <f>HYPERLINK("http://www.ncbi.nlm.nih.gov/protein/21312784","Ppil1")</f>
        <v>Ppil1</v>
      </c>
      <c r="D5721" s="10">
        <f t="shared" si="89"/>
        <v>5.9063837978606104</v>
      </c>
      <c r="F5721" s="8" t="str">
        <f>HYPERLINK("https://esbl.nhlbi.nih.gov/Databases/mpkFractions/proteomic_fractions_log_files/Yang_log_img/21312784.jpg","show blot")</f>
        <v>show blot</v>
      </c>
      <c r="H5721" s="8" t="str">
        <f>HYPERLINK("https://esbl.nhlbi.nih.gov/Databases/mpkFractions/proteomic_fractions_linear_files/Yang_linear_img/21312784.jpg","show blot")</f>
        <v>show blot</v>
      </c>
      <c r="J5721" s="5" t="s">
        <v>11231</v>
      </c>
      <c r="L5721" s="11">
        <v>5.9063837978606104</v>
      </c>
      <c r="N5721" s="12"/>
    </row>
    <row r="5722" spans="1:14" s="5" customFormat="1" ht="15" customHeight="1" x14ac:dyDescent="0.25">
      <c r="A5722" s="9" t="s">
        <v>11232</v>
      </c>
      <c r="C5722" s="9" t="str">
        <f>HYPERLINK("http://www.ncbi.nlm.nih.gov/protein/356995944;30025020","Ppil2")</f>
        <v>Ppil2</v>
      </c>
      <c r="D5722" s="10">
        <f t="shared" si="89"/>
        <v>3.8450685953224322</v>
      </c>
      <c r="F5722" s="8" t="str">
        <f>HYPERLINK("https://esbl.nhlbi.nih.gov/Databases/mpkFractions/proteomic_fractions_log_files/Yang_log_img/356995944;30025020.jpg","show blot")</f>
        <v>show blot</v>
      </c>
      <c r="H5722" s="8" t="str">
        <f>HYPERLINK("https://esbl.nhlbi.nih.gov/Databases/mpkFractions/proteomic_fractions_linear_files/Yang_linear_img/356995944;30025020.jpg","show blot")</f>
        <v>show blot</v>
      </c>
      <c r="J5722" s="5" t="s">
        <v>11233</v>
      </c>
      <c r="L5722" s="11">
        <v>3.8450685953224322</v>
      </c>
      <c r="N5722" s="12"/>
    </row>
    <row r="5723" spans="1:14" s="5" customFormat="1" ht="15" customHeight="1" x14ac:dyDescent="0.25">
      <c r="A5723" s="9" t="s">
        <v>11234</v>
      </c>
      <c r="C5723" s="9" t="str">
        <f>HYPERLINK("http://www.ncbi.nlm.nih.gov/protein/30025020","Ppil2")</f>
        <v>Ppil2</v>
      </c>
      <c r="D5723" s="10">
        <f t="shared" si="89"/>
        <v>3.8450685953224322</v>
      </c>
      <c r="F5723" s="8" t="str">
        <f>HYPERLINK("https://esbl.nhlbi.nih.gov/Databases/mpkFractions/proteomic_fractions_log_files/Yang_log_img/30025020.jpg","show blot")</f>
        <v>show blot</v>
      </c>
      <c r="H5723" s="8" t="str">
        <f>HYPERLINK("https://esbl.nhlbi.nih.gov/Databases/mpkFractions/proteomic_fractions_linear_files/Yang_linear_img/30025020.jpg","show blot")</f>
        <v>show blot</v>
      </c>
      <c r="J5723" s="5" t="s">
        <v>11233</v>
      </c>
      <c r="L5723" s="11">
        <v>3.8450685953224322</v>
      </c>
      <c r="N5723" s="12"/>
    </row>
    <row r="5724" spans="1:14" s="5" customFormat="1" ht="15" customHeight="1" x14ac:dyDescent="0.25">
      <c r="A5724" s="9" t="s">
        <v>11235</v>
      </c>
      <c r="C5724" s="9" t="str">
        <f>HYPERLINK("http://www.ncbi.nlm.nih.gov/protein/169790966","Ppil3")</f>
        <v>Ppil3</v>
      </c>
      <c r="D5724" s="10">
        <f t="shared" si="89"/>
        <v>3.9701524068396168</v>
      </c>
      <c r="F5724" s="8" t="str">
        <f>HYPERLINK("https://esbl.nhlbi.nih.gov/Databases/mpkFractions/proteomic_fractions_log_files/Yang_log_img/169790966.jpg","show blot")</f>
        <v>show blot</v>
      </c>
      <c r="H5724" s="8" t="str">
        <f>HYPERLINK("https://esbl.nhlbi.nih.gov/Databases/mpkFractions/proteomic_fractions_linear_files/Yang_linear_img/169790966.jpg","show blot")</f>
        <v>show blot</v>
      </c>
      <c r="J5724" s="5" t="s">
        <v>11236</v>
      </c>
      <c r="L5724" s="11">
        <v>3.9701524068396168</v>
      </c>
      <c r="N5724" s="12"/>
    </row>
    <row r="5725" spans="1:14" s="5" customFormat="1" ht="15" customHeight="1" x14ac:dyDescent="0.25">
      <c r="A5725" s="9" t="s">
        <v>11237</v>
      </c>
      <c r="C5725" s="9" t="str">
        <f>HYPERLINK("http://www.ncbi.nlm.nih.gov/protein/21746159","Ppil3")</f>
        <v>Ppil3</v>
      </c>
      <c r="D5725" s="10">
        <f t="shared" si="89"/>
        <v>3.9701524068396168</v>
      </c>
      <c r="F5725" s="8" t="str">
        <f>HYPERLINK("https://esbl.nhlbi.nih.gov/Databases/mpkFractions/proteomic_fractions_log_files/Yang_log_img/21746159.jpg","show blot")</f>
        <v>show blot</v>
      </c>
      <c r="H5725" s="8" t="str">
        <f>HYPERLINK("https://esbl.nhlbi.nih.gov/Databases/mpkFractions/proteomic_fractions_linear_files/Yang_linear_img/21746159.jpg","show blot")</f>
        <v>show blot</v>
      </c>
      <c r="J5725" s="5" t="s">
        <v>11238</v>
      </c>
      <c r="L5725" s="11">
        <v>3.9701524068396168</v>
      </c>
      <c r="N5725" s="12"/>
    </row>
    <row r="5726" spans="1:14" s="5" customFormat="1" ht="15" customHeight="1" x14ac:dyDescent="0.25">
      <c r="A5726" s="9" t="s">
        <v>11239</v>
      </c>
      <c r="C5726" s="9" t="str">
        <f>HYPERLINK("http://www.ncbi.nlm.nih.gov/protein/165972339","Ppil4")</f>
        <v>Ppil4</v>
      </c>
      <c r="D5726" s="10">
        <f t="shared" si="89"/>
        <v>3.8050209409610569</v>
      </c>
      <c r="F5726" s="8" t="str">
        <f>HYPERLINK("https://esbl.nhlbi.nih.gov/Databases/mpkFractions/proteomic_fractions_log_files/Yang_log_img/165972339.jpg","show blot")</f>
        <v>show blot</v>
      </c>
      <c r="H5726" s="8" t="str">
        <f>HYPERLINK("https://esbl.nhlbi.nih.gov/Databases/mpkFractions/proteomic_fractions_linear_files/Yang_linear_img/165972339.jpg","show blot")</f>
        <v>show blot</v>
      </c>
      <c r="J5726" s="5" t="s">
        <v>11240</v>
      </c>
      <c r="L5726" s="11">
        <v>3.8050209409610569</v>
      </c>
      <c r="N5726" s="12"/>
    </row>
    <row r="5727" spans="1:14" s="5" customFormat="1" ht="15" customHeight="1" x14ac:dyDescent="0.25">
      <c r="A5727" s="9" t="s">
        <v>11241</v>
      </c>
      <c r="C5727" s="9" t="str">
        <f>HYPERLINK("http://www.ncbi.nlm.nih.gov/protein/145207986","Ppip5k1")</f>
        <v>Ppip5k1</v>
      </c>
      <c r="D5727" s="10">
        <f t="shared" si="89"/>
        <v>2.2297655320381149</v>
      </c>
      <c r="F5727" s="8" t="str">
        <f>HYPERLINK("https://esbl.nhlbi.nih.gov/Databases/mpkFractions/proteomic_fractions_log_files/Yang_log_img/145207986.jpg","show blot")</f>
        <v>show blot</v>
      </c>
      <c r="H5727" s="8" t="str">
        <f>HYPERLINK("https://esbl.nhlbi.nih.gov/Databases/mpkFractions/proteomic_fractions_linear_files/Yang_linear_img/145207986.jpg","show blot")</f>
        <v>show blot</v>
      </c>
      <c r="J5727" s="5" t="s">
        <v>11242</v>
      </c>
      <c r="L5727" s="11">
        <v>2.2297655320381149</v>
      </c>
      <c r="N5727" s="12"/>
    </row>
    <row r="5728" spans="1:14" s="5" customFormat="1" ht="15" customHeight="1" x14ac:dyDescent="0.25">
      <c r="A5728" s="9" t="s">
        <v>11243</v>
      </c>
      <c r="C5728" s="9" t="str">
        <f>HYPERLINK("http://www.ncbi.nlm.nih.gov/protein/166706913","Ppip5k2")</f>
        <v>Ppip5k2</v>
      </c>
      <c r="D5728" s="10">
        <f t="shared" si="89"/>
        <v>2.401645957243955</v>
      </c>
      <c r="F5728" s="8" t="str">
        <f>HYPERLINK("https://esbl.nhlbi.nih.gov/Databases/mpkFractions/proteomic_fractions_log_files/Yang_log_img/166706913.jpg","show blot")</f>
        <v>show blot</v>
      </c>
      <c r="H5728" s="8" t="str">
        <f>HYPERLINK("https://esbl.nhlbi.nih.gov/Databases/mpkFractions/proteomic_fractions_linear_files/Yang_linear_img/166706913.jpg","show blot")</f>
        <v>show blot</v>
      </c>
      <c r="J5728" s="5" t="s">
        <v>11244</v>
      </c>
      <c r="L5728" s="11">
        <v>2.401645957243955</v>
      </c>
      <c r="N5728" s="12"/>
    </row>
    <row r="5729" spans="1:14" s="5" customFormat="1" ht="15" customHeight="1" x14ac:dyDescent="0.25">
      <c r="A5729" s="9" t="s">
        <v>11245</v>
      </c>
      <c r="C5729" s="9" t="str">
        <f>HYPERLINK("http://www.ncbi.nlm.nih.gov/protein/112421039","Ppl")</f>
        <v>Ppl</v>
      </c>
      <c r="D5729" s="10">
        <f t="shared" si="89"/>
        <v>5.7997248877753229</v>
      </c>
      <c r="F5729" s="8" t="str">
        <f>HYPERLINK("https://esbl.nhlbi.nih.gov/Databases/mpkFractions/proteomic_fractions_log_files/Yang_log_img/112421039.jpg","show blot")</f>
        <v>show blot</v>
      </c>
      <c r="H5729" s="8" t="str">
        <f>HYPERLINK("https://esbl.nhlbi.nih.gov/Databases/mpkFractions/proteomic_fractions_linear_files/Yang_linear_img/112421039.jpg","show blot")</f>
        <v>show blot</v>
      </c>
      <c r="J5729" s="5" t="s">
        <v>11246</v>
      </c>
      <c r="L5729" s="11">
        <v>5.7997248877753229</v>
      </c>
      <c r="N5729" s="12"/>
    </row>
    <row r="5730" spans="1:14" s="5" customFormat="1" ht="15" customHeight="1" x14ac:dyDescent="0.25">
      <c r="A5730" s="9" t="s">
        <v>11247</v>
      </c>
      <c r="C5730" s="9" t="str">
        <f>HYPERLINK("http://www.ncbi.nlm.nih.gov/protein/6679443","Ppm1a")</f>
        <v>Ppm1a</v>
      </c>
      <c r="D5730" s="10">
        <f t="shared" si="89"/>
        <v>5.1539532855868897</v>
      </c>
      <c r="F5730" s="8" t="str">
        <f>HYPERLINK("https://esbl.nhlbi.nih.gov/Databases/mpkFractions/proteomic_fractions_log_files/Yang_log_img/6679443.jpg","show blot")</f>
        <v>show blot</v>
      </c>
      <c r="H5730" s="8" t="str">
        <f>HYPERLINK("https://esbl.nhlbi.nih.gov/Databases/mpkFractions/proteomic_fractions_linear_files/Yang_linear_img/6679443.jpg","show blot")</f>
        <v>show blot</v>
      </c>
      <c r="J5730" s="5" t="s">
        <v>11248</v>
      </c>
      <c r="L5730" s="11">
        <v>5.1539532855868897</v>
      </c>
      <c r="N5730" s="12"/>
    </row>
    <row r="5731" spans="1:14" s="5" customFormat="1" ht="15" customHeight="1" x14ac:dyDescent="0.25">
      <c r="A5731" s="9" t="s">
        <v>11249</v>
      </c>
      <c r="C5731" s="9" t="str">
        <f>HYPERLINK("http://www.ncbi.nlm.nih.gov/protein/226958356","Ppm1b")</f>
        <v>Ppm1b</v>
      </c>
      <c r="D5731" s="10">
        <f t="shared" si="89"/>
        <v>5.1566828900704893</v>
      </c>
      <c r="F5731" s="8" t="str">
        <f>HYPERLINK("https://esbl.nhlbi.nih.gov/Databases/mpkFractions/proteomic_fractions_log_files/Yang_log_img/226958356.jpg","show blot")</f>
        <v>show blot</v>
      </c>
      <c r="H5731" s="8" t="str">
        <f>HYPERLINK("https://esbl.nhlbi.nih.gov/Databases/mpkFractions/proteomic_fractions_linear_files/Yang_linear_img/226958356.jpg","show blot")</f>
        <v>show blot</v>
      </c>
      <c r="J5731" s="5" t="s">
        <v>11250</v>
      </c>
      <c r="L5731" s="11">
        <v>5.1566828900704893</v>
      </c>
      <c r="N5731" s="12"/>
    </row>
    <row r="5732" spans="1:14" s="5" customFormat="1" ht="15" customHeight="1" x14ac:dyDescent="0.25">
      <c r="A5732" s="9" t="s">
        <v>11251</v>
      </c>
      <c r="C5732" s="9" t="str">
        <f>HYPERLINK("http://www.ncbi.nlm.nih.gov/protein/226958358","Ppm1b")</f>
        <v>Ppm1b</v>
      </c>
      <c r="D5732" s="10">
        <f t="shared" si="89"/>
        <v>5.1566828900704893</v>
      </c>
      <c r="F5732" s="8" t="str">
        <f>HYPERLINK("https://esbl.nhlbi.nih.gov/Databases/mpkFractions/proteomic_fractions_log_files/Yang_log_img/226958358.jpg","show blot")</f>
        <v>show blot</v>
      </c>
      <c r="H5732" s="8" t="str">
        <f>HYPERLINK("https://esbl.nhlbi.nih.gov/Databases/mpkFractions/proteomic_fractions_linear_files/Yang_linear_img/226958358.jpg","show blot")</f>
        <v>show blot</v>
      </c>
      <c r="J5732" s="5" t="s">
        <v>11252</v>
      </c>
      <c r="L5732" s="11">
        <v>5.1566828900704893</v>
      </c>
      <c r="N5732" s="12"/>
    </row>
    <row r="5733" spans="1:14" s="5" customFormat="1" ht="15" customHeight="1" x14ac:dyDescent="0.25">
      <c r="A5733" s="9" t="s">
        <v>11253</v>
      </c>
      <c r="C5733" s="9" t="str">
        <f>HYPERLINK("http://www.ncbi.nlm.nih.gov/protein/33859600","Ppm1b")</f>
        <v>Ppm1b</v>
      </c>
      <c r="D5733" s="10">
        <f t="shared" si="89"/>
        <v>5.1566828900704893</v>
      </c>
      <c r="F5733" s="8" t="str">
        <f>HYPERLINK("https://esbl.nhlbi.nih.gov/Databases/mpkFractions/proteomic_fractions_log_files/Yang_log_img/33859600.jpg","show blot")</f>
        <v>show blot</v>
      </c>
      <c r="H5733" s="8" t="str">
        <f>HYPERLINK("https://esbl.nhlbi.nih.gov/Databases/mpkFractions/proteomic_fractions_linear_files/Yang_linear_img/33859600.jpg","show blot")</f>
        <v>show blot</v>
      </c>
      <c r="J5733" s="5" t="s">
        <v>11254</v>
      </c>
      <c r="L5733" s="11">
        <v>5.1566828900704893</v>
      </c>
      <c r="N5733" s="12"/>
    </row>
    <row r="5734" spans="1:14" s="5" customFormat="1" ht="15" customHeight="1" x14ac:dyDescent="0.25">
      <c r="A5734" s="9" t="s">
        <v>11255</v>
      </c>
      <c r="C5734" s="9" t="str">
        <f>HYPERLINK("http://www.ncbi.nlm.nih.gov/protein/226958354","Ppm1b")</f>
        <v>Ppm1b</v>
      </c>
      <c r="D5734" s="10">
        <f t="shared" si="89"/>
        <v>5.1566828900704893</v>
      </c>
      <c r="F5734" s="8" t="str">
        <f>HYPERLINK("https://esbl.nhlbi.nih.gov/Databases/mpkFractions/proteomic_fractions_log_files/Yang_log_img/226958354.jpg","show blot")</f>
        <v>show blot</v>
      </c>
      <c r="H5734" s="8" t="str">
        <f>HYPERLINK("https://esbl.nhlbi.nih.gov/Databases/mpkFractions/proteomic_fractions_linear_files/Yang_linear_img/226958354.jpg","show blot")</f>
        <v>show blot</v>
      </c>
      <c r="J5734" s="5" t="s">
        <v>11256</v>
      </c>
      <c r="L5734" s="11">
        <v>5.1566828900704893</v>
      </c>
      <c r="N5734" s="12"/>
    </row>
    <row r="5735" spans="1:14" s="5" customFormat="1" ht="15" customHeight="1" x14ac:dyDescent="0.25">
      <c r="A5735" s="9" t="s">
        <v>11257</v>
      </c>
      <c r="C5735" s="9" t="str">
        <f>HYPERLINK("http://www.ncbi.nlm.nih.gov/protein/28849881","Ppm1f")</f>
        <v>Ppm1f</v>
      </c>
      <c r="D5735" s="10">
        <f t="shared" si="89"/>
        <v>4.7497104775757721</v>
      </c>
      <c r="F5735" s="8" t="str">
        <f>HYPERLINK("https://esbl.nhlbi.nih.gov/Databases/mpkFractions/proteomic_fractions_log_files/Yang_log_img/28849881.jpg","show blot")</f>
        <v>show blot</v>
      </c>
      <c r="H5735" s="8" t="str">
        <f>HYPERLINK("https://esbl.nhlbi.nih.gov/Databases/mpkFractions/proteomic_fractions_linear_files/Yang_linear_img/28849881.jpg","show blot")</f>
        <v>show blot</v>
      </c>
      <c r="J5735" s="5" t="s">
        <v>11258</v>
      </c>
      <c r="L5735" s="11">
        <v>4.7497104775757721</v>
      </c>
      <c r="N5735" s="12"/>
    </row>
    <row r="5736" spans="1:14" s="5" customFormat="1" ht="15" customHeight="1" x14ac:dyDescent="0.25">
      <c r="A5736" s="9" t="s">
        <v>11259</v>
      </c>
      <c r="C5736" s="9" t="str">
        <f>HYPERLINK("http://www.ncbi.nlm.nih.gov/protein/6679793","Ppm1g")</f>
        <v>Ppm1g</v>
      </c>
      <c r="D5736" s="10">
        <f t="shared" si="89"/>
        <v>5.4780361679105578</v>
      </c>
      <c r="F5736" s="8" t="str">
        <f>HYPERLINK("https://esbl.nhlbi.nih.gov/Databases/mpkFractions/proteomic_fractions_log_files/Yang_log_img/6679793.jpg","show blot")</f>
        <v>show blot</v>
      </c>
      <c r="H5736" s="8" t="str">
        <f>HYPERLINK("https://esbl.nhlbi.nih.gov/Databases/mpkFractions/proteomic_fractions_linear_files/Yang_linear_img/6679793.jpg","show blot")</f>
        <v>show blot</v>
      </c>
      <c r="J5736" s="5" t="s">
        <v>11260</v>
      </c>
      <c r="L5736" s="11">
        <v>5.4780361679105578</v>
      </c>
      <c r="N5736" s="12"/>
    </row>
    <row r="5737" spans="1:14" s="5" customFormat="1" ht="15" customHeight="1" x14ac:dyDescent="0.25">
      <c r="A5737" s="9" t="s">
        <v>11261</v>
      </c>
      <c r="C5737" s="9" t="str">
        <f>HYPERLINK("http://www.ncbi.nlm.nih.gov/protein/160358864","Ppm1h")</f>
        <v>Ppm1h</v>
      </c>
      <c r="D5737" s="10">
        <f t="shared" si="89"/>
        <v>3.4318373844556009</v>
      </c>
      <c r="F5737" s="8" t="str">
        <f>HYPERLINK("https://esbl.nhlbi.nih.gov/Databases/mpkFractions/proteomic_fractions_log_files/Yang_log_img/160358864.jpg","show blot")</f>
        <v>show blot</v>
      </c>
      <c r="H5737" s="8" t="str">
        <f>HYPERLINK("https://esbl.nhlbi.nih.gov/Databases/mpkFractions/proteomic_fractions_linear_files/Yang_linear_img/160358864.jpg","show blot")</f>
        <v>show blot</v>
      </c>
      <c r="J5737" s="5" t="s">
        <v>11262</v>
      </c>
      <c r="L5737" s="11">
        <v>3.4318373844556009</v>
      </c>
      <c r="N5737" s="12"/>
    </row>
    <row r="5738" spans="1:14" s="5" customFormat="1" ht="15" customHeight="1" x14ac:dyDescent="0.25">
      <c r="A5738" s="9" t="s">
        <v>11263</v>
      </c>
      <c r="C5738" s="9" t="str">
        <f>HYPERLINK("http://www.ncbi.nlm.nih.gov/protein/160358866","Ppm1h")</f>
        <v>Ppm1h</v>
      </c>
      <c r="D5738" s="10">
        <f t="shared" si="89"/>
        <v>3.4318373844556009</v>
      </c>
      <c r="F5738" s="8" t="str">
        <f>HYPERLINK("https://esbl.nhlbi.nih.gov/Databases/mpkFractions/proteomic_fractions_log_files/Yang_log_img/160358866.jpg","show blot")</f>
        <v>show blot</v>
      </c>
      <c r="H5738" s="8" t="str">
        <f>HYPERLINK("https://esbl.nhlbi.nih.gov/Databases/mpkFractions/proteomic_fractions_linear_files/Yang_linear_img/160358866.jpg","show blot")</f>
        <v>show blot</v>
      </c>
      <c r="J5738" s="5" t="s">
        <v>11264</v>
      </c>
      <c r="L5738" s="11">
        <v>3.4318373844556009</v>
      </c>
      <c r="N5738" s="12"/>
    </row>
    <row r="5739" spans="1:14" s="5" customFormat="1" ht="15" customHeight="1" x14ac:dyDescent="0.25">
      <c r="A5739" s="9" t="s">
        <v>11265</v>
      </c>
      <c r="C5739" s="9" t="str">
        <f>HYPERLINK("http://www.ncbi.nlm.nih.gov/protein/66392585","Ppm1l")</f>
        <v>Ppm1l</v>
      </c>
      <c r="D5739" s="10">
        <f t="shared" si="89"/>
        <v>2.1662007629525588</v>
      </c>
      <c r="F5739" s="8" t="str">
        <f>HYPERLINK("https://esbl.nhlbi.nih.gov/Databases/mpkFractions/proteomic_fractions_log_files/Yang_log_img/66392585.jpg","show blot")</f>
        <v>show blot</v>
      </c>
      <c r="H5739" s="8" t="str">
        <f>HYPERLINK("https://esbl.nhlbi.nih.gov/Databases/mpkFractions/proteomic_fractions_linear_files/Yang_linear_img/66392585.jpg","show blot")</f>
        <v>show blot</v>
      </c>
      <c r="J5739" s="5" t="s">
        <v>11266</v>
      </c>
      <c r="L5739" s="11">
        <v>2.1662007629525588</v>
      </c>
      <c r="N5739" s="12"/>
    </row>
    <row r="5740" spans="1:14" s="5" customFormat="1" ht="15" customHeight="1" x14ac:dyDescent="0.25">
      <c r="A5740" s="9" t="s">
        <v>11267</v>
      </c>
      <c r="C5740" s="9" t="str">
        <f>HYPERLINK("http://www.ncbi.nlm.nih.gov/protein/30794138","Ppme1")</f>
        <v>Ppme1</v>
      </c>
      <c r="D5740" s="10">
        <f t="shared" si="89"/>
        <v>4.8688109656682599</v>
      </c>
      <c r="F5740" s="8" t="str">
        <f>HYPERLINK("https://esbl.nhlbi.nih.gov/Databases/mpkFractions/proteomic_fractions_log_files/Yang_log_img/30794138.jpg","show blot")</f>
        <v>show blot</v>
      </c>
      <c r="H5740" s="8" t="str">
        <f>HYPERLINK("https://esbl.nhlbi.nih.gov/Databases/mpkFractions/proteomic_fractions_linear_files/Yang_linear_img/30794138.jpg","show blot")</f>
        <v>show blot</v>
      </c>
      <c r="J5740" s="5" t="s">
        <v>11268</v>
      </c>
      <c r="L5740" s="11">
        <v>4.8688109656682599</v>
      </c>
      <c r="N5740" s="12"/>
    </row>
    <row r="5741" spans="1:14" s="5" customFormat="1" ht="15" customHeight="1" x14ac:dyDescent="0.25">
      <c r="A5741" s="9" t="s">
        <v>11269</v>
      </c>
      <c r="C5741" s="9" t="str">
        <f>HYPERLINK("http://www.ncbi.nlm.nih.gov/protein/6679445","Ppox")</f>
        <v>Ppox</v>
      </c>
      <c r="D5741" s="10">
        <f t="shared" si="89"/>
        <v>3.906198345672963</v>
      </c>
      <c r="F5741" s="8" t="str">
        <f>HYPERLINK("https://esbl.nhlbi.nih.gov/Databases/mpkFractions/proteomic_fractions_log_files/Yang_log_img/6679445.jpg","show blot")</f>
        <v>show blot</v>
      </c>
      <c r="H5741" s="8" t="str">
        <f>HYPERLINK("https://esbl.nhlbi.nih.gov/Databases/mpkFractions/proteomic_fractions_linear_files/Yang_linear_img/6679445.jpg","show blot")</f>
        <v>show blot</v>
      </c>
      <c r="J5741" s="5" t="s">
        <v>11270</v>
      </c>
      <c r="L5741" s="11">
        <v>3.906198345672963</v>
      </c>
      <c r="N5741" s="12"/>
    </row>
    <row r="5742" spans="1:14" s="5" customFormat="1" ht="15" customHeight="1" x14ac:dyDescent="0.25">
      <c r="A5742" s="9" t="s">
        <v>11271</v>
      </c>
      <c r="C5742" s="9" t="str">
        <f>HYPERLINK("http://www.ncbi.nlm.nih.gov/protein/13994195","Ppp1ca")</f>
        <v>Ppp1ca</v>
      </c>
      <c r="D5742" s="10">
        <f t="shared" si="89"/>
        <v>6.6475498684690084</v>
      </c>
      <c r="F5742" s="8" t="str">
        <f>HYPERLINK("https://esbl.nhlbi.nih.gov/Databases/mpkFractions/proteomic_fractions_log_files/Yang_log_img/13994195.jpg","show blot")</f>
        <v>show blot</v>
      </c>
      <c r="H5742" s="8" t="str">
        <f>HYPERLINK("https://esbl.nhlbi.nih.gov/Databases/mpkFractions/proteomic_fractions_linear_files/Yang_linear_img/13994195.jpg","show blot")</f>
        <v>show blot</v>
      </c>
      <c r="J5742" s="5" t="s">
        <v>11272</v>
      </c>
      <c r="L5742" s="11">
        <v>6.6475498684690084</v>
      </c>
      <c r="N5742" s="12"/>
    </row>
    <row r="5743" spans="1:14" s="5" customFormat="1" ht="15" customHeight="1" x14ac:dyDescent="0.25">
      <c r="A5743" s="9" t="s">
        <v>11273</v>
      </c>
      <c r="C5743" s="9" t="str">
        <f>HYPERLINK("http://www.ncbi.nlm.nih.gov/protein/161484668","Ppp1cb")</f>
        <v>Ppp1cb</v>
      </c>
      <c r="D5743" s="10">
        <f t="shared" si="89"/>
        <v>6.6395270740990453</v>
      </c>
      <c r="F5743" s="8" t="str">
        <f>HYPERLINK("https://esbl.nhlbi.nih.gov/Databases/mpkFractions/proteomic_fractions_log_files/Yang_log_img/161484668.jpg","show blot")</f>
        <v>show blot</v>
      </c>
      <c r="H5743" s="8" t="str">
        <f>HYPERLINK("https://esbl.nhlbi.nih.gov/Databases/mpkFractions/proteomic_fractions_linear_files/Yang_linear_img/161484668.jpg","show blot")</f>
        <v>show blot</v>
      </c>
      <c r="J5743" s="5" t="s">
        <v>11274</v>
      </c>
      <c r="L5743" s="11">
        <v>6.6395270740990453</v>
      </c>
      <c r="N5743" s="12"/>
    </row>
    <row r="5744" spans="1:14" s="5" customFormat="1" ht="15" customHeight="1" x14ac:dyDescent="0.25">
      <c r="A5744" s="9" t="s">
        <v>11275</v>
      </c>
      <c r="C5744" s="9" t="str">
        <f>HYPERLINK("http://www.ncbi.nlm.nih.gov/protein/31980772","Ppp1cc")</f>
        <v>Ppp1cc</v>
      </c>
      <c r="D5744" s="10">
        <f t="shared" si="89"/>
        <v>6.5710112709619546</v>
      </c>
      <c r="F5744" s="8" t="str">
        <f>HYPERLINK("https://esbl.nhlbi.nih.gov/Databases/mpkFractions/proteomic_fractions_log_files/Yang_log_img/31980772.jpg","show blot")</f>
        <v>show blot</v>
      </c>
      <c r="H5744" s="8" t="str">
        <f>HYPERLINK("https://esbl.nhlbi.nih.gov/Databases/mpkFractions/proteomic_fractions_linear_files/Yang_linear_img/31980772.jpg","show blot")</f>
        <v>show blot</v>
      </c>
      <c r="J5744" s="5" t="s">
        <v>11276</v>
      </c>
      <c r="L5744" s="11">
        <v>6.5710112709619546</v>
      </c>
      <c r="N5744" s="12"/>
    </row>
    <row r="5745" spans="1:14" s="5" customFormat="1" ht="15" customHeight="1" x14ac:dyDescent="0.25">
      <c r="A5745" s="9" t="s">
        <v>11277</v>
      </c>
      <c r="C5745" s="9" t="str">
        <f>HYPERLINK("http://www.ncbi.nlm.nih.gov/protein/255308881","Ppp1r10")</f>
        <v>Ppp1r10</v>
      </c>
      <c r="D5745" s="10">
        <f t="shared" si="89"/>
        <v>1.45968115143347</v>
      </c>
      <c r="F5745" s="8" t="str">
        <f>HYPERLINK("https://esbl.nhlbi.nih.gov/Databases/mpkFractions/proteomic_fractions_log_files/Yang_log_img/255308881.jpg","show blot")</f>
        <v>show blot</v>
      </c>
      <c r="H5745" s="8" t="str">
        <f>HYPERLINK("https://esbl.nhlbi.nih.gov/Databases/mpkFractions/proteomic_fractions_linear_files/Yang_linear_img/255308881.jpg","show blot")</f>
        <v>show blot</v>
      </c>
      <c r="J5745" s="5" t="s">
        <v>11278</v>
      </c>
      <c r="L5745" s="11">
        <v>1.45968115143347</v>
      </c>
      <c r="N5745" s="12"/>
    </row>
    <row r="5746" spans="1:14" s="5" customFormat="1" ht="15" customHeight="1" x14ac:dyDescent="0.25">
      <c r="A5746" s="9" t="s">
        <v>11279</v>
      </c>
      <c r="C5746" s="9" t="str">
        <f>HYPERLINK("http://www.ncbi.nlm.nih.gov/protein/18390327","Ppp1r11")</f>
        <v>Ppp1r11</v>
      </c>
      <c r="D5746" s="10">
        <f t="shared" si="89"/>
        <v>4.422177790643854</v>
      </c>
      <c r="F5746" s="8" t="str">
        <f>HYPERLINK("https://esbl.nhlbi.nih.gov/Databases/mpkFractions/proteomic_fractions_log_files/Yang_log_img/18390327.jpg","show blot")</f>
        <v>show blot</v>
      </c>
      <c r="H5746" s="8" t="str">
        <f>HYPERLINK("https://esbl.nhlbi.nih.gov/Databases/mpkFractions/proteomic_fractions_linear_files/Yang_linear_img/18390327.jpg","show blot")</f>
        <v>show blot</v>
      </c>
      <c r="J5746" s="5" t="s">
        <v>11280</v>
      </c>
      <c r="L5746" s="11">
        <v>4.422177790643854</v>
      </c>
      <c r="N5746" s="12"/>
    </row>
    <row r="5747" spans="1:14" s="5" customFormat="1" ht="15" customHeight="1" x14ac:dyDescent="0.25">
      <c r="A5747" s="9" t="s">
        <v>11281</v>
      </c>
      <c r="C5747" s="9" t="str">
        <f>HYPERLINK("http://www.ncbi.nlm.nih.gov/protein/95772123","Ppp1r12a")</f>
        <v>Ppp1r12a</v>
      </c>
      <c r="D5747" s="10">
        <f t="shared" si="89"/>
        <v>4.4607987675906751</v>
      </c>
      <c r="F5747" s="8" t="str">
        <f>HYPERLINK("https://esbl.nhlbi.nih.gov/Databases/mpkFractions/proteomic_fractions_log_files/Yang_log_img/95772123.jpg","show blot")</f>
        <v>show blot</v>
      </c>
      <c r="H5747" s="8" t="str">
        <f>HYPERLINK("https://esbl.nhlbi.nih.gov/Databases/mpkFractions/proteomic_fractions_linear_files/Yang_linear_img/95772123.jpg","show blot")</f>
        <v>show blot</v>
      </c>
      <c r="J5747" s="5" t="s">
        <v>11282</v>
      </c>
      <c r="L5747" s="11">
        <v>4.4607987675906751</v>
      </c>
      <c r="N5747" s="12"/>
    </row>
    <row r="5748" spans="1:14" s="5" customFormat="1" ht="15" customHeight="1" x14ac:dyDescent="0.25">
      <c r="A5748" s="9" t="s">
        <v>11283</v>
      </c>
      <c r="C5748" s="9" t="str">
        <f>HYPERLINK("http://www.ncbi.nlm.nih.gov/protein/124486803","Ppp1r12b")</f>
        <v>Ppp1r12b</v>
      </c>
      <c r="D5748" s="10">
        <f t="shared" si="89"/>
        <v>3.7110739252399192</v>
      </c>
      <c r="F5748" s="8" t="str">
        <f>HYPERLINK("https://esbl.nhlbi.nih.gov/Databases/mpkFractions/proteomic_fractions_log_files/Yang_log_img/124486803.jpg","show blot")</f>
        <v>show blot</v>
      </c>
      <c r="H5748" s="8" t="str">
        <f>HYPERLINK("https://esbl.nhlbi.nih.gov/Databases/mpkFractions/proteomic_fractions_linear_files/Yang_linear_img/124486803.jpg","show blot")</f>
        <v>show blot</v>
      </c>
      <c r="J5748" s="5" t="s">
        <v>11284</v>
      </c>
      <c r="L5748" s="11">
        <v>3.7110739252399192</v>
      </c>
      <c r="N5748" s="12"/>
    </row>
    <row r="5749" spans="1:14" s="5" customFormat="1" ht="15" customHeight="1" x14ac:dyDescent="0.25">
      <c r="A5749" s="9" t="s">
        <v>11285</v>
      </c>
      <c r="C5749" s="9" t="str">
        <f>HYPERLINK("http://www.ncbi.nlm.nih.gov/protein/45592936","Ppp1r13b")</f>
        <v>Ppp1r13b</v>
      </c>
      <c r="D5749" s="10">
        <f t="shared" si="89"/>
        <v>5.1756047233471429</v>
      </c>
      <c r="F5749" s="8" t="str">
        <f>HYPERLINK("https://esbl.nhlbi.nih.gov/Databases/mpkFractions/proteomic_fractions_log_files/Yang_log_img/45592936.jpg","show blot")</f>
        <v>show blot</v>
      </c>
      <c r="H5749" s="8" t="str">
        <f>HYPERLINK("https://esbl.nhlbi.nih.gov/Databases/mpkFractions/proteomic_fractions_linear_files/Yang_linear_img/45592936.jpg","show blot")</f>
        <v>show blot</v>
      </c>
      <c r="J5749" s="5" t="s">
        <v>11286</v>
      </c>
      <c r="L5749" s="11">
        <v>5.1756047233471429</v>
      </c>
      <c r="N5749" s="12"/>
    </row>
    <row r="5750" spans="1:14" s="5" customFormat="1" ht="15" customHeight="1" x14ac:dyDescent="0.25">
      <c r="A5750" s="9" t="s">
        <v>11287</v>
      </c>
      <c r="C5750" s="9" t="str">
        <f>HYPERLINK("http://www.ncbi.nlm.nih.gov/protein/58082069","Ppp1r13l")</f>
        <v>Ppp1r13l</v>
      </c>
      <c r="D5750" s="10">
        <f t="shared" si="89"/>
        <v>2.381884815222175</v>
      </c>
      <c r="F5750" s="8" t="str">
        <f>HYPERLINK("https://esbl.nhlbi.nih.gov/Databases/mpkFractions/proteomic_fractions_log_files/Yang_log_img/58082069.jpg","show blot")</f>
        <v>show blot</v>
      </c>
      <c r="H5750" s="8" t="str">
        <f>HYPERLINK("https://esbl.nhlbi.nih.gov/Databases/mpkFractions/proteomic_fractions_linear_files/Yang_linear_img/58082069.jpg","show blot")</f>
        <v>show blot</v>
      </c>
      <c r="J5750" s="5" t="s">
        <v>11288</v>
      </c>
      <c r="L5750" s="11">
        <v>2.381884815222175</v>
      </c>
      <c r="N5750" s="12"/>
    </row>
    <row r="5751" spans="1:14" s="5" customFormat="1" ht="15" customHeight="1" x14ac:dyDescent="0.25">
      <c r="A5751" s="9" t="s">
        <v>11289</v>
      </c>
      <c r="C5751" s="9" t="str">
        <f>HYPERLINK("http://www.ncbi.nlm.nih.gov/protein/62122946","Ppp1r14b")</f>
        <v>Ppp1r14b</v>
      </c>
      <c r="D5751" s="10">
        <f t="shared" si="89"/>
        <v>4.5096158201449779</v>
      </c>
      <c r="F5751" s="8" t="str">
        <f>HYPERLINK("https://esbl.nhlbi.nih.gov/Databases/mpkFractions/proteomic_fractions_log_files/Yang_log_img/62122946.jpg","show blot")</f>
        <v>show blot</v>
      </c>
      <c r="H5751" s="8" t="str">
        <f>HYPERLINK("https://esbl.nhlbi.nih.gov/Databases/mpkFractions/proteomic_fractions_linear_files/Yang_linear_img/62122946.jpg","show blot")</f>
        <v>show blot</v>
      </c>
      <c r="J5751" s="5" t="s">
        <v>11290</v>
      </c>
      <c r="L5751" s="11">
        <v>4.5096158201449779</v>
      </c>
      <c r="N5751" s="12"/>
    </row>
    <row r="5752" spans="1:14" s="5" customFormat="1" ht="15" customHeight="1" x14ac:dyDescent="0.25">
      <c r="A5752" s="9" t="s">
        <v>11291</v>
      </c>
      <c r="C5752" s="9" t="str">
        <f>HYPERLINK("http://www.ncbi.nlm.nih.gov/protein/226443075;226443079","Ppp1r18")</f>
        <v>Ppp1r18</v>
      </c>
      <c r="D5752" s="10">
        <f t="shared" si="89"/>
        <v>3.2255597639870999</v>
      </c>
      <c r="F5752" s="8" t="str">
        <f>HYPERLINK("https://esbl.nhlbi.nih.gov/Databases/mpkFractions/proteomic_fractions_log_files/Yang_log_img/226443075;226443079.jpg","show blot")</f>
        <v>show blot</v>
      </c>
      <c r="H5752" s="8" t="str">
        <f>HYPERLINK("https://esbl.nhlbi.nih.gov/Databases/mpkFractions/proteomic_fractions_linear_files/Yang_linear_img/226443075;226443079.jpg","show blot")</f>
        <v>show blot</v>
      </c>
      <c r="J5752" s="5" t="s">
        <v>11292</v>
      </c>
      <c r="L5752" s="11">
        <v>3.2255597639870999</v>
      </c>
      <c r="N5752" s="12"/>
    </row>
    <row r="5753" spans="1:14" s="5" customFormat="1" ht="15" customHeight="1" x14ac:dyDescent="0.25">
      <c r="A5753" s="9" t="s">
        <v>11293</v>
      </c>
      <c r="C5753" s="9" t="str">
        <f>HYPERLINK("http://www.ncbi.nlm.nih.gov/protein/21536256","Ppp1r1b")</f>
        <v>Ppp1r1b</v>
      </c>
      <c r="D5753" s="10">
        <f t="shared" si="89"/>
        <v>2.0005738637740231</v>
      </c>
      <c r="F5753" s="8" t="str">
        <f>HYPERLINK("https://esbl.nhlbi.nih.gov/Databases/mpkFractions/proteomic_fractions_log_files/Yang_log_img/21536256.jpg","show blot")</f>
        <v>show blot</v>
      </c>
      <c r="H5753" s="8" t="str">
        <f>HYPERLINK("https://esbl.nhlbi.nih.gov/Databases/mpkFractions/proteomic_fractions_linear_files/Yang_linear_img/21536256.jpg","show blot")</f>
        <v>show blot</v>
      </c>
      <c r="J5753" s="5" t="s">
        <v>11294</v>
      </c>
      <c r="L5753" s="11">
        <v>2.0005738637740231</v>
      </c>
      <c r="N5753" s="12"/>
    </row>
    <row r="5754" spans="1:14" s="5" customFormat="1" ht="15" customHeight="1" x14ac:dyDescent="0.25">
      <c r="A5754" s="9" t="s">
        <v>11295</v>
      </c>
      <c r="C5754" s="9" t="str">
        <f>HYPERLINK("http://www.ncbi.nlm.nih.gov/protein/18859587","Ppp1r2")</f>
        <v>Ppp1r2</v>
      </c>
      <c r="D5754" s="10">
        <f t="shared" si="89"/>
        <v>2.1168386595762509</v>
      </c>
      <c r="F5754" s="8" t="str">
        <f>HYPERLINK("https://esbl.nhlbi.nih.gov/Databases/mpkFractions/proteomic_fractions_log_files/Yang_log_img/18859587.jpg","show blot")</f>
        <v>show blot</v>
      </c>
      <c r="H5754" s="8" t="str">
        <f>HYPERLINK("https://esbl.nhlbi.nih.gov/Databases/mpkFractions/proteomic_fractions_linear_files/Yang_linear_img/18859587.jpg","show blot")</f>
        <v>show blot</v>
      </c>
      <c r="J5754" s="5" t="s">
        <v>11296</v>
      </c>
      <c r="L5754" s="11">
        <v>2.1168386595762509</v>
      </c>
      <c r="N5754" s="12"/>
    </row>
    <row r="5755" spans="1:14" s="5" customFormat="1" ht="15" customHeight="1" x14ac:dyDescent="0.25">
      <c r="A5755" s="9" t="s">
        <v>11297</v>
      </c>
      <c r="C5755" s="9" t="str">
        <f>HYPERLINK("http://www.ncbi.nlm.nih.gov/protein/254911014","Ppp1r21")</f>
        <v>Ppp1r21</v>
      </c>
      <c r="D5755" s="10">
        <f t="shared" si="89"/>
        <v>3.8861110931074272</v>
      </c>
      <c r="F5755" s="8" t="str">
        <f>HYPERLINK("https://esbl.nhlbi.nih.gov/Databases/mpkFractions/proteomic_fractions_log_files/Yang_log_img/254911014.jpg","show blot")</f>
        <v>show blot</v>
      </c>
      <c r="H5755" s="8" t="str">
        <f>HYPERLINK("https://esbl.nhlbi.nih.gov/Databases/mpkFractions/proteomic_fractions_linear_files/Yang_linear_img/254911014.jpg","show blot")</f>
        <v>show blot</v>
      </c>
      <c r="J5755" s="5" t="s">
        <v>11298</v>
      </c>
      <c r="L5755" s="11">
        <v>3.8861110931074272</v>
      </c>
      <c r="N5755" s="12"/>
    </row>
    <row r="5756" spans="1:14" s="5" customFormat="1" ht="15" customHeight="1" x14ac:dyDescent="0.25">
      <c r="A5756" s="9" t="s">
        <v>11299</v>
      </c>
      <c r="C5756" s="9" t="str">
        <f>HYPERLINK("http://www.ncbi.nlm.nih.gov/protein/12963569","Ppp1r7")</f>
        <v>Ppp1r7</v>
      </c>
      <c r="D5756" s="10">
        <f t="shared" si="89"/>
        <v>6.016362638857335</v>
      </c>
      <c r="F5756" s="8" t="str">
        <f>HYPERLINK("https://esbl.nhlbi.nih.gov/Databases/mpkFractions/proteomic_fractions_log_files/Yang_log_img/12963569.jpg","show blot")</f>
        <v>show blot</v>
      </c>
      <c r="H5756" s="8" t="str">
        <f>HYPERLINK("https://esbl.nhlbi.nih.gov/Databases/mpkFractions/proteomic_fractions_linear_files/Yang_linear_img/12963569.jpg","show blot")</f>
        <v>show blot</v>
      </c>
      <c r="J5756" s="5" t="s">
        <v>11300</v>
      </c>
      <c r="L5756" s="11">
        <v>6.016362638857335</v>
      </c>
      <c r="N5756" s="12"/>
    </row>
    <row r="5757" spans="1:14" s="5" customFormat="1" ht="15" customHeight="1" x14ac:dyDescent="0.25">
      <c r="A5757" s="9" t="s">
        <v>11301</v>
      </c>
      <c r="C5757" s="9" t="str">
        <f>HYPERLINK("http://www.ncbi.nlm.nih.gov/protein/22122685","Ppp1r8")</f>
        <v>Ppp1r8</v>
      </c>
      <c r="D5757" s="10">
        <f t="shared" si="89"/>
        <v>4.0136329502883132</v>
      </c>
      <c r="F5757" s="8" t="str">
        <f>HYPERLINK("https://esbl.nhlbi.nih.gov/Databases/mpkFractions/proteomic_fractions_log_files/Yang_log_img/22122685.jpg","show blot")</f>
        <v>show blot</v>
      </c>
      <c r="H5757" s="8" t="str">
        <f>HYPERLINK("https://esbl.nhlbi.nih.gov/Databases/mpkFractions/proteomic_fractions_linear_files/Yang_linear_img/22122685.jpg","show blot")</f>
        <v>show blot</v>
      </c>
      <c r="J5757" s="5" t="s">
        <v>11302</v>
      </c>
      <c r="L5757" s="11">
        <v>4.0136329502883132</v>
      </c>
      <c r="N5757" s="12"/>
    </row>
    <row r="5758" spans="1:14" s="5" customFormat="1" ht="15" customHeight="1" x14ac:dyDescent="0.25">
      <c r="A5758" s="9" t="s">
        <v>11303</v>
      </c>
      <c r="C5758" s="9" t="str">
        <f>HYPERLINK("http://www.ncbi.nlm.nih.gov/protein/31711997","Ppp1r9a")</f>
        <v>Ppp1r9a</v>
      </c>
      <c r="D5758" s="10">
        <f t="shared" si="89"/>
        <v>4.4249230805049811</v>
      </c>
      <c r="F5758" s="8" t="str">
        <f>HYPERLINK("https://esbl.nhlbi.nih.gov/Databases/mpkFractions/proteomic_fractions_log_files/Yang_log_img/31711997.jpg","show blot")</f>
        <v>show blot</v>
      </c>
      <c r="H5758" s="8" t="str">
        <f>HYPERLINK("https://esbl.nhlbi.nih.gov/Databases/mpkFractions/proteomic_fractions_linear_files/Yang_linear_img/31711997.jpg","show blot")</f>
        <v>show blot</v>
      </c>
      <c r="J5758" s="5" t="s">
        <v>11304</v>
      </c>
      <c r="L5758" s="11">
        <v>4.4249230805049811</v>
      </c>
      <c r="N5758" s="12"/>
    </row>
    <row r="5759" spans="1:14" s="5" customFormat="1" ht="15" customHeight="1" x14ac:dyDescent="0.25">
      <c r="A5759" s="9" t="s">
        <v>11305</v>
      </c>
      <c r="C5759" s="9" t="str">
        <f>HYPERLINK("http://www.ncbi.nlm.nih.gov/protein/50053703","Ppp1r9b")</f>
        <v>Ppp1r9b</v>
      </c>
      <c r="D5759" s="10">
        <f t="shared" si="89"/>
        <v>4.565558020374116</v>
      </c>
      <c r="F5759" s="8" t="str">
        <f>HYPERLINK("https://esbl.nhlbi.nih.gov/Databases/mpkFractions/proteomic_fractions_log_files/Yang_log_img/50053703.jpg","show blot")</f>
        <v>show blot</v>
      </c>
      <c r="H5759" s="8" t="str">
        <f>HYPERLINK("https://esbl.nhlbi.nih.gov/Databases/mpkFractions/proteomic_fractions_linear_files/Yang_linear_img/50053703.jpg","show blot")</f>
        <v>show blot</v>
      </c>
      <c r="J5759" s="5" t="s">
        <v>11306</v>
      </c>
      <c r="L5759" s="11">
        <v>4.565558020374116</v>
      </c>
      <c r="N5759" s="12"/>
    </row>
    <row r="5760" spans="1:14" s="5" customFormat="1" ht="15" customHeight="1" x14ac:dyDescent="0.25">
      <c r="A5760" s="9" t="s">
        <v>11307</v>
      </c>
      <c r="C5760" s="9" t="str">
        <f>HYPERLINK("http://www.ncbi.nlm.nih.gov/protein/9506983","Ppp2ca")</f>
        <v>Ppp2ca</v>
      </c>
      <c r="D5760" s="10">
        <f t="shared" si="89"/>
        <v>6.1435231740339944</v>
      </c>
      <c r="F5760" s="8" t="str">
        <f>HYPERLINK("https://esbl.nhlbi.nih.gov/Databases/mpkFractions/proteomic_fractions_log_files/Yang_log_img/9506983.jpg","show blot")</f>
        <v>show blot</v>
      </c>
      <c r="H5760" s="8" t="str">
        <f>HYPERLINK("https://esbl.nhlbi.nih.gov/Databases/mpkFractions/proteomic_fractions_linear_files/Yang_linear_img/9506983.jpg","show blot")</f>
        <v>show blot</v>
      </c>
      <c r="J5760" s="5" t="s">
        <v>11308</v>
      </c>
      <c r="L5760" s="11">
        <v>6.1435231740339944</v>
      </c>
      <c r="N5760" s="12"/>
    </row>
    <row r="5761" spans="1:14" s="5" customFormat="1" ht="15" customHeight="1" x14ac:dyDescent="0.25">
      <c r="A5761" s="9" t="s">
        <v>11309</v>
      </c>
      <c r="C5761" s="9" t="str">
        <f>HYPERLINK("http://www.ncbi.nlm.nih.gov/protein/8394024","Ppp2cb")</f>
        <v>Ppp2cb</v>
      </c>
      <c r="D5761" s="10">
        <f t="shared" si="89"/>
        <v>6.1346551268111558</v>
      </c>
      <c r="F5761" s="8" t="str">
        <f>HYPERLINK("https://esbl.nhlbi.nih.gov/Databases/mpkFractions/proteomic_fractions_log_files/Yang_log_img/8394024.jpg","show blot")</f>
        <v>show blot</v>
      </c>
      <c r="H5761" s="8" t="str">
        <f>HYPERLINK("https://esbl.nhlbi.nih.gov/Databases/mpkFractions/proteomic_fractions_linear_files/Yang_linear_img/8394024.jpg","show blot")</f>
        <v>show blot</v>
      </c>
      <c r="J5761" s="5" t="s">
        <v>11310</v>
      </c>
      <c r="L5761" s="11">
        <v>6.1346551268111558</v>
      </c>
      <c r="N5761" s="12"/>
    </row>
    <row r="5762" spans="1:14" s="5" customFormat="1" ht="15" customHeight="1" x14ac:dyDescent="0.25">
      <c r="A5762" s="9" t="s">
        <v>11311</v>
      </c>
      <c r="C5762" s="9" t="str">
        <f>HYPERLINK("http://www.ncbi.nlm.nih.gov/protein/8394027","Ppp2r1a")</f>
        <v>Ppp2r1a</v>
      </c>
      <c r="D5762" s="10">
        <f t="shared" si="89"/>
        <v>6.1750786487379887</v>
      </c>
      <c r="F5762" s="8" t="str">
        <f>HYPERLINK("https://esbl.nhlbi.nih.gov/Databases/mpkFractions/proteomic_fractions_log_files/Yang_log_img/8394027.jpg","show blot")</f>
        <v>show blot</v>
      </c>
      <c r="H5762" s="8" t="str">
        <f>HYPERLINK("https://esbl.nhlbi.nih.gov/Databases/mpkFractions/proteomic_fractions_linear_files/Yang_linear_img/8394027.jpg","show blot")</f>
        <v>show blot</v>
      </c>
      <c r="J5762" s="5" t="s">
        <v>11312</v>
      </c>
      <c r="L5762" s="11">
        <v>6.1750786487379887</v>
      </c>
      <c r="N5762" s="12"/>
    </row>
    <row r="5763" spans="1:14" s="5" customFormat="1" ht="15" customHeight="1" x14ac:dyDescent="0.25">
      <c r="A5763" s="9" t="s">
        <v>11313</v>
      </c>
      <c r="C5763" s="9" t="str">
        <f>HYPERLINK("http://www.ncbi.nlm.nih.gov/protein/557440787","Ppp2r1b")</f>
        <v>Ppp2r1b</v>
      </c>
      <c r="D5763" s="10">
        <f t="shared" si="89"/>
        <v>5.2956247262921838</v>
      </c>
      <c r="F5763" s="8" t="str">
        <f>HYPERLINK("https://esbl.nhlbi.nih.gov/Databases/mpkFractions/proteomic_fractions_log_files/Yang_log_img/557440787.jpg","show blot")</f>
        <v>show blot</v>
      </c>
      <c r="H5763" s="8" t="str">
        <f>HYPERLINK("https://esbl.nhlbi.nih.gov/Databases/mpkFractions/proteomic_fractions_linear_files/Yang_linear_img/557440787.jpg","show blot")</f>
        <v>show blot</v>
      </c>
      <c r="J5763" s="5" t="s">
        <v>11314</v>
      </c>
      <c r="L5763" s="11">
        <v>5.2956247262921838</v>
      </c>
      <c r="N5763" s="12"/>
    </row>
    <row r="5764" spans="1:14" s="5" customFormat="1" ht="15" customHeight="1" x14ac:dyDescent="0.25">
      <c r="A5764" s="9" t="s">
        <v>11315</v>
      </c>
      <c r="C5764" s="9" t="str">
        <f>HYPERLINK("http://www.ncbi.nlm.nih.gov/protein/77539770","Ppp2r1b")</f>
        <v>Ppp2r1b</v>
      </c>
      <c r="D5764" s="10">
        <f t="shared" si="89"/>
        <v>5.2956247262921838</v>
      </c>
      <c r="F5764" s="8" t="str">
        <f>HYPERLINK("https://esbl.nhlbi.nih.gov/Databases/mpkFractions/proteomic_fractions_log_files/Yang_log_img/77539770.jpg","show blot")</f>
        <v>show blot</v>
      </c>
      <c r="H5764" s="8" t="str">
        <f>HYPERLINK("https://esbl.nhlbi.nih.gov/Databases/mpkFractions/proteomic_fractions_linear_files/Yang_linear_img/77539770.jpg","show blot")</f>
        <v>show blot</v>
      </c>
      <c r="J5764" s="5" t="s">
        <v>11316</v>
      </c>
      <c r="L5764" s="11">
        <v>5.2956247262921838</v>
      </c>
      <c r="N5764" s="12"/>
    </row>
    <row r="5765" spans="1:14" s="5" customFormat="1" ht="15" customHeight="1" x14ac:dyDescent="0.25">
      <c r="A5765" s="9" t="s">
        <v>11317</v>
      </c>
      <c r="C5765" s="9" t="str">
        <f>HYPERLINK("http://www.ncbi.nlm.nih.gov/protein/77539776","Ppp2r1b")</f>
        <v>Ppp2r1b</v>
      </c>
      <c r="D5765" s="10">
        <f t="shared" ref="D5765:D5828" si="90">L5765</f>
        <v>5.2956247262921838</v>
      </c>
      <c r="F5765" s="8" t="str">
        <f>HYPERLINK("https://esbl.nhlbi.nih.gov/Databases/mpkFractions/proteomic_fractions_log_files/Yang_log_img/77539776.jpg","show blot")</f>
        <v>show blot</v>
      </c>
      <c r="H5765" s="8" t="str">
        <f>HYPERLINK("https://esbl.nhlbi.nih.gov/Databases/mpkFractions/proteomic_fractions_linear_files/Yang_linear_img/77539776.jpg","show blot")</f>
        <v>show blot</v>
      </c>
      <c r="J5765" s="5" t="s">
        <v>11318</v>
      </c>
      <c r="L5765" s="11">
        <v>5.2956247262921838</v>
      </c>
      <c r="N5765" s="12"/>
    </row>
    <row r="5766" spans="1:14" s="5" customFormat="1" ht="15" customHeight="1" x14ac:dyDescent="0.25">
      <c r="A5766" s="9" t="s">
        <v>11319</v>
      </c>
      <c r="C5766" s="9" t="str">
        <f>HYPERLINK("http://www.ncbi.nlm.nih.gov/protein/110625886","Ppp2r2a")</f>
        <v>Ppp2r2a</v>
      </c>
      <c r="D5766" s="10">
        <f t="shared" si="90"/>
        <v>5.5720050023999574</v>
      </c>
      <c r="F5766" s="8" t="str">
        <f>HYPERLINK("https://esbl.nhlbi.nih.gov/Databases/mpkFractions/proteomic_fractions_log_files/Yang_log_img/110625886.jpg","show blot")</f>
        <v>show blot</v>
      </c>
      <c r="H5766" s="8" t="str">
        <f>HYPERLINK("https://esbl.nhlbi.nih.gov/Databases/mpkFractions/proteomic_fractions_linear_files/Yang_linear_img/110625886.jpg","show blot")</f>
        <v>show blot</v>
      </c>
      <c r="J5766" s="5" t="s">
        <v>11320</v>
      </c>
      <c r="L5766" s="11">
        <v>5.5720050023999574</v>
      </c>
      <c r="N5766" s="12"/>
    </row>
    <row r="5767" spans="1:14" s="5" customFormat="1" ht="15" customHeight="1" x14ac:dyDescent="0.25">
      <c r="A5767" s="9" t="s">
        <v>11321</v>
      </c>
      <c r="C5767" s="9" t="str">
        <f>HYPERLINK("http://www.ncbi.nlm.nih.gov/protein/327180707","Ppp2r2a")</f>
        <v>Ppp2r2a</v>
      </c>
      <c r="D5767" s="10">
        <f t="shared" si="90"/>
        <v>5.5720050023999574</v>
      </c>
      <c r="F5767" s="8" t="str">
        <f>HYPERLINK("https://esbl.nhlbi.nih.gov/Databases/mpkFractions/proteomic_fractions_log_files/Yang_log_img/327180707.jpg","show blot")</f>
        <v>show blot</v>
      </c>
      <c r="H5767" s="8" t="str">
        <f>HYPERLINK("https://esbl.nhlbi.nih.gov/Databases/mpkFractions/proteomic_fractions_linear_files/Yang_linear_img/327180707.jpg","show blot")</f>
        <v>show blot</v>
      </c>
      <c r="J5767" s="5" t="s">
        <v>11322</v>
      </c>
      <c r="L5767" s="11">
        <v>5.5720050023999574</v>
      </c>
      <c r="N5767" s="12"/>
    </row>
    <row r="5768" spans="1:14" s="5" customFormat="1" ht="15" customHeight="1" x14ac:dyDescent="0.25">
      <c r="A5768" s="9" t="s">
        <v>11323</v>
      </c>
      <c r="C5768" s="9" t="str">
        <f>HYPERLINK("http://www.ncbi.nlm.nih.gov/protein/21312161","Ppp2r2b")</f>
        <v>Ppp2r2b</v>
      </c>
      <c r="D5768" s="10">
        <f t="shared" si="90"/>
        <v>4.5056273125282598</v>
      </c>
      <c r="F5768" s="8" t="str">
        <f>HYPERLINK("https://esbl.nhlbi.nih.gov/Databases/mpkFractions/proteomic_fractions_log_files/Yang_log_img/21312161.jpg","show blot")</f>
        <v>show blot</v>
      </c>
      <c r="H5768" s="8" t="str">
        <f>HYPERLINK("https://esbl.nhlbi.nih.gov/Databases/mpkFractions/proteomic_fractions_linear_files/Yang_linear_img/21312161.jpg","show blot")</f>
        <v>show blot</v>
      </c>
      <c r="J5768" s="5" t="s">
        <v>11324</v>
      </c>
      <c r="L5768" s="11">
        <v>4.5056273125282598</v>
      </c>
      <c r="N5768" s="12"/>
    </row>
    <row r="5769" spans="1:14" s="5" customFormat="1" ht="15" customHeight="1" x14ac:dyDescent="0.25">
      <c r="A5769" s="9" t="s">
        <v>11325</v>
      </c>
      <c r="C5769" s="9" t="str">
        <f>HYPERLINK("http://www.ncbi.nlm.nih.gov/protein/27370502","Ppp2r2c")</f>
        <v>Ppp2r2c</v>
      </c>
      <c r="D5769" s="10">
        <f t="shared" si="90"/>
        <v>4.8812258176213854</v>
      </c>
      <c r="F5769" s="8" t="str">
        <f>HYPERLINK("https://esbl.nhlbi.nih.gov/Databases/mpkFractions/proteomic_fractions_log_files/Yang_log_img/27370502.jpg","show blot")</f>
        <v>show blot</v>
      </c>
      <c r="H5769" s="8" t="str">
        <f>HYPERLINK("https://esbl.nhlbi.nih.gov/Databases/mpkFractions/proteomic_fractions_linear_files/Yang_linear_img/27370502.jpg","show blot")</f>
        <v>show blot</v>
      </c>
      <c r="J5769" s="5" t="s">
        <v>11326</v>
      </c>
      <c r="L5769" s="11">
        <v>4.8812258176213854</v>
      </c>
      <c r="N5769" s="12"/>
    </row>
    <row r="5770" spans="1:14" s="5" customFormat="1" ht="15" customHeight="1" x14ac:dyDescent="0.25">
      <c r="A5770" s="9" t="s">
        <v>11327</v>
      </c>
      <c r="C5770" s="9" t="str">
        <f>HYPERLINK("http://www.ncbi.nlm.nih.gov/protein/22726177","Ppp2r2d")</f>
        <v>Ppp2r2d</v>
      </c>
      <c r="D5770" s="10">
        <f t="shared" si="90"/>
        <v>4.5056273125282598</v>
      </c>
      <c r="F5770" s="8" t="str">
        <f>HYPERLINK("https://esbl.nhlbi.nih.gov/Databases/mpkFractions/proteomic_fractions_log_files/Yang_log_img/22726177.jpg","show blot")</f>
        <v>show blot</v>
      </c>
      <c r="H5770" s="8" t="str">
        <f>HYPERLINK("https://esbl.nhlbi.nih.gov/Databases/mpkFractions/proteomic_fractions_linear_files/Yang_linear_img/22726177.jpg","show blot")</f>
        <v>show blot</v>
      </c>
      <c r="J5770" s="5" t="s">
        <v>11328</v>
      </c>
      <c r="L5770" s="11">
        <v>4.5056273125282598</v>
      </c>
      <c r="N5770" s="12"/>
    </row>
    <row r="5771" spans="1:14" s="5" customFormat="1" ht="15" customHeight="1" x14ac:dyDescent="0.25">
      <c r="A5771" s="9" t="s">
        <v>11329</v>
      </c>
      <c r="C5771" s="9" t="str">
        <f>HYPERLINK("http://www.ncbi.nlm.nih.gov/protein/254587947","Ppp2r4")</f>
        <v>Ppp2r4</v>
      </c>
      <c r="D5771" s="10">
        <f t="shared" si="90"/>
        <v>5.4142524594574803</v>
      </c>
      <c r="F5771" s="8" t="str">
        <f>HYPERLINK("https://esbl.nhlbi.nih.gov/Databases/mpkFractions/proteomic_fractions_log_files/Yang_log_img/254587947.jpg","show blot")</f>
        <v>show blot</v>
      </c>
      <c r="H5771" s="8" t="str">
        <f>HYPERLINK("https://esbl.nhlbi.nih.gov/Databases/mpkFractions/proteomic_fractions_linear_files/Yang_linear_img/254587947.jpg","show blot")</f>
        <v>show blot</v>
      </c>
      <c r="J5771" s="5" t="s">
        <v>11330</v>
      </c>
      <c r="L5771" s="11">
        <v>5.4142524594574803</v>
      </c>
      <c r="N5771" s="12"/>
    </row>
    <row r="5772" spans="1:14" s="5" customFormat="1" ht="15" customHeight="1" x14ac:dyDescent="0.25">
      <c r="A5772" s="9" t="s">
        <v>11331</v>
      </c>
      <c r="C5772" s="9" t="str">
        <f>HYPERLINK("http://www.ncbi.nlm.nih.gov/protein/47059051","Ppp2r5a")</f>
        <v>Ppp2r5a</v>
      </c>
      <c r="D5772" s="10">
        <f t="shared" si="90"/>
        <v>4.8391425910894501</v>
      </c>
      <c r="F5772" s="8" t="str">
        <f>HYPERLINK("https://esbl.nhlbi.nih.gov/Databases/mpkFractions/proteomic_fractions_log_files/Yang_log_img/47059051.jpg","show blot")</f>
        <v>show blot</v>
      </c>
      <c r="H5772" s="8" t="str">
        <f>HYPERLINK("https://esbl.nhlbi.nih.gov/Databases/mpkFractions/proteomic_fractions_linear_files/Yang_linear_img/47059051.jpg","show blot")</f>
        <v>show blot</v>
      </c>
      <c r="J5772" s="5" t="s">
        <v>11332</v>
      </c>
      <c r="L5772" s="11">
        <v>4.8391425910894501</v>
      </c>
      <c r="N5772" s="12"/>
    </row>
    <row r="5773" spans="1:14" s="5" customFormat="1" ht="15" customHeight="1" x14ac:dyDescent="0.25">
      <c r="A5773" s="9" t="s">
        <v>11333</v>
      </c>
      <c r="C5773" s="9" t="str">
        <f>HYPERLINK("http://www.ncbi.nlm.nih.gov/protein/37718993","Ppp2r5b")</f>
        <v>Ppp2r5b</v>
      </c>
      <c r="D5773" s="10">
        <f t="shared" si="90"/>
        <v>4.5240272519366611</v>
      </c>
      <c r="F5773" s="8" t="str">
        <f>HYPERLINK("https://esbl.nhlbi.nih.gov/Databases/mpkFractions/proteomic_fractions_log_files/Yang_log_img/37718993.jpg","show blot")</f>
        <v>show blot</v>
      </c>
      <c r="H5773" s="8" t="str">
        <f>HYPERLINK("https://esbl.nhlbi.nih.gov/Databases/mpkFractions/proteomic_fractions_linear_files/Yang_linear_img/37718993.jpg","show blot")</f>
        <v>show blot</v>
      </c>
      <c r="J5773" s="5" t="s">
        <v>11334</v>
      </c>
      <c r="L5773" s="11">
        <v>4.5240272519366611</v>
      </c>
      <c r="N5773" s="12"/>
    </row>
    <row r="5774" spans="1:14" s="5" customFormat="1" ht="15" customHeight="1" x14ac:dyDescent="0.25">
      <c r="A5774" s="9" t="s">
        <v>11335</v>
      </c>
      <c r="C5774" s="9" t="str">
        <f>HYPERLINK("http://www.ncbi.nlm.nih.gov/protein/125346006","Ppp2r5c")</f>
        <v>Ppp2r5c</v>
      </c>
      <c r="D5774" s="10">
        <f t="shared" si="90"/>
        <v>4.6569696010101431</v>
      </c>
      <c r="F5774" s="8" t="str">
        <f>HYPERLINK("https://esbl.nhlbi.nih.gov/Databases/mpkFractions/proteomic_fractions_log_files/Yang_log_img/125346006.jpg","show blot")</f>
        <v>show blot</v>
      </c>
      <c r="H5774" s="8" t="str">
        <f>HYPERLINK("https://esbl.nhlbi.nih.gov/Databases/mpkFractions/proteomic_fractions_linear_files/Yang_linear_img/125346006.jpg","show blot")</f>
        <v>show blot</v>
      </c>
      <c r="J5774" s="5" t="s">
        <v>11336</v>
      </c>
      <c r="L5774" s="11">
        <v>4.6569696010101431</v>
      </c>
      <c r="N5774" s="12"/>
    </row>
    <row r="5775" spans="1:14" s="5" customFormat="1" ht="15" customHeight="1" x14ac:dyDescent="0.25">
      <c r="A5775" s="9" t="s">
        <v>11337</v>
      </c>
      <c r="C5775" s="9" t="str">
        <f>HYPERLINK("http://www.ncbi.nlm.nih.gov/protein/125346020","Ppp2r5c")</f>
        <v>Ppp2r5c</v>
      </c>
      <c r="D5775" s="10">
        <f t="shared" si="90"/>
        <v>4.6569696010101431</v>
      </c>
      <c r="F5775" s="8" t="str">
        <f>HYPERLINK("https://esbl.nhlbi.nih.gov/Databases/mpkFractions/proteomic_fractions_log_files/Yang_log_img/125346020.jpg","show blot")</f>
        <v>show blot</v>
      </c>
      <c r="H5775" s="8" t="str">
        <f>HYPERLINK("https://esbl.nhlbi.nih.gov/Databases/mpkFractions/proteomic_fractions_linear_files/Yang_linear_img/125346020.jpg","show blot")</f>
        <v>show blot</v>
      </c>
      <c r="J5775" s="5" t="s">
        <v>11338</v>
      </c>
      <c r="L5775" s="11">
        <v>4.6569696010101431</v>
      </c>
      <c r="N5775" s="12"/>
    </row>
    <row r="5776" spans="1:14" s="5" customFormat="1" ht="15" customHeight="1" x14ac:dyDescent="0.25">
      <c r="A5776" s="9" t="s">
        <v>11339</v>
      </c>
      <c r="C5776" s="9" t="str">
        <f>HYPERLINK("http://www.ncbi.nlm.nih.gov/protein/125346154","Ppp2r5c")</f>
        <v>Ppp2r5c</v>
      </c>
      <c r="D5776" s="10">
        <f t="shared" si="90"/>
        <v>4.6569696010101431</v>
      </c>
      <c r="F5776" s="8" t="str">
        <f>HYPERLINK("https://esbl.nhlbi.nih.gov/Databases/mpkFractions/proteomic_fractions_log_files/Yang_log_img/125346154.jpg","show blot")</f>
        <v>show blot</v>
      </c>
      <c r="H5776" s="8" t="str">
        <f>HYPERLINK("https://esbl.nhlbi.nih.gov/Databases/mpkFractions/proteomic_fractions_linear_files/Yang_linear_img/125346154.jpg","show blot")</f>
        <v>show blot</v>
      </c>
      <c r="J5776" s="5" t="s">
        <v>11340</v>
      </c>
      <c r="L5776" s="11">
        <v>4.6569696010101431</v>
      </c>
      <c r="N5776" s="12"/>
    </row>
    <row r="5777" spans="1:14" s="5" customFormat="1" ht="15" customHeight="1" x14ac:dyDescent="0.25">
      <c r="A5777" s="9" t="s">
        <v>11341</v>
      </c>
      <c r="C5777" s="9" t="str">
        <f>HYPERLINK("http://www.ncbi.nlm.nih.gov/protein/218751908","Ppp2r5c")</f>
        <v>Ppp2r5c</v>
      </c>
      <c r="D5777" s="10">
        <f t="shared" si="90"/>
        <v>4.6569696010101431</v>
      </c>
      <c r="F5777" s="8" t="str">
        <f>HYPERLINK("https://esbl.nhlbi.nih.gov/Databases/mpkFractions/proteomic_fractions_log_files/Yang_log_img/218751908.jpg","show blot")</f>
        <v>show blot</v>
      </c>
      <c r="H5777" s="8" t="str">
        <f>HYPERLINK("https://esbl.nhlbi.nih.gov/Databases/mpkFractions/proteomic_fractions_linear_files/Yang_linear_img/218751908.jpg","show blot")</f>
        <v>show blot</v>
      </c>
      <c r="J5777" s="5" t="s">
        <v>11342</v>
      </c>
      <c r="L5777" s="11">
        <v>4.6569696010101431</v>
      </c>
      <c r="N5777" s="12"/>
    </row>
    <row r="5778" spans="1:14" s="5" customFormat="1" ht="15" customHeight="1" x14ac:dyDescent="0.25">
      <c r="A5778" s="9" t="s">
        <v>11343</v>
      </c>
      <c r="C5778" s="9" t="str">
        <f>HYPERLINK("http://www.ncbi.nlm.nih.gov/protein/33942059","Ppp2r5d")</f>
        <v>Ppp2r5d</v>
      </c>
      <c r="D5778" s="10">
        <f t="shared" si="90"/>
        <v>4.9087184572304761</v>
      </c>
      <c r="F5778" s="8" t="str">
        <f>HYPERLINK("https://esbl.nhlbi.nih.gov/Databases/mpkFractions/proteomic_fractions_log_files/Yang_log_img/33942059.jpg","show blot")</f>
        <v>show blot</v>
      </c>
      <c r="H5778" s="8" t="str">
        <f>HYPERLINK("https://esbl.nhlbi.nih.gov/Databases/mpkFractions/proteomic_fractions_linear_files/Yang_linear_img/33942059.jpg","show blot")</f>
        <v>show blot</v>
      </c>
      <c r="J5778" s="5" t="s">
        <v>11344</v>
      </c>
      <c r="L5778" s="11">
        <v>4.9087184572304761</v>
      </c>
      <c r="N5778" s="12"/>
    </row>
    <row r="5779" spans="1:14" s="5" customFormat="1" ht="15" customHeight="1" x14ac:dyDescent="0.25">
      <c r="A5779" s="9" t="s">
        <v>11345</v>
      </c>
      <c r="C5779" s="9" t="str">
        <f>HYPERLINK("http://www.ncbi.nlm.nih.gov/protein/33859660","Ppp2r5e")</f>
        <v>Ppp2r5e</v>
      </c>
      <c r="D5779" s="10">
        <f t="shared" si="90"/>
        <v>5.1555163878769701</v>
      </c>
      <c r="F5779" s="8" t="str">
        <f>HYPERLINK("https://esbl.nhlbi.nih.gov/Databases/mpkFractions/proteomic_fractions_log_files/Yang_log_img/33859660.jpg","show blot")</f>
        <v>show blot</v>
      </c>
      <c r="H5779" s="8" t="str">
        <f>HYPERLINK("https://esbl.nhlbi.nih.gov/Databases/mpkFractions/proteomic_fractions_linear_files/Yang_linear_img/33859660.jpg","show blot")</f>
        <v>show blot</v>
      </c>
      <c r="J5779" s="5" t="s">
        <v>11346</v>
      </c>
      <c r="L5779" s="11">
        <v>5.1555163878769701</v>
      </c>
      <c r="N5779" s="12"/>
    </row>
    <row r="5780" spans="1:14" s="5" customFormat="1" ht="15" customHeight="1" x14ac:dyDescent="0.25">
      <c r="A5780" s="9" t="s">
        <v>11347</v>
      </c>
      <c r="C5780" s="9" t="str">
        <f>HYPERLINK("http://www.ncbi.nlm.nih.gov/protein/42415473","Ppp3ca")</f>
        <v>Ppp3ca</v>
      </c>
      <c r="D5780" s="10">
        <f t="shared" si="90"/>
        <v>5.1582314636550786</v>
      </c>
      <c r="F5780" s="8" t="str">
        <f>HYPERLINK("https://esbl.nhlbi.nih.gov/Databases/mpkFractions/proteomic_fractions_log_files/Yang_log_img/42415473.jpg","show blot")</f>
        <v>show blot</v>
      </c>
      <c r="H5780" s="8" t="str">
        <f>HYPERLINK("https://esbl.nhlbi.nih.gov/Databases/mpkFractions/proteomic_fractions_linear_files/Yang_linear_img/42415473.jpg","show blot")</f>
        <v>show blot</v>
      </c>
      <c r="J5780" s="5" t="s">
        <v>11348</v>
      </c>
      <c r="L5780" s="11">
        <v>5.1582314636550786</v>
      </c>
      <c r="N5780" s="12"/>
    </row>
    <row r="5781" spans="1:14" s="5" customFormat="1" ht="15" customHeight="1" x14ac:dyDescent="0.25">
      <c r="A5781" s="9" t="s">
        <v>11349</v>
      </c>
      <c r="C5781" s="9" t="str">
        <f>HYPERLINK("http://www.ncbi.nlm.nih.gov/protein/45592930","Ppp3cb")</f>
        <v>Ppp3cb</v>
      </c>
      <c r="D5781" s="10">
        <f t="shared" si="90"/>
        <v>4.4774508625728089</v>
      </c>
      <c r="F5781" s="8" t="str">
        <f>HYPERLINK("https://esbl.nhlbi.nih.gov/Databases/mpkFractions/proteomic_fractions_log_files/Yang_log_img/45592930.jpg","show blot")</f>
        <v>show blot</v>
      </c>
      <c r="H5781" s="8" t="str">
        <f>HYPERLINK("https://esbl.nhlbi.nih.gov/Databases/mpkFractions/proteomic_fractions_linear_files/Yang_linear_img/45592930.jpg","show blot")</f>
        <v>show blot</v>
      </c>
      <c r="J5781" s="5" t="s">
        <v>11350</v>
      </c>
      <c r="L5781" s="11">
        <v>4.4774508625728089</v>
      </c>
      <c r="N5781" s="12"/>
    </row>
    <row r="5782" spans="1:14" s="5" customFormat="1" ht="15" customHeight="1" x14ac:dyDescent="0.25">
      <c r="A5782" s="9" t="s">
        <v>11351</v>
      </c>
      <c r="C5782" s="9" t="str">
        <f>HYPERLINK("http://www.ncbi.nlm.nih.gov/protein/6679447","Ppp3cc")</f>
        <v>Ppp3cc</v>
      </c>
      <c r="D5782" s="10">
        <f t="shared" si="90"/>
        <v>4.234414525756538</v>
      </c>
      <c r="F5782" s="8" t="str">
        <f>HYPERLINK("https://esbl.nhlbi.nih.gov/Databases/mpkFractions/proteomic_fractions_log_files/Yang_log_img/6679447.jpg","show blot")</f>
        <v>show blot</v>
      </c>
      <c r="H5782" s="8" t="str">
        <f>HYPERLINK("https://esbl.nhlbi.nih.gov/Databases/mpkFractions/proteomic_fractions_linear_files/Yang_linear_img/6679447.jpg","show blot")</f>
        <v>show blot</v>
      </c>
      <c r="J5782" s="5" t="s">
        <v>11352</v>
      </c>
      <c r="L5782" s="11">
        <v>4.234414525756538</v>
      </c>
      <c r="N5782" s="12"/>
    </row>
    <row r="5783" spans="1:14" s="5" customFormat="1" ht="15" customHeight="1" x14ac:dyDescent="0.25">
      <c r="A5783" s="9" t="s">
        <v>11353</v>
      </c>
      <c r="C5783" s="9" t="str">
        <f>HYPERLINK("http://www.ncbi.nlm.nih.gov/protein/84794597","Ppp3r1")</f>
        <v>Ppp3r1</v>
      </c>
      <c r="D5783" s="10">
        <f t="shared" si="90"/>
        <v>3.806970072343471</v>
      </c>
      <c r="F5783" s="8" t="str">
        <f>HYPERLINK("https://esbl.nhlbi.nih.gov/Databases/mpkFractions/proteomic_fractions_log_files/Yang_log_img/84794597.jpg","show blot")</f>
        <v>show blot</v>
      </c>
      <c r="H5783" s="8" t="str">
        <f>HYPERLINK("https://esbl.nhlbi.nih.gov/Databases/mpkFractions/proteomic_fractions_linear_files/Yang_linear_img/84794597.jpg","show blot")</f>
        <v>show blot</v>
      </c>
      <c r="J5783" s="5" t="s">
        <v>11354</v>
      </c>
      <c r="L5783" s="11">
        <v>3.806970072343471</v>
      </c>
      <c r="N5783" s="12"/>
    </row>
    <row r="5784" spans="1:14" s="5" customFormat="1" ht="15" customHeight="1" x14ac:dyDescent="0.25">
      <c r="A5784" s="9" t="s">
        <v>11355</v>
      </c>
      <c r="C5784" s="9" t="str">
        <f>HYPERLINK("http://www.ncbi.nlm.nih.gov/protein/9790175","Ppp4c")</f>
        <v>Ppp4c</v>
      </c>
      <c r="D5784" s="10">
        <f t="shared" si="90"/>
        <v>5.1537325677600307</v>
      </c>
      <c r="F5784" s="8" t="str">
        <f>HYPERLINK("https://esbl.nhlbi.nih.gov/Databases/mpkFractions/proteomic_fractions_log_files/Yang_log_img/9790175.jpg","show blot")</f>
        <v>show blot</v>
      </c>
      <c r="H5784" s="8" t="str">
        <f>HYPERLINK("https://esbl.nhlbi.nih.gov/Databases/mpkFractions/proteomic_fractions_linear_files/Yang_linear_img/9790175.jpg","show blot")</f>
        <v>show blot</v>
      </c>
      <c r="J5784" s="5" t="s">
        <v>11356</v>
      </c>
      <c r="L5784" s="11">
        <v>5.1537325677600307</v>
      </c>
      <c r="N5784" s="12"/>
    </row>
    <row r="5785" spans="1:14" s="5" customFormat="1" ht="15" customHeight="1" x14ac:dyDescent="0.25">
      <c r="A5785" s="9" t="s">
        <v>11357</v>
      </c>
      <c r="C5785" s="9" t="str">
        <f>HYPERLINK("http://www.ncbi.nlm.nih.gov/protein/166706860","Ppp4r1")</f>
        <v>Ppp4r1</v>
      </c>
      <c r="D5785" s="10">
        <f t="shared" si="90"/>
        <v>4.5082891901926434</v>
      </c>
      <c r="F5785" s="8" t="str">
        <f>HYPERLINK("https://esbl.nhlbi.nih.gov/Databases/mpkFractions/proteomic_fractions_log_files/Yang_log_img/166706860.jpg","show blot")</f>
        <v>show blot</v>
      </c>
      <c r="H5785" s="8" t="str">
        <f>HYPERLINK("https://esbl.nhlbi.nih.gov/Databases/mpkFractions/proteomic_fractions_linear_files/Yang_linear_img/166706860.jpg","show blot")</f>
        <v>show blot</v>
      </c>
      <c r="J5785" s="5" t="s">
        <v>11358</v>
      </c>
      <c r="L5785" s="11">
        <v>4.5082891901926434</v>
      </c>
      <c r="N5785" s="12"/>
    </row>
    <row r="5786" spans="1:14" s="5" customFormat="1" ht="15" customHeight="1" x14ac:dyDescent="0.25">
      <c r="A5786" s="9" t="s">
        <v>11359</v>
      </c>
      <c r="C5786" s="9" t="str">
        <f>HYPERLINK("http://www.ncbi.nlm.nih.gov/protein/166706862","Ppp4r1")</f>
        <v>Ppp4r1</v>
      </c>
      <c r="D5786" s="10">
        <f t="shared" si="90"/>
        <v>4.5082891901926434</v>
      </c>
      <c r="F5786" s="8" t="str">
        <f>HYPERLINK("https://esbl.nhlbi.nih.gov/Databases/mpkFractions/proteomic_fractions_log_files/Yang_log_img/166706862.jpg","show blot")</f>
        <v>show blot</v>
      </c>
      <c r="H5786" s="8" t="str">
        <f>HYPERLINK("https://esbl.nhlbi.nih.gov/Databases/mpkFractions/proteomic_fractions_linear_files/Yang_linear_img/166706862.jpg","show blot")</f>
        <v>show blot</v>
      </c>
      <c r="J5786" s="5" t="s">
        <v>11360</v>
      </c>
      <c r="L5786" s="11">
        <v>4.5082891901926434</v>
      </c>
      <c r="N5786" s="12"/>
    </row>
    <row r="5787" spans="1:14" s="5" customFormat="1" ht="15" customHeight="1" x14ac:dyDescent="0.25">
      <c r="A5787" s="9" t="s">
        <v>11361</v>
      </c>
      <c r="C5787" s="9" t="str">
        <f>HYPERLINK("http://www.ncbi.nlm.nih.gov/protein/33636709","Ppp4r2")</f>
        <v>Ppp4r2</v>
      </c>
      <c r="D5787" s="10">
        <f t="shared" si="90"/>
        <v>5.2453642024797063</v>
      </c>
      <c r="F5787" s="8" t="str">
        <f>HYPERLINK("https://esbl.nhlbi.nih.gov/Databases/mpkFractions/proteomic_fractions_log_files/Yang_log_img/33636709.jpg","show blot")</f>
        <v>show blot</v>
      </c>
      <c r="H5787" s="8" t="str">
        <f>HYPERLINK("https://esbl.nhlbi.nih.gov/Databases/mpkFractions/proteomic_fractions_linear_files/Yang_linear_img/33636709.jpg","show blot")</f>
        <v>show blot</v>
      </c>
      <c r="J5787" s="5" t="s">
        <v>11362</v>
      </c>
      <c r="L5787" s="11">
        <v>5.2453642024797063</v>
      </c>
      <c r="N5787" s="12"/>
    </row>
    <row r="5788" spans="1:14" s="5" customFormat="1" ht="15" customHeight="1" x14ac:dyDescent="0.25">
      <c r="A5788" s="9" t="s">
        <v>11363</v>
      </c>
      <c r="C5788" s="9" t="str">
        <f>HYPERLINK("http://www.ncbi.nlm.nih.gov/protein/199559777","Ppp5c")</f>
        <v>Ppp5c</v>
      </c>
      <c r="D5788" s="10">
        <f t="shared" si="90"/>
        <v>5.2114586944091794</v>
      </c>
      <c r="F5788" s="8" t="str">
        <f>HYPERLINK("https://esbl.nhlbi.nih.gov/Databases/mpkFractions/proteomic_fractions_log_files/Yang_log_img/199559777.jpg","show blot")</f>
        <v>show blot</v>
      </c>
      <c r="H5788" s="8" t="str">
        <f>HYPERLINK("https://esbl.nhlbi.nih.gov/Databases/mpkFractions/proteomic_fractions_linear_files/Yang_linear_img/199559777.jpg","show blot")</f>
        <v>show blot</v>
      </c>
      <c r="J5788" s="5" t="s">
        <v>11364</v>
      </c>
      <c r="L5788" s="11">
        <v>5.2114586944091794</v>
      </c>
      <c r="N5788" s="12"/>
    </row>
    <row r="5789" spans="1:14" s="5" customFormat="1" ht="15" customHeight="1" x14ac:dyDescent="0.25">
      <c r="A5789" s="9" t="s">
        <v>11365</v>
      </c>
      <c r="C5789" s="9" t="str">
        <f>HYPERLINK("http://www.ncbi.nlm.nih.gov/protein/21312758","Ppp6c")</f>
        <v>Ppp6c</v>
      </c>
      <c r="D5789" s="10">
        <f t="shared" si="90"/>
        <v>5.2671717285846151</v>
      </c>
      <c r="F5789" s="8" t="str">
        <f>HYPERLINK("https://esbl.nhlbi.nih.gov/Databases/mpkFractions/proteomic_fractions_log_files/Yang_log_img/21312758.jpg","show blot")</f>
        <v>show blot</v>
      </c>
      <c r="H5789" s="8" t="str">
        <f>HYPERLINK("https://esbl.nhlbi.nih.gov/Databases/mpkFractions/proteomic_fractions_linear_files/Yang_linear_img/21312758.jpg","show blot")</f>
        <v>show blot</v>
      </c>
      <c r="J5789" s="5" t="s">
        <v>11366</v>
      </c>
      <c r="L5789" s="11">
        <v>5.2671717285846151</v>
      </c>
      <c r="N5789" s="12"/>
    </row>
    <row r="5790" spans="1:14" s="5" customFormat="1" ht="15" customHeight="1" x14ac:dyDescent="0.25">
      <c r="A5790" s="9" t="s">
        <v>11367</v>
      </c>
      <c r="C5790" s="9" t="str">
        <f>HYPERLINK("http://www.ncbi.nlm.nih.gov/protein/34536815","Ppp6r1")</f>
        <v>Ppp6r1</v>
      </c>
      <c r="D5790" s="10">
        <f t="shared" si="90"/>
        <v>3.9847380497918712</v>
      </c>
      <c r="F5790" s="8" t="str">
        <f>HYPERLINK("https://esbl.nhlbi.nih.gov/Databases/mpkFractions/proteomic_fractions_log_files/Yang_log_img/34536815.jpg","show blot")</f>
        <v>show blot</v>
      </c>
      <c r="H5790" s="8" t="str">
        <f>HYPERLINK("https://esbl.nhlbi.nih.gov/Databases/mpkFractions/proteomic_fractions_linear_files/Yang_linear_img/34536815.jpg","show blot")</f>
        <v>show blot</v>
      </c>
      <c r="J5790" s="5" t="s">
        <v>11368</v>
      </c>
      <c r="L5790" s="11">
        <v>3.9847380497918712</v>
      </c>
      <c r="N5790" s="12"/>
    </row>
    <row r="5791" spans="1:14" s="5" customFormat="1" ht="15" customHeight="1" x14ac:dyDescent="0.25">
      <c r="A5791" s="9" t="s">
        <v>11369</v>
      </c>
      <c r="C5791" s="9" t="str">
        <f>HYPERLINK("http://www.ncbi.nlm.nih.gov/protein/28076987","Ppp6r2")</f>
        <v>Ppp6r2</v>
      </c>
      <c r="D5791" s="10">
        <f t="shared" si="90"/>
        <v>4.1160602628162604</v>
      </c>
      <c r="F5791" s="8" t="str">
        <f>HYPERLINK("https://esbl.nhlbi.nih.gov/Databases/mpkFractions/proteomic_fractions_log_files/Yang_log_img/28076987.jpg","show blot")</f>
        <v>show blot</v>
      </c>
      <c r="H5791" s="8" t="str">
        <f>HYPERLINK("https://esbl.nhlbi.nih.gov/Databases/mpkFractions/proteomic_fractions_linear_files/Yang_linear_img/28076987.jpg","show blot")</f>
        <v>show blot</v>
      </c>
      <c r="J5791" s="5" t="s">
        <v>11370</v>
      </c>
      <c r="L5791" s="11">
        <v>4.1160602628162604</v>
      </c>
      <c r="N5791" s="12"/>
    </row>
    <row r="5792" spans="1:14" s="5" customFormat="1" ht="15" customHeight="1" x14ac:dyDescent="0.25">
      <c r="A5792" s="9" t="s">
        <v>11371</v>
      </c>
      <c r="C5792" s="9" t="str">
        <f>HYPERLINK("http://www.ncbi.nlm.nih.gov/protein/54145496","Ppp6r2")</f>
        <v>Ppp6r2</v>
      </c>
      <c r="D5792" s="10">
        <f t="shared" si="90"/>
        <v>4.1160602628162604</v>
      </c>
      <c r="F5792" s="8" t="str">
        <f>HYPERLINK("https://esbl.nhlbi.nih.gov/Databases/mpkFractions/proteomic_fractions_log_files/Yang_log_img/54145496.jpg","show blot")</f>
        <v>show blot</v>
      </c>
      <c r="H5792" s="8" t="str">
        <f>HYPERLINK("https://esbl.nhlbi.nih.gov/Databases/mpkFractions/proteomic_fractions_linear_files/Yang_linear_img/54145496.jpg","show blot")</f>
        <v>show blot</v>
      </c>
      <c r="J5792" s="5" t="s">
        <v>11372</v>
      </c>
      <c r="L5792" s="11">
        <v>4.1160602628162604</v>
      </c>
      <c r="N5792" s="12"/>
    </row>
    <row r="5793" spans="1:14" s="5" customFormat="1" ht="15" customHeight="1" x14ac:dyDescent="0.25">
      <c r="A5793" s="9" t="s">
        <v>11373</v>
      </c>
      <c r="C5793" s="9" t="str">
        <f>HYPERLINK("http://www.ncbi.nlm.nih.gov/protein/22726197","Ppp6r3")</f>
        <v>Ppp6r3</v>
      </c>
      <c r="D5793" s="10">
        <f t="shared" si="90"/>
        <v>5.3971090547636464</v>
      </c>
      <c r="F5793" s="8" t="str">
        <f>HYPERLINK("https://esbl.nhlbi.nih.gov/Databases/mpkFractions/proteomic_fractions_log_files/Yang_log_img/22726197.jpg","show blot")</f>
        <v>show blot</v>
      </c>
      <c r="H5793" s="8" t="str">
        <f>HYPERLINK("https://esbl.nhlbi.nih.gov/Databases/mpkFractions/proteomic_fractions_linear_files/Yang_linear_img/22726197.jpg","show blot")</f>
        <v>show blot</v>
      </c>
      <c r="J5793" s="5" t="s">
        <v>11374</v>
      </c>
      <c r="L5793" s="11">
        <v>5.3971090547636464</v>
      </c>
      <c r="N5793" s="12"/>
    </row>
    <row r="5794" spans="1:14" s="5" customFormat="1" ht="15" customHeight="1" x14ac:dyDescent="0.25">
      <c r="A5794" s="9" t="s">
        <v>11375</v>
      </c>
      <c r="C5794" s="9" t="str">
        <f>HYPERLINK("http://www.ncbi.nlm.nih.gov/protein/255918184","Ppp6r3")</f>
        <v>Ppp6r3</v>
      </c>
      <c r="D5794" s="10">
        <f t="shared" si="90"/>
        <v>5.3971090547636464</v>
      </c>
      <c r="F5794" s="8" t="str">
        <f>HYPERLINK("https://esbl.nhlbi.nih.gov/Databases/mpkFractions/proteomic_fractions_log_files/Yang_log_img/255918184.jpg","show blot")</f>
        <v>show blot</v>
      </c>
      <c r="H5794" s="8" t="str">
        <f>HYPERLINK("https://esbl.nhlbi.nih.gov/Databases/mpkFractions/proteomic_fractions_linear_files/Yang_linear_img/255918184.jpg","show blot")</f>
        <v>show blot</v>
      </c>
      <c r="J5794" s="5" t="s">
        <v>11376</v>
      </c>
      <c r="L5794" s="11">
        <v>5.3971090547636464</v>
      </c>
      <c r="N5794" s="12"/>
    </row>
    <row r="5795" spans="1:14" s="5" customFormat="1" ht="15" customHeight="1" x14ac:dyDescent="0.25">
      <c r="A5795" s="9" t="s">
        <v>11377</v>
      </c>
      <c r="C5795" s="9" t="str">
        <f>HYPERLINK("http://www.ncbi.nlm.nih.gov/protein/255918186","Ppp6r3")</f>
        <v>Ppp6r3</v>
      </c>
      <c r="D5795" s="10">
        <f t="shared" si="90"/>
        <v>5.3971090547636464</v>
      </c>
      <c r="F5795" s="8" t="str">
        <f>HYPERLINK("https://esbl.nhlbi.nih.gov/Databases/mpkFractions/proteomic_fractions_log_files/Yang_log_img/255918186.jpg","show blot")</f>
        <v>show blot</v>
      </c>
      <c r="H5795" s="8" t="str">
        <f>HYPERLINK("https://esbl.nhlbi.nih.gov/Databases/mpkFractions/proteomic_fractions_linear_files/Yang_linear_img/255918186.jpg","show blot")</f>
        <v>show blot</v>
      </c>
      <c r="J5795" s="5" t="s">
        <v>11378</v>
      </c>
      <c r="L5795" s="11">
        <v>5.3971090547636464</v>
      </c>
      <c r="N5795" s="12"/>
    </row>
    <row r="5796" spans="1:14" s="5" customFormat="1" ht="15" customHeight="1" x14ac:dyDescent="0.25">
      <c r="A5796" s="9" t="s">
        <v>11379</v>
      </c>
      <c r="C5796" s="9" t="str">
        <f>HYPERLINK("http://www.ncbi.nlm.nih.gov/protein/121674797","Ppt1")</f>
        <v>Ppt1</v>
      </c>
      <c r="D5796" s="10">
        <f t="shared" si="90"/>
        <v>4.8880914668884072</v>
      </c>
      <c r="F5796" s="8" t="str">
        <f>HYPERLINK("https://esbl.nhlbi.nih.gov/Databases/mpkFractions/proteomic_fractions_log_files/Yang_log_img/121674797.jpg","show blot")</f>
        <v>show blot</v>
      </c>
      <c r="H5796" s="8" t="str">
        <f>HYPERLINK("https://esbl.nhlbi.nih.gov/Databases/mpkFractions/proteomic_fractions_linear_files/Yang_linear_img/121674797.jpg","show blot")</f>
        <v>show blot</v>
      </c>
      <c r="J5796" s="5" t="s">
        <v>11380</v>
      </c>
      <c r="L5796" s="11">
        <v>4.8880914668884072</v>
      </c>
      <c r="N5796" s="12"/>
    </row>
    <row r="5797" spans="1:14" s="5" customFormat="1" ht="15" customHeight="1" x14ac:dyDescent="0.25">
      <c r="A5797" s="9" t="s">
        <v>11381</v>
      </c>
      <c r="C5797" s="9" t="str">
        <f>HYPERLINK("http://www.ncbi.nlm.nih.gov/protein/9506985","Ppt2")</f>
        <v>Ppt2</v>
      </c>
      <c r="D5797" s="10">
        <f t="shared" si="90"/>
        <v>3.7433634639187732</v>
      </c>
      <c r="F5797" s="8" t="str">
        <f>HYPERLINK("https://esbl.nhlbi.nih.gov/Databases/mpkFractions/proteomic_fractions_log_files/Yang_log_img/9506985.jpg","show blot")</f>
        <v>show blot</v>
      </c>
      <c r="H5797" s="8" t="str">
        <f>HYPERLINK("https://esbl.nhlbi.nih.gov/Databases/mpkFractions/proteomic_fractions_linear_files/Yang_linear_img/9506985.jpg","show blot")</f>
        <v>show blot</v>
      </c>
      <c r="J5797" s="5" t="s">
        <v>11382</v>
      </c>
      <c r="L5797" s="11">
        <v>3.7433634639187732</v>
      </c>
      <c r="N5797" s="12"/>
    </row>
    <row r="5798" spans="1:14" s="5" customFormat="1" ht="15" customHeight="1" x14ac:dyDescent="0.25">
      <c r="A5798" s="9" t="s">
        <v>11383</v>
      </c>
      <c r="C5798" s="9" t="str">
        <f>HYPERLINK("http://www.ncbi.nlm.nih.gov/protein/46195809","Pptc7")</f>
        <v>Pptc7</v>
      </c>
      <c r="D5798" s="10">
        <f t="shared" si="90"/>
        <v>2.977665504236624</v>
      </c>
      <c r="F5798" s="8" t="str">
        <f>HYPERLINK("https://esbl.nhlbi.nih.gov/Databases/mpkFractions/proteomic_fractions_log_files/Yang_log_img/46195809.jpg","show blot")</f>
        <v>show blot</v>
      </c>
      <c r="H5798" s="8" t="str">
        <f>HYPERLINK("https://esbl.nhlbi.nih.gov/Databases/mpkFractions/proteomic_fractions_linear_files/Yang_linear_img/46195809.jpg","show blot")</f>
        <v>show blot</v>
      </c>
      <c r="J5798" s="5" t="s">
        <v>11384</v>
      </c>
      <c r="L5798" s="11">
        <v>2.977665504236624</v>
      </c>
      <c r="N5798" s="12"/>
    </row>
    <row r="5799" spans="1:14" s="5" customFormat="1" ht="15" customHeight="1" x14ac:dyDescent="0.25">
      <c r="A5799" s="9" t="s">
        <v>11385</v>
      </c>
      <c r="C5799" s="9" t="str">
        <f>HYPERLINK("http://www.ncbi.nlm.nih.gov/protein/255683299","Ppwd1")</f>
        <v>Ppwd1</v>
      </c>
      <c r="D5799" s="10">
        <f t="shared" si="90"/>
        <v>3.031781460535127</v>
      </c>
      <c r="F5799" s="8" t="str">
        <f>HYPERLINK("https://esbl.nhlbi.nih.gov/Databases/mpkFractions/proteomic_fractions_log_files/Yang_log_img/255683299.jpg","show blot")</f>
        <v>show blot</v>
      </c>
      <c r="H5799" s="8" t="str">
        <f>HYPERLINK("https://esbl.nhlbi.nih.gov/Databases/mpkFractions/proteomic_fractions_linear_files/Yang_linear_img/255683299.jpg","show blot")</f>
        <v>show blot</v>
      </c>
      <c r="J5799" s="5" t="s">
        <v>11386</v>
      </c>
      <c r="L5799" s="11">
        <v>3.031781460535127</v>
      </c>
      <c r="N5799" s="12"/>
    </row>
    <row r="5800" spans="1:14" s="5" customFormat="1" ht="15" customHeight="1" x14ac:dyDescent="0.25">
      <c r="A5800" s="9" t="s">
        <v>11387</v>
      </c>
      <c r="C5800" s="9" t="str">
        <f>HYPERLINK("http://www.ncbi.nlm.nih.gov/protein/238550113","Pqlc3")</f>
        <v>Pqlc3</v>
      </c>
      <c r="D5800" s="10">
        <f t="shared" si="90"/>
        <v>3.1276071042735158</v>
      </c>
      <c r="F5800" s="8" t="str">
        <f>HYPERLINK("https://esbl.nhlbi.nih.gov/Databases/mpkFractions/proteomic_fractions_log_files/Yang_log_img/238550113.jpg","show blot")</f>
        <v>show blot</v>
      </c>
      <c r="H5800" s="8" t="str">
        <f>HYPERLINK("https://esbl.nhlbi.nih.gov/Databases/mpkFractions/proteomic_fractions_linear_files/Yang_linear_img/238550113.jpg","show blot")</f>
        <v>show blot</v>
      </c>
      <c r="J5800" s="5" t="s">
        <v>11388</v>
      </c>
      <c r="L5800" s="11">
        <v>3.1276071042735158</v>
      </c>
      <c r="N5800" s="12"/>
    </row>
    <row r="5801" spans="1:14" s="5" customFormat="1" ht="15" customHeight="1" x14ac:dyDescent="0.25">
      <c r="A5801" s="9" t="s">
        <v>11389</v>
      </c>
      <c r="C5801" s="9" t="str">
        <f>HYPERLINK("http://www.ncbi.nlm.nih.gov/protein/238550118","Pqlc3")</f>
        <v>Pqlc3</v>
      </c>
      <c r="D5801" s="10">
        <f t="shared" si="90"/>
        <v>3.1276071042735158</v>
      </c>
      <c r="F5801" s="8" t="str">
        <f>HYPERLINK("https://esbl.nhlbi.nih.gov/Databases/mpkFractions/proteomic_fractions_log_files/Yang_log_img/238550118.jpg","show blot")</f>
        <v>show blot</v>
      </c>
      <c r="H5801" s="8" t="str">
        <f>HYPERLINK("https://esbl.nhlbi.nih.gov/Databases/mpkFractions/proteomic_fractions_linear_files/Yang_linear_img/238550118.jpg","show blot")</f>
        <v>show blot</v>
      </c>
      <c r="J5801" s="5" t="s">
        <v>11390</v>
      </c>
      <c r="L5801" s="11">
        <v>3.1276071042735158</v>
      </c>
      <c r="N5801" s="12"/>
    </row>
    <row r="5802" spans="1:14" s="5" customFormat="1" ht="15" customHeight="1" x14ac:dyDescent="0.25">
      <c r="A5802" s="9" t="s">
        <v>11391</v>
      </c>
      <c r="C5802" s="9" t="str">
        <f>HYPERLINK("http://www.ncbi.nlm.nih.gov/protein/254750692","Pradc1")</f>
        <v>Pradc1</v>
      </c>
      <c r="D5802" s="10">
        <f t="shared" si="90"/>
        <v>1.500842890304996</v>
      </c>
      <c r="F5802" s="8" t="str">
        <f>HYPERLINK("https://esbl.nhlbi.nih.gov/Databases/mpkFractions/proteomic_fractions_log_files/Yang_log_img/254750692.jpg","show blot")</f>
        <v>show blot</v>
      </c>
      <c r="H5802" s="8" t="str">
        <f>HYPERLINK("https://esbl.nhlbi.nih.gov/Databases/mpkFractions/proteomic_fractions_linear_files/Yang_linear_img/254750692.jpg","show blot")</f>
        <v>show blot</v>
      </c>
      <c r="J5802" s="5" t="s">
        <v>11392</v>
      </c>
      <c r="L5802" s="11">
        <v>1.500842890304996</v>
      </c>
      <c r="N5802" s="12"/>
    </row>
    <row r="5803" spans="1:14" s="5" customFormat="1" ht="15" customHeight="1" x14ac:dyDescent="0.25">
      <c r="A5803" s="9" t="s">
        <v>11393</v>
      </c>
      <c r="C5803" s="9" t="str">
        <f>HYPERLINK("http://www.ncbi.nlm.nih.gov/protein/20070422","Praf2")</f>
        <v>Praf2</v>
      </c>
      <c r="D5803" s="10">
        <f t="shared" si="90"/>
        <v>4.6545559753688703</v>
      </c>
      <c r="F5803" s="8" t="str">
        <f>HYPERLINK("https://esbl.nhlbi.nih.gov/Databases/mpkFractions/proteomic_fractions_log_files/Yang_log_img/20070422.jpg","show blot")</f>
        <v>show blot</v>
      </c>
      <c r="H5803" s="8" t="str">
        <f>HYPERLINK("https://esbl.nhlbi.nih.gov/Databases/mpkFractions/proteomic_fractions_linear_files/Yang_linear_img/20070422.jpg","show blot")</f>
        <v>show blot</v>
      </c>
      <c r="J5803" s="5" t="s">
        <v>11394</v>
      </c>
      <c r="L5803" s="11">
        <v>4.6545559753688703</v>
      </c>
      <c r="N5803" s="12"/>
    </row>
    <row r="5804" spans="1:14" s="5" customFormat="1" ht="15" customHeight="1" x14ac:dyDescent="0.25">
      <c r="A5804" s="9" t="s">
        <v>11395</v>
      </c>
      <c r="C5804" s="9" t="str">
        <f>HYPERLINK("http://www.ncbi.nlm.nih.gov/protein/255308896","Pram1")</f>
        <v>Pram1</v>
      </c>
      <c r="D5804" s="10">
        <f t="shared" si="90"/>
        <v>2.275603090137861</v>
      </c>
      <c r="F5804" s="8" t="str">
        <f>HYPERLINK("https://esbl.nhlbi.nih.gov/Databases/mpkFractions/proteomic_fractions_log_files/Yang_log_img/255308896.jpg","show blot")</f>
        <v>show blot</v>
      </c>
      <c r="H5804" s="8" t="str">
        <f>HYPERLINK("https://esbl.nhlbi.nih.gov/Databases/mpkFractions/proteomic_fractions_linear_files/Yang_linear_img/255308896.jpg","show blot")</f>
        <v>show blot</v>
      </c>
      <c r="J5804" s="5" t="s">
        <v>11396</v>
      </c>
      <c r="L5804" s="11">
        <v>2.275603090137861</v>
      </c>
      <c r="N5804" s="12"/>
    </row>
    <row r="5805" spans="1:14" s="5" customFormat="1" ht="15" customHeight="1" x14ac:dyDescent="0.25">
      <c r="A5805" s="9" t="s">
        <v>11397</v>
      </c>
      <c r="C5805" s="9" t="str">
        <f>HYPERLINK("http://www.ncbi.nlm.nih.gov/protein/188219557","Prc1")</f>
        <v>Prc1</v>
      </c>
      <c r="D5805" s="10">
        <f t="shared" si="90"/>
        <v>2.508121739155559</v>
      </c>
      <c r="F5805" s="8" t="str">
        <f>HYPERLINK("https://esbl.nhlbi.nih.gov/Databases/mpkFractions/proteomic_fractions_log_files/Yang_log_img/188219557.jpg","show blot")</f>
        <v>show blot</v>
      </c>
      <c r="H5805" s="8" t="str">
        <f>HYPERLINK("https://esbl.nhlbi.nih.gov/Databases/mpkFractions/proteomic_fractions_linear_files/Yang_linear_img/188219557.jpg","show blot")</f>
        <v>show blot</v>
      </c>
      <c r="J5805" s="5" t="s">
        <v>11398</v>
      </c>
      <c r="L5805" s="11">
        <v>2.508121739155559</v>
      </c>
      <c r="N5805" s="12"/>
    </row>
    <row r="5806" spans="1:14" s="5" customFormat="1" ht="15" customHeight="1" x14ac:dyDescent="0.25">
      <c r="A5806" s="9" t="s">
        <v>11399</v>
      </c>
      <c r="C5806" s="9" t="str">
        <f>HYPERLINK("http://www.ncbi.nlm.nih.gov/protein/33469015","Prcp")</f>
        <v>Prcp</v>
      </c>
      <c r="D5806" s="10">
        <f t="shared" si="90"/>
        <v>4.5728646031133282</v>
      </c>
      <c r="F5806" s="8" t="str">
        <f>HYPERLINK("https://esbl.nhlbi.nih.gov/Databases/mpkFractions/proteomic_fractions_log_files/Yang_log_img/33469015.jpg","show blot")</f>
        <v>show blot</v>
      </c>
      <c r="H5806" s="8" t="str">
        <f>HYPERLINK("https://esbl.nhlbi.nih.gov/Databases/mpkFractions/proteomic_fractions_linear_files/Yang_linear_img/33469015.jpg","show blot")</f>
        <v>show blot</v>
      </c>
      <c r="J5806" s="5" t="s">
        <v>11400</v>
      </c>
      <c r="L5806" s="11">
        <v>4.5728646031133282</v>
      </c>
      <c r="N5806" s="12"/>
    </row>
    <row r="5807" spans="1:14" s="5" customFormat="1" ht="15" customHeight="1" x14ac:dyDescent="0.25">
      <c r="A5807" s="9" t="s">
        <v>11401</v>
      </c>
      <c r="C5807" s="9" t="str">
        <f>HYPERLINK("http://www.ncbi.nlm.nih.gov/protein/172073164","Prdm1")</f>
        <v>Prdm1</v>
      </c>
      <c r="D5807" s="10">
        <f t="shared" si="90"/>
        <v>2.4338567606243622</v>
      </c>
      <c r="F5807" s="8" t="str">
        <f>HYPERLINK("https://esbl.nhlbi.nih.gov/Databases/mpkFractions/proteomic_fractions_log_files/Yang_log_img/172073164.jpg","show blot")</f>
        <v>show blot</v>
      </c>
      <c r="H5807" s="8" t="str">
        <f>HYPERLINK("https://esbl.nhlbi.nih.gov/Databases/mpkFractions/proteomic_fractions_linear_files/Yang_linear_img/172073164.jpg","show blot")</f>
        <v>show blot</v>
      </c>
      <c r="J5807" s="5" t="s">
        <v>11402</v>
      </c>
      <c r="L5807" s="11">
        <v>2.4338567606243622</v>
      </c>
      <c r="N5807" s="12"/>
    </row>
    <row r="5808" spans="1:14" s="5" customFormat="1" ht="15" customHeight="1" x14ac:dyDescent="0.25">
      <c r="A5808" s="9" t="s">
        <v>11403</v>
      </c>
      <c r="C5808" s="9" t="str">
        <f>HYPERLINK("http://www.ncbi.nlm.nih.gov/protein/294712532","Prdm11")</f>
        <v>Prdm11</v>
      </c>
      <c r="D5808" s="10">
        <f t="shared" si="90"/>
        <v>3.171972528145079</v>
      </c>
      <c r="F5808" s="8" t="str">
        <f>HYPERLINK("https://esbl.nhlbi.nih.gov/Databases/mpkFractions/proteomic_fractions_log_files/Yang_log_img/294712532.jpg","show blot")</f>
        <v>show blot</v>
      </c>
      <c r="H5808" s="8" t="str">
        <f>HYPERLINK("https://esbl.nhlbi.nih.gov/Databases/mpkFractions/proteomic_fractions_linear_files/Yang_linear_img/294712532.jpg","show blot")</f>
        <v>show blot</v>
      </c>
      <c r="J5808" s="5" t="s">
        <v>11404</v>
      </c>
      <c r="L5808" s="11">
        <v>3.171972528145079</v>
      </c>
      <c r="N5808" s="12"/>
    </row>
    <row r="5809" spans="1:14" s="5" customFormat="1" ht="15" customHeight="1" x14ac:dyDescent="0.25">
      <c r="A5809" s="9" t="s">
        <v>11405</v>
      </c>
      <c r="C5809" s="9" t="str">
        <f>HYPERLINK("http://www.ncbi.nlm.nih.gov/protein/6754976","Prdx1")</f>
        <v>Prdx1</v>
      </c>
      <c r="D5809" s="10">
        <f t="shared" si="90"/>
        <v>7.3453000973266001</v>
      </c>
      <c r="F5809" s="8" t="str">
        <f>HYPERLINK("https://esbl.nhlbi.nih.gov/Databases/mpkFractions/proteomic_fractions_log_files/Yang_log_img/6754976.jpg","show blot")</f>
        <v>show blot</v>
      </c>
      <c r="H5809" s="8" t="str">
        <f>HYPERLINK("https://esbl.nhlbi.nih.gov/Databases/mpkFractions/proteomic_fractions_linear_files/Yang_linear_img/6754976.jpg","show blot")</f>
        <v>show blot</v>
      </c>
      <c r="J5809" s="5" t="s">
        <v>11406</v>
      </c>
      <c r="L5809" s="11">
        <v>7.3453000973266001</v>
      </c>
      <c r="N5809" s="12"/>
    </row>
    <row r="5810" spans="1:14" s="5" customFormat="1" ht="15" customHeight="1" x14ac:dyDescent="0.25">
      <c r="A5810" s="9" t="s">
        <v>11407</v>
      </c>
      <c r="C5810" s="9" t="str">
        <f>HYPERLINK("http://www.ncbi.nlm.nih.gov/protein/148747558","Prdx2")</f>
        <v>Prdx2</v>
      </c>
      <c r="D5810" s="10">
        <f t="shared" si="90"/>
        <v>6.640511836957165</v>
      </c>
      <c r="F5810" s="8" t="str">
        <f>HYPERLINK("https://esbl.nhlbi.nih.gov/Databases/mpkFractions/proteomic_fractions_log_files/Yang_log_img/148747558.jpg","show blot")</f>
        <v>show blot</v>
      </c>
      <c r="H5810" s="8" t="str">
        <f>HYPERLINK("https://esbl.nhlbi.nih.gov/Databases/mpkFractions/proteomic_fractions_linear_files/Yang_linear_img/148747558.jpg","show blot")</f>
        <v>show blot</v>
      </c>
      <c r="J5810" s="5" t="s">
        <v>11408</v>
      </c>
      <c r="L5810" s="11">
        <v>6.640511836957165</v>
      </c>
      <c r="N5810" s="12"/>
    </row>
    <row r="5811" spans="1:14" s="5" customFormat="1" ht="15" customHeight="1" x14ac:dyDescent="0.25">
      <c r="A5811" s="9" t="s">
        <v>11409</v>
      </c>
      <c r="C5811" s="9" t="str">
        <f>HYPERLINK("http://www.ncbi.nlm.nih.gov/protein/6680690","Prdx3")</f>
        <v>Prdx3</v>
      </c>
      <c r="D5811" s="10">
        <f t="shared" si="90"/>
        <v>6.5257829604483346</v>
      </c>
      <c r="F5811" s="8" t="str">
        <f>HYPERLINK("https://esbl.nhlbi.nih.gov/Databases/mpkFractions/proteomic_fractions_log_files/Yang_log_img/6680690.jpg","show blot")</f>
        <v>show blot</v>
      </c>
      <c r="H5811" s="8" t="str">
        <f>HYPERLINK("https://esbl.nhlbi.nih.gov/Databases/mpkFractions/proteomic_fractions_linear_files/Yang_linear_img/6680690.jpg","show blot")</f>
        <v>show blot</v>
      </c>
      <c r="J5811" s="5" t="s">
        <v>11410</v>
      </c>
      <c r="L5811" s="11">
        <v>6.5257829604483346</v>
      </c>
      <c r="N5811" s="12"/>
    </row>
    <row r="5812" spans="1:14" s="5" customFormat="1" ht="15" customHeight="1" x14ac:dyDescent="0.25">
      <c r="A5812" s="9" t="s">
        <v>11411</v>
      </c>
      <c r="C5812" s="9" t="str">
        <f>HYPERLINK("http://www.ncbi.nlm.nih.gov/protein/7948999","Prdx4")</f>
        <v>Prdx4</v>
      </c>
      <c r="D5812" s="10">
        <f t="shared" si="90"/>
        <v>6.700793531247287</v>
      </c>
      <c r="F5812" s="8" t="str">
        <f>HYPERLINK("https://esbl.nhlbi.nih.gov/Databases/mpkFractions/proteomic_fractions_log_files/Yang_log_img/7948999.jpg","show blot")</f>
        <v>show blot</v>
      </c>
      <c r="H5812" s="8" t="str">
        <f>HYPERLINK("https://esbl.nhlbi.nih.gov/Databases/mpkFractions/proteomic_fractions_linear_files/Yang_linear_img/7948999.jpg","show blot")</f>
        <v>show blot</v>
      </c>
      <c r="J5812" s="5" t="s">
        <v>11412</v>
      </c>
      <c r="L5812" s="11">
        <v>6.700793531247287</v>
      </c>
      <c r="N5812" s="12"/>
    </row>
    <row r="5813" spans="1:14" s="5" customFormat="1" ht="15" customHeight="1" x14ac:dyDescent="0.25">
      <c r="A5813" s="9" t="s">
        <v>11413</v>
      </c>
      <c r="C5813" s="9" t="str">
        <f>HYPERLINK("http://www.ncbi.nlm.nih.gov/protein/6755114","Prdx5")</f>
        <v>Prdx5</v>
      </c>
      <c r="D5813" s="10">
        <f t="shared" si="90"/>
        <v>6.9049426454455984</v>
      </c>
      <c r="F5813" s="8" t="str">
        <f>HYPERLINK("https://esbl.nhlbi.nih.gov/Databases/mpkFractions/proteomic_fractions_log_files/Yang_log_img/6755114.jpg","show blot")</f>
        <v>show blot</v>
      </c>
      <c r="H5813" s="8" t="str">
        <f>HYPERLINK("https://esbl.nhlbi.nih.gov/Databases/mpkFractions/proteomic_fractions_linear_files/Yang_linear_img/6755114.jpg","show blot")</f>
        <v>show blot</v>
      </c>
      <c r="J5813" s="5" t="s">
        <v>11414</v>
      </c>
      <c r="L5813" s="11">
        <v>6.9049426454455984</v>
      </c>
      <c r="N5813" s="12"/>
    </row>
    <row r="5814" spans="1:14" s="5" customFormat="1" ht="15" customHeight="1" x14ac:dyDescent="0.25">
      <c r="A5814" s="9" t="s">
        <v>11415</v>
      </c>
      <c r="C5814" s="9" t="str">
        <f>HYPERLINK("http://www.ncbi.nlm.nih.gov/protein/6671549","Prdx6")</f>
        <v>Prdx6</v>
      </c>
      <c r="D5814" s="10">
        <f t="shared" si="90"/>
        <v>6.7523448952320058</v>
      </c>
      <c r="F5814" s="8" t="str">
        <f>HYPERLINK("https://esbl.nhlbi.nih.gov/Databases/mpkFractions/proteomic_fractions_log_files/Yang_log_img/6671549.jpg","show blot")</f>
        <v>show blot</v>
      </c>
      <c r="H5814" s="8" t="str">
        <f>HYPERLINK("https://esbl.nhlbi.nih.gov/Databases/mpkFractions/proteomic_fractions_linear_files/Yang_linear_img/6671549.jpg","show blot")</f>
        <v>show blot</v>
      </c>
      <c r="J5814" s="5" t="s">
        <v>11416</v>
      </c>
      <c r="L5814" s="11">
        <v>6.7523448952320058</v>
      </c>
      <c r="N5814" s="12"/>
    </row>
    <row r="5815" spans="1:14" s="5" customFormat="1" ht="15" customHeight="1" x14ac:dyDescent="0.25">
      <c r="A5815" s="9" t="s">
        <v>11417</v>
      </c>
      <c r="C5815" s="9" t="str">
        <f>HYPERLINK("http://www.ncbi.nlm.nih.gov/protein/28916703","Prdx6b")</f>
        <v>Prdx6b</v>
      </c>
      <c r="D5815" s="10">
        <f t="shared" si="90"/>
        <v>6.3962509508311243</v>
      </c>
      <c r="F5815" s="8" t="str">
        <f>HYPERLINK("https://esbl.nhlbi.nih.gov/Databases/mpkFractions/proteomic_fractions_log_files/Yang_log_img/28916703.jpg","show blot")</f>
        <v>show blot</v>
      </c>
      <c r="H5815" s="8" t="str">
        <f>HYPERLINK("https://esbl.nhlbi.nih.gov/Databases/mpkFractions/proteomic_fractions_linear_files/Yang_linear_img/28916703.jpg","show blot")</f>
        <v>show blot</v>
      </c>
      <c r="J5815" s="5" t="s">
        <v>11418</v>
      </c>
      <c r="L5815" s="11">
        <v>6.3962509508311243</v>
      </c>
      <c r="N5815" s="12"/>
    </row>
    <row r="5816" spans="1:14" s="5" customFormat="1" ht="15" customHeight="1" x14ac:dyDescent="0.25">
      <c r="A5816" s="9" t="s">
        <v>11419</v>
      </c>
      <c r="C5816" s="9" t="str">
        <f>HYPERLINK("http://www.ncbi.nlm.nih.gov/protein/158749640","Preb")</f>
        <v>Preb</v>
      </c>
      <c r="D5816" s="10">
        <f t="shared" si="90"/>
        <v>4.104799899799243</v>
      </c>
      <c r="F5816" s="8" t="str">
        <f>HYPERLINK("https://esbl.nhlbi.nih.gov/Databases/mpkFractions/proteomic_fractions_log_files/Yang_log_img/158749640.jpg","show blot")</f>
        <v>show blot</v>
      </c>
      <c r="H5816" s="8" t="str">
        <f>HYPERLINK("https://esbl.nhlbi.nih.gov/Databases/mpkFractions/proteomic_fractions_linear_files/Yang_linear_img/158749640.jpg","show blot")</f>
        <v>show blot</v>
      </c>
      <c r="J5816" s="5" t="s">
        <v>11420</v>
      </c>
      <c r="L5816" s="11">
        <v>4.104799899799243</v>
      </c>
      <c r="N5816" s="12"/>
    </row>
    <row r="5817" spans="1:14" s="5" customFormat="1" ht="15" customHeight="1" x14ac:dyDescent="0.25">
      <c r="A5817" s="9" t="s">
        <v>11421</v>
      </c>
      <c r="C5817" s="9" t="str">
        <f>HYPERLINK("http://www.ncbi.nlm.nih.gov/protein/6755152","Prep")</f>
        <v>Prep</v>
      </c>
      <c r="D5817" s="10">
        <f t="shared" si="90"/>
        <v>5.2366417887509016</v>
      </c>
      <c r="F5817" s="8" t="str">
        <f>HYPERLINK("https://esbl.nhlbi.nih.gov/Databases/mpkFractions/proteomic_fractions_log_files/Yang_log_img/6755152.jpg","show blot")</f>
        <v>show blot</v>
      </c>
      <c r="H5817" s="8" t="str">
        <f>HYPERLINK("https://esbl.nhlbi.nih.gov/Databases/mpkFractions/proteomic_fractions_linear_files/Yang_linear_img/6755152.jpg","show blot")</f>
        <v>show blot</v>
      </c>
      <c r="J5817" s="5" t="s">
        <v>11422</v>
      </c>
      <c r="L5817" s="11">
        <v>5.2366417887509016</v>
      </c>
      <c r="N5817" s="12"/>
    </row>
    <row r="5818" spans="1:14" s="5" customFormat="1" ht="15" customHeight="1" x14ac:dyDescent="0.25">
      <c r="A5818" s="9" t="s">
        <v>11423</v>
      </c>
      <c r="C5818" s="9" t="str">
        <f>HYPERLINK("http://www.ncbi.nlm.nih.gov/protein/6679459","Prim1")</f>
        <v>Prim1</v>
      </c>
      <c r="D5818" s="10">
        <f t="shared" si="90"/>
        <v>5.0990570687971219</v>
      </c>
      <c r="F5818" s="8" t="str">
        <f>HYPERLINK("https://esbl.nhlbi.nih.gov/Databases/mpkFractions/proteomic_fractions_log_files/Yang_log_img/6679459.jpg","show blot")</f>
        <v>show blot</v>
      </c>
      <c r="H5818" s="8" t="str">
        <f>HYPERLINK("https://esbl.nhlbi.nih.gov/Databases/mpkFractions/proteomic_fractions_linear_files/Yang_linear_img/6679459.jpg","show blot")</f>
        <v>show blot</v>
      </c>
      <c r="J5818" s="5" t="s">
        <v>11424</v>
      </c>
      <c r="L5818" s="11">
        <v>5.0990570687971219</v>
      </c>
      <c r="N5818" s="12"/>
    </row>
    <row r="5819" spans="1:14" s="5" customFormat="1" ht="15" customHeight="1" x14ac:dyDescent="0.25">
      <c r="A5819" s="9" t="s">
        <v>11425</v>
      </c>
      <c r="C5819" s="9" t="str">
        <f>HYPERLINK("http://www.ncbi.nlm.nih.gov/protein/6679461","Prim2")</f>
        <v>Prim2</v>
      </c>
      <c r="D5819" s="10">
        <f t="shared" si="90"/>
        <v>5.304510842442772</v>
      </c>
      <c r="F5819" s="8" t="str">
        <f>HYPERLINK("https://esbl.nhlbi.nih.gov/Databases/mpkFractions/proteomic_fractions_log_files/Yang_log_img/6679461.jpg","show blot")</f>
        <v>show blot</v>
      </c>
      <c r="H5819" s="8" t="str">
        <f>HYPERLINK("https://esbl.nhlbi.nih.gov/Databases/mpkFractions/proteomic_fractions_linear_files/Yang_linear_img/6679461.jpg","show blot")</f>
        <v>show blot</v>
      </c>
      <c r="J5819" s="5" t="s">
        <v>11426</v>
      </c>
      <c r="L5819" s="11">
        <v>5.304510842442772</v>
      </c>
      <c r="N5819" s="12"/>
    </row>
    <row r="5820" spans="1:14" s="5" customFormat="1" ht="15" customHeight="1" x14ac:dyDescent="0.25">
      <c r="A5820" s="9" t="s">
        <v>11427</v>
      </c>
      <c r="C5820" s="9" t="str">
        <f>HYPERLINK("http://www.ncbi.nlm.nih.gov/protein/94681061","Prkaa1")</f>
        <v>Prkaa1</v>
      </c>
      <c r="D5820" s="10">
        <f t="shared" si="90"/>
        <v>5.7315444499070924</v>
      </c>
      <c r="F5820" s="8" t="str">
        <f>HYPERLINK("https://esbl.nhlbi.nih.gov/Databases/mpkFractions/proteomic_fractions_log_files/Yang_log_img/94681061.jpg","show blot")</f>
        <v>show blot</v>
      </c>
      <c r="H5820" s="8" t="str">
        <f>HYPERLINK("https://esbl.nhlbi.nih.gov/Databases/mpkFractions/proteomic_fractions_linear_files/Yang_linear_img/94681061.jpg","show blot")</f>
        <v>show blot</v>
      </c>
      <c r="J5820" s="5" t="s">
        <v>11428</v>
      </c>
      <c r="L5820" s="11">
        <v>5.7315444499070924</v>
      </c>
      <c r="N5820" s="12"/>
    </row>
    <row r="5821" spans="1:14" s="5" customFormat="1" ht="15" customHeight="1" x14ac:dyDescent="0.25">
      <c r="A5821" s="9" t="s">
        <v>11429</v>
      </c>
      <c r="C5821" s="9" t="str">
        <f>HYPERLINK("http://www.ncbi.nlm.nih.gov/protein/227452236","Prkaa2")</f>
        <v>Prkaa2</v>
      </c>
      <c r="D5821" s="10">
        <f t="shared" si="90"/>
        <v>4.8437188117839458</v>
      </c>
      <c r="F5821" s="8" t="str">
        <f>HYPERLINK("https://esbl.nhlbi.nih.gov/Databases/mpkFractions/proteomic_fractions_log_files/Yang_log_img/227452236.jpg","show blot")</f>
        <v>show blot</v>
      </c>
      <c r="H5821" s="8" t="str">
        <f>HYPERLINK("https://esbl.nhlbi.nih.gov/Databases/mpkFractions/proteomic_fractions_linear_files/Yang_linear_img/227452236.jpg","show blot")</f>
        <v>show blot</v>
      </c>
      <c r="J5821" s="5" t="s">
        <v>11430</v>
      </c>
      <c r="L5821" s="11">
        <v>4.8437188117839458</v>
      </c>
      <c r="N5821" s="12"/>
    </row>
    <row r="5822" spans="1:14" s="5" customFormat="1" ht="15" customHeight="1" x14ac:dyDescent="0.25">
      <c r="A5822" s="9" t="s">
        <v>11431</v>
      </c>
      <c r="C5822" s="9" t="str">
        <f>HYPERLINK("http://www.ncbi.nlm.nih.gov/protein/23956234","Prkab1")</f>
        <v>Prkab1</v>
      </c>
      <c r="D5822" s="10">
        <f t="shared" si="90"/>
        <v>5.0476760910091691</v>
      </c>
      <c r="F5822" s="8" t="str">
        <f>HYPERLINK("https://esbl.nhlbi.nih.gov/Databases/mpkFractions/proteomic_fractions_log_files/Yang_log_img/23956234.jpg","show blot")</f>
        <v>show blot</v>
      </c>
      <c r="H5822" s="8" t="str">
        <f>HYPERLINK("https://esbl.nhlbi.nih.gov/Databases/mpkFractions/proteomic_fractions_linear_files/Yang_linear_img/23956234.jpg","show blot")</f>
        <v>show blot</v>
      </c>
      <c r="J5822" s="5" t="s">
        <v>11432</v>
      </c>
      <c r="L5822" s="11">
        <v>5.0476760910091691</v>
      </c>
      <c r="N5822" s="12"/>
    </row>
    <row r="5823" spans="1:14" s="5" customFormat="1" ht="15" customHeight="1" x14ac:dyDescent="0.25">
      <c r="A5823" s="9" t="s">
        <v>11433</v>
      </c>
      <c r="C5823" s="9" t="str">
        <f>HYPERLINK("http://www.ncbi.nlm.nih.gov/protein/72384347","Prkab2")</f>
        <v>Prkab2</v>
      </c>
      <c r="D5823" s="10">
        <f t="shared" si="90"/>
        <v>4.7683631526723831</v>
      </c>
      <c r="F5823" s="8" t="str">
        <f>HYPERLINK("https://esbl.nhlbi.nih.gov/Databases/mpkFractions/proteomic_fractions_log_files/Yang_log_img/72384347.jpg","show blot")</f>
        <v>show blot</v>
      </c>
      <c r="H5823" s="8" t="str">
        <f>HYPERLINK("https://esbl.nhlbi.nih.gov/Databases/mpkFractions/proteomic_fractions_linear_files/Yang_linear_img/72384347.jpg","show blot")</f>
        <v>show blot</v>
      </c>
      <c r="J5823" s="5" t="s">
        <v>11434</v>
      </c>
      <c r="L5823" s="11">
        <v>4.7683631526723831</v>
      </c>
      <c r="N5823" s="12"/>
    </row>
    <row r="5824" spans="1:14" s="5" customFormat="1" ht="15" customHeight="1" x14ac:dyDescent="0.25">
      <c r="A5824" s="9" t="s">
        <v>11435</v>
      </c>
      <c r="C5824" s="9" t="str">
        <f>HYPERLINK("http://www.ncbi.nlm.nih.gov/protein/483968030","Prkaca")</f>
        <v>Prkaca</v>
      </c>
      <c r="D5824" s="10">
        <f t="shared" si="90"/>
        <v>5.840196734073726</v>
      </c>
      <c r="F5824" s="8" t="str">
        <f>HYPERLINK("https://esbl.nhlbi.nih.gov/Databases/mpkFractions/proteomic_fractions_log_files/Yang_log_img/483968030.jpg","show blot")</f>
        <v>show blot</v>
      </c>
      <c r="H5824" s="8" t="str">
        <f>HYPERLINK("https://esbl.nhlbi.nih.gov/Databases/mpkFractions/proteomic_fractions_linear_files/Yang_linear_img/483968030.jpg","show blot")</f>
        <v>show blot</v>
      </c>
      <c r="J5824" s="5" t="s">
        <v>11436</v>
      </c>
      <c r="L5824" s="11">
        <v>5.840196734073726</v>
      </c>
      <c r="N5824" s="12"/>
    </row>
    <row r="5825" spans="1:14" s="5" customFormat="1" ht="15" customHeight="1" x14ac:dyDescent="0.25">
      <c r="A5825" s="9" t="s">
        <v>11437</v>
      </c>
      <c r="C5825" s="9" t="str">
        <f>HYPERLINK("http://www.ncbi.nlm.nih.gov/protein/7110693","Prkaca")</f>
        <v>Prkaca</v>
      </c>
      <c r="D5825" s="10">
        <f t="shared" si="90"/>
        <v>5.840196734073726</v>
      </c>
      <c r="F5825" s="8" t="str">
        <f>HYPERLINK("https://esbl.nhlbi.nih.gov/Databases/mpkFractions/proteomic_fractions_log_files/Yang_log_img/7110693.jpg","show blot")</f>
        <v>show blot</v>
      </c>
      <c r="H5825" s="8" t="str">
        <f>HYPERLINK("https://esbl.nhlbi.nih.gov/Databases/mpkFractions/proteomic_fractions_linear_files/Yang_linear_img/7110693.jpg","show blot")</f>
        <v>show blot</v>
      </c>
      <c r="J5825" s="5" t="s">
        <v>11438</v>
      </c>
      <c r="L5825" s="11">
        <v>5.840196734073726</v>
      </c>
      <c r="N5825" s="12"/>
    </row>
    <row r="5826" spans="1:14" s="5" customFormat="1" ht="15" customHeight="1" x14ac:dyDescent="0.25">
      <c r="A5826" s="9" t="s">
        <v>11439</v>
      </c>
      <c r="C5826" s="9" t="str">
        <f>HYPERLINK("http://www.ncbi.nlm.nih.gov/protein/255958156","Prkacb")</f>
        <v>Prkacb</v>
      </c>
      <c r="D5826" s="10">
        <f t="shared" si="90"/>
        <v>5.5605515972916724</v>
      </c>
      <c r="F5826" s="8" t="str">
        <f>HYPERLINK("https://esbl.nhlbi.nih.gov/Databases/mpkFractions/proteomic_fractions_log_files/Yang_log_img/255958156.jpg","show blot")</f>
        <v>show blot</v>
      </c>
      <c r="H5826" s="8" t="str">
        <f>HYPERLINK("https://esbl.nhlbi.nih.gov/Databases/mpkFractions/proteomic_fractions_linear_files/Yang_linear_img/255958156.jpg","show blot")</f>
        <v>show blot</v>
      </c>
      <c r="J5826" s="5" t="s">
        <v>11440</v>
      </c>
      <c r="L5826" s="11">
        <v>5.5605515972916724</v>
      </c>
      <c r="N5826" s="12"/>
    </row>
    <row r="5827" spans="1:14" s="5" customFormat="1" ht="15" customHeight="1" x14ac:dyDescent="0.25">
      <c r="A5827" s="9" t="s">
        <v>11441</v>
      </c>
      <c r="C5827" s="9" t="str">
        <f>HYPERLINK("http://www.ncbi.nlm.nih.gov/protein/255958318","Prkacb")</f>
        <v>Prkacb</v>
      </c>
      <c r="D5827" s="10">
        <f t="shared" si="90"/>
        <v>5.5605515972916724</v>
      </c>
      <c r="F5827" s="8" t="str">
        <f>HYPERLINK("https://esbl.nhlbi.nih.gov/Databases/mpkFractions/proteomic_fractions_log_files/Yang_log_img/255958318.jpg","show blot")</f>
        <v>show blot</v>
      </c>
      <c r="H5827" s="8" t="str">
        <f>HYPERLINK("https://esbl.nhlbi.nih.gov/Databases/mpkFractions/proteomic_fractions_linear_files/Yang_linear_img/255958318.jpg","show blot")</f>
        <v>show blot</v>
      </c>
      <c r="J5827" s="5" t="s">
        <v>11442</v>
      </c>
      <c r="L5827" s="11">
        <v>5.5605515972916724</v>
      </c>
      <c r="N5827" s="12"/>
    </row>
    <row r="5828" spans="1:14" s="5" customFormat="1" ht="15" customHeight="1" x14ac:dyDescent="0.25">
      <c r="A5828" s="9" t="s">
        <v>11443</v>
      </c>
      <c r="C5828" s="9" t="str">
        <f>HYPERLINK("http://www.ncbi.nlm.nih.gov/protein/255958320","Prkacb")</f>
        <v>Prkacb</v>
      </c>
      <c r="D5828" s="10">
        <f t="shared" si="90"/>
        <v>5.5605515972916724</v>
      </c>
      <c r="F5828" s="8" t="str">
        <f>HYPERLINK("https://esbl.nhlbi.nih.gov/Databases/mpkFractions/proteomic_fractions_log_files/Yang_log_img/255958320.jpg","show blot")</f>
        <v>show blot</v>
      </c>
      <c r="H5828" s="8" t="str">
        <f>HYPERLINK("https://esbl.nhlbi.nih.gov/Databases/mpkFractions/proteomic_fractions_linear_files/Yang_linear_img/255958320.jpg","show blot")</f>
        <v>show blot</v>
      </c>
      <c r="J5828" s="5" t="s">
        <v>11444</v>
      </c>
      <c r="L5828" s="11">
        <v>5.5605515972916724</v>
      </c>
      <c r="N5828" s="12"/>
    </row>
    <row r="5829" spans="1:14" s="5" customFormat="1" ht="15" customHeight="1" x14ac:dyDescent="0.25">
      <c r="A5829" s="9" t="s">
        <v>11445</v>
      </c>
      <c r="C5829" s="9" t="str">
        <f>HYPERLINK("http://www.ncbi.nlm.nih.gov/protein/6755076","Prkacb")</f>
        <v>Prkacb</v>
      </c>
      <c r="D5829" s="10">
        <f t="shared" ref="D5829:D5892" si="91">L5829</f>
        <v>5.5605515972916724</v>
      </c>
      <c r="F5829" s="8" t="str">
        <f>HYPERLINK("https://esbl.nhlbi.nih.gov/Databases/mpkFractions/proteomic_fractions_log_files/Yang_log_img/6755076.jpg","show blot")</f>
        <v>show blot</v>
      </c>
      <c r="H5829" s="8" t="str">
        <f>HYPERLINK("https://esbl.nhlbi.nih.gov/Databases/mpkFractions/proteomic_fractions_linear_files/Yang_linear_img/6755076.jpg","show blot")</f>
        <v>show blot</v>
      </c>
      <c r="J5829" s="5" t="s">
        <v>11446</v>
      </c>
      <c r="L5829" s="11">
        <v>5.5605515972916724</v>
      </c>
      <c r="N5829" s="12"/>
    </row>
    <row r="5830" spans="1:14" s="5" customFormat="1" ht="15" customHeight="1" x14ac:dyDescent="0.25">
      <c r="A5830" s="9" t="s">
        <v>11447</v>
      </c>
      <c r="C5830" s="9" t="str">
        <f>HYPERLINK("http://www.ncbi.nlm.nih.gov/protein/124107596","Prkag1")</f>
        <v>Prkag1</v>
      </c>
      <c r="D5830" s="10">
        <f t="shared" si="91"/>
        <v>5.7504530141006587</v>
      </c>
      <c r="F5830" s="8" t="str">
        <f>HYPERLINK("https://esbl.nhlbi.nih.gov/Databases/mpkFractions/proteomic_fractions_log_files/Yang_log_img/124107596.jpg","show blot")</f>
        <v>show blot</v>
      </c>
      <c r="H5830" s="8" t="str">
        <f>HYPERLINK("https://esbl.nhlbi.nih.gov/Databases/mpkFractions/proteomic_fractions_linear_files/Yang_linear_img/124107596.jpg","show blot")</f>
        <v>show blot</v>
      </c>
      <c r="J5830" s="5" t="s">
        <v>11448</v>
      </c>
      <c r="L5830" s="11">
        <v>5.7504530141006587</v>
      </c>
      <c r="N5830" s="12"/>
    </row>
    <row r="5831" spans="1:14" s="5" customFormat="1" ht="15" customHeight="1" x14ac:dyDescent="0.25">
      <c r="A5831" s="9" t="s">
        <v>11449</v>
      </c>
      <c r="C5831" s="9" t="str">
        <f>HYPERLINK("http://www.ncbi.nlm.nih.gov/protein/282847325","Prkag2")</f>
        <v>Prkag2</v>
      </c>
      <c r="D5831" s="10">
        <f t="shared" si="91"/>
        <v>4.8521041815899029</v>
      </c>
      <c r="F5831" s="8" t="str">
        <f>HYPERLINK("https://esbl.nhlbi.nih.gov/Databases/mpkFractions/proteomic_fractions_log_files/Yang_log_img/282847325.jpg","show blot")</f>
        <v>show blot</v>
      </c>
      <c r="H5831" s="8" t="str">
        <f>HYPERLINK("https://esbl.nhlbi.nih.gov/Databases/mpkFractions/proteomic_fractions_linear_files/Yang_linear_img/282847325.jpg","show blot")</f>
        <v>show blot</v>
      </c>
      <c r="J5831" s="5" t="s">
        <v>11450</v>
      </c>
      <c r="L5831" s="11">
        <v>4.8521041815899029</v>
      </c>
      <c r="N5831" s="12"/>
    </row>
    <row r="5832" spans="1:14" s="5" customFormat="1" ht="15" customHeight="1" x14ac:dyDescent="0.25">
      <c r="A5832" s="9" t="s">
        <v>11451</v>
      </c>
      <c r="C5832" s="9" t="str">
        <f>HYPERLINK("http://www.ncbi.nlm.nih.gov/protein/282847327","Prkag2")</f>
        <v>Prkag2</v>
      </c>
      <c r="D5832" s="10">
        <f t="shared" si="91"/>
        <v>4.8521041815899029</v>
      </c>
      <c r="F5832" s="8" t="str">
        <f>HYPERLINK("https://esbl.nhlbi.nih.gov/Databases/mpkFractions/proteomic_fractions_log_files/Yang_log_img/282847327.jpg","show blot")</f>
        <v>show blot</v>
      </c>
      <c r="H5832" s="8" t="str">
        <f>HYPERLINK("https://esbl.nhlbi.nih.gov/Databases/mpkFractions/proteomic_fractions_linear_files/Yang_linear_img/282847327.jpg","show blot")</f>
        <v>show blot</v>
      </c>
      <c r="J5832" s="5" t="s">
        <v>11452</v>
      </c>
      <c r="L5832" s="11">
        <v>4.8521041815899029</v>
      </c>
      <c r="N5832" s="12"/>
    </row>
    <row r="5833" spans="1:14" s="5" customFormat="1" ht="15" customHeight="1" x14ac:dyDescent="0.25">
      <c r="A5833" s="9" t="s">
        <v>11453</v>
      </c>
      <c r="C5833" s="9" t="str">
        <f>HYPERLINK("http://www.ncbi.nlm.nih.gov/protein/282847331","Prkag2")</f>
        <v>Prkag2</v>
      </c>
      <c r="D5833" s="10">
        <f t="shared" si="91"/>
        <v>4.8521041815899029</v>
      </c>
      <c r="F5833" s="8" t="str">
        <f>HYPERLINK("https://esbl.nhlbi.nih.gov/Databases/mpkFractions/proteomic_fractions_log_files/Yang_log_img/282847331.jpg","show blot")</f>
        <v>show blot</v>
      </c>
      <c r="H5833" s="8" t="str">
        <f>HYPERLINK("https://esbl.nhlbi.nih.gov/Databases/mpkFractions/proteomic_fractions_linear_files/Yang_linear_img/282847331.jpg","show blot")</f>
        <v>show blot</v>
      </c>
      <c r="J5833" s="5" t="s">
        <v>11454</v>
      </c>
      <c r="L5833" s="11">
        <v>4.8521041815899029</v>
      </c>
      <c r="N5833" s="12"/>
    </row>
    <row r="5834" spans="1:14" s="5" customFormat="1" ht="15" customHeight="1" x14ac:dyDescent="0.25">
      <c r="A5834" s="9" t="s">
        <v>11455</v>
      </c>
      <c r="C5834" s="9" t="str">
        <f>HYPERLINK("http://www.ncbi.nlm.nih.gov/protein/30794476","Prkar1a")</f>
        <v>Prkar1a</v>
      </c>
      <c r="D5834" s="10">
        <f t="shared" si="91"/>
        <v>5.243813802120763</v>
      </c>
      <c r="F5834" s="8" t="str">
        <f>HYPERLINK("https://esbl.nhlbi.nih.gov/Databases/mpkFractions/proteomic_fractions_log_files/Yang_log_img/30794476.jpg","show blot")</f>
        <v>show blot</v>
      </c>
      <c r="H5834" s="8" t="str">
        <f>HYPERLINK("https://esbl.nhlbi.nih.gov/Databases/mpkFractions/proteomic_fractions_linear_files/Yang_linear_img/30794476.jpg","show blot")</f>
        <v>show blot</v>
      </c>
      <c r="J5834" s="5" t="s">
        <v>11456</v>
      </c>
      <c r="L5834" s="11">
        <v>5.243813802120763</v>
      </c>
      <c r="N5834" s="12"/>
    </row>
    <row r="5835" spans="1:14" s="5" customFormat="1" ht="15" customHeight="1" x14ac:dyDescent="0.25">
      <c r="A5835" s="9" t="s">
        <v>11457</v>
      </c>
      <c r="C5835" s="9" t="str">
        <f>HYPERLINK("http://www.ncbi.nlm.nih.gov/protein/359751382;254675178","Prkar1b")</f>
        <v>Prkar1b</v>
      </c>
      <c r="D5835" s="10">
        <f t="shared" si="91"/>
        <v>4.3845360280915822</v>
      </c>
      <c r="F5835" s="8" t="str">
        <f>HYPERLINK("https://esbl.nhlbi.nih.gov/Databases/mpkFractions/proteomic_fractions_log_files/Yang_log_img/359751382;254675178.jpg","show blot")</f>
        <v>show blot</v>
      </c>
      <c r="H5835" s="8" t="str">
        <f>HYPERLINK("https://esbl.nhlbi.nih.gov/Databases/mpkFractions/proteomic_fractions_linear_files/Yang_linear_img/359751382;254675178.jpg","show blot")</f>
        <v>show blot</v>
      </c>
      <c r="J5835" s="5" t="s">
        <v>11458</v>
      </c>
      <c r="L5835" s="11">
        <v>4.3845360280915822</v>
      </c>
      <c r="N5835" s="12"/>
    </row>
    <row r="5836" spans="1:14" s="5" customFormat="1" ht="15" customHeight="1" x14ac:dyDescent="0.25">
      <c r="A5836" s="9" t="s">
        <v>11459</v>
      </c>
      <c r="C5836" s="9" t="str">
        <f>HYPERLINK("http://www.ncbi.nlm.nih.gov/protein/22550094","Prkar2a")</f>
        <v>Prkar2a</v>
      </c>
      <c r="D5836" s="10">
        <f t="shared" si="91"/>
        <v>5.2975477176934866</v>
      </c>
      <c r="F5836" s="8" t="str">
        <f>HYPERLINK("https://esbl.nhlbi.nih.gov/Databases/mpkFractions/proteomic_fractions_log_files/Yang_log_img/22550094.jpg","show blot")</f>
        <v>show blot</v>
      </c>
      <c r="H5836" s="8" t="str">
        <f>HYPERLINK("https://esbl.nhlbi.nih.gov/Databases/mpkFractions/proteomic_fractions_linear_files/Yang_linear_img/22550094.jpg","show blot")</f>
        <v>show blot</v>
      </c>
      <c r="J5836" s="5" t="s">
        <v>11460</v>
      </c>
      <c r="L5836" s="11">
        <v>5.2975477176934866</v>
      </c>
      <c r="N5836" s="12"/>
    </row>
    <row r="5837" spans="1:14" s="5" customFormat="1" ht="15" customHeight="1" x14ac:dyDescent="0.25">
      <c r="A5837" s="9" t="s">
        <v>11461</v>
      </c>
      <c r="C5837" s="9" t="str">
        <f>HYPERLINK("http://www.ncbi.nlm.nih.gov/protein/45598396","Prkar2b")</f>
        <v>Prkar2b</v>
      </c>
      <c r="D5837" s="10">
        <f t="shared" si="91"/>
        <v>5.7328767784883157</v>
      </c>
      <c r="F5837" s="8" t="str">
        <f>HYPERLINK("https://esbl.nhlbi.nih.gov/Databases/mpkFractions/proteomic_fractions_log_files/Yang_log_img/45598396.jpg","show blot")</f>
        <v>show blot</v>
      </c>
      <c r="H5837" s="8" t="str">
        <f>HYPERLINK("https://esbl.nhlbi.nih.gov/Databases/mpkFractions/proteomic_fractions_linear_files/Yang_linear_img/45598396.jpg","show blot")</f>
        <v>show blot</v>
      </c>
      <c r="J5837" s="5" t="s">
        <v>11462</v>
      </c>
      <c r="L5837" s="11">
        <v>5.7328767784883157</v>
      </c>
      <c r="N5837" s="12"/>
    </row>
    <row r="5838" spans="1:14" s="5" customFormat="1" ht="15" customHeight="1" x14ac:dyDescent="0.25">
      <c r="A5838" s="9" t="s">
        <v>11463</v>
      </c>
      <c r="C5838" s="9" t="str">
        <f>HYPERLINK("http://www.ncbi.nlm.nih.gov/protein/164663791","Prkca")</f>
        <v>Prkca</v>
      </c>
      <c r="D5838" s="10">
        <f t="shared" si="91"/>
        <v>3.370679868698419</v>
      </c>
      <c r="F5838" s="8" t="str">
        <f>HYPERLINK("https://esbl.nhlbi.nih.gov/Databases/mpkFractions/proteomic_fractions_log_files/Yang_log_img/164663791.jpg","show blot")</f>
        <v>show blot</v>
      </c>
      <c r="H5838" s="8" t="str">
        <f>HYPERLINK("https://esbl.nhlbi.nih.gov/Databases/mpkFractions/proteomic_fractions_linear_files/Yang_linear_img/164663791.jpg","show blot")</f>
        <v>show blot</v>
      </c>
      <c r="J5838" s="5" t="s">
        <v>11464</v>
      </c>
      <c r="L5838" s="11">
        <v>3.370679868698419</v>
      </c>
      <c r="N5838" s="12"/>
    </row>
    <row r="5839" spans="1:14" s="5" customFormat="1" ht="15" customHeight="1" x14ac:dyDescent="0.25">
      <c r="A5839" s="9" t="s">
        <v>11465</v>
      </c>
      <c r="C5839" s="9" t="str">
        <f>HYPERLINK("http://www.ncbi.nlm.nih.gov/protein/6679345","Prkcb")</f>
        <v>Prkcb</v>
      </c>
      <c r="D5839" s="10">
        <f t="shared" si="91"/>
        <v>3.0514986716091248</v>
      </c>
      <c r="F5839" s="8" t="str">
        <f>HYPERLINK("https://esbl.nhlbi.nih.gov/Databases/mpkFractions/proteomic_fractions_log_files/Yang_log_img/6679345.jpg","show blot")</f>
        <v>show blot</v>
      </c>
      <c r="H5839" s="8" t="str">
        <f>HYPERLINK("https://esbl.nhlbi.nih.gov/Databases/mpkFractions/proteomic_fractions_linear_files/Yang_linear_img/6679345.jpg","show blot")</f>
        <v>show blot</v>
      </c>
      <c r="J5839" s="5" t="s">
        <v>11466</v>
      </c>
      <c r="L5839" s="11">
        <v>3.0514986716091248</v>
      </c>
      <c r="N5839" s="12"/>
    </row>
    <row r="5840" spans="1:14" s="5" customFormat="1" ht="15" customHeight="1" x14ac:dyDescent="0.25">
      <c r="A5840" s="9" t="s">
        <v>11467</v>
      </c>
      <c r="C5840" s="9" t="str">
        <f>HYPERLINK("http://www.ncbi.nlm.nih.gov/protein/6755082","Prkcd")</f>
        <v>Prkcd</v>
      </c>
      <c r="D5840" s="10">
        <f t="shared" si="91"/>
        <v>4.6372528401033959</v>
      </c>
      <c r="F5840" s="8" t="str">
        <f>HYPERLINK("https://esbl.nhlbi.nih.gov/Databases/mpkFractions/proteomic_fractions_log_files/Yang_log_img/6755082.jpg","show blot")</f>
        <v>show blot</v>
      </c>
      <c r="H5840" s="8" t="str">
        <f>HYPERLINK("https://esbl.nhlbi.nih.gov/Databases/mpkFractions/proteomic_fractions_linear_files/Yang_linear_img/6755082.jpg","show blot")</f>
        <v>show blot</v>
      </c>
      <c r="J5840" s="5" t="s">
        <v>11468</v>
      </c>
      <c r="L5840" s="11">
        <v>4.6372528401033959</v>
      </c>
      <c r="N5840" s="12"/>
    </row>
    <row r="5841" spans="1:14" s="5" customFormat="1" ht="15" customHeight="1" x14ac:dyDescent="0.25">
      <c r="A5841" s="9" t="s">
        <v>11469</v>
      </c>
      <c r="C5841" s="9" t="str">
        <f>HYPERLINK("http://www.ncbi.nlm.nih.gov/protein/6755084","Prkce")</f>
        <v>Prkce</v>
      </c>
      <c r="D5841" s="10">
        <f t="shared" si="91"/>
        <v>3.269605768329586</v>
      </c>
      <c r="F5841" s="8" t="str">
        <f>HYPERLINK("https://esbl.nhlbi.nih.gov/Databases/mpkFractions/proteomic_fractions_log_files/Yang_log_img/6755084.jpg","show blot")</f>
        <v>show blot</v>
      </c>
      <c r="H5841" s="8" t="str">
        <f>HYPERLINK("https://esbl.nhlbi.nih.gov/Databases/mpkFractions/proteomic_fractions_linear_files/Yang_linear_img/6755084.jpg","show blot")</f>
        <v>show blot</v>
      </c>
      <c r="J5841" s="5" t="s">
        <v>11470</v>
      </c>
      <c r="L5841" s="11">
        <v>3.269605768329586</v>
      </c>
      <c r="N5841" s="12"/>
    </row>
    <row r="5842" spans="1:14" s="5" customFormat="1" ht="15" customHeight="1" x14ac:dyDescent="0.25">
      <c r="A5842" s="9" t="s">
        <v>11471</v>
      </c>
      <c r="C5842" s="9" t="str">
        <f>HYPERLINK("http://www.ncbi.nlm.nih.gov/protein/6755080","Prkcg")</f>
        <v>Prkcg</v>
      </c>
      <c r="D5842" s="10">
        <f t="shared" si="91"/>
        <v>3.4379848608693302</v>
      </c>
      <c r="F5842" s="8" t="str">
        <f>HYPERLINK("https://esbl.nhlbi.nih.gov/Databases/mpkFractions/proteomic_fractions_log_files/Yang_log_img/6755080.jpg","show blot")</f>
        <v>show blot</v>
      </c>
      <c r="H5842" s="8" t="str">
        <f>HYPERLINK("https://esbl.nhlbi.nih.gov/Databases/mpkFractions/proteomic_fractions_linear_files/Yang_linear_img/6755080.jpg","show blot")</f>
        <v>show blot</v>
      </c>
      <c r="J5842" s="5" t="s">
        <v>11472</v>
      </c>
      <c r="L5842" s="11">
        <v>3.4379848608693302</v>
      </c>
      <c r="N5842" s="12"/>
    </row>
    <row r="5843" spans="1:14" s="5" customFormat="1" ht="15" customHeight="1" x14ac:dyDescent="0.25">
      <c r="A5843" s="9" t="s">
        <v>11473</v>
      </c>
      <c r="C5843" s="9" t="str">
        <f>HYPERLINK("http://www.ncbi.nlm.nih.gov/protein/31543511","Prkch")</f>
        <v>Prkch</v>
      </c>
      <c r="D5843" s="10">
        <f t="shared" si="91"/>
        <v>2.8896679503238518</v>
      </c>
      <c r="F5843" s="8" t="str">
        <f>HYPERLINK("https://esbl.nhlbi.nih.gov/Databases/mpkFractions/proteomic_fractions_log_files/Yang_log_img/31543511.jpg","show blot")</f>
        <v>show blot</v>
      </c>
      <c r="H5843" s="8" t="str">
        <f>HYPERLINK("https://esbl.nhlbi.nih.gov/Databases/mpkFractions/proteomic_fractions_linear_files/Yang_linear_img/31543511.jpg","show blot")</f>
        <v>show blot</v>
      </c>
      <c r="J5843" s="5" t="s">
        <v>11474</v>
      </c>
      <c r="L5843" s="11">
        <v>2.8896679503238518</v>
      </c>
      <c r="N5843" s="12"/>
    </row>
    <row r="5844" spans="1:14" s="5" customFormat="1" ht="15" customHeight="1" x14ac:dyDescent="0.25">
      <c r="A5844" s="9" t="s">
        <v>11475</v>
      </c>
      <c r="C5844" s="9" t="str">
        <f>HYPERLINK("http://www.ncbi.nlm.nih.gov/protein/133778989","Prkci")</f>
        <v>Prkci</v>
      </c>
      <c r="D5844" s="10">
        <f t="shared" si="91"/>
        <v>5.469161079389381</v>
      </c>
      <c r="F5844" s="8" t="str">
        <f>HYPERLINK("https://esbl.nhlbi.nih.gov/Databases/mpkFractions/proteomic_fractions_log_files/Yang_log_img/133778989.jpg","show blot")</f>
        <v>show blot</v>
      </c>
      <c r="H5844" s="8" t="str">
        <f>HYPERLINK("https://esbl.nhlbi.nih.gov/Databases/mpkFractions/proteomic_fractions_linear_files/Yang_linear_img/133778989.jpg","show blot")</f>
        <v>show blot</v>
      </c>
      <c r="J5844" s="5" t="s">
        <v>11476</v>
      </c>
      <c r="L5844" s="11">
        <v>5.469161079389381</v>
      </c>
      <c r="N5844" s="12"/>
    </row>
    <row r="5845" spans="1:14" s="5" customFormat="1" ht="15" customHeight="1" x14ac:dyDescent="0.25">
      <c r="A5845" s="9" t="s">
        <v>11477</v>
      </c>
      <c r="C5845" s="9" t="str">
        <f>HYPERLINK("http://www.ncbi.nlm.nih.gov/protein/6679353","Prkcq")</f>
        <v>Prkcq</v>
      </c>
      <c r="D5845" s="10">
        <f t="shared" si="91"/>
        <v>2.8732775341356822</v>
      </c>
      <c r="F5845" s="8" t="str">
        <f>HYPERLINK("https://esbl.nhlbi.nih.gov/Databases/mpkFractions/proteomic_fractions_log_files/Yang_log_img/6679353.jpg","show blot")</f>
        <v>show blot</v>
      </c>
      <c r="H5845" s="8" t="str">
        <f>HYPERLINK("https://esbl.nhlbi.nih.gov/Databases/mpkFractions/proteomic_fractions_linear_files/Yang_linear_img/6679353.jpg","show blot")</f>
        <v>show blot</v>
      </c>
      <c r="J5845" s="5" t="s">
        <v>11478</v>
      </c>
      <c r="L5845" s="11">
        <v>2.8732775341356822</v>
      </c>
      <c r="N5845" s="12"/>
    </row>
    <row r="5846" spans="1:14" s="5" customFormat="1" ht="15" customHeight="1" x14ac:dyDescent="0.25">
      <c r="A5846" s="9" t="s">
        <v>11479</v>
      </c>
      <c r="C5846" s="9" t="str">
        <f>HYPERLINK("http://www.ncbi.nlm.nih.gov/protein/6679465","Prkcsh")</f>
        <v>Prkcsh</v>
      </c>
      <c r="D5846" s="10">
        <f t="shared" si="91"/>
        <v>5.9775140400573452</v>
      </c>
      <c r="F5846" s="8" t="str">
        <f>HYPERLINK("https://esbl.nhlbi.nih.gov/Databases/mpkFractions/proteomic_fractions_log_files/Yang_log_img/6679465.jpg","show blot")</f>
        <v>show blot</v>
      </c>
      <c r="H5846" s="8" t="str">
        <f>HYPERLINK("https://esbl.nhlbi.nih.gov/Databases/mpkFractions/proteomic_fractions_linear_files/Yang_linear_img/6679465.jpg","show blot")</f>
        <v>show blot</v>
      </c>
      <c r="J5846" s="5" t="s">
        <v>11480</v>
      </c>
      <c r="L5846" s="11">
        <v>5.9775140400573452</v>
      </c>
      <c r="N5846" s="12"/>
    </row>
    <row r="5847" spans="1:14" s="5" customFormat="1" ht="15" customHeight="1" x14ac:dyDescent="0.25">
      <c r="A5847" s="9" t="s">
        <v>11481</v>
      </c>
      <c r="C5847" s="9" t="str">
        <f>HYPERLINK("http://www.ncbi.nlm.nih.gov/protein/84872200","Prkcz")</f>
        <v>Prkcz</v>
      </c>
      <c r="D5847" s="10">
        <f t="shared" si="91"/>
        <v>3.523378840010206</v>
      </c>
      <c r="F5847" s="8" t="str">
        <f>HYPERLINK("https://esbl.nhlbi.nih.gov/Databases/mpkFractions/proteomic_fractions_log_files/Yang_log_img/84872200.jpg","show blot")</f>
        <v>show blot</v>
      </c>
      <c r="H5847" s="8" t="str">
        <f>HYPERLINK("https://esbl.nhlbi.nih.gov/Databases/mpkFractions/proteomic_fractions_linear_files/Yang_linear_img/84872200.jpg","show blot")</f>
        <v>show blot</v>
      </c>
      <c r="J5847" s="5" t="s">
        <v>11482</v>
      </c>
      <c r="L5847" s="11">
        <v>3.523378840010206</v>
      </c>
      <c r="N5847" s="12"/>
    </row>
    <row r="5848" spans="1:14" s="5" customFormat="1" ht="15" customHeight="1" x14ac:dyDescent="0.25">
      <c r="A5848" s="9" t="s">
        <v>11483</v>
      </c>
      <c r="C5848" s="9" t="str">
        <f>HYPERLINK("http://www.ncbi.nlm.nih.gov/protein/84872205","Prkcz")</f>
        <v>Prkcz</v>
      </c>
      <c r="D5848" s="10">
        <f t="shared" si="91"/>
        <v>3.523378840010206</v>
      </c>
      <c r="F5848" s="8" t="str">
        <f>HYPERLINK("https://esbl.nhlbi.nih.gov/Databases/mpkFractions/proteomic_fractions_log_files/Yang_log_img/84872205.jpg","show blot")</f>
        <v>show blot</v>
      </c>
      <c r="H5848" s="8" t="str">
        <f>HYPERLINK("https://esbl.nhlbi.nih.gov/Databases/mpkFractions/proteomic_fractions_linear_files/Yang_linear_img/84872205.jpg","show blot")</f>
        <v>show blot</v>
      </c>
      <c r="J5848" s="5" t="s">
        <v>11484</v>
      </c>
      <c r="L5848" s="11">
        <v>3.523378840010206</v>
      </c>
      <c r="N5848" s="12"/>
    </row>
    <row r="5849" spans="1:14" s="5" customFormat="1" ht="15" customHeight="1" x14ac:dyDescent="0.25">
      <c r="A5849" s="9" t="s">
        <v>11485</v>
      </c>
      <c r="C5849" s="9" t="str">
        <f>HYPERLINK("http://www.ncbi.nlm.nih.gov/protein/356995870;30725754","Prkd2")</f>
        <v>Prkd2</v>
      </c>
      <c r="D5849" s="10">
        <f t="shared" si="91"/>
        <v>4.5633361686216691</v>
      </c>
      <c r="F5849" s="8" t="str">
        <f>HYPERLINK("https://esbl.nhlbi.nih.gov/Databases/mpkFractions/proteomic_fractions_log_files/Yang_log_img/356995870;30725754.jpg","show blot")</f>
        <v>show blot</v>
      </c>
      <c r="H5849" s="8" t="str">
        <f>HYPERLINK("https://esbl.nhlbi.nih.gov/Databases/mpkFractions/proteomic_fractions_linear_files/Yang_linear_img/356995870;30725754.jpg","show blot")</f>
        <v>show blot</v>
      </c>
      <c r="J5849" s="5" t="s">
        <v>11486</v>
      </c>
      <c r="L5849" s="11">
        <v>4.5633361686216691</v>
      </c>
      <c r="N5849" s="12"/>
    </row>
    <row r="5850" spans="1:14" s="5" customFormat="1" ht="15" customHeight="1" x14ac:dyDescent="0.25">
      <c r="A5850" s="9" t="s">
        <v>11487</v>
      </c>
      <c r="C5850" s="9" t="str">
        <f>HYPERLINK("http://www.ncbi.nlm.nih.gov/protein/30725754","Prkd2")</f>
        <v>Prkd2</v>
      </c>
      <c r="D5850" s="10">
        <f t="shared" si="91"/>
        <v>4.5633361686216691</v>
      </c>
      <c r="F5850" s="8" t="str">
        <f>HYPERLINK("https://esbl.nhlbi.nih.gov/Databases/mpkFractions/proteomic_fractions_log_files/Yang_log_img/30725754.jpg","show blot")</f>
        <v>show blot</v>
      </c>
      <c r="H5850" s="8" t="str">
        <f>HYPERLINK("https://esbl.nhlbi.nih.gov/Databases/mpkFractions/proteomic_fractions_linear_files/Yang_linear_img/30725754.jpg","show blot")</f>
        <v>show blot</v>
      </c>
      <c r="J5850" s="5" t="s">
        <v>11486</v>
      </c>
      <c r="L5850" s="11">
        <v>4.5633361686216691</v>
      </c>
      <c r="N5850" s="12"/>
    </row>
    <row r="5851" spans="1:14" s="5" customFormat="1" ht="15" customHeight="1" x14ac:dyDescent="0.25">
      <c r="A5851" s="9" t="s">
        <v>11488</v>
      </c>
      <c r="C5851" s="9" t="str">
        <f>HYPERLINK("http://www.ncbi.nlm.nih.gov/protein/124517706","Prkdc")</f>
        <v>Prkdc</v>
      </c>
      <c r="D5851" s="10">
        <f t="shared" si="91"/>
        <v>3.9970109721336482</v>
      </c>
      <c r="F5851" s="8" t="str">
        <f>HYPERLINK("https://esbl.nhlbi.nih.gov/Databases/mpkFractions/proteomic_fractions_log_files/Yang_log_img/124517706.jpg","show blot")</f>
        <v>show blot</v>
      </c>
      <c r="H5851" s="8" t="str">
        <f>HYPERLINK("https://esbl.nhlbi.nih.gov/Databases/mpkFractions/proteomic_fractions_linear_files/Yang_linear_img/124517706.jpg","show blot")</f>
        <v>show blot</v>
      </c>
      <c r="J5851" s="5" t="s">
        <v>11489</v>
      </c>
      <c r="L5851" s="11">
        <v>3.9970109721336482</v>
      </c>
      <c r="N5851" s="12"/>
    </row>
    <row r="5852" spans="1:14" s="5" customFormat="1" ht="15" customHeight="1" x14ac:dyDescent="0.25">
      <c r="A5852" s="9" t="s">
        <v>11490</v>
      </c>
      <c r="C5852" s="9" t="str">
        <f>HYPERLINK("http://www.ncbi.nlm.nih.gov/protein/6755162","Prkra")</f>
        <v>Prkra</v>
      </c>
      <c r="D5852" s="10">
        <f t="shared" si="91"/>
        <v>5.6590478806185391</v>
      </c>
      <c r="F5852" s="8" t="str">
        <f>HYPERLINK("https://esbl.nhlbi.nih.gov/Databases/mpkFractions/proteomic_fractions_log_files/Yang_log_img/6755162.jpg","show blot")</f>
        <v>show blot</v>
      </c>
      <c r="H5852" s="8" t="str">
        <f>HYPERLINK("https://esbl.nhlbi.nih.gov/Databases/mpkFractions/proteomic_fractions_linear_files/Yang_linear_img/6755162.jpg","show blot")</f>
        <v>show blot</v>
      </c>
      <c r="J5852" s="5" t="s">
        <v>11491</v>
      </c>
      <c r="L5852" s="11">
        <v>5.6590478806185391</v>
      </c>
      <c r="N5852" s="12"/>
    </row>
    <row r="5853" spans="1:14" s="5" customFormat="1" ht="15" customHeight="1" x14ac:dyDescent="0.25">
      <c r="A5853" s="9" t="s">
        <v>11492</v>
      </c>
      <c r="C5853" s="9" t="str">
        <f>HYPERLINK("http://www.ncbi.nlm.nih.gov/protein/357197160","Prmt1")</f>
        <v>Prmt1</v>
      </c>
      <c r="D5853" s="10">
        <f t="shared" si="91"/>
        <v>6.4087068101045057</v>
      </c>
      <c r="F5853" s="8" t="str">
        <f>HYPERLINK("https://esbl.nhlbi.nih.gov/Databases/mpkFractions/proteomic_fractions_log_files/Yang_log_img/357197160.jpg","show blot")</f>
        <v>show blot</v>
      </c>
      <c r="H5853" s="8" t="str">
        <f>HYPERLINK("https://esbl.nhlbi.nih.gov/Databases/mpkFractions/proteomic_fractions_linear_files/Yang_linear_img/357197160.jpg","show blot")</f>
        <v>show blot</v>
      </c>
      <c r="J5853" s="5" t="s">
        <v>11493</v>
      </c>
      <c r="L5853" s="11">
        <v>6.4087068101045057</v>
      </c>
      <c r="N5853" s="12"/>
    </row>
    <row r="5854" spans="1:14" s="5" customFormat="1" ht="15" customHeight="1" x14ac:dyDescent="0.25">
      <c r="A5854" s="9" t="s">
        <v>11494</v>
      </c>
      <c r="C5854" s="9" t="str">
        <f>HYPERLINK("http://www.ncbi.nlm.nih.gov/protein/357197158","Prmt1")</f>
        <v>Prmt1</v>
      </c>
      <c r="D5854" s="10">
        <f t="shared" si="91"/>
        <v>6.4087068101045057</v>
      </c>
      <c r="F5854" s="8" t="str">
        <f>HYPERLINK("https://esbl.nhlbi.nih.gov/Databases/mpkFractions/proteomic_fractions_log_files/Yang_log_img/357197158.jpg","show blot")</f>
        <v>show blot</v>
      </c>
      <c r="H5854" s="8" t="str">
        <f>HYPERLINK("https://esbl.nhlbi.nih.gov/Databases/mpkFractions/proteomic_fractions_linear_files/Yang_linear_img/357197158.jpg","show blot")</f>
        <v>show blot</v>
      </c>
      <c r="J5854" s="5" t="s">
        <v>11495</v>
      </c>
      <c r="L5854" s="11">
        <v>6.4087068101045057</v>
      </c>
      <c r="N5854" s="12"/>
    </row>
    <row r="5855" spans="1:14" s="5" customFormat="1" ht="15" customHeight="1" x14ac:dyDescent="0.25">
      <c r="A5855" s="9" t="s">
        <v>11496</v>
      </c>
      <c r="C5855" s="9" t="str">
        <f>HYPERLINK("http://www.ncbi.nlm.nih.gov/protein/9790109","Prmt1")</f>
        <v>Prmt1</v>
      </c>
      <c r="D5855" s="10">
        <f t="shared" si="91"/>
        <v>6.4087068101045057</v>
      </c>
      <c r="F5855" s="8" t="str">
        <f>HYPERLINK("https://esbl.nhlbi.nih.gov/Databases/mpkFractions/proteomic_fractions_log_files/Yang_log_img/9790109.jpg","show blot")</f>
        <v>show blot</v>
      </c>
      <c r="H5855" s="8" t="str">
        <f>HYPERLINK("https://esbl.nhlbi.nih.gov/Databases/mpkFractions/proteomic_fractions_linear_files/Yang_linear_img/9790109.jpg","show blot")</f>
        <v>show blot</v>
      </c>
      <c r="J5855" s="5" t="s">
        <v>11497</v>
      </c>
      <c r="L5855" s="11">
        <v>6.4087068101045057</v>
      </c>
      <c r="N5855" s="12"/>
    </row>
    <row r="5856" spans="1:14" s="5" customFormat="1" ht="15" customHeight="1" x14ac:dyDescent="0.25">
      <c r="A5856" s="9" t="s">
        <v>11498</v>
      </c>
      <c r="C5856" s="9" t="str">
        <f>HYPERLINK("http://www.ncbi.nlm.nih.gov/protein/117938280","Prmt2")</f>
        <v>Prmt2</v>
      </c>
      <c r="D5856" s="10">
        <f t="shared" si="91"/>
        <v>4.7133910889571409</v>
      </c>
      <c r="F5856" s="8" t="str">
        <f>HYPERLINK("https://esbl.nhlbi.nih.gov/Databases/mpkFractions/proteomic_fractions_log_files/Yang_log_img/117938280.jpg","show blot")</f>
        <v>show blot</v>
      </c>
      <c r="H5856" s="8" t="str">
        <f>HYPERLINK("https://esbl.nhlbi.nih.gov/Databases/mpkFractions/proteomic_fractions_linear_files/Yang_linear_img/117938280.jpg","show blot")</f>
        <v>show blot</v>
      </c>
      <c r="J5856" s="5" t="s">
        <v>11499</v>
      </c>
      <c r="L5856" s="11">
        <v>4.7133910889571409</v>
      </c>
      <c r="N5856" s="12"/>
    </row>
    <row r="5857" spans="1:14" s="5" customFormat="1" ht="15" customHeight="1" x14ac:dyDescent="0.25">
      <c r="A5857" s="9" t="s">
        <v>11500</v>
      </c>
      <c r="C5857" s="9" t="str">
        <f>HYPERLINK("http://www.ncbi.nlm.nih.gov/protein/29789323","Prmt3")</f>
        <v>Prmt3</v>
      </c>
      <c r="D5857" s="10">
        <f t="shared" si="91"/>
        <v>3.7301311165277862</v>
      </c>
      <c r="F5857" s="8" t="str">
        <f>HYPERLINK("https://esbl.nhlbi.nih.gov/Databases/mpkFractions/proteomic_fractions_log_files/Yang_log_img/29789323.jpg","show blot")</f>
        <v>show blot</v>
      </c>
      <c r="H5857" s="8" t="str">
        <f>HYPERLINK("https://esbl.nhlbi.nih.gov/Databases/mpkFractions/proteomic_fractions_linear_files/Yang_linear_img/29789323.jpg","show blot")</f>
        <v>show blot</v>
      </c>
      <c r="J5857" s="5" t="s">
        <v>11501</v>
      </c>
      <c r="L5857" s="11">
        <v>3.7301311165277862</v>
      </c>
      <c r="N5857" s="12"/>
    </row>
    <row r="5858" spans="1:14" s="5" customFormat="1" ht="15" customHeight="1" x14ac:dyDescent="0.25">
      <c r="A5858" s="9" t="s">
        <v>11502</v>
      </c>
      <c r="C5858" s="9" t="str">
        <f>HYPERLINK("http://www.ncbi.nlm.nih.gov/protein/188528624","Prmt5")</f>
        <v>Prmt5</v>
      </c>
      <c r="D5858" s="10">
        <f t="shared" si="91"/>
        <v>5.5867968570114286</v>
      </c>
      <c r="F5858" s="8" t="str">
        <f>HYPERLINK("https://esbl.nhlbi.nih.gov/Databases/mpkFractions/proteomic_fractions_log_files/Yang_log_img/188528624.jpg","show blot")</f>
        <v>show blot</v>
      </c>
      <c r="H5858" s="8" t="str">
        <f>HYPERLINK("https://esbl.nhlbi.nih.gov/Databases/mpkFractions/proteomic_fractions_linear_files/Yang_linear_img/188528624.jpg","show blot")</f>
        <v>show blot</v>
      </c>
      <c r="J5858" s="5" t="s">
        <v>11503</v>
      </c>
      <c r="L5858" s="11">
        <v>5.5867968570114286</v>
      </c>
      <c r="N5858" s="12"/>
    </row>
    <row r="5859" spans="1:14" s="5" customFormat="1" ht="15" customHeight="1" x14ac:dyDescent="0.25">
      <c r="A5859" s="9" t="s">
        <v>11504</v>
      </c>
      <c r="C5859" s="9" t="str">
        <f>HYPERLINK("http://www.ncbi.nlm.nih.gov/protein/126432554","Prmt6")</f>
        <v>Prmt6</v>
      </c>
      <c r="D5859" s="10">
        <f t="shared" si="91"/>
        <v>4.025331134368253</v>
      </c>
      <c r="F5859" s="8" t="str">
        <f>HYPERLINK("https://esbl.nhlbi.nih.gov/Databases/mpkFractions/proteomic_fractions_log_files/Yang_log_img/126432554.jpg","show blot")</f>
        <v>show blot</v>
      </c>
      <c r="H5859" s="8" t="str">
        <f>HYPERLINK("https://esbl.nhlbi.nih.gov/Databases/mpkFractions/proteomic_fractions_linear_files/Yang_linear_img/126432554.jpg","show blot")</f>
        <v>show blot</v>
      </c>
      <c r="J5859" s="5" t="s">
        <v>11505</v>
      </c>
      <c r="L5859" s="11">
        <v>4.025331134368253</v>
      </c>
      <c r="N5859" s="12"/>
    </row>
    <row r="5860" spans="1:14" s="5" customFormat="1" ht="15" customHeight="1" x14ac:dyDescent="0.25">
      <c r="A5860" s="9" t="s">
        <v>11506</v>
      </c>
      <c r="C5860" s="9" t="str">
        <f>HYPERLINK("http://www.ncbi.nlm.nih.gov/protein/21703808","Prmt7")</f>
        <v>Prmt7</v>
      </c>
      <c r="D5860" s="10">
        <f t="shared" si="91"/>
        <v>3.2217539535478932</v>
      </c>
      <c r="F5860" s="8" t="str">
        <f>HYPERLINK("https://esbl.nhlbi.nih.gov/Databases/mpkFractions/proteomic_fractions_log_files/Yang_log_img/21703808.jpg","show blot")</f>
        <v>show blot</v>
      </c>
      <c r="H5860" s="8" t="str">
        <f>HYPERLINK("https://esbl.nhlbi.nih.gov/Databases/mpkFractions/proteomic_fractions_linear_files/Yang_linear_img/21703808.jpg","show blot")</f>
        <v>show blot</v>
      </c>
      <c r="J5860" s="5" t="s">
        <v>11507</v>
      </c>
      <c r="L5860" s="11">
        <v>3.2217539535478932</v>
      </c>
      <c r="N5860" s="12"/>
    </row>
    <row r="5861" spans="1:14" s="5" customFormat="1" ht="15" customHeight="1" x14ac:dyDescent="0.25">
      <c r="A5861" s="9" t="s">
        <v>11508</v>
      </c>
      <c r="C5861" s="9" t="str">
        <f>HYPERLINK("http://www.ncbi.nlm.nih.gov/protein/357527369","Prmt8")</f>
        <v>Prmt8</v>
      </c>
      <c r="D5861" s="10">
        <f t="shared" si="91"/>
        <v>5.6332218682388877</v>
      </c>
      <c r="F5861" s="8" t="str">
        <f>HYPERLINK("https://esbl.nhlbi.nih.gov/Databases/mpkFractions/proteomic_fractions_log_files/Yang_log_img/357527369.jpg","show blot")</f>
        <v>show blot</v>
      </c>
      <c r="H5861" s="8" t="str">
        <f>HYPERLINK("https://esbl.nhlbi.nih.gov/Databases/mpkFractions/proteomic_fractions_linear_files/Yang_linear_img/357527369.jpg","show blot")</f>
        <v>show blot</v>
      </c>
      <c r="J5861" s="5" t="s">
        <v>11509</v>
      </c>
      <c r="L5861" s="11">
        <v>5.6332218682388877</v>
      </c>
      <c r="N5861" s="12"/>
    </row>
    <row r="5862" spans="1:14" s="5" customFormat="1" ht="15" customHeight="1" x14ac:dyDescent="0.25">
      <c r="A5862" s="9" t="s">
        <v>11510</v>
      </c>
      <c r="C5862" s="9" t="str">
        <f>HYPERLINK("http://www.ncbi.nlm.nih.gov/protein/118601004","Prodh")</f>
        <v>Prodh</v>
      </c>
      <c r="D5862" s="10">
        <f t="shared" si="91"/>
        <v>4.8145247268463587</v>
      </c>
      <c r="F5862" s="8" t="str">
        <f>HYPERLINK("https://esbl.nhlbi.nih.gov/Databases/mpkFractions/proteomic_fractions_log_files/Yang_log_img/118601004.jpg","show blot")</f>
        <v>show blot</v>
      </c>
      <c r="H5862" s="8" t="str">
        <f>HYPERLINK("https://esbl.nhlbi.nih.gov/Databases/mpkFractions/proteomic_fractions_linear_files/Yang_linear_img/118601004.jpg","show blot")</f>
        <v>show blot</v>
      </c>
      <c r="J5862" s="5" t="s">
        <v>11511</v>
      </c>
      <c r="L5862" s="11">
        <v>4.8145247268463587</v>
      </c>
      <c r="N5862" s="12"/>
    </row>
    <row r="5863" spans="1:14" s="5" customFormat="1" ht="15" customHeight="1" x14ac:dyDescent="0.25">
      <c r="A5863" s="9" t="s">
        <v>11512</v>
      </c>
      <c r="C5863" s="9" t="str">
        <f>HYPERLINK("http://www.ncbi.nlm.nih.gov/protein/254675296","Prom1")</f>
        <v>Prom1</v>
      </c>
      <c r="D5863" s="10">
        <f t="shared" si="91"/>
        <v>4.3015791296171422</v>
      </c>
      <c r="F5863" s="8" t="str">
        <f>HYPERLINK("https://esbl.nhlbi.nih.gov/Databases/mpkFractions/proteomic_fractions_log_files/Yang_log_img/254675296.jpg","show blot")</f>
        <v>show blot</v>
      </c>
      <c r="H5863" s="8" t="str">
        <f>HYPERLINK("https://esbl.nhlbi.nih.gov/Databases/mpkFractions/proteomic_fractions_linear_files/Yang_linear_img/254675296.jpg","show blot")</f>
        <v>show blot</v>
      </c>
      <c r="J5863" s="5" t="s">
        <v>11513</v>
      </c>
      <c r="L5863" s="11">
        <v>4.3015791296171422</v>
      </c>
      <c r="N5863" s="12"/>
    </row>
    <row r="5864" spans="1:14" s="5" customFormat="1" ht="15" customHeight="1" x14ac:dyDescent="0.25">
      <c r="A5864" s="9" t="s">
        <v>11514</v>
      </c>
      <c r="C5864" s="9" t="str">
        <f>HYPERLINK("http://www.ncbi.nlm.nih.gov/protein/254675298","Prom1")</f>
        <v>Prom1</v>
      </c>
      <c r="D5864" s="10">
        <f t="shared" si="91"/>
        <v>4.3015791296171422</v>
      </c>
      <c r="F5864" s="8" t="str">
        <f>HYPERLINK("https://esbl.nhlbi.nih.gov/Databases/mpkFractions/proteomic_fractions_log_files/Yang_log_img/254675298.jpg","show blot")</f>
        <v>show blot</v>
      </c>
      <c r="H5864" s="8" t="str">
        <f>HYPERLINK("https://esbl.nhlbi.nih.gov/Databases/mpkFractions/proteomic_fractions_linear_files/Yang_linear_img/254675298.jpg","show blot")</f>
        <v>show blot</v>
      </c>
      <c r="J5864" s="5" t="s">
        <v>11515</v>
      </c>
      <c r="L5864" s="11">
        <v>4.3015791296171422</v>
      </c>
      <c r="N5864" s="12"/>
    </row>
    <row r="5865" spans="1:14" s="5" customFormat="1" ht="15" customHeight="1" x14ac:dyDescent="0.25">
      <c r="A5865" s="9" t="s">
        <v>11516</v>
      </c>
      <c r="C5865" s="9" t="str">
        <f>HYPERLINK("http://www.ncbi.nlm.nih.gov/protein/254675304","Prom1")</f>
        <v>Prom1</v>
      </c>
      <c r="D5865" s="10">
        <f t="shared" si="91"/>
        <v>4.3015791296171422</v>
      </c>
      <c r="F5865" s="8" t="str">
        <f>HYPERLINK("https://esbl.nhlbi.nih.gov/Databases/mpkFractions/proteomic_fractions_log_files/Yang_log_img/254675304.jpg","show blot")</f>
        <v>show blot</v>
      </c>
      <c r="H5865" s="8" t="str">
        <f>HYPERLINK("https://esbl.nhlbi.nih.gov/Databases/mpkFractions/proteomic_fractions_linear_files/Yang_linear_img/254675304.jpg","show blot")</f>
        <v>show blot</v>
      </c>
      <c r="J5865" s="5" t="s">
        <v>11517</v>
      </c>
      <c r="L5865" s="11">
        <v>4.3015791296171422</v>
      </c>
      <c r="N5865" s="12"/>
    </row>
    <row r="5866" spans="1:14" s="5" customFormat="1" ht="15" customHeight="1" x14ac:dyDescent="0.25">
      <c r="A5866" s="9" t="s">
        <v>11518</v>
      </c>
      <c r="C5866" s="9" t="str">
        <f>HYPERLINK("http://www.ncbi.nlm.nih.gov/protein/254675312","Prom1")</f>
        <v>Prom1</v>
      </c>
      <c r="D5866" s="10">
        <f t="shared" si="91"/>
        <v>4.3015791296171422</v>
      </c>
      <c r="F5866" s="8" t="str">
        <f>HYPERLINK("https://esbl.nhlbi.nih.gov/Databases/mpkFractions/proteomic_fractions_log_files/Yang_log_img/254675312.jpg","show blot")</f>
        <v>show blot</v>
      </c>
      <c r="H5866" s="8" t="str">
        <f>HYPERLINK("https://esbl.nhlbi.nih.gov/Databases/mpkFractions/proteomic_fractions_linear_files/Yang_linear_img/254675312.jpg","show blot")</f>
        <v>show blot</v>
      </c>
      <c r="J5866" s="5" t="s">
        <v>11519</v>
      </c>
      <c r="L5866" s="11">
        <v>4.3015791296171422</v>
      </c>
      <c r="N5866" s="12"/>
    </row>
    <row r="5867" spans="1:14" s="5" customFormat="1" ht="15" customHeight="1" x14ac:dyDescent="0.25">
      <c r="A5867" s="9" t="s">
        <v>11520</v>
      </c>
      <c r="C5867" s="9" t="str">
        <f>HYPERLINK("http://www.ncbi.nlm.nih.gov/protein/254675314","Prom1")</f>
        <v>Prom1</v>
      </c>
      <c r="D5867" s="10">
        <f t="shared" si="91"/>
        <v>4.3015791296171422</v>
      </c>
      <c r="F5867" s="8" t="str">
        <f>HYPERLINK("https://esbl.nhlbi.nih.gov/Databases/mpkFractions/proteomic_fractions_log_files/Yang_log_img/254675314.jpg","show blot")</f>
        <v>show blot</v>
      </c>
      <c r="H5867" s="8" t="str">
        <f>HYPERLINK("https://esbl.nhlbi.nih.gov/Databases/mpkFractions/proteomic_fractions_linear_files/Yang_linear_img/254675314.jpg","show blot")</f>
        <v>show blot</v>
      </c>
      <c r="J5867" s="5" t="s">
        <v>11521</v>
      </c>
      <c r="L5867" s="11">
        <v>4.3015791296171422</v>
      </c>
      <c r="N5867" s="12"/>
    </row>
    <row r="5868" spans="1:14" s="5" customFormat="1" ht="15" customHeight="1" x14ac:dyDescent="0.25">
      <c r="A5868" s="9" t="s">
        <v>11522</v>
      </c>
      <c r="C5868" s="9" t="str">
        <f>HYPERLINK("http://www.ncbi.nlm.nih.gov/protein/254675316","Prom1")</f>
        <v>Prom1</v>
      </c>
      <c r="D5868" s="10">
        <f t="shared" si="91"/>
        <v>4.3015791296171422</v>
      </c>
      <c r="F5868" s="8" t="str">
        <f>HYPERLINK("https://esbl.nhlbi.nih.gov/Databases/mpkFractions/proteomic_fractions_log_files/Yang_log_img/254675316.jpg","show blot")</f>
        <v>show blot</v>
      </c>
      <c r="H5868" s="8" t="str">
        <f>HYPERLINK("https://esbl.nhlbi.nih.gov/Databases/mpkFractions/proteomic_fractions_linear_files/Yang_linear_img/254675316.jpg","show blot")</f>
        <v>show blot</v>
      </c>
      <c r="J5868" s="5" t="s">
        <v>11523</v>
      </c>
      <c r="L5868" s="11">
        <v>4.3015791296171422</v>
      </c>
      <c r="N5868" s="12"/>
    </row>
    <row r="5869" spans="1:14" s="5" customFormat="1" ht="15" customHeight="1" x14ac:dyDescent="0.25">
      <c r="A5869" s="9" t="s">
        <v>11524</v>
      </c>
      <c r="C5869" s="9" t="str">
        <f>HYPERLINK("http://www.ncbi.nlm.nih.gov/protein/254675318","Prom1")</f>
        <v>Prom1</v>
      </c>
      <c r="D5869" s="10">
        <f t="shared" si="91"/>
        <v>4.3015791296171422</v>
      </c>
      <c r="F5869" s="8" t="str">
        <f>HYPERLINK("https://esbl.nhlbi.nih.gov/Databases/mpkFractions/proteomic_fractions_log_files/Yang_log_img/254675318.jpg","show blot")</f>
        <v>show blot</v>
      </c>
      <c r="H5869" s="8" t="str">
        <f>HYPERLINK("https://esbl.nhlbi.nih.gov/Databases/mpkFractions/proteomic_fractions_linear_files/Yang_linear_img/254675318.jpg","show blot")</f>
        <v>show blot</v>
      </c>
      <c r="J5869" s="5" t="s">
        <v>11525</v>
      </c>
      <c r="L5869" s="11">
        <v>4.3015791296171422</v>
      </c>
      <c r="N5869" s="12"/>
    </row>
    <row r="5870" spans="1:14" s="5" customFormat="1" ht="15" customHeight="1" x14ac:dyDescent="0.25">
      <c r="A5870" s="9" t="s">
        <v>11526</v>
      </c>
      <c r="C5870" s="9" t="str">
        <f>HYPERLINK("http://www.ncbi.nlm.nih.gov/protein/254675320","Prom1")</f>
        <v>Prom1</v>
      </c>
      <c r="D5870" s="10">
        <f t="shared" si="91"/>
        <v>4.3015791296171422</v>
      </c>
      <c r="F5870" s="8" t="str">
        <f>HYPERLINK("https://esbl.nhlbi.nih.gov/Databases/mpkFractions/proteomic_fractions_log_files/Yang_log_img/254675320.jpg","show blot")</f>
        <v>show blot</v>
      </c>
      <c r="H5870" s="8" t="str">
        <f>HYPERLINK("https://esbl.nhlbi.nih.gov/Databases/mpkFractions/proteomic_fractions_linear_files/Yang_linear_img/254675320.jpg","show blot")</f>
        <v>show blot</v>
      </c>
      <c r="J5870" s="5" t="s">
        <v>11527</v>
      </c>
      <c r="L5870" s="11">
        <v>4.3015791296171422</v>
      </c>
      <c r="N5870" s="12"/>
    </row>
    <row r="5871" spans="1:14" s="5" customFormat="1" ht="15" customHeight="1" x14ac:dyDescent="0.25">
      <c r="A5871" s="9" t="s">
        <v>11528</v>
      </c>
      <c r="C5871" s="9" t="str">
        <f>HYPERLINK("http://www.ncbi.nlm.nih.gov/protein/224994182","Prom2")</f>
        <v>Prom2</v>
      </c>
      <c r="D5871" s="10">
        <f t="shared" si="91"/>
        <v>4.065436400735245</v>
      </c>
      <c r="F5871" s="8" t="str">
        <f>HYPERLINK("https://esbl.nhlbi.nih.gov/Databases/mpkFractions/proteomic_fractions_log_files/Yang_log_img/224994182.jpg","show blot")</f>
        <v>show blot</v>
      </c>
      <c r="H5871" s="8" t="str">
        <f>HYPERLINK("https://esbl.nhlbi.nih.gov/Databases/mpkFractions/proteomic_fractions_linear_files/Yang_linear_img/224994182.jpg","show blot")</f>
        <v>show blot</v>
      </c>
      <c r="J5871" s="5" t="s">
        <v>11529</v>
      </c>
      <c r="L5871" s="11">
        <v>4.065436400735245</v>
      </c>
      <c r="N5871" s="12"/>
    </row>
    <row r="5872" spans="1:14" s="5" customFormat="1" ht="15" customHeight="1" x14ac:dyDescent="0.25">
      <c r="A5872" s="9" t="s">
        <v>11530</v>
      </c>
      <c r="C5872" s="9" t="str">
        <f>HYPERLINK("http://www.ncbi.nlm.nih.gov/protein/224994184","Prom2")</f>
        <v>Prom2</v>
      </c>
      <c r="D5872" s="10">
        <f t="shared" si="91"/>
        <v>4.065436400735245</v>
      </c>
      <c r="F5872" s="8" t="str">
        <f>HYPERLINK("https://esbl.nhlbi.nih.gov/Databases/mpkFractions/proteomic_fractions_log_files/Yang_log_img/224994184.jpg","show blot")</f>
        <v>show blot</v>
      </c>
      <c r="H5872" s="8" t="str">
        <f>HYPERLINK("https://esbl.nhlbi.nih.gov/Databases/mpkFractions/proteomic_fractions_linear_files/Yang_linear_img/224994184.jpg","show blot")</f>
        <v>show blot</v>
      </c>
      <c r="J5872" s="5" t="s">
        <v>11531</v>
      </c>
      <c r="L5872" s="11">
        <v>4.065436400735245</v>
      </c>
      <c r="N5872" s="12"/>
    </row>
    <row r="5873" spans="1:14" s="5" customFormat="1" ht="15" customHeight="1" x14ac:dyDescent="0.25">
      <c r="A5873" s="9" t="s">
        <v>11532</v>
      </c>
      <c r="C5873" s="9" t="str">
        <f>HYPERLINK("http://www.ncbi.nlm.nih.gov/protein/254540216","Prorsd1")</f>
        <v>Prorsd1</v>
      </c>
      <c r="D5873" s="10">
        <f t="shared" si="91"/>
        <v>4.9582398937404317</v>
      </c>
      <c r="F5873" s="8" t="str">
        <f>HYPERLINK("https://esbl.nhlbi.nih.gov/Databases/mpkFractions/proteomic_fractions_log_files/Yang_log_img/254540216.jpg","show blot")</f>
        <v>show blot</v>
      </c>
      <c r="H5873" s="8" t="str">
        <f>HYPERLINK("https://esbl.nhlbi.nih.gov/Databases/mpkFractions/proteomic_fractions_linear_files/Yang_linear_img/254540216.jpg","show blot")</f>
        <v>show blot</v>
      </c>
      <c r="J5873" s="5" t="s">
        <v>11533</v>
      </c>
      <c r="L5873" s="11">
        <v>4.9582398937404317</v>
      </c>
      <c r="N5873" s="12"/>
    </row>
    <row r="5874" spans="1:14" s="5" customFormat="1" ht="15" customHeight="1" x14ac:dyDescent="0.25">
      <c r="A5874" s="9" t="s">
        <v>11534</v>
      </c>
      <c r="C5874" s="9" t="str">
        <f>HYPERLINK("http://www.ncbi.nlm.nih.gov/protein/21312706","Prorsd1")</f>
        <v>Prorsd1</v>
      </c>
      <c r="D5874" s="10">
        <f t="shared" si="91"/>
        <v>4.9582398937404317</v>
      </c>
      <c r="F5874" s="8" t="str">
        <f>HYPERLINK("https://esbl.nhlbi.nih.gov/Databases/mpkFractions/proteomic_fractions_log_files/Yang_log_img/21312706.jpg","show blot")</f>
        <v>show blot</v>
      </c>
      <c r="H5874" s="8" t="str">
        <f>HYPERLINK("https://esbl.nhlbi.nih.gov/Databases/mpkFractions/proteomic_fractions_linear_files/Yang_linear_img/21312706.jpg","show blot")</f>
        <v>show blot</v>
      </c>
      <c r="J5874" s="5" t="s">
        <v>11535</v>
      </c>
      <c r="L5874" s="11">
        <v>4.9582398937404317</v>
      </c>
      <c r="N5874" s="12"/>
    </row>
    <row r="5875" spans="1:14" s="5" customFormat="1" ht="15" customHeight="1" x14ac:dyDescent="0.25">
      <c r="A5875" s="9" t="s">
        <v>11536</v>
      </c>
      <c r="C5875" s="9" t="str">
        <f>HYPERLINK("http://www.ncbi.nlm.nih.gov/protein/84872187","Prosc")</f>
        <v>Prosc</v>
      </c>
      <c r="D5875" s="10">
        <f t="shared" si="91"/>
        <v>5.8228670481733591</v>
      </c>
      <c r="F5875" s="8" t="str">
        <f>HYPERLINK("https://esbl.nhlbi.nih.gov/Databases/mpkFractions/proteomic_fractions_log_files/Yang_log_img/84872187.jpg","show blot")</f>
        <v>show blot</v>
      </c>
      <c r="H5875" s="8" t="str">
        <f>HYPERLINK("https://esbl.nhlbi.nih.gov/Databases/mpkFractions/proteomic_fractions_linear_files/Yang_linear_img/84872187.jpg","show blot")</f>
        <v>show blot</v>
      </c>
      <c r="J5875" s="5" t="s">
        <v>11537</v>
      </c>
      <c r="L5875" s="11">
        <v>5.8228670481733591</v>
      </c>
      <c r="N5875" s="12"/>
    </row>
    <row r="5876" spans="1:14" s="5" customFormat="1" ht="15" customHeight="1" x14ac:dyDescent="0.25">
      <c r="A5876" s="9" t="s">
        <v>11538</v>
      </c>
      <c r="C5876" s="9" t="str">
        <f>HYPERLINK("http://www.ncbi.nlm.nih.gov/protein/16930823","Prosc")</f>
        <v>Prosc</v>
      </c>
      <c r="D5876" s="10">
        <f t="shared" si="91"/>
        <v>5.8228670481733591</v>
      </c>
      <c r="F5876" s="8" t="str">
        <f>HYPERLINK("https://esbl.nhlbi.nih.gov/Databases/mpkFractions/proteomic_fractions_log_files/Yang_log_img/16930823.jpg","show blot")</f>
        <v>show blot</v>
      </c>
      <c r="H5876" s="8" t="str">
        <f>HYPERLINK("https://esbl.nhlbi.nih.gov/Databases/mpkFractions/proteomic_fractions_linear_files/Yang_linear_img/16930823.jpg","show blot")</f>
        <v>show blot</v>
      </c>
      <c r="J5876" s="5" t="s">
        <v>11539</v>
      </c>
      <c r="L5876" s="11">
        <v>5.8228670481733591</v>
      </c>
      <c r="N5876" s="12"/>
    </row>
    <row r="5877" spans="1:14" s="5" customFormat="1" ht="15" customHeight="1" x14ac:dyDescent="0.25">
      <c r="A5877" s="9" t="s">
        <v>11540</v>
      </c>
      <c r="C5877" s="9" t="str">
        <f>HYPERLINK("http://www.ncbi.nlm.nih.gov/protein/84872182","Prosc")</f>
        <v>Prosc</v>
      </c>
      <c r="D5877" s="10">
        <f t="shared" si="91"/>
        <v>5.8228670481733591</v>
      </c>
      <c r="F5877" s="8" t="str">
        <f>HYPERLINK("https://esbl.nhlbi.nih.gov/Databases/mpkFractions/proteomic_fractions_log_files/Yang_log_img/84872182.jpg","show blot")</f>
        <v>show blot</v>
      </c>
      <c r="H5877" s="8" t="str">
        <f>HYPERLINK("https://esbl.nhlbi.nih.gov/Databases/mpkFractions/proteomic_fractions_linear_files/Yang_linear_img/84872182.jpg","show blot")</f>
        <v>show blot</v>
      </c>
      <c r="J5877" s="5" t="s">
        <v>11541</v>
      </c>
      <c r="L5877" s="11">
        <v>5.8228670481733591</v>
      </c>
      <c r="N5877" s="12"/>
    </row>
    <row r="5878" spans="1:14" s="5" customFormat="1" ht="15" customHeight="1" x14ac:dyDescent="0.25">
      <c r="A5878" s="9" t="s">
        <v>11542</v>
      </c>
      <c r="C5878" s="9" t="str">
        <f>HYPERLINK("http://www.ncbi.nlm.nih.gov/protein/110625904","Proser2")</f>
        <v>Proser2</v>
      </c>
      <c r="D5878" s="10">
        <f t="shared" si="91"/>
        <v>3.70278226488101</v>
      </c>
      <c r="F5878" s="8" t="str">
        <f>HYPERLINK("https://esbl.nhlbi.nih.gov/Databases/mpkFractions/proteomic_fractions_log_files/Yang_log_img/110625904.jpg","show blot")</f>
        <v>show blot</v>
      </c>
      <c r="H5878" s="8" t="str">
        <f>HYPERLINK("https://esbl.nhlbi.nih.gov/Databases/mpkFractions/proteomic_fractions_linear_files/Yang_linear_img/110625904.jpg","show blot")</f>
        <v>show blot</v>
      </c>
      <c r="J5878" s="5" t="s">
        <v>11543</v>
      </c>
      <c r="L5878" s="11">
        <v>3.70278226488101</v>
      </c>
      <c r="N5878" s="12"/>
    </row>
    <row r="5879" spans="1:14" s="5" customFormat="1" ht="15" customHeight="1" x14ac:dyDescent="0.25">
      <c r="A5879" s="9" t="s">
        <v>11544</v>
      </c>
      <c r="C5879" s="9" t="str">
        <f>HYPERLINK("http://www.ncbi.nlm.nih.gov/protein/40254503","Prpf18")</f>
        <v>Prpf18</v>
      </c>
      <c r="D5879" s="10">
        <f t="shared" si="91"/>
        <v>2.1013370059955538</v>
      </c>
      <c r="F5879" s="8" t="str">
        <f>HYPERLINK("https://esbl.nhlbi.nih.gov/Databases/mpkFractions/proteomic_fractions_log_files/Yang_log_img/40254503.jpg","show blot")</f>
        <v>show blot</v>
      </c>
      <c r="H5879" s="8" t="str">
        <f>HYPERLINK("https://esbl.nhlbi.nih.gov/Databases/mpkFractions/proteomic_fractions_linear_files/Yang_linear_img/40254503.jpg","show blot")</f>
        <v>show blot</v>
      </c>
      <c r="J5879" s="5" t="s">
        <v>11545</v>
      </c>
      <c r="L5879" s="11">
        <v>2.1013370059955538</v>
      </c>
      <c r="N5879" s="12"/>
    </row>
    <row r="5880" spans="1:14" s="5" customFormat="1" ht="15" customHeight="1" x14ac:dyDescent="0.25">
      <c r="A5880" s="9" t="s">
        <v>11546</v>
      </c>
      <c r="C5880" s="9" t="str">
        <f>HYPERLINK("http://www.ncbi.nlm.nih.gov/protein/19527358","Prpf19")</f>
        <v>Prpf19</v>
      </c>
      <c r="D5880" s="10">
        <f t="shared" si="91"/>
        <v>6.0717052538569094</v>
      </c>
      <c r="F5880" s="8" t="str">
        <f>HYPERLINK("https://esbl.nhlbi.nih.gov/Databases/mpkFractions/proteomic_fractions_log_files/Yang_log_img/19527358.jpg","show blot")</f>
        <v>show blot</v>
      </c>
      <c r="H5880" s="8" t="str">
        <f>HYPERLINK("https://esbl.nhlbi.nih.gov/Databases/mpkFractions/proteomic_fractions_linear_files/Yang_linear_img/19527358.jpg","show blot")</f>
        <v>show blot</v>
      </c>
      <c r="J5880" s="5" t="s">
        <v>11547</v>
      </c>
      <c r="L5880" s="11">
        <v>6.0717052538569094</v>
      </c>
      <c r="N5880" s="12"/>
    </row>
    <row r="5881" spans="1:14" s="5" customFormat="1" ht="15" customHeight="1" x14ac:dyDescent="0.25">
      <c r="A5881" s="9" t="s">
        <v>11548</v>
      </c>
      <c r="C5881" s="9" t="str">
        <f>HYPERLINK("http://www.ncbi.nlm.nih.gov/protein/359718917","Prpf19")</f>
        <v>Prpf19</v>
      </c>
      <c r="D5881" s="10">
        <f t="shared" si="91"/>
        <v>6.0717052538569094</v>
      </c>
      <c r="F5881" s="8" t="str">
        <f>HYPERLINK("https://esbl.nhlbi.nih.gov/Databases/mpkFractions/proteomic_fractions_log_files/Yang_log_img/359718917.jpg","show blot")</f>
        <v>show blot</v>
      </c>
      <c r="H5881" s="8" t="str">
        <f>HYPERLINK("https://esbl.nhlbi.nih.gov/Databases/mpkFractions/proteomic_fractions_linear_files/Yang_linear_img/359718917.jpg","show blot")</f>
        <v>show blot</v>
      </c>
      <c r="J5881" s="5" t="s">
        <v>11549</v>
      </c>
      <c r="L5881" s="11">
        <v>6.0717052538569094</v>
      </c>
      <c r="N5881" s="12"/>
    </row>
    <row r="5882" spans="1:14" s="5" customFormat="1" ht="15" customHeight="1" x14ac:dyDescent="0.25">
      <c r="A5882" s="9" t="s">
        <v>11550</v>
      </c>
      <c r="C5882" s="9" t="str">
        <f>HYPERLINK("http://www.ncbi.nlm.nih.gov/protein/359718922","Prpf19")</f>
        <v>Prpf19</v>
      </c>
      <c r="D5882" s="10">
        <f t="shared" si="91"/>
        <v>6.0717052538569094</v>
      </c>
      <c r="F5882" s="8" t="str">
        <f>HYPERLINK("https://esbl.nhlbi.nih.gov/Databases/mpkFractions/proteomic_fractions_log_files/Yang_log_img/359718922.jpg","show blot")</f>
        <v>show blot</v>
      </c>
      <c r="H5882" s="8" t="str">
        <f>HYPERLINK("https://esbl.nhlbi.nih.gov/Databases/mpkFractions/proteomic_fractions_linear_files/Yang_linear_img/359718922.jpg","show blot")</f>
        <v>show blot</v>
      </c>
      <c r="J5882" s="5" t="s">
        <v>11551</v>
      </c>
      <c r="L5882" s="11">
        <v>6.0717052538569094</v>
      </c>
      <c r="N5882" s="12"/>
    </row>
    <row r="5883" spans="1:14" s="5" customFormat="1" ht="15" customHeight="1" x14ac:dyDescent="0.25">
      <c r="A5883" s="9" t="s">
        <v>11552</v>
      </c>
      <c r="C5883" s="9" t="str">
        <f>HYPERLINK("http://www.ncbi.nlm.nih.gov/protein/31980657","Prpf3")</f>
        <v>Prpf3</v>
      </c>
      <c r="D5883" s="10">
        <f t="shared" si="91"/>
        <v>5.0704184324765071</v>
      </c>
      <c r="F5883" s="8" t="str">
        <f>HYPERLINK("https://esbl.nhlbi.nih.gov/Databases/mpkFractions/proteomic_fractions_log_files/Yang_log_img/31980657.jpg","show blot")</f>
        <v>show blot</v>
      </c>
      <c r="H5883" s="8" t="str">
        <f>HYPERLINK("https://esbl.nhlbi.nih.gov/Databases/mpkFractions/proteomic_fractions_linear_files/Yang_linear_img/31980657.jpg","show blot")</f>
        <v>show blot</v>
      </c>
      <c r="J5883" s="5" t="s">
        <v>11553</v>
      </c>
      <c r="L5883" s="11">
        <v>5.0704184324765071</v>
      </c>
      <c r="N5883" s="12"/>
    </row>
    <row r="5884" spans="1:14" s="5" customFormat="1" ht="15" customHeight="1" x14ac:dyDescent="0.25">
      <c r="A5884" s="9" t="s">
        <v>11554</v>
      </c>
      <c r="C5884" s="9" t="str">
        <f>HYPERLINK("http://www.ncbi.nlm.nih.gov/protein/228480236","Prpf31")</f>
        <v>Prpf31</v>
      </c>
      <c r="D5884" s="10">
        <f t="shared" si="91"/>
        <v>4.5624209482443021</v>
      </c>
      <c r="F5884" s="8" t="str">
        <f>HYPERLINK("https://esbl.nhlbi.nih.gov/Databases/mpkFractions/proteomic_fractions_log_files/Yang_log_img/228480236.jpg","show blot")</f>
        <v>show blot</v>
      </c>
      <c r="H5884" s="8" t="str">
        <f>HYPERLINK("https://esbl.nhlbi.nih.gov/Databases/mpkFractions/proteomic_fractions_linear_files/Yang_linear_img/228480236.jpg","show blot")</f>
        <v>show blot</v>
      </c>
      <c r="J5884" s="5" t="s">
        <v>11555</v>
      </c>
      <c r="L5884" s="11">
        <v>4.5624209482443021</v>
      </c>
      <c r="N5884" s="12"/>
    </row>
    <row r="5885" spans="1:14" s="5" customFormat="1" ht="15" customHeight="1" x14ac:dyDescent="0.25">
      <c r="A5885" s="9" t="s">
        <v>11556</v>
      </c>
      <c r="C5885" s="9" t="str">
        <f>HYPERLINK("http://www.ncbi.nlm.nih.gov/protein/228480238","Prpf31")</f>
        <v>Prpf31</v>
      </c>
      <c r="D5885" s="10">
        <f t="shared" si="91"/>
        <v>4.5624209482443021</v>
      </c>
      <c r="F5885" s="8" t="str">
        <f>HYPERLINK("https://esbl.nhlbi.nih.gov/Databases/mpkFractions/proteomic_fractions_log_files/Yang_log_img/228480238.jpg","show blot")</f>
        <v>show blot</v>
      </c>
      <c r="H5885" s="8" t="str">
        <f>HYPERLINK("https://esbl.nhlbi.nih.gov/Databases/mpkFractions/proteomic_fractions_linear_files/Yang_linear_img/228480238.jpg","show blot")</f>
        <v>show blot</v>
      </c>
      <c r="J5885" s="5" t="s">
        <v>11557</v>
      </c>
      <c r="L5885" s="11">
        <v>4.5624209482443021</v>
      </c>
      <c r="N5885" s="12"/>
    </row>
    <row r="5886" spans="1:14" s="5" customFormat="1" ht="15" customHeight="1" x14ac:dyDescent="0.25">
      <c r="A5886" s="9" t="s">
        <v>11558</v>
      </c>
      <c r="C5886" s="9" t="str">
        <f>HYPERLINK("http://www.ncbi.nlm.nih.gov/protein/227497256","Prpf38a")</f>
        <v>Prpf38a</v>
      </c>
      <c r="D5886" s="10">
        <f t="shared" si="91"/>
        <v>3.478481631863791</v>
      </c>
      <c r="F5886" s="8" t="str">
        <f>HYPERLINK("https://esbl.nhlbi.nih.gov/Databases/mpkFractions/proteomic_fractions_log_files/Yang_log_img/227497256.jpg","show blot")</f>
        <v>show blot</v>
      </c>
      <c r="H5886" s="8" t="str">
        <f>HYPERLINK("https://esbl.nhlbi.nih.gov/Databases/mpkFractions/proteomic_fractions_linear_files/Yang_linear_img/227497256.jpg","show blot")</f>
        <v>show blot</v>
      </c>
      <c r="J5886" s="5" t="s">
        <v>11559</v>
      </c>
      <c r="L5886" s="11">
        <v>3.478481631863791</v>
      </c>
      <c r="N5886" s="12"/>
    </row>
    <row r="5887" spans="1:14" s="5" customFormat="1" ht="15" customHeight="1" x14ac:dyDescent="0.25">
      <c r="A5887" s="9" t="s">
        <v>11560</v>
      </c>
      <c r="C5887" s="9" t="str">
        <f>HYPERLINK("http://www.ncbi.nlm.nih.gov/protein/30794464","Prpf38b")</f>
        <v>Prpf38b</v>
      </c>
      <c r="D5887" s="10">
        <f t="shared" si="91"/>
        <v>4.0665874536354689</v>
      </c>
      <c r="F5887" s="8" t="str">
        <f>HYPERLINK("https://esbl.nhlbi.nih.gov/Databases/mpkFractions/proteomic_fractions_log_files/Yang_log_img/30794464.jpg","show blot")</f>
        <v>show blot</v>
      </c>
      <c r="H5887" s="8" t="str">
        <f>HYPERLINK("https://esbl.nhlbi.nih.gov/Databases/mpkFractions/proteomic_fractions_linear_files/Yang_linear_img/30794464.jpg","show blot")</f>
        <v>show blot</v>
      </c>
      <c r="J5887" s="5" t="s">
        <v>11561</v>
      </c>
      <c r="L5887" s="11">
        <v>4.0665874536354689</v>
      </c>
      <c r="N5887" s="12"/>
    </row>
    <row r="5888" spans="1:14" s="5" customFormat="1" ht="15" customHeight="1" x14ac:dyDescent="0.25">
      <c r="A5888" s="9" t="s">
        <v>11562</v>
      </c>
      <c r="C5888" s="9" t="str">
        <f>HYPERLINK("http://www.ncbi.nlm.nih.gov/protein/156546892","Prpf39")</f>
        <v>Prpf39</v>
      </c>
      <c r="D5888" s="10">
        <f t="shared" si="91"/>
        <v>4.4509019419057489</v>
      </c>
      <c r="F5888" s="8" t="str">
        <f>HYPERLINK("https://esbl.nhlbi.nih.gov/Databases/mpkFractions/proteomic_fractions_log_files/Yang_log_img/156546892.jpg","show blot")</f>
        <v>show blot</v>
      </c>
      <c r="H5888" s="8" t="str">
        <f>HYPERLINK("https://esbl.nhlbi.nih.gov/Databases/mpkFractions/proteomic_fractions_linear_files/Yang_linear_img/156546892.jpg","show blot")</f>
        <v>show blot</v>
      </c>
      <c r="J5888" s="5" t="s">
        <v>11563</v>
      </c>
      <c r="L5888" s="11">
        <v>4.4509019419057489</v>
      </c>
      <c r="N5888" s="12"/>
    </row>
    <row r="5889" spans="1:14" s="5" customFormat="1" ht="15" customHeight="1" x14ac:dyDescent="0.25">
      <c r="A5889" s="9" t="s">
        <v>11564</v>
      </c>
      <c r="C5889" s="9" t="str">
        <f>HYPERLINK("http://www.ncbi.nlm.nih.gov/protein/55925589","Prpf4")</f>
        <v>Prpf4</v>
      </c>
      <c r="D5889" s="10">
        <f t="shared" si="91"/>
        <v>5.3637229872538192</v>
      </c>
      <c r="F5889" s="8" t="str">
        <f>HYPERLINK("https://esbl.nhlbi.nih.gov/Databases/mpkFractions/proteomic_fractions_log_files/Yang_log_img/55925589.jpg","show blot")</f>
        <v>show blot</v>
      </c>
      <c r="H5889" s="8" t="str">
        <f>HYPERLINK("https://esbl.nhlbi.nih.gov/Databases/mpkFractions/proteomic_fractions_linear_files/Yang_linear_img/55925589.jpg","show blot")</f>
        <v>show blot</v>
      </c>
      <c r="J5889" s="5" t="s">
        <v>11565</v>
      </c>
      <c r="L5889" s="11">
        <v>5.3637229872538192</v>
      </c>
      <c r="N5889" s="12"/>
    </row>
    <row r="5890" spans="1:14" s="5" customFormat="1" ht="15" customHeight="1" x14ac:dyDescent="0.25">
      <c r="A5890" s="9" t="s">
        <v>11566</v>
      </c>
      <c r="C5890" s="9" t="str">
        <f>HYPERLINK("http://www.ncbi.nlm.nih.gov/protein/9055218","Prpf40a")</f>
        <v>Prpf40a</v>
      </c>
      <c r="D5890" s="10">
        <f t="shared" si="91"/>
        <v>4.4503589768577454</v>
      </c>
      <c r="F5890" s="8" t="str">
        <f>HYPERLINK("https://esbl.nhlbi.nih.gov/Databases/mpkFractions/proteomic_fractions_log_files/Yang_log_img/9055218.jpg","show blot")</f>
        <v>show blot</v>
      </c>
      <c r="H5890" s="8" t="str">
        <f>HYPERLINK("https://esbl.nhlbi.nih.gov/Databases/mpkFractions/proteomic_fractions_linear_files/Yang_linear_img/9055218.jpg","show blot")</f>
        <v>show blot</v>
      </c>
      <c r="J5890" s="5" t="s">
        <v>11567</v>
      </c>
      <c r="L5890" s="11">
        <v>4.4503589768577454</v>
      </c>
      <c r="N5890" s="12"/>
    </row>
    <row r="5891" spans="1:14" s="5" customFormat="1" ht="15" customHeight="1" x14ac:dyDescent="0.25">
      <c r="A5891" s="9" t="s">
        <v>11568</v>
      </c>
      <c r="C5891" s="9" t="str">
        <f>HYPERLINK("http://www.ncbi.nlm.nih.gov/protein/9055244","Prpf40b")</f>
        <v>Prpf40b</v>
      </c>
      <c r="D5891" s="10">
        <f t="shared" si="91"/>
        <v>2.013067825705662</v>
      </c>
      <c r="F5891" s="8" t="str">
        <f>HYPERLINK("https://esbl.nhlbi.nih.gov/Databases/mpkFractions/proteomic_fractions_log_files/Yang_log_img/9055244.jpg","show blot")</f>
        <v>show blot</v>
      </c>
      <c r="H5891" s="8" t="str">
        <f>HYPERLINK("https://esbl.nhlbi.nih.gov/Databases/mpkFractions/proteomic_fractions_linear_files/Yang_linear_img/9055244.jpg","show blot")</f>
        <v>show blot</v>
      </c>
      <c r="J5891" s="5" t="s">
        <v>11569</v>
      </c>
      <c r="L5891" s="11">
        <v>2.013067825705662</v>
      </c>
      <c r="N5891" s="12"/>
    </row>
    <row r="5892" spans="1:14" s="5" customFormat="1" ht="15" customHeight="1" x14ac:dyDescent="0.25">
      <c r="A5892" s="9" t="s">
        <v>11570</v>
      </c>
      <c r="C5892" s="9" t="str">
        <f>HYPERLINK("http://www.ncbi.nlm.nih.gov/protein/158854005","Prpf4b")</f>
        <v>Prpf4b</v>
      </c>
      <c r="D5892" s="10">
        <f t="shared" si="91"/>
        <v>2.6503070424976389</v>
      </c>
      <c r="F5892" s="8" t="str">
        <f>HYPERLINK("https://esbl.nhlbi.nih.gov/Databases/mpkFractions/proteomic_fractions_log_files/Yang_log_img/158854005.jpg","show blot")</f>
        <v>show blot</v>
      </c>
      <c r="H5892" s="8" t="str">
        <f>HYPERLINK("https://esbl.nhlbi.nih.gov/Databases/mpkFractions/proteomic_fractions_linear_files/Yang_linear_img/158854005.jpg","show blot")</f>
        <v>show blot</v>
      </c>
      <c r="J5892" s="5" t="s">
        <v>11571</v>
      </c>
      <c r="L5892" s="11">
        <v>2.6503070424976389</v>
      </c>
      <c r="N5892" s="12"/>
    </row>
    <row r="5893" spans="1:14" s="5" customFormat="1" ht="15" customHeight="1" x14ac:dyDescent="0.25">
      <c r="A5893" s="9" t="s">
        <v>11572</v>
      </c>
      <c r="C5893" s="9" t="str">
        <f>HYPERLINK("http://www.ncbi.nlm.nih.gov/protein/21539655","Prpf6")</f>
        <v>Prpf6</v>
      </c>
      <c r="D5893" s="10">
        <f t="shared" ref="D5893:D5956" si="92">L5893</f>
        <v>4.5699096155118069</v>
      </c>
      <c r="F5893" s="8" t="str">
        <f>HYPERLINK("https://esbl.nhlbi.nih.gov/Databases/mpkFractions/proteomic_fractions_log_files/Yang_log_img/21539655.jpg","show blot")</f>
        <v>show blot</v>
      </c>
      <c r="H5893" s="8" t="str">
        <f>HYPERLINK("https://esbl.nhlbi.nih.gov/Databases/mpkFractions/proteomic_fractions_linear_files/Yang_linear_img/21539655.jpg","show blot")</f>
        <v>show blot</v>
      </c>
      <c r="J5893" s="5" t="s">
        <v>11573</v>
      </c>
      <c r="L5893" s="11">
        <v>4.5699096155118069</v>
      </c>
      <c r="N5893" s="12"/>
    </row>
    <row r="5894" spans="1:14" s="5" customFormat="1" ht="15" customHeight="1" x14ac:dyDescent="0.25">
      <c r="A5894" s="9" t="s">
        <v>11574</v>
      </c>
      <c r="C5894" s="9" t="str">
        <f>HYPERLINK("http://www.ncbi.nlm.nih.gov/protein/115583687","Prpf8")</f>
        <v>Prpf8</v>
      </c>
      <c r="D5894" s="10">
        <f t="shared" si="92"/>
        <v>5.100871796438148</v>
      </c>
      <c r="F5894" s="8" t="str">
        <f>HYPERLINK("https://esbl.nhlbi.nih.gov/Databases/mpkFractions/proteomic_fractions_log_files/Yang_log_img/115583687.jpg","show blot")</f>
        <v>show blot</v>
      </c>
      <c r="H5894" s="8" t="str">
        <f>HYPERLINK("https://esbl.nhlbi.nih.gov/Databases/mpkFractions/proteomic_fractions_linear_files/Yang_linear_img/115583687.jpg","show blot")</f>
        <v>show blot</v>
      </c>
      <c r="J5894" s="5" t="s">
        <v>11575</v>
      </c>
      <c r="L5894" s="11">
        <v>5.100871796438148</v>
      </c>
      <c r="N5894" s="12"/>
    </row>
    <row r="5895" spans="1:14" s="5" customFormat="1" ht="15" customHeight="1" x14ac:dyDescent="0.25">
      <c r="A5895" s="9" t="s">
        <v>11576</v>
      </c>
      <c r="C5895" s="9" t="str">
        <f>HYPERLINK("http://www.ncbi.nlm.nih.gov/protein/254675335","Prph")</f>
        <v>Prph</v>
      </c>
      <c r="D5895" s="10">
        <f t="shared" si="92"/>
        <v>6.437105828102073</v>
      </c>
      <c r="F5895" s="8" t="str">
        <f>HYPERLINK("https://esbl.nhlbi.nih.gov/Databases/mpkFractions/proteomic_fractions_log_files/Yang_log_img/254675335.jpg","show blot")</f>
        <v>show blot</v>
      </c>
      <c r="H5895" s="8" t="str">
        <f>HYPERLINK("https://esbl.nhlbi.nih.gov/Databases/mpkFractions/proteomic_fractions_linear_files/Yang_linear_img/254675335.jpg","show blot")</f>
        <v>show blot</v>
      </c>
      <c r="J5895" s="5" t="s">
        <v>11577</v>
      </c>
      <c r="L5895" s="11">
        <v>6.437105828102073</v>
      </c>
      <c r="N5895" s="12"/>
    </row>
    <row r="5896" spans="1:14" s="5" customFormat="1" ht="15" customHeight="1" x14ac:dyDescent="0.25">
      <c r="A5896" s="9" t="s">
        <v>11578</v>
      </c>
      <c r="C5896" s="9" t="str">
        <f>HYPERLINK("http://www.ncbi.nlm.nih.gov/protein/254675337","Prph")</f>
        <v>Prph</v>
      </c>
      <c r="D5896" s="10">
        <f t="shared" si="92"/>
        <v>6.437105828102073</v>
      </c>
      <c r="F5896" s="8" t="str">
        <f>HYPERLINK("https://esbl.nhlbi.nih.gov/Databases/mpkFractions/proteomic_fractions_log_files/Yang_log_img/254675337.jpg","show blot")</f>
        <v>show blot</v>
      </c>
      <c r="H5896" s="8" t="str">
        <f>HYPERLINK("https://esbl.nhlbi.nih.gov/Databases/mpkFractions/proteomic_fractions_linear_files/Yang_linear_img/254675337.jpg","show blot")</f>
        <v>show blot</v>
      </c>
      <c r="J5896" s="5" t="s">
        <v>11579</v>
      </c>
      <c r="L5896" s="11">
        <v>6.437105828102073</v>
      </c>
      <c r="N5896" s="12"/>
    </row>
    <row r="5897" spans="1:14" s="5" customFormat="1" ht="15" customHeight="1" x14ac:dyDescent="0.25">
      <c r="A5897" s="9" t="s">
        <v>11580</v>
      </c>
      <c r="C5897" s="9" t="str">
        <f>HYPERLINK("http://www.ncbi.nlm.nih.gov/protein/254675339","Prph")</f>
        <v>Prph</v>
      </c>
      <c r="D5897" s="10">
        <f t="shared" si="92"/>
        <v>6.437105828102073</v>
      </c>
      <c r="F5897" s="8" t="str">
        <f>HYPERLINK("https://esbl.nhlbi.nih.gov/Databases/mpkFractions/proteomic_fractions_log_files/Yang_log_img/254675339.jpg","show blot")</f>
        <v>show blot</v>
      </c>
      <c r="H5897" s="8" t="str">
        <f>HYPERLINK("https://esbl.nhlbi.nih.gov/Databases/mpkFractions/proteomic_fractions_linear_files/Yang_linear_img/254675339.jpg","show blot")</f>
        <v>show blot</v>
      </c>
      <c r="J5897" s="5" t="s">
        <v>11581</v>
      </c>
      <c r="L5897" s="11">
        <v>6.437105828102073</v>
      </c>
      <c r="N5897" s="12"/>
    </row>
    <row r="5898" spans="1:14" s="5" customFormat="1" ht="15" customHeight="1" x14ac:dyDescent="0.25">
      <c r="A5898" s="9" t="s">
        <v>11582</v>
      </c>
      <c r="C5898" s="9" t="str">
        <f>HYPERLINK("http://www.ncbi.nlm.nih.gov/protein/10946854","Prps1")</f>
        <v>Prps1</v>
      </c>
      <c r="D5898" s="10">
        <f t="shared" si="92"/>
        <v>6.388589242320819</v>
      </c>
      <c r="F5898" s="8" t="str">
        <f>HYPERLINK("https://esbl.nhlbi.nih.gov/Databases/mpkFractions/proteomic_fractions_log_files/Yang_log_img/10946854.jpg","show blot")</f>
        <v>show blot</v>
      </c>
      <c r="H5898" s="8" t="str">
        <f>HYPERLINK("https://esbl.nhlbi.nih.gov/Databases/mpkFractions/proteomic_fractions_linear_files/Yang_linear_img/10946854.jpg","show blot")</f>
        <v>show blot</v>
      </c>
      <c r="J5898" s="5" t="s">
        <v>11583</v>
      </c>
      <c r="L5898" s="11">
        <v>6.388589242320819</v>
      </c>
      <c r="N5898" s="12"/>
    </row>
    <row r="5899" spans="1:14" s="5" customFormat="1" ht="15" customHeight="1" x14ac:dyDescent="0.25">
      <c r="A5899" s="9" t="s">
        <v>11584</v>
      </c>
      <c r="C5899" s="9" t="str">
        <f>HYPERLINK("http://www.ncbi.nlm.nih.gov/protein/30794182","Prps1l1")</f>
        <v>Prps1l1</v>
      </c>
      <c r="D5899" s="10">
        <f t="shared" si="92"/>
        <v>6.2504108885592977</v>
      </c>
      <c r="F5899" s="8" t="str">
        <f>HYPERLINK("https://esbl.nhlbi.nih.gov/Databases/mpkFractions/proteomic_fractions_log_files/Yang_log_img/30794182.jpg","show blot")</f>
        <v>show blot</v>
      </c>
      <c r="H5899" s="8" t="str">
        <f>HYPERLINK("https://esbl.nhlbi.nih.gov/Databases/mpkFractions/proteomic_fractions_linear_files/Yang_linear_img/30794182.jpg","show blot")</f>
        <v>show blot</v>
      </c>
      <c r="J5899" s="5" t="s">
        <v>11585</v>
      </c>
      <c r="L5899" s="11">
        <v>6.2504108885592977</v>
      </c>
      <c r="N5899" s="12"/>
    </row>
    <row r="5900" spans="1:14" s="5" customFormat="1" ht="15" customHeight="1" x14ac:dyDescent="0.25">
      <c r="A5900" s="9" t="s">
        <v>11586</v>
      </c>
      <c r="C5900" s="9" t="str">
        <f>HYPERLINK("http://www.ncbi.nlm.nih.gov/protein/256418956","Prps1l3")</f>
        <v>Prps1l3</v>
      </c>
      <c r="D5900" s="10">
        <f t="shared" si="92"/>
        <v>6.4977695593053557</v>
      </c>
      <c r="F5900" s="8" t="str">
        <f>HYPERLINK("https://esbl.nhlbi.nih.gov/Databases/mpkFractions/proteomic_fractions_log_files/Yang_log_img/256418956.jpg","show blot")</f>
        <v>show blot</v>
      </c>
      <c r="H5900" s="8" t="str">
        <f>HYPERLINK("https://esbl.nhlbi.nih.gov/Databases/mpkFractions/proteomic_fractions_linear_files/Yang_linear_img/256418956.jpg","show blot")</f>
        <v>show blot</v>
      </c>
      <c r="J5900" s="5" t="s">
        <v>11587</v>
      </c>
      <c r="L5900" s="11">
        <v>6.4977695593053557</v>
      </c>
      <c r="N5900" s="12"/>
    </row>
    <row r="5901" spans="1:14" s="5" customFormat="1" ht="15" customHeight="1" x14ac:dyDescent="0.25">
      <c r="A5901" s="9" t="s">
        <v>11588</v>
      </c>
      <c r="C5901" s="9" t="str">
        <f>HYPERLINK("http://www.ncbi.nlm.nih.gov/protein/13386146","Prps2")</f>
        <v>Prps2</v>
      </c>
      <c r="D5901" s="10">
        <f t="shared" si="92"/>
        <v>6.4532884914437094</v>
      </c>
      <c r="F5901" s="8" t="str">
        <f>HYPERLINK("https://esbl.nhlbi.nih.gov/Databases/mpkFractions/proteomic_fractions_log_files/Yang_log_img/13386146.jpg","show blot")</f>
        <v>show blot</v>
      </c>
      <c r="H5901" s="8" t="str">
        <f>HYPERLINK("https://esbl.nhlbi.nih.gov/Databases/mpkFractions/proteomic_fractions_linear_files/Yang_linear_img/13386146.jpg","show blot")</f>
        <v>show blot</v>
      </c>
      <c r="J5901" s="5" t="s">
        <v>11589</v>
      </c>
      <c r="L5901" s="11">
        <v>6.4532884914437094</v>
      </c>
      <c r="N5901" s="12"/>
    </row>
    <row r="5902" spans="1:14" s="5" customFormat="1" ht="15" customHeight="1" x14ac:dyDescent="0.25">
      <c r="A5902" s="9" t="s">
        <v>11590</v>
      </c>
      <c r="C5902" s="9" t="str">
        <f>HYPERLINK("http://www.ncbi.nlm.nih.gov/protein/254540089","Prpsap1")</f>
        <v>Prpsap1</v>
      </c>
      <c r="D5902" s="10">
        <f t="shared" si="92"/>
        <v>5.8768849070238556</v>
      </c>
      <c r="F5902" s="8" t="str">
        <f>HYPERLINK("https://esbl.nhlbi.nih.gov/Databases/mpkFractions/proteomic_fractions_log_files/Yang_log_img/254540089.jpg","show blot")</f>
        <v>show blot</v>
      </c>
      <c r="H5902" s="8" t="str">
        <f>HYPERLINK("https://esbl.nhlbi.nih.gov/Databases/mpkFractions/proteomic_fractions_linear_files/Yang_linear_img/254540089.jpg","show blot")</f>
        <v>show blot</v>
      </c>
      <c r="J5902" s="5" t="s">
        <v>11591</v>
      </c>
      <c r="L5902" s="11">
        <v>5.8768849070238556</v>
      </c>
      <c r="N5902" s="12"/>
    </row>
    <row r="5903" spans="1:14" s="5" customFormat="1" ht="15" customHeight="1" x14ac:dyDescent="0.25">
      <c r="A5903" s="9" t="s">
        <v>11592</v>
      </c>
      <c r="C5903" s="9" t="str">
        <f>HYPERLINK("http://www.ncbi.nlm.nih.gov/protein/21450169","Prpsap2")</f>
        <v>Prpsap2</v>
      </c>
      <c r="D5903" s="10">
        <f t="shared" si="92"/>
        <v>6.1489197829092461</v>
      </c>
      <c r="F5903" s="8" t="str">
        <f>HYPERLINK("https://esbl.nhlbi.nih.gov/Databases/mpkFractions/proteomic_fractions_log_files/Yang_log_img/21450169.jpg","show blot")</f>
        <v>show blot</v>
      </c>
      <c r="H5903" s="8" t="str">
        <f>HYPERLINK("https://esbl.nhlbi.nih.gov/Databases/mpkFractions/proteomic_fractions_linear_files/Yang_linear_img/21450169.jpg","show blot")</f>
        <v>show blot</v>
      </c>
      <c r="J5903" s="5" t="s">
        <v>11593</v>
      </c>
      <c r="L5903" s="11">
        <v>6.1489197829092461</v>
      </c>
      <c r="N5903" s="12"/>
    </row>
    <row r="5904" spans="1:14" s="5" customFormat="1" ht="15" customHeight="1" x14ac:dyDescent="0.25">
      <c r="A5904" s="9" t="s">
        <v>11594</v>
      </c>
      <c r="C5904" s="9" t="str">
        <f>HYPERLINK("http://www.ncbi.nlm.nih.gov/protein/256773295","Prpsap2")</f>
        <v>Prpsap2</v>
      </c>
      <c r="D5904" s="10">
        <f t="shared" si="92"/>
        <v>6.1489197829092461</v>
      </c>
      <c r="F5904" s="8" t="str">
        <f>HYPERLINK("https://esbl.nhlbi.nih.gov/Databases/mpkFractions/proteomic_fractions_log_files/Yang_log_img/256773295.jpg","show blot")</f>
        <v>show blot</v>
      </c>
      <c r="H5904" s="8" t="str">
        <f>HYPERLINK("https://esbl.nhlbi.nih.gov/Databases/mpkFractions/proteomic_fractions_linear_files/Yang_linear_img/256773295.jpg","show blot")</f>
        <v>show blot</v>
      </c>
      <c r="J5904" s="5" t="s">
        <v>11595</v>
      </c>
      <c r="L5904" s="11">
        <v>6.1489197829092461</v>
      </c>
      <c r="N5904" s="12"/>
    </row>
    <row r="5905" spans="1:14" s="5" customFormat="1" ht="15" customHeight="1" x14ac:dyDescent="0.25">
      <c r="A5905" s="9" t="s">
        <v>11596</v>
      </c>
      <c r="C5905" s="9" t="str">
        <f>HYPERLINK("http://www.ncbi.nlm.nih.gov/protein/110625811","Prrc1")</f>
        <v>Prrc1</v>
      </c>
      <c r="D5905" s="10">
        <f t="shared" si="92"/>
        <v>4.0958442835846363</v>
      </c>
      <c r="F5905" s="8" t="str">
        <f>HYPERLINK("https://esbl.nhlbi.nih.gov/Databases/mpkFractions/proteomic_fractions_log_files/Yang_log_img/110625811.jpg","show blot")</f>
        <v>show blot</v>
      </c>
      <c r="H5905" s="8" t="str">
        <f>HYPERLINK("https://esbl.nhlbi.nih.gov/Databases/mpkFractions/proteomic_fractions_linear_files/Yang_linear_img/110625811.jpg","show blot")</f>
        <v>show blot</v>
      </c>
      <c r="J5905" s="5" t="s">
        <v>11597</v>
      </c>
      <c r="L5905" s="11">
        <v>4.0958442835846363</v>
      </c>
      <c r="N5905" s="12"/>
    </row>
    <row r="5906" spans="1:14" s="5" customFormat="1" ht="15" customHeight="1" x14ac:dyDescent="0.25">
      <c r="A5906" s="9" t="s">
        <v>11598</v>
      </c>
      <c r="C5906" s="9" t="str">
        <f>HYPERLINK("http://www.ncbi.nlm.nih.gov/protein/312261233","Prrc2a")</f>
        <v>Prrc2a</v>
      </c>
      <c r="D5906" s="10">
        <f t="shared" si="92"/>
        <v>3.2776962736373649</v>
      </c>
      <c r="F5906" s="8" t="str">
        <f>HYPERLINK("https://esbl.nhlbi.nih.gov/Databases/mpkFractions/proteomic_fractions_log_files/Yang_log_img/312261233.jpg","show blot")</f>
        <v>show blot</v>
      </c>
      <c r="H5906" s="8" t="str">
        <f>HYPERLINK("https://esbl.nhlbi.nih.gov/Databases/mpkFractions/proteomic_fractions_linear_files/Yang_linear_img/312261233.jpg","show blot")</f>
        <v>show blot</v>
      </c>
      <c r="J5906" s="5" t="s">
        <v>11599</v>
      </c>
      <c r="L5906" s="11">
        <v>3.2776962736373649</v>
      </c>
      <c r="N5906" s="12"/>
    </row>
    <row r="5907" spans="1:14" s="5" customFormat="1" ht="15" customHeight="1" x14ac:dyDescent="0.25">
      <c r="A5907" s="9" t="s">
        <v>11600</v>
      </c>
      <c r="C5907" s="9" t="str">
        <f>HYPERLINK("http://www.ncbi.nlm.nih.gov/protein/92110037","Prrc2a")</f>
        <v>Prrc2a</v>
      </c>
      <c r="D5907" s="10">
        <f t="shared" si="92"/>
        <v>3.2776962736373649</v>
      </c>
      <c r="F5907" s="8" t="str">
        <f>HYPERLINK("https://esbl.nhlbi.nih.gov/Databases/mpkFractions/proteomic_fractions_log_files/Yang_log_img/92110037.jpg","show blot")</f>
        <v>show blot</v>
      </c>
      <c r="H5907" s="8" t="str">
        <f>HYPERLINK("https://esbl.nhlbi.nih.gov/Databases/mpkFractions/proteomic_fractions_linear_files/Yang_linear_img/92110037.jpg","show blot")</f>
        <v>show blot</v>
      </c>
      <c r="J5907" s="5" t="s">
        <v>11601</v>
      </c>
      <c r="L5907" s="11">
        <v>3.2776962736373649</v>
      </c>
      <c r="N5907" s="12"/>
    </row>
    <row r="5908" spans="1:14" s="5" customFormat="1" ht="15" customHeight="1" x14ac:dyDescent="0.25">
      <c r="A5908" s="9" t="s">
        <v>11602</v>
      </c>
      <c r="C5908" s="9" t="str">
        <f>HYPERLINK("http://www.ncbi.nlm.nih.gov/protein/227500365","Prrc2b")</f>
        <v>Prrc2b</v>
      </c>
      <c r="D5908" s="10">
        <f t="shared" si="92"/>
        <v>2.064132309060247</v>
      </c>
      <c r="F5908" s="8" t="str">
        <f>HYPERLINK("https://esbl.nhlbi.nih.gov/Databases/mpkFractions/proteomic_fractions_log_files/Yang_log_img/227500365.jpg","show blot")</f>
        <v>show blot</v>
      </c>
      <c r="H5908" s="8" t="str">
        <f>HYPERLINK("https://esbl.nhlbi.nih.gov/Databases/mpkFractions/proteomic_fractions_linear_files/Yang_linear_img/227500365.jpg","show blot")</f>
        <v>show blot</v>
      </c>
      <c r="J5908" s="5" t="s">
        <v>11603</v>
      </c>
      <c r="L5908" s="11">
        <v>2.064132309060247</v>
      </c>
      <c r="N5908" s="12"/>
    </row>
    <row r="5909" spans="1:14" s="5" customFormat="1" ht="15" customHeight="1" x14ac:dyDescent="0.25">
      <c r="A5909" s="9" t="s">
        <v>11604</v>
      </c>
      <c r="C5909" s="9" t="str">
        <f>HYPERLINK("http://www.ncbi.nlm.nih.gov/protein/34328385","Prrc2b")</f>
        <v>Prrc2b</v>
      </c>
      <c r="D5909" s="10">
        <f t="shared" si="92"/>
        <v>2.064132309060247</v>
      </c>
      <c r="F5909" s="8" t="str">
        <f>HYPERLINK("https://esbl.nhlbi.nih.gov/Databases/mpkFractions/proteomic_fractions_log_files/Yang_log_img/34328385.jpg","show blot")</f>
        <v>show blot</v>
      </c>
      <c r="H5909" s="8" t="str">
        <f>HYPERLINK("https://esbl.nhlbi.nih.gov/Databases/mpkFractions/proteomic_fractions_linear_files/Yang_linear_img/34328385.jpg","show blot")</f>
        <v>show blot</v>
      </c>
      <c r="J5909" s="5" t="s">
        <v>11605</v>
      </c>
      <c r="L5909" s="11">
        <v>2.064132309060247</v>
      </c>
      <c r="N5909" s="12"/>
    </row>
    <row r="5910" spans="1:14" s="5" customFormat="1" ht="15" customHeight="1" x14ac:dyDescent="0.25">
      <c r="A5910" s="9" t="s">
        <v>11606</v>
      </c>
      <c r="C5910" s="9" t="str">
        <f>HYPERLINK("http://www.ncbi.nlm.nih.gov/protein/124486835","Prrc2c")</f>
        <v>Prrc2c</v>
      </c>
      <c r="D5910" s="10">
        <f t="shared" si="92"/>
        <v>3.8253693021844581</v>
      </c>
      <c r="F5910" s="8" t="str">
        <f>HYPERLINK("https://esbl.nhlbi.nih.gov/Databases/mpkFractions/proteomic_fractions_log_files/Yang_log_img/124486835.jpg","show blot")</f>
        <v>show blot</v>
      </c>
      <c r="H5910" s="8" t="str">
        <f>HYPERLINK("https://esbl.nhlbi.nih.gov/Databases/mpkFractions/proteomic_fractions_linear_files/Yang_linear_img/124486835.jpg","show blot")</f>
        <v>show blot</v>
      </c>
      <c r="J5910" s="5" t="s">
        <v>11607</v>
      </c>
      <c r="L5910" s="11">
        <v>3.8253693021844581</v>
      </c>
      <c r="N5910" s="12"/>
    </row>
    <row r="5911" spans="1:14" s="5" customFormat="1" ht="15" customHeight="1" x14ac:dyDescent="0.25">
      <c r="A5911" s="9" t="s">
        <v>11608</v>
      </c>
      <c r="C5911" s="9" t="str">
        <f>HYPERLINK("http://www.ncbi.nlm.nih.gov/protein/16716569","Prss1")</f>
        <v>Prss1</v>
      </c>
      <c r="D5911" s="10">
        <f t="shared" si="92"/>
        <v>4.7017089620604056</v>
      </c>
      <c r="F5911" s="8" t="str">
        <f>HYPERLINK("https://esbl.nhlbi.nih.gov/Databases/mpkFractions/proteomic_fractions_log_files/Yang_log_img/16716569.jpg","show blot")</f>
        <v>show blot</v>
      </c>
      <c r="H5911" s="8" t="str">
        <f>HYPERLINK("https://esbl.nhlbi.nih.gov/Databases/mpkFractions/proteomic_fractions_linear_files/Yang_linear_img/16716569.jpg","show blot")</f>
        <v>show blot</v>
      </c>
      <c r="J5911" s="5" t="s">
        <v>11609</v>
      </c>
      <c r="L5911" s="11">
        <v>4.7017089620604056</v>
      </c>
      <c r="N5911" s="12"/>
    </row>
    <row r="5912" spans="1:14" s="5" customFormat="1" ht="15" customHeight="1" x14ac:dyDescent="0.25">
      <c r="A5912" s="9" t="s">
        <v>11610</v>
      </c>
      <c r="C5912" s="9" t="str">
        <f>HYPERLINK("http://www.ncbi.nlm.nih.gov/protein/19111160","Prss8")</f>
        <v>Prss8</v>
      </c>
      <c r="D5912" s="10">
        <f t="shared" si="92"/>
        <v>3.412086438390638</v>
      </c>
      <c r="F5912" s="8" t="str">
        <f>HYPERLINK("https://esbl.nhlbi.nih.gov/Databases/mpkFractions/proteomic_fractions_log_files/Yang_log_img/19111160.jpg","show blot")</f>
        <v>show blot</v>
      </c>
      <c r="H5912" s="8" t="str">
        <f>HYPERLINK("https://esbl.nhlbi.nih.gov/Databases/mpkFractions/proteomic_fractions_linear_files/Yang_linear_img/19111160.jpg","show blot")</f>
        <v>show blot</v>
      </c>
      <c r="J5912" s="5" t="s">
        <v>11611</v>
      </c>
      <c r="L5912" s="11">
        <v>3.412086438390638</v>
      </c>
      <c r="N5912" s="12"/>
    </row>
    <row r="5913" spans="1:14" s="5" customFormat="1" ht="15" customHeight="1" x14ac:dyDescent="0.25">
      <c r="A5913" s="9" t="s">
        <v>11612</v>
      </c>
      <c r="C5913" s="9" t="str">
        <f>HYPERLINK("http://www.ncbi.nlm.nih.gov/protein/27597069","Prune")</f>
        <v>Prune</v>
      </c>
      <c r="D5913" s="10">
        <f t="shared" si="92"/>
        <v>5.3805400912113361</v>
      </c>
      <c r="F5913" s="8" t="str">
        <f>HYPERLINK("https://esbl.nhlbi.nih.gov/Databases/mpkFractions/proteomic_fractions_log_files/Yang_log_img/27597069.jpg","show blot")</f>
        <v>show blot</v>
      </c>
      <c r="H5913" s="8" t="str">
        <f>HYPERLINK("https://esbl.nhlbi.nih.gov/Databases/mpkFractions/proteomic_fractions_linear_files/Yang_linear_img/27597069.jpg","show blot")</f>
        <v>show blot</v>
      </c>
      <c r="J5913" s="5" t="s">
        <v>11613</v>
      </c>
      <c r="L5913" s="11">
        <v>5.3805400912113361</v>
      </c>
      <c r="N5913" s="12"/>
    </row>
    <row r="5914" spans="1:14" s="5" customFormat="1" ht="15" customHeight="1" x14ac:dyDescent="0.25">
      <c r="A5914" s="9" t="s">
        <v>11614</v>
      </c>
      <c r="C5914" s="9" t="str">
        <f>HYPERLINK("http://www.ncbi.nlm.nih.gov/protein/225735645","Psap")</f>
        <v>Psap</v>
      </c>
      <c r="D5914" s="10">
        <f t="shared" si="92"/>
        <v>6.9244216860397882</v>
      </c>
      <c r="F5914" s="8" t="str">
        <f>HYPERLINK("https://esbl.nhlbi.nih.gov/Databases/mpkFractions/proteomic_fractions_log_files/Yang_log_img/225735645.jpg","show blot")</f>
        <v>show blot</v>
      </c>
      <c r="H5914" s="8" t="str">
        <f>HYPERLINK("https://esbl.nhlbi.nih.gov/Databases/mpkFractions/proteomic_fractions_linear_files/Yang_linear_img/225735645.jpg","show blot")</f>
        <v>show blot</v>
      </c>
      <c r="J5914" s="5" t="s">
        <v>11615</v>
      </c>
      <c r="L5914" s="11">
        <v>6.9244216860397882</v>
      </c>
      <c r="N5914" s="12"/>
    </row>
    <row r="5915" spans="1:14" s="5" customFormat="1" ht="15" customHeight="1" x14ac:dyDescent="0.25">
      <c r="A5915" s="9" t="s">
        <v>11616</v>
      </c>
      <c r="C5915" s="9" t="str">
        <f>HYPERLINK("http://www.ncbi.nlm.nih.gov/protein/225735649","Psap")</f>
        <v>Psap</v>
      </c>
      <c r="D5915" s="10">
        <f t="shared" si="92"/>
        <v>6.9244216860397882</v>
      </c>
      <c r="F5915" s="8" t="str">
        <f>HYPERLINK("https://esbl.nhlbi.nih.gov/Databases/mpkFractions/proteomic_fractions_log_files/Yang_log_img/225735649.jpg","show blot")</f>
        <v>show blot</v>
      </c>
      <c r="H5915" s="8" t="str">
        <f>HYPERLINK("https://esbl.nhlbi.nih.gov/Databases/mpkFractions/proteomic_fractions_linear_files/Yang_linear_img/225735649.jpg","show blot")</f>
        <v>show blot</v>
      </c>
      <c r="J5915" s="5" t="s">
        <v>11617</v>
      </c>
      <c r="L5915" s="11">
        <v>6.9244216860397882</v>
      </c>
      <c r="N5915" s="12"/>
    </row>
    <row r="5916" spans="1:14" s="5" customFormat="1" ht="15" customHeight="1" x14ac:dyDescent="0.25">
      <c r="A5916" s="9" t="s">
        <v>11618</v>
      </c>
      <c r="C5916" s="9" t="str">
        <f>HYPERLINK("http://www.ncbi.nlm.nih.gov/protein/225735651","Psap")</f>
        <v>Psap</v>
      </c>
      <c r="D5916" s="10">
        <f t="shared" si="92"/>
        <v>6.9244216860397882</v>
      </c>
      <c r="F5916" s="8" t="str">
        <f>HYPERLINK("https://esbl.nhlbi.nih.gov/Databases/mpkFractions/proteomic_fractions_log_files/Yang_log_img/225735651.jpg","show blot")</f>
        <v>show blot</v>
      </c>
      <c r="H5916" s="8" t="str">
        <f>HYPERLINK("https://esbl.nhlbi.nih.gov/Databases/mpkFractions/proteomic_fractions_linear_files/Yang_linear_img/225735651.jpg","show blot")</f>
        <v>show blot</v>
      </c>
      <c r="J5916" s="5" t="s">
        <v>11619</v>
      </c>
      <c r="L5916" s="11">
        <v>6.9244216860397882</v>
      </c>
      <c r="N5916" s="12"/>
    </row>
    <row r="5917" spans="1:14" s="5" customFormat="1" ht="15" customHeight="1" x14ac:dyDescent="0.25">
      <c r="A5917" s="9" t="s">
        <v>11620</v>
      </c>
      <c r="C5917" s="9" t="str">
        <f>HYPERLINK("http://www.ncbi.nlm.nih.gov/protein/225735653","Psap")</f>
        <v>Psap</v>
      </c>
      <c r="D5917" s="10">
        <f t="shared" si="92"/>
        <v>6.9244216860397882</v>
      </c>
      <c r="F5917" s="8" t="str">
        <f>HYPERLINK("https://esbl.nhlbi.nih.gov/Databases/mpkFractions/proteomic_fractions_log_files/Yang_log_img/225735653.jpg","show blot")</f>
        <v>show blot</v>
      </c>
      <c r="H5917" s="8" t="str">
        <f>HYPERLINK("https://esbl.nhlbi.nih.gov/Databases/mpkFractions/proteomic_fractions_linear_files/Yang_linear_img/225735653.jpg","show blot")</f>
        <v>show blot</v>
      </c>
      <c r="J5917" s="5" t="s">
        <v>11621</v>
      </c>
      <c r="L5917" s="11">
        <v>6.9244216860397882</v>
      </c>
      <c r="N5917" s="12"/>
    </row>
    <row r="5918" spans="1:14" s="5" customFormat="1" ht="15" customHeight="1" x14ac:dyDescent="0.25">
      <c r="A5918" s="9" t="s">
        <v>11622</v>
      </c>
      <c r="C5918" s="9" t="str">
        <f>HYPERLINK("http://www.ncbi.nlm.nih.gov/protein/225735655","Psap")</f>
        <v>Psap</v>
      </c>
      <c r="D5918" s="10">
        <f t="shared" si="92"/>
        <v>6.9244216860397882</v>
      </c>
      <c r="F5918" s="8" t="str">
        <f>HYPERLINK("https://esbl.nhlbi.nih.gov/Databases/mpkFractions/proteomic_fractions_log_files/Yang_log_img/225735655.jpg","show blot")</f>
        <v>show blot</v>
      </c>
      <c r="H5918" s="8" t="str">
        <f>HYPERLINK("https://esbl.nhlbi.nih.gov/Databases/mpkFractions/proteomic_fractions_linear_files/Yang_linear_img/225735655.jpg","show blot")</f>
        <v>show blot</v>
      </c>
      <c r="J5918" s="5" t="s">
        <v>11623</v>
      </c>
      <c r="L5918" s="11">
        <v>6.9244216860397882</v>
      </c>
      <c r="N5918" s="12"/>
    </row>
    <row r="5919" spans="1:14" s="5" customFormat="1" ht="15" customHeight="1" x14ac:dyDescent="0.25">
      <c r="A5919" s="9" t="s">
        <v>11624</v>
      </c>
      <c r="C5919" s="9" t="str">
        <f>HYPERLINK("http://www.ncbi.nlm.nih.gov/protein/225735657","Psap")</f>
        <v>Psap</v>
      </c>
      <c r="D5919" s="10">
        <f t="shared" si="92"/>
        <v>6.9244216860397882</v>
      </c>
      <c r="F5919" s="8" t="str">
        <f>HYPERLINK("https://esbl.nhlbi.nih.gov/Databases/mpkFractions/proteomic_fractions_log_files/Yang_log_img/225735657.jpg","show blot")</f>
        <v>show blot</v>
      </c>
      <c r="H5919" s="8" t="str">
        <f>HYPERLINK("https://esbl.nhlbi.nih.gov/Databases/mpkFractions/proteomic_fractions_linear_files/Yang_linear_img/225735657.jpg","show blot")</f>
        <v>show blot</v>
      </c>
      <c r="J5919" s="5" t="s">
        <v>11625</v>
      </c>
      <c r="L5919" s="11">
        <v>6.9244216860397882</v>
      </c>
      <c r="N5919" s="12"/>
    </row>
    <row r="5920" spans="1:14" s="5" customFormat="1" ht="15" customHeight="1" x14ac:dyDescent="0.25">
      <c r="A5920" s="9" t="s">
        <v>11626</v>
      </c>
      <c r="C5920" s="9" t="str">
        <f>HYPERLINK("http://www.ncbi.nlm.nih.gov/protein/329299029","Psat1")</f>
        <v>Psat1</v>
      </c>
      <c r="D5920" s="10">
        <f t="shared" si="92"/>
        <v>6.6423636770720371</v>
      </c>
      <c r="F5920" s="8" t="str">
        <f>HYPERLINK("https://esbl.nhlbi.nih.gov/Databases/mpkFractions/proteomic_fractions_log_files/Yang_log_img/329299029.jpg","show blot")</f>
        <v>show blot</v>
      </c>
      <c r="H5920" s="8" t="str">
        <f>HYPERLINK("https://esbl.nhlbi.nih.gov/Databases/mpkFractions/proteomic_fractions_linear_files/Yang_linear_img/329299029.jpg","show blot")</f>
        <v>show blot</v>
      </c>
      <c r="J5920" s="5" t="s">
        <v>11627</v>
      </c>
      <c r="L5920" s="11">
        <v>6.6423636770720371</v>
      </c>
      <c r="N5920" s="12"/>
    </row>
    <row r="5921" spans="1:14" s="5" customFormat="1" ht="15" customHeight="1" x14ac:dyDescent="0.25">
      <c r="A5921" s="9" t="s">
        <v>11628</v>
      </c>
      <c r="C5921" s="9" t="str">
        <f>HYPERLINK("http://www.ncbi.nlm.nih.gov/protein/54292132","Psat1")</f>
        <v>Psat1</v>
      </c>
      <c r="D5921" s="10">
        <f t="shared" si="92"/>
        <v>6.6423636770720371</v>
      </c>
      <c r="F5921" s="8" t="str">
        <f>HYPERLINK("https://esbl.nhlbi.nih.gov/Databases/mpkFractions/proteomic_fractions_log_files/Yang_log_img/54292132.jpg","show blot")</f>
        <v>show blot</v>
      </c>
      <c r="H5921" s="8" t="str">
        <f>HYPERLINK("https://esbl.nhlbi.nih.gov/Databases/mpkFractions/proteomic_fractions_linear_files/Yang_linear_img/54292132.jpg","show blot")</f>
        <v>show blot</v>
      </c>
      <c r="J5921" s="5" t="s">
        <v>11629</v>
      </c>
      <c r="L5921" s="11">
        <v>6.6423636770720371</v>
      </c>
      <c r="N5921" s="12"/>
    </row>
    <row r="5922" spans="1:14" s="5" customFormat="1" ht="15" customHeight="1" x14ac:dyDescent="0.25">
      <c r="A5922" s="9" t="s">
        <v>11630</v>
      </c>
      <c r="C5922" s="9" t="str">
        <f>HYPERLINK("http://www.ncbi.nlm.nih.gov/protein/6679493","Psen1")</f>
        <v>Psen1</v>
      </c>
      <c r="D5922" s="10">
        <f t="shared" si="92"/>
        <v>3.9422432064379871</v>
      </c>
      <c r="F5922" s="8" t="str">
        <f>HYPERLINK("https://esbl.nhlbi.nih.gov/Databases/mpkFractions/proteomic_fractions_log_files/Yang_log_img/6679493.jpg","show blot")</f>
        <v>show blot</v>
      </c>
      <c r="H5922" s="8" t="str">
        <f>HYPERLINK("https://esbl.nhlbi.nih.gov/Databases/mpkFractions/proteomic_fractions_linear_files/Yang_linear_img/6679493.jpg","show blot")</f>
        <v>show blot</v>
      </c>
      <c r="J5922" s="5" t="s">
        <v>11631</v>
      </c>
      <c r="L5922" s="11">
        <v>3.9422432064379871</v>
      </c>
      <c r="N5922" s="12"/>
    </row>
    <row r="5923" spans="1:14" s="5" customFormat="1" ht="15" customHeight="1" x14ac:dyDescent="0.25">
      <c r="A5923" s="9" t="s">
        <v>11632</v>
      </c>
      <c r="C5923" s="9" t="str">
        <f>HYPERLINK("http://www.ncbi.nlm.nih.gov/protein/190684663;190684661","Psen2")</f>
        <v>Psen2</v>
      </c>
      <c r="D5923" s="10">
        <f t="shared" si="92"/>
        <v>3.8985222440836012</v>
      </c>
      <c r="F5923" s="8" t="str">
        <f>HYPERLINK("https://esbl.nhlbi.nih.gov/Databases/mpkFractions/proteomic_fractions_log_files/Yang_log_img/190684663;190684661.jpg","show blot")</f>
        <v>show blot</v>
      </c>
      <c r="H5923" s="8" t="str">
        <f>HYPERLINK("https://esbl.nhlbi.nih.gov/Databases/mpkFractions/proteomic_fractions_linear_files/Yang_linear_img/190684663;190684661.jpg","show blot")</f>
        <v>show blot</v>
      </c>
      <c r="J5923" s="5" t="s">
        <v>11633</v>
      </c>
      <c r="L5923" s="11">
        <v>3.8985222440836012</v>
      </c>
      <c r="N5923" s="12"/>
    </row>
    <row r="5924" spans="1:14" s="5" customFormat="1" ht="15" customHeight="1" x14ac:dyDescent="0.25">
      <c r="A5924" s="9" t="s">
        <v>11634</v>
      </c>
      <c r="C5924" s="9" t="str">
        <f>HYPERLINK("http://www.ncbi.nlm.nih.gov/protein/13384922","Psenen")</f>
        <v>Psenen</v>
      </c>
      <c r="D5924" s="10">
        <f t="shared" si="92"/>
        <v>4.2278170674121478</v>
      </c>
      <c r="F5924" s="8" t="str">
        <f>HYPERLINK("https://esbl.nhlbi.nih.gov/Databases/mpkFractions/proteomic_fractions_log_files/Yang_log_img/13384922.jpg","show blot")</f>
        <v>show blot</v>
      </c>
      <c r="H5924" s="8" t="str">
        <f>HYPERLINK("https://esbl.nhlbi.nih.gov/Databases/mpkFractions/proteomic_fractions_linear_files/Yang_linear_img/13384922.jpg","show blot")</f>
        <v>show blot</v>
      </c>
      <c r="J5924" s="5" t="s">
        <v>11635</v>
      </c>
      <c r="L5924" s="11">
        <v>4.2278170674121478</v>
      </c>
      <c r="N5924" s="12"/>
    </row>
    <row r="5925" spans="1:14" s="5" customFormat="1" ht="15" customHeight="1" x14ac:dyDescent="0.25">
      <c r="A5925" s="9" t="s">
        <v>11636</v>
      </c>
      <c r="C5925" s="9" t="str">
        <f>HYPERLINK("http://www.ncbi.nlm.nih.gov/protein/19527168","Psip1")</f>
        <v>Psip1</v>
      </c>
      <c r="D5925" s="10">
        <f t="shared" si="92"/>
        <v>5.1184936974106252</v>
      </c>
      <c r="F5925" s="8" t="str">
        <f>HYPERLINK("https://esbl.nhlbi.nih.gov/Databases/mpkFractions/proteomic_fractions_log_files/Yang_log_img/19527168.jpg","show blot")</f>
        <v>show blot</v>
      </c>
      <c r="H5925" s="8" t="str">
        <f>HYPERLINK("https://esbl.nhlbi.nih.gov/Databases/mpkFractions/proteomic_fractions_linear_files/Yang_linear_img/19527168.jpg","show blot")</f>
        <v>show blot</v>
      </c>
      <c r="J5925" s="5" t="s">
        <v>11637</v>
      </c>
      <c r="L5925" s="11">
        <v>5.1184936974106252</v>
      </c>
      <c r="N5925" s="12"/>
    </row>
    <row r="5926" spans="1:14" s="5" customFormat="1" ht="15" customHeight="1" x14ac:dyDescent="0.25">
      <c r="A5926" s="9" t="s">
        <v>11638</v>
      </c>
      <c r="C5926" s="9" t="str">
        <f>HYPERLINK("http://www.ncbi.nlm.nih.gov/protein/33563282","Psma1")</f>
        <v>Psma1</v>
      </c>
      <c r="D5926" s="10">
        <f t="shared" si="92"/>
        <v>6.6542351087763407</v>
      </c>
      <c r="F5926" s="8" t="str">
        <f>HYPERLINK("https://esbl.nhlbi.nih.gov/Databases/mpkFractions/proteomic_fractions_log_files/Yang_log_img/33563282.jpg","show blot")</f>
        <v>show blot</v>
      </c>
      <c r="H5926" s="8" t="str">
        <f>HYPERLINK("https://esbl.nhlbi.nih.gov/Databases/mpkFractions/proteomic_fractions_linear_files/Yang_linear_img/33563282.jpg","show blot")</f>
        <v>show blot</v>
      </c>
      <c r="J5926" s="5" t="s">
        <v>11639</v>
      </c>
      <c r="L5926" s="11">
        <v>6.6542351087763407</v>
      </c>
      <c r="N5926" s="12"/>
    </row>
    <row r="5927" spans="1:14" s="5" customFormat="1" ht="15" customHeight="1" x14ac:dyDescent="0.25">
      <c r="A5927" s="9" t="s">
        <v>11640</v>
      </c>
      <c r="C5927" s="9" t="str">
        <f>HYPERLINK("http://www.ncbi.nlm.nih.gov/protein/134031994","Psma2")</f>
        <v>Psma2</v>
      </c>
      <c r="D5927" s="10">
        <f t="shared" si="92"/>
        <v>5.8593175097339181</v>
      </c>
      <c r="F5927" s="8" t="str">
        <f>HYPERLINK("https://esbl.nhlbi.nih.gov/Databases/mpkFractions/proteomic_fractions_log_files/Yang_log_img/134031994.jpg","show blot")</f>
        <v>show blot</v>
      </c>
      <c r="H5927" s="8" t="str">
        <f>HYPERLINK("https://esbl.nhlbi.nih.gov/Databases/mpkFractions/proteomic_fractions_linear_files/Yang_linear_img/134031994.jpg","show blot")</f>
        <v>show blot</v>
      </c>
      <c r="J5927" s="5" t="s">
        <v>11641</v>
      </c>
      <c r="L5927" s="11">
        <v>5.8593175097339181</v>
      </c>
      <c r="N5927" s="12"/>
    </row>
    <row r="5928" spans="1:14" s="5" customFormat="1" ht="15" customHeight="1" x14ac:dyDescent="0.25">
      <c r="A5928" s="9" t="s">
        <v>11642</v>
      </c>
      <c r="C5928" s="9" t="str">
        <f>HYPERLINK("http://www.ncbi.nlm.nih.gov/protein/261824000","Psma3")</f>
        <v>Psma3</v>
      </c>
      <c r="D5928" s="10">
        <f t="shared" si="92"/>
        <v>6.4199973446637983</v>
      </c>
      <c r="F5928" s="8" t="str">
        <f>HYPERLINK("https://esbl.nhlbi.nih.gov/Databases/mpkFractions/proteomic_fractions_log_files/Yang_log_img/261824000.jpg","show blot")</f>
        <v>show blot</v>
      </c>
      <c r="H5928" s="8" t="str">
        <f>HYPERLINK("https://esbl.nhlbi.nih.gov/Databases/mpkFractions/proteomic_fractions_linear_files/Yang_linear_img/261824000.jpg","show blot")</f>
        <v>show blot</v>
      </c>
      <c r="J5928" s="5" t="s">
        <v>11643</v>
      </c>
      <c r="L5928" s="11">
        <v>6.4199973446637983</v>
      </c>
      <c r="N5928" s="12"/>
    </row>
    <row r="5929" spans="1:14" s="5" customFormat="1" ht="15" customHeight="1" x14ac:dyDescent="0.25">
      <c r="A5929" s="9" t="s">
        <v>11644</v>
      </c>
      <c r="C5929" s="9" t="str">
        <f>HYPERLINK("http://www.ncbi.nlm.nih.gov/protein/6755196","Psma4")</f>
        <v>Psma4</v>
      </c>
      <c r="D5929" s="10">
        <f t="shared" si="92"/>
        <v>6.3217882233308984</v>
      </c>
      <c r="F5929" s="8" t="str">
        <f>HYPERLINK("https://esbl.nhlbi.nih.gov/Databases/mpkFractions/proteomic_fractions_log_files/Yang_log_img/6755196.jpg","show blot")</f>
        <v>show blot</v>
      </c>
      <c r="H5929" s="8" t="str">
        <f>HYPERLINK("https://esbl.nhlbi.nih.gov/Databases/mpkFractions/proteomic_fractions_linear_files/Yang_linear_img/6755196.jpg","show blot")</f>
        <v>show blot</v>
      </c>
      <c r="J5929" s="5" t="s">
        <v>11645</v>
      </c>
      <c r="L5929" s="11">
        <v>6.3217882233308984</v>
      </c>
      <c r="N5929" s="12"/>
    </row>
    <row r="5930" spans="1:14" s="5" customFormat="1" ht="15" customHeight="1" x14ac:dyDescent="0.25">
      <c r="A5930" s="9" t="s">
        <v>11646</v>
      </c>
      <c r="C5930" s="9" t="str">
        <f>HYPERLINK("http://www.ncbi.nlm.nih.gov/protein/7106387","Psma5")</f>
        <v>Psma5</v>
      </c>
      <c r="D5930" s="10">
        <f t="shared" si="92"/>
        <v>6.3923201720808542</v>
      </c>
      <c r="F5930" s="8" t="str">
        <f>HYPERLINK("https://esbl.nhlbi.nih.gov/Databases/mpkFractions/proteomic_fractions_log_files/Yang_log_img/7106387.jpg","show blot")</f>
        <v>show blot</v>
      </c>
      <c r="H5930" s="8" t="str">
        <f>HYPERLINK("https://esbl.nhlbi.nih.gov/Databases/mpkFractions/proteomic_fractions_linear_files/Yang_linear_img/7106387.jpg","show blot")</f>
        <v>show blot</v>
      </c>
      <c r="J5930" s="5" t="s">
        <v>11647</v>
      </c>
      <c r="L5930" s="11">
        <v>6.3923201720808542</v>
      </c>
      <c r="N5930" s="12"/>
    </row>
    <row r="5931" spans="1:14" s="5" customFormat="1" ht="15" customHeight="1" x14ac:dyDescent="0.25">
      <c r="A5931" s="9" t="s">
        <v>11648</v>
      </c>
      <c r="C5931" s="9" t="str">
        <f>HYPERLINK("http://www.ncbi.nlm.nih.gov/protein/6755198","Psma6")</f>
        <v>Psma6</v>
      </c>
      <c r="D5931" s="10">
        <f t="shared" si="92"/>
        <v>6.6864466956120561</v>
      </c>
      <c r="F5931" s="8" t="str">
        <f>HYPERLINK("https://esbl.nhlbi.nih.gov/Databases/mpkFractions/proteomic_fractions_log_files/Yang_log_img/6755198.jpg","show blot")</f>
        <v>show blot</v>
      </c>
      <c r="H5931" s="8" t="str">
        <f>HYPERLINK("https://esbl.nhlbi.nih.gov/Databases/mpkFractions/proteomic_fractions_linear_files/Yang_linear_img/6755198.jpg","show blot")</f>
        <v>show blot</v>
      </c>
      <c r="J5931" s="5" t="s">
        <v>11649</v>
      </c>
      <c r="L5931" s="11">
        <v>6.6864466956120561</v>
      </c>
      <c r="N5931" s="12"/>
    </row>
    <row r="5932" spans="1:14" s="5" customFormat="1" ht="15" customHeight="1" x14ac:dyDescent="0.25">
      <c r="A5932" s="9" t="s">
        <v>11650</v>
      </c>
      <c r="C5932" s="9" t="str">
        <f>HYPERLINK("http://www.ncbi.nlm.nih.gov/protein/7106389","Psma7")</f>
        <v>Psma7</v>
      </c>
      <c r="D5932" s="10">
        <f t="shared" si="92"/>
        <v>6.590060132233619</v>
      </c>
      <c r="F5932" s="8" t="str">
        <f>HYPERLINK("https://esbl.nhlbi.nih.gov/Databases/mpkFractions/proteomic_fractions_log_files/Yang_log_img/7106389.jpg","show blot")</f>
        <v>show blot</v>
      </c>
      <c r="H5932" s="8" t="str">
        <f>HYPERLINK("https://esbl.nhlbi.nih.gov/Databases/mpkFractions/proteomic_fractions_linear_files/Yang_linear_img/7106389.jpg","show blot")</f>
        <v>show blot</v>
      </c>
      <c r="J5932" s="5" t="s">
        <v>11651</v>
      </c>
      <c r="L5932" s="11">
        <v>6.590060132233619</v>
      </c>
      <c r="N5932" s="12"/>
    </row>
    <row r="5933" spans="1:14" s="5" customFormat="1" ht="15" customHeight="1" x14ac:dyDescent="0.25">
      <c r="A5933" s="9" t="s">
        <v>11652</v>
      </c>
      <c r="C5933" s="9" t="str">
        <f>HYPERLINK("http://www.ncbi.nlm.nih.gov/protein/254692831","Psma8")</f>
        <v>Psma8</v>
      </c>
      <c r="D5933" s="10">
        <f t="shared" si="92"/>
        <v>5.7546283355511907</v>
      </c>
      <c r="F5933" s="8" t="str">
        <f>HYPERLINK("https://esbl.nhlbi.nih.gov/Databases/mpkFractions/proteomic_fractions_log_files/Yang_log_img/254692831.jpg","show blot")</f>
        <v>show blot</v>
      </c>
      <c r="H5933" s="8" t="str">
        <f>HYPERLINK("https://esbl.nhlbi.nih.gov/Databases/mpkFractions/proteomic_fractions_linear_files/Yang_linear_img/254692831.jpg","show blot")</f>
        <v>show blot</v>
      </c>
      <c r="J5933" s="5" t="s">
        <v>11653</v>
      </c>
      <c r="L5933" s="11">
        <v>5.7546283355511907</v>
      </c>
      <c r="N5933" s="12"/>
    </row>
    <row r="5934" spans="1:14" s="5" customFormat="1" ht="15" customHeight="1" x14ac:dyDescent="0.25">
      <c r="A5934" s="9" t="s">
        <v>11654</v>
      </c>
      <c r="C5934" s="9" t="str">
        <f>HYPERLINK("http://www.ncbi.nlm.nih.gov/protein/7242197","Psmb1")</f>
        <v>Psmb1</v>
      </c>
      <c r="D5934" s="10">
        <f t="shared" si="92"/>
        <v>6.3876051650508172</v>
      </c>
      <c r="F5934" s="8" t="str">
        <f>HYPERLINK("https://esbl.nhlbi.nih.gov/Databases/mpkFractions/proteomic_fractions_log_files/Yang_log_img/7242197.jpg","show blot")</f>
        <v>show blot</v>
      </c>
      <c r="H5934" s="8" t="str">
        <f>HYPERLINK("https://esbl.nhlbi.nih.gov/Databases/mpkFractions/proteomic_fractions_linear_files/Yang_linear_img/7242197.jpg","show blot")</f>
        <v>show blot</v>
      </c>
      <c r="J5934" s="5" t="s">
        <v>11655</v>
      </c>
      <c r="L5934" s="11">
        <v>6.3876051650508172</v>
      </c>
      <c r="N5934" s="12"/>
    </row>
    <row r="5935" spans="1:14" s="5" customFormat="1" ht="15" customHeight="1" x14ac:dyDescent="0.25">
      <c r="A5935" s="9" t="s">
        <v>11656</v>
      </c>
      <c r="C5935" s="9" t="str">
        <f>HYPERLINK("http://www.ncbi.nlm.nih.gov/protein/227116345","Psmb2")</f>
        <v>Psmb2</v>
      </c>
      <c r="D5935" s="10">
        <f t="shared" si="92"/>
        <v>6.2138881663611443</v>
      </c>
      <c r="F5935" s="8" t="str">
        <f>HYPERLINK("https://esbl.nhlbi.nih.gov/Databases/mpkFractions/proteomic_fractions_log_files/Yang_log_img/227116345.jpg","show blot")</f>
        <v>show blot</v>
      </c>
      <c r="H5935" s="8" t="str">
        <f>HYPERLINK("https://esbl.nhlbi.nih.gov/Databases/mpkFractions/proteomic_fractions_linear_files/Yang_linear_img/227116345.jpg","show blot")</f>
        <v>show blot</v>
      </c>
      <c r="J5935" s="5" t="s">
        <v>11657</v>
      </c>
      <c r="L5935" s="11">
        <v>6.2138881663611443</v>
      </c>
      <c r="N5935" s="12"/>
    </row>
    <row r="5936" spans="1:14" s="5" customFormat="1" ht="15" customHeight="1" x14ac:dyDescent="0.25">
      <c r="A5936" s="9" t="s">
        <v>11658</v>
      </c>
      <c r="C5936" s="9" t="str">
        <f>HYPERLINK("http://www.ncbi.nlm.nih.gov/protein/6755202","Psmb3")</f>
        <v>Psmb3</v>
      </c>
      <c r="D5936" s="10">
        <f t="shared" si="92"/>
        <v>6.2065601703244537</v>
      </c>
      <c r="F5936" s="8" t="str">
        <f>HYPERLINK("https://esbl.nhlbi.nih.gov/Databases/mpkFractions/proteomic_fractions_log_files/Yang_log_img/6755202.jpg","show blot")</f>
        <v>show blot</v>
      </c>
      <c r="H5936" s="8" t="str">
        <f>HYPERLINK("https://esbl.nhlbi.nih.gov/Databases/mpkFractions/proteomic_fractions_linear_files/Yang_linear_img/6755202.jpg","show blot")</f>
        <v>show blot</v>
      </c>
      <c r="J5936" s="5" t="s">
        <v>11659</v>
      </c>
      <c r="L5936" s="11">
        <v>6.2065601703244537</v>
      </c>
      <c r="N5936" s="12"/>
    </row>
    <row r="5937" spans="1:14" s="5" customFormat="1" ht="15" customHeight="1" x14ac:dyDescent="0.25">
      <c r="A5937" s="9" t="s">
        <v>11660</v>
      </c>
      <c r="C5937" s="9" t="str">
        <f>HYPERLINK("http://www.ncbi.nlm.nih.gov/protein/254540082","Psmb4")</f>
        <v>Psmb4</v>
      </c>
      <c r="D5937" s="10">
        <f t="shared" si="92"/>
        <v>5.9665298571860248</v>
      </c>
      <c r="F5937" s="8" t="str">
        <f>HYPERLINK("https://esbl.nhlbi.nih.gov/Databases/mpkFractions/proteomic_fractions_log_files/Yang_log_img/254540082.jpg","show blot")</f>
        <v>show blot</v>
      </c>
      <c r="H5937" s="8" t="str">
        <f>HYPERLINK("https://esbl.nhlbi.nih.gov/Databases/mpkFractions/proteomic_fractions_linear_files/Yang_linear_img/254540082.jpg","show blot")</f>
        <v>show blot</v>
      </c>
      <c r="J5937" s="5" t="s">
        <v>11661</v>
      </c>
      <c r="L5937" s="11">
        <v>5.9665298571860248</v>
      </c>
      <c r="N5937" s="12"/>
    </row>
    <row r="5938" spans="1:14" s="5" customFormat="1" ht="15" customHeight="1" x14ac:dyDescent="0.25">
      <c r="A5938" s="9" t="s">
        <v>11662</v>
      </c>
      <c r="C5938" s="9" t="str">
        <f>HYPERLINK("http://www.ncbi.nlm.nih.gov/protein/6755204","Psmb5")</f>
        <v>Psmb5</v>
      </c>
      <c r="D5938" s="10">
        <f t="shared" si="92"/>
        <v>6.6691508353210791</v>
      </c>
      <c r="F5938" s="8" t="str">
        <f>HYPERLINK("https://esbl.nhlbi.nih.gov/Databases/mpkFractions/proteomic_fractions_log_files/Yang_log_img/6755204.jpg","show blot")</f>
        <v>show blot</v>
      </c>
      <c r="H5938" s="8" t="str">
        <f>HYPERLINK("https://esbl.nhlbi.nih.gov/Databases/mpkFractions/proteomic_fractions_linear_files/Yang_linear_img/6755204.jpg","show blot")</f>
        <v>show blot</v>
      </c>
      <c r="J5938" s="5" t="s">
        <v>11663</v>
      </c>
      <c r="L5938" s="11">
        <v>6.6691508353210791</v>
      </c>
      <c r="N5938" s="12"/>
    </row>
    <row r="5939" spans="1:14" s="5" customFormat="1" ht="15" customHeight="1" x14ac:dyDescent="0.25">
      <c r="A5939" s="9" t="s">
        <v>11664</v>
      </c>
      <c r="C5939" s="9" t="str">
        <f>HYPERLINK("http://www.ncbi.nlm.nih.gov/protein/238231384","Psmb6")</f>
        <v>Psmb6</v>
      </c>
      <c r="D5939" s="10">
        <f t="shared" si="92"/>
        <v>6.4832478590155462</v>
      </c>
      <c r="F5939" s="8" t="str">
        <f>HYPERLINK("https://esbl.nhlbi.nih.gov/Databases/mpkFractions/proteomic_fractions_log_files/Yang_log_img/238231384.jpg","show blot")</f>
        <v>show blot</v>
      </c>
      <c r="H5939" s="8" t="str">
        <f>HYPERLINK("https://esbl.nhlbi.nih.gov/Databases/mpkFractions/proteomic_fractions_linear_files/Yang_linear_img/238231384.jpg","show blot")</f>
        <v>show blot</v>
      </c>
      <c r="J5939" s="5" t="s">
        <v>11665</v>
      </c>
      <c r="L5939" s="11">
        <v>6.4832478590155462</v>
      </c>
      <c r="N5939" s="12"/>
    </row>
    <row r="5940" spans="1:14" s="5" customFormat="1" ht="15" customHeight="1" x14ac:dyDescent="0.25">
      <c r="A5940" s="9" t="s">
        <v>11666</v>
      </c>
      <c r="C5940" s="9" t="str">
        <f>HYPERLINK("http://www.ncbi.nlm.nih.gov/protein/6755206","Psmb7")</f>
        <v>Psmb7</v>
      </c>
      <c r="D5940" s="10">
        <f t="shared" si="92"/>
        <v>5.8035689447556251</v>
      </c>
      <c r="F5940" s="8" t="str">
        <f>HYPERLINK("https://esbl.nhlbi.nih.gov/Databases/mpkFractions/proteomic_fractions_log_files/Yang_log_img/6755206.jpg","show blot")</f>
        <v>show blot</v>
      </c>
      <c r="H5940" s="8" t="str">
        <f>HYPERLINK("https://esbl.nhlbi.nih.gov/Databases/mpkFractions/proteomic_fractions_linear_files/Yang_linear_img/6755206.jpg","show blot")</f>
        <v>show blot</v>
      </c>
      <c r="J5940" s="5" t="s">
        <v>11667</v>
      </c>
      <c r="L5940" s="11">
        <v>5.8035689447556251</v>
      </c>
      <c r="N5940" s="12"/>
    </row>
    <row r="5941" spans="1:14" s="5" customFormat="1" ht="15" customHeight="1" x14ac:dyDescent="0.25">
      <c r="A5941" s="9" t="s">
        <v>11668</v>
      </c>
      <c r="C5941" s="9" t="str">
        <f>HYPERLINK("http://www.ncbi.nlm.nih.gov/protein/158303322","Psmb8")</f>
        <v>Psmb8</v>
      </c>
      <c r="D5941" s="10">
        <f t="shared" si="92"/>
        <v>3.1002180014245631</v>
      </c>
      <c r="F5941" s="8" t="str">
        <f>HYPERLINK("https://esbl.nhlbi.nih.gov/Databases/mpkFractions/proteomic_fractions_log_files/Yang_log_img/158303322.jpg","show blot")</f>
        <v>show blot</v>
      </c>
      <c r="H5941" s="8" t="str">
        <f>HYPERLINK("https://esbl.nhlbi.nih.gov/Databases/mpkFractions/proteomic_fractions_linear_files/Yang_linear_img/158303322.jpg","show blot")</f>
        <v>show blot</v>
      </c>
      <c r="J5941" s="5" t="s">
        <v>11669</v>
      </c>
      <c r="L5941" s="11">
        <v>3.1002180014245631</v>
      </c>
      <c r="N5941" s="12"/>
    </row>
    <row r="5942" spans="1:14" s="5" customFormat="1" ht="15" customHeight="1" x14ac:dyDescent="0.25">
      <c r="A5942" s="9" t="s">
        <v>11670</v>
      </c>
      <c r="C5942" s="9" t="str">
        <f>HYPERLINK("http://www.ncbi.nlm.nih.gov/protein/6679501","Psmc1")</f>
        <v>Psmc1</v>
      </c>
      <c r="D5942" s="10">
        <f t="shared" si="92"/>
        <v>6.1812007053309754</v>
      </c>
      <c r="F5942" s="8" t="str">
        <f>HYPERLINK("https://esbl.nhlbi.nih.gov/Databases/mpkFractions/proteomic_fractions_log_files/Yang_log_img/6679501.jpg","show blot")</f>
        <v>show blot</v>
      </c>
      <c r="H5942" s="8" t="str">
        <f>HYPERLINK("https://esbl.nhlbi.nih.gov/Databases/mpkFractions/proteomic_fractions_linear_files/Yang_linear_img/6679501.jpg","show blot")</f>
        <v>show blot</v>
      </c>
      <c r="J5942" s="5" t="s">
        <v>11671</v>
      </c>
      <c r="L5942" s="11">
        <v>6.1812007053309754</v>
      </c>
      <c r="N5942" s="12"/>
    </row>
    <row r="5943" spans="1:14" s="5" customFormat="1" ht="15" customHeight="1" x14ac:dyDescent="0.25">
      <c r="A5943" s="9" t="s">
        <v>11672</v>
      </c>
      <c r="C5943" s="9" t="str">
        <f>HYPERLINK("http://www.ncbi.nlm.nih.gov/protein/33859604","Psmc2")</f>
        <v>Psmc2</v>
      </c>
      <c r="D5943" s="10">
        <f t="shared" si="92"/>
        <v>6.2716449851586864</v>
      </c>
      <c r="F5943" s="8" t="str">
        <f>HYPERLINK("https://esbl.nhlbi.nih.gov/Databases/mpkFractions/proteomic_fractions_log_files/Yang_log_img/33859604.jpg","show blot")</f>
        <v>show blot</v>
      </c>
      <c r="H5943" s="8" t="str">
        <f>HYPERLINK("https://esbl.nhlbi.nih.gov/Databases/mpkFractions/proteomic_fractions_linear_files/Yang_linear_img/33859604.jpg","show blot")</f>
        <v>show blot</v>
      </c>
      <c r="J5943" s="5" t="s">
        <v>11673</v>
      </c>
      <c r="L5943" s="11">
        <v>6.2716449851586864</v>
      </c>
      <c r="N5943" s="12"/>
    </row>
    <row r="5944" spans="1:14" s="5" customFormat="1" ht="15" customHeight="1" x14ac:dyDescent="0.25">
      <c r="A5944" s="9" t="s">
        <v>11674</v>
      </c>
      <c r="C5944" s="9" t="str">
        <f>HYPERLINK("http://www.ncbi.nlm.nih.gov/protein/228008337","Psmc3")</f>
        <v>Psmc3</v>
      </c>
      <c r="D5944" s="10">
        <f t="shared" si="92"/>
        <v>6.335752227415095</v>
      </c>
      <c r="F5944" s="8" t="str">
        <f>HYPERLINK("https://esbl.nhlbi.nih.gov/Databases/mpkFractions/proteomic_fractions_log_files/Yang_log_img/228008337.jpg","show blot")</f>
        <v>show blot</v>
      </c>
      <c r="H5944" s="8" t="str">
        <f>HYPERLINK("https://esbl.nhlbi.nih.gov/Databases/mpkFractions/proteomic_fractions_linear_files/Yang_linear_img/228008337.jpg","show blot")</f>
        <v>show blot</v>
      </c>
      <c r="J5944" s="5" t="s">
        <v>11675</v>
      </c>
      <c r="L5944" s="11">
        <v>6.335752227415095</v>
      </c>
      <c r="N5944" s="12"/>
    </row>
    <row r="5945" spans="1:14" s="5" customFormat="1" ht="15" customHeight="1" x14ac:dyDescent="0.25">
      <c r="A5945" s="9" t="s">
        <v>11676</v>
      </c>
      <c r="C5945" s="9" t="str">
        <f>HYPERLINK("http://www.ncbi.nlm.nih.gov/protein/124248577","Psmc4")</f>
        <v>Psmc4</v>
      </c>
      <c r="D5945" s="10">
        <f t="shared" si="92"/>
        <v>5.7936834076218746</v>
      </c>
      <c r="F5945" s="8" t="str">
        <f>HYPERLINK("https://esbl.nhlbi.nih.gov/Databases/mpkFractions/proteomic_fractions_log_files/Yang_log_img/124248577.jpg","show blot")</f>
        <v>show blot</v>
      </c>
      <c r="H5945" s="8" t="str">
        <f>HYPERLINK("https://esbl.nhlbi.nih.gov/Databases/mpkFractions/proteomic_fractions_linear_files/Yang_linear_img/124248577.jpg","show blot")</f>
        <v>show blot</v>
      </c>
      <c r="J5945" s="5" t="s">
        <v>11677</v>
      </c>
      <c r="L5945" s="11">
        <v>5.7936834076218746</v>
      </c>
      <c r="N5945" s="12"/>
    </row>
    <row r="5946" spans="1:14" s="5" customFormat="1" ht="15" customHeight="1" x14ac:dyDescent="0.25">
      <c r="A5946" s="9" t="s">
        <v>11678</v>
      </c>
      <c r="C5946" s="9" t="str">
        <f>HYPERLINK("http://www.ncbi.nlm.nih.gov/protein/7110703","Psmc5")</f>
        <v>Psmc5</v>
      </c>
      <c r="D5946" s="10">
        <f t="shared" si="92"/>
        <v>6.1544971085941267</v>
      </c>
      <c r="F5946" s="8" t="str">
        <f>HYPERLINK("https://esbl.nhlbi.nih.gov/Databases/mpkFractions/proteomic_fractions_log_files/Yang_log_img/7110703.jpg","show blot")</f>
        <v>show blot</v>
      </c>
      <c r="H5946" s="8" t="str">
        <f>HYPERLINK("https://esbl.nhlbi.nih.gov/Databases/mpkFractions/proteomic_fractions_linear_files/Yang_linear_img/7110703.jpg","show blot")</f>
        <v>show blot</v>
      </c>
      <c r="J5946" s="5" t="s">
        <v>11679</v>
      </c>
      <c r="L5946" s="11">
        <v>6.1544971085941267</v>
      </c>
      <c r="N5946" s="12"/>
    </row>
    <row r="5947" spans="1:14" s="5" customFormat="1" ht="15" customHeight="1" x14ac:dyDescent="0.25">
      <c r="A5947" s="9" t="s">
        <v>11680</v>
      </c>
      <c r="C5947" s="9" t="str">
        <f>HYPERLINK("http://www.ncbi.nlm.nih.gov/protein/27754103","Psmc6")</f>
        <v>Psmc6</v>
      </c>
      <c r="D5947" s="10">
        <f t="shared" si="92"/>
        <v>6.3269757584100823</v>
      </c>
      <c r="F5947" s="8" t="str">
        <f>HYPERLINK("https://esbl.nhlbi.nih.gov/Databases/mpkFractions/proteomic_fractions_log_files/Yang_log_img/27754103.jpg","show blot")</f>
        <v>show blot</v>
      </c>
      <c r="H5947" s="8" t="str">
        <f>HYPERLINK("https://esbl.nhlbi.nih.gov/Databases/mpkFractions/proteomic_fractions_linear_files/Yang_linear_img/27754103.jpg","show blot")</f>
        <v>show blot</v>
      </c>
      <c r="J5947" s="5" t="s">
        <v>11681</v>
      </c>
      <c r="L5947" s="11">
        <v>6.3269757584100823</v>
      </c>
      <c r="N5947" s="12"/>
    </row>
    <row r="5948" spans="1:14" s="5" customFormat="1" ht="15" customHeight="1" x14ac:dyDescent="0.25">
      <c r="A5948" s="9" t="s">
        <v>11682</v>
      </c>
      <c r="C5948" s="9" t="str">
        <f>HYPERLINK("http://www.ncbi.nlm.nih.gov/protein/74315975","Psmd1")</f>
        <v>Psmd1</v>
      </c>
      <c r="D5948" s="10">
        <f t="shared" si="92"/>
        <v>6.0548917993871756</v>
      </c>
      <c r="F5948" s="8" t="str">
        <f>HYPERLINK("https://esbl.nhlbi.nih.gov/Databases/mpkFractions/proteomic_fractions_log_files/Yang_log_img/74315975.jpg","show blot")</f>
        <v>show blot</v>
      </c>
      <c r="H5948" s="8" t="str">
        <f>HYPERLINK("https://esbl.nhlbi.nih.gov/Databases/mpkFractions/proteomic_fractions_linear_files/Yang_linear_img/74315975.jpg","show blot")</f>
        <v>show blot</v>
      </c>
      <c r="J5948" s="5" t="s">
        <v>11683</v>
      </c>
      <c r="L5948" s="11">
        <v>6.0548917993871756</v>
      </c>
      <c r="N5948" s="12"/>
    </row>
    <row r="5949" spans="1:14" s="5" customFormat="1" ht="15" customHeight="1" x14ac:dyDescent="0.25">
      <c r="A5949" s="9" t="s">
        <v>11684</v>
      </c>
      <c r="C5949" s="9" t="str">
        <f>HYPERLINK("http://www.ncbi.nlm.nih.gov/protein/255958245","Psmd10")</f>
        <v>Psmd10</v>
      </c>
      <c r="D5949" s="10">
        <f t="shared" si="92"/>
        <v>5.058117119134744</v>
      </c>
      <c r="F5949" s="8" t="str">
        <f>HYPERLINK("https://esbl.nhlbi.nih.gov/Databases/mpkFractions/proteomic_fractions_log_files/Yang_log_img/255958245.jpg","show blot")</f>
        <v>show blot</v>
      </c>
      <c r="H5949" s="8" t="str">
        <f>HYPERLINK("https://esbl.nhlbi.nih.gov/Databases/mpkFractions/proteomic_fractions_linear_files/Yang_linear_img/255958245.jpg","show blot")</f>
        <v>show blot</v>
      </c>
      <c r="J5949" s="5" t="s">
        <v>11685</v>
      </c>
      <c r="L5949" s="11">
        <v>5.058117119134744</v>
      </c>
      <c r="N5949" s="12"/>
    </row>
    <row r="5950" spans="1:14" s="5" customFormat="1" ht="15" customHeight="1" x14ac:dyDescent="0.25">
      <c r="A5950" s="9" t="s">
        <v>11686</v>
      </c>
      <c r="C5950" s="9" t="str">
        <f>HYPERLINK("http://www.ncbi.nlm.nih.gov/protein/31980811","Psmd10")</f>
        <v>Psmd10</v>
      </c>
      <c r="D5950" s="10">
        <f t="shared" si="92"/>
        <v>5.058117119134744</v>
      </c>
      <c r="F5950" s="8" t="str">
        <f>HYPERLINK("https://esbl.nhlbi.nih.gov/Databases/mpkFractions/proteomic_fractions_log_files/Yang_log_img/31980811.jpg","show blot")</f>
        <v>show blot</v>
      </c>
      <c r="H5950" s="8" t="str">
        <f>HYPERLINK("https://esbl.nhlbi.nih.gov/Databases/mpkFractions/proteomic_fractions_linear_files/Yang_linear_img/31980811.jpg","show blot")</f>
        <v>show blot</v>
      </c>
      <c r="J5950" s="5" t="s">
        <v>11687</v>
      </c>
      <c r="L5950" s="11">
        <v>5.058117119134744</v>
      </c>
      <c r="N5950" s="12"/>
    </row>
    <row r="5951" spans="1:14" s="5" customFormat="1" ht="15" customHeight="1" x14ac:dyDescent="0.25">
      <c r="A5951" s="9" t="s">
        <v>11688</v>
      </c>
      <c r="C5951" s="9" t="str">
        <f>HYPERLINK("http://www.ncbi.nlm.nih.gov/protein/134053905","Psmd11")</f>
        <v>Psmd11</v>
      </c>
      <c r="D5951" s="10">
        <f t="shared" si="92"/>
        <v>6.2659148211912559</v>
      </c>
      <c r="F5951" s="8" t="str">
        <f>HYPERLINK("https://esbl.nhlbi.nih.gov/Databases/mpkFractions/proteomic_fractions_log_files/Yang_log_img/134053905.jpg","show blot")</f>
        <v>show blot</v>
      </c>
      <c r="H5951" s="8" t="str">
        <f>HYPERLINK("https://esbl.nhlbi.nih.gov/Databases/mpkFractions/proteomic_fractions_linear_files/Yang_linear_img/134053905.jpg","show blot")</f>
        <v>show blot</v>
      </c>
      <c r="J5951" s="5" t="s">
        <v>11689</v>
      </c>
      <c r="L5951" s="11">
        <v>6.2659148211912559</v>
      </c>
      <c r="N5951" s="12"/>
    </row>
    <row r="5952" spans="1:14" s="5" customFormat="1" ht="15" customHeight="1" x14ac:dyDescent="0.25">
      <c r="A5952" s="9" t="s">
        <v>11690</v>
      </c>
      <c r="C5952" s="9" t="str">
        <f>HYPERLINK("http://www.ncbi.nlm.nih.gov/protein/13385384","Psmd12")</f>
        <v>Psmd12</v>
      </c>
      <c r="D5952" s="10">
        <f t="shared" si="92"/>
        <v>6.1037253405619447</v>
      </c>
      <c r="F5952" s="8" t="str">
        <f>HYPERLINK("https://esbl.nhlbi.nih.gov/Databases/mpkFractions/proteomic_fractions_log_files/Yang_log_img/13385384.jpg","show blot")</f>
        <v>show blot</v>
      </c>
      <c r="H5952" s="8" t="str">
        <f>HYPERLINK("https://esbl.nhlbi.nih.gov/Databases/mpkFractions/proteomic_fractions_linear_files/Yang_linear_img/13385384.jpg","show blot")</f>
        <v>show blot</v>
      </c>
      <c r="J5952" s="5" t="s">
        <v>11691</v>
      </c>
      <c r="L5952" s="11">
        <v>6.1037253405619447</v>
      </c>
      <c r="N5952" s="12"/>
    </row>
    <row r="5953" spans="1:14" s="5" customFormat="1" ht="15" customHeight="1" x14ac:dyDescent="0.25">
      <c r="A5953" s="9" t="s">
        <v>11692</v>
      </c>
      <c r="C5953" s="9" t="str">
        <f>HYPERLINK("http://www.ncbi.nlm.nih.gov/protein/6755210","Psmd13")</f>
        <v>Psmd13</v>
      </c>
      <c r="D5953" s="10">
        <f t="shared" si="92"/>
        <v>6.3359906378822721</v>
      </c>
      <c r="F5953" s="8" t="str">
        <f>HYPERLINK("https://esbl.nhlbi.nih.gov/Databases/mpkFractions/proteomic_fractions_log_files/Yang_log_img/6755210.jpg","show blot")</f>
        <v>show blot</v>
      </c>
      <c r="H5953" s="8" t="str">
        <f>HYPERLINK("https://esbl.nhlbi.nih.gov/Databases/mpkFractions/proteomic_fractions_linear_files/Yang_linear_img/6755210.jpg","show blot")</f>
        <v>show blot</v>
      </c>
      <c r="J5953" s="5" t="s">
        <v>11693</v>
      </c>
      <c r="L5953" s="11">
        <v>6.3359906378822721</v>
      </c>
      <c r="N5953" s="12"/>
    </row>
    <row r="5954" spans="1:14" s="5" customFormat="1" ht="15" customHeight="1" x14ac:dyDescent="0.25">
      <c r="A5954" s="9" t="s">
        <v>11694</v>
      </c>
      <c r="C5954" s="9" t="str">
        <f>HYPERLINK("http://www.ncbi.nlm.nih.gov/protein/145966883","Psmd14")</f>
        <v>Psmd14</v>
      </c>
      <c r="D5954" s="10">
        <f t="shared" si="92"/>
        <v>5.5950326240351798</v>
      </c>
      <c r="F5954" s="8" t="str">
        <f>HYPERLINK("https://esbl.nhlbi.nih.gov/Databases/mpkFractions/proteomic_fractions_log_files/Yang_log_img/145966883.jpg","show blot")</f>
        <v>show blot</v>
      </c>
      <c r="H5954" s="8" t="str">
        <f>HYPERLINK("https://esbl.nhlbi.nih.gov/Databases/mpkFractions/proteomic_fractions_linear_files/Yang_linear_img/145966883.jpg","show blot")</f>
        <v>show blot</v>
      </c>
      <c r="J5954" s="5" t="s">
        <v>11695</v>
      </c>
      <c r="L5954" s="11">
        <v>5.5950326240351798</v>
      </c>
      <c r="N5954" s="12"/>
    </row>
    <row r="5955" spans="1:14" s="5" customFormat="1" ht="15" customHeight="1" x14ac:dyDescent="0.25">
      <c r="A5955" s="9" t="s">
        <v>11696</v>
      </c>
      <c r="C5955" s="9" t="str">
        <f>HYPERLINK("http://www.ncbi.nlm.nih.gov/protein/19882201","Psmd2")</f>
        <v>Psmd2</v>
      </c>
      <c r="D5955" s="10">
        <f t="shared" si="92"/>
        <v>6.0440653127276276</v>
      </c>
      <c r="F5955" s="8" t="str">
        <f>HYPERLINK("https://esbl.nhlbi.nih.gov/Databases/mpkFractions/proteomic_fractions_log_files/Yang_log_img/19882201.jpg","show blot")</f>
        <v>show blot</v>
      </c>
      <c r="H5955" s="8" t="str">
        <f>HYPERLINK("https://esbl.nhlbi.nih.gov/Databases/mpkFractions/proteomic_fractions_linear_files/Yang_linear_img/19882201.jpg","show blot")</f>
        <v>show blot</v>
      </c>
      <c r="J5955" s="5" t="s">
        <v>11697</v>
      </c>
      <c r="L5955" s="11">
        <v>6.0440653127276276</v>
      </c>
      <c r="N5955" s="12"/>
    </row>
    <row r="5956" spans="1:14" s="5" customFormat="1" ht="15" customHeight="1" x14ac:dyDescent="0.25">
      <c r="A5956" s="9" t="s">
        <v>11698</v>
      </c>
      <c r="C5956" s="9" t="str">
        <f>HYPERLINK("http://www.ncbi.nlm.nih.gov/protein/19705424","Psmd3")</f>
        <v>Psmd3</v>
      </c>
      <c r="D5956" s="10">
        <f t="shared" si="92"/>
        <v>6.3991968999126376</v>
      </c>
      <c r="F5956" s="8" t="str">
        <f>HYPERLINK("https://esbl.nhlbi.nih.gov/Databases/mpkFractions/proteomic_fractions_log_files/Yang_log_img/19705424.jpg","show blot")</f>
        <v>show blot</v>
      </c>
      <c r="H5956" s="8" t="str">
        <f>HYPERLINK("https://esbl.nhlbi.nih.gov/Databases/mpkFractions/proteomic_fractions_linear_files/Yang_linear_img/19705424.jpg","show blot")</f>
        <v>show blot</v>
      </c>
      <c r="J5956" s="5" t="s">
        <v>11699</v>
      </c>
      <c r="L5956" s="11">
        <v>6.3991968999126376</v>
      </c>
      <c r="N5956" s="12"/>
    </row>
    <row r="5957" spans="1:14" s="5" customFormat="1" ht="15" customHeight="1" x14ac:dyDescent="0.25">
      <c r="A5957" s="9" t="s">
        <v>11700</v>
      </c>
      <c r="C5957" s="9" t="str">
        <f>HYPERLINK("http://www.ncbi.nlm.nih.gov/protein/6679505","Psmd4")</f>
        <v>Psmd4</v>
      </c>
      <c r="D5957" s="10">
        <f t="shared" ref="D5957:D6020" si="93">L5957</f>
        <v>5.9588203581999002</v>
      </c>
      <c r="F5957" s="8" t="str">
        <f>HYPERLINK("https://esbl.nhlbi.nih.gov/Databases/mpkFractions/proteomic_fractions_log_files/Yang_log_img/6679505.jpg","show blot")</f>
        <v>show blot</v>
      </c>
      <c r="H5957" s="8" t="str">
        <f>HYPERLINK("https://esbl.nhlbi.nih.gov/Databases/mpkFractions/proteomic_fractions_linear_files/Yang_linear_img/6679505.jpg","show blot")</f>
        <v>show blot</v>
      </c>
      <c r="J5957" s="5" t="s">
        <v>11701</v>
      </c>
      <c r="L5957" s="11">
        <v>5.9588203581999002</v>
      </c>
      <c r="N5957" s="12"/>
    </row>
    <row r="5958" spans="1:14" s="5" customFormat="1" ht="15" customHeight="1" x14ac:dyDescent="0.25">
      <c r="A5958" s="9" t="s">
        <v>11702</v>
      </c>
      <c r="C5958" s="9" t="str">
        <f>HYPERLINK("http://www.ncbi.nlm.nih.gov/protein/134053913","Psmd5")</f>
        <v>Psmd5</v>
      </c>
      <c r="D5958" s="10">
        <f t="shared" si="93"/>
        <v>6.0449235274860671</v>
      </c>
      <c r="F5958" s="8" t="str">
        <f>HYPERLINK("https://esbl.nhlbi.nih.gov/Databases/mpkFractions/proteomic_fractions_log_files/Yang_log_img/134053913.jpg","show blot")</f>
        <v>show blot</v>
      </c>
      <c r="H5958" s="8" t="str">
        <f>HYPERLINK("https://esbl.nhlbi.nih.gov/Databases/mpkFractions/proteomic_fractions_linear_files/Yang_linear_img/134053913.jpg","show blot")</f>
        <v>show blot</v>
      </c>
      <c r="J5958" s="5" t="s">
        <v>11703</v>
      </c>
      <c r="L5958" s="11">
        <v>6.0449235274860671</v>
      </c>
      <c r="N5958" s="12"/>
    </row>
    <row r="5959" spans="1:14" s="5" customFormat="1" ht="15" customHeight="1" x14ac:dyDescent="0.25">
      <c r="A5959" s="9" t="s">
        <v>11704</v>
      </c>
      <c r="C5959" s="9" t="str">
        <f>HYPERLINK("http://www.ncbi.nlm.nih.gov/protein/46049022","Psmd6")</f>
        <v>Psmd6</v>
      </c>
      <c r="D5959" s="10">
        <f t="shared" si="93"/>
        <v>6.3304325380883286</v>
      </c>
      <c r="F5959" s="8" t="str">
        <f>HYPERLINK("https://esbl.nhlbi.nih.gov/Databases/mpkFractions/proteomic_fractions_log_files/Yang_log_img/46049022.jpg","show blot")</f>
        <v>show blot</v>
      </c>
      <c r="H5959" s="8" t="str">
        <f>HYPERLINK("https://esbl.nhlbi.nih.gov/Databases/mpkFractions/proteomic_fractions_linear_files/Yang_linear_img/46049022.jpg","show blot")</f>
        <v>show blot</v>
      </c>
      <c r="J5959" s="5" t="s">
        <v>11705</v>
      </c>
      <c r="L5959" s="11">
        <v>6.3304325380883286</v>
      </c>
      <c r="N5959" s="12"/>
    </row>
    <row r="5960" spans="1:14" s="5" customFormat="1" ht="15" customHeight="1" x14ac:dyDescent="0.25">
      <c r="A5960" s="9" t="s">
        <v>11706</v>
      </c>
      <c r="C5960" s="9" t="str">
        <f>HYPERLINK("http://www.ncbi.nlm.nih.gov/protein/6754724","Psmd7")</f>
        <v>Psmd7</v>
      </c>
      <c r="D5960" s="10">
        <f t="shared" si="93"/>
        <v>6.0841454063322082</v>
      </c>
      <c r="F5960" s="8" t="str">
        <f>HYPERLINK("https://esbl.nhlbi.nih.gov/Databases/mpkFractions/proteomic_fractions_log_files/Yang_log_img/6754724.jpg","show blot")</f>
        <v>show blot</v>
      </c>
      <c r="H5960" s="8" t="str">
        <f>HYPERLINK("https://esbl.nhlbi.nih.gov/Databases/mpkFractions/proteomic_fractions_linear_files/Yang_linear_img/6754724.jpg","show blot")</f>
        <v>show blot</v>
      </c>
      <c r="J5960" s="5" t="s">
        <v>11707</v>
      </c>
      <c r="L5960" s="11">
        <v>6.0841454063322082</v>
      </c>
      <c r="N5960" s="12"/>
    </row>
    <row r="5961" spans="1:14" s="5" customFormat="1" ht="15" customHeight="1" x14ac:dyDescent="0.25">
      <c r="A5961" s="9" t="s">
        <v>11708</v>
      </c>
      <c r="C5961" s="9" t="str">
        <f>HYPERLINK("http://www.ncbi.nlm.nih.gov/protein/156713423","Psmd8")</f>
        <v>Psmd8</v>
      </c>
      <c r="D5961" s="10">
        <f t="shared" si="93"/>
        <v>6.0829349341599714</v>
      </c>
      <c r="F5961" s="8" t="str">
        <f>HYPERLINK("https://esbl.nhlbi.nih.gov/Databases/mpkFractions/proteomic_fractions_log_files/Yang_log_img/156713423.jpg","show blot")</f>
        <v>show blot</v>
      </c>
      <c r="H5961" s="8" t="str">
        <f>HYPERLINK("https://esbl.nhlbi.nih.gov/Databases/mpkFractions/proteomic_fractions_linear_files/Yang_linear_img/156713423.jpg","show blot")</f>
        <v>show blot</v>
      </c>
      <c r="J5961" s="5" t="s">
        <v>11709</v>
      </c>
      <c r="L5961" s="11">
        <v>6.0829349341599714</v>
      </c>
      <c r="N5961" s="12"/>
    </row>
    <row r="5962" spans="1:14" s="5" customFormat="1" ht="15" customHeight="1" x14ac:dyDescent="0.25">
      <c r="A5962" s="9" t="s">
        <v>11710</v>
      </c>
      <c r="C5962" s="9" t="str">
        <f>HYPERLINK("http://www.ncbi.nlm.nih.gov/protein/119508441","Psmd9")</f>
        <v>Psmd9</v>
      </c>
      <c r="D5962" s="10">
        <f t="shared" si="93"/>
        <v>5.6503634433257313</v>
      </c>
      <c r="F5962" s="8" t="str">
        <f>HYPERLINK("https://esbl.nhlbi.nih.gov/Databases/mpkFractions/proteomic_fractions_log_files/Yang_log_img/119508441.jpg","show blot")</f>
        <v>show blot</v>
      </c>
      <c r="H5962" s="8" t="str">
        <f>HYPERLINK("https://esbl.nhlbi.nih.gov/Databases/mpkFractions/proteomic_fractions_linear_files/Yang_linear_img/119508441.jpg","show blot")</f>
        <v>show blot</v>
      </c>
      <c r="J5962" s="5" t="s">
        <v>11711</v>
      </c>
      <c r="L5962" s="11">
        <v>5.6503634433257313</v>
      </c>
      <c r="N5962" s="12"/>
    </row>
    <row r="5963" spans="1:14" s="5" customFormat="1" ht="15" customHeight="1" x14ac:dyDescent="0.25">
      <c r="A5963" s="9" t="s">
        <v>11712</v>
      </c>
      <c r="C5963" s="9" t="str">
        <f>HYPERLINK("http://www.ncbi.nlm.nih.gov/protein/6755212","Psme1")</f>
        <v>Psme1</v>
      </c>
      <c r="D5963" s="10">
        <f t="shared" si="93"/>
        <v>6.4069499960303737</v>
      </c>
      <c r="F5963" s="8" t="str">
        <f>HYPERLINK("https://esbl.nhlbi.nih.gov/Databases/mpkFractions/proteomic_fractions_log_files/Yang_log_img/6755212.jpg","show blot")</f>
        <v>show blot</v>
      </c>
      <c r="H5963" s="8" t="str">
        <f>HYPERLINK("https://esbl.nhlbi.nih.gov/Databases/mpkFractions/proteomic_fractions_linear_files/Yang_linear_img/6755212.jpg","show blot")</f>
        <v>show blot</v>
      </c>
      <c r="J5963" s="5" t="s">
        <v>11713</v>
      </c>
      <c r="L5963" s="11">
        <v>6.4069499960303737</v>
      </c>
      <c r="N5963" s="12"/>
    </row>
    <row r="5964" spans="1:14" s="5" customFormat="1" ht="15" customHeight="1" x14ac:dyDescent="0.25">
      <c r="A5964" s="9" t="s">
        <v>11714</v>
      </c>
      <c r="C5964" s="9" t="str">
        <f>HYPERLINK("http://www.ncbi.nlm.nih.gov/protein/20137004","Psme2")</f>
        <v>Psme2</v>
      </c>
      <c r="D5964" s="10">
        <f t="shared" si="93"/>
        <v>6.1252089301627493</v>
      </c>
      <c r="F5964" s="8" t="str">
        <f>HYPERLINK("https://esbl.nhlbi.nih.gov/Databases/mpkFractions/proteomic_fractions_log_files/Yang_log_img/20137004.jpg","show blot")</f>
        <v>show blot</v>
      </c>
      <c r="H5964" s="8" t="str">
        <f>HYPERLINK("https://esbl.nhlbi.nih.gov/Databases/mpkFractions/proteomic_fractions_linear_files/Yang_linear_img/20137004.jpg","show blot")</f>
        <v>show blot</v>
      </c>
      <c r="J5964" s="5" t="s">
        <v>11715</v>
      </c>
      <c r="L5964" s="11">
        <v>6.1252089301627493</v>
      </c>
      <c r="N5964" s="12"/>
    </row>
    <row r="5965" spans="1:14" s="5" customFormat="1" ht="15" customHeight="1" x14ac:dyDescent="0.25">
      <c r="A5965" s="9" t="s">
        <v>11716</v>
      </c>
      <c r="C5965" s="9" t="str">
        <f>HYPERLINK("http://www.ncbi.nlm.nih.gov/protein/71725358","Psme2")</f>
        <v>Psme2</v>
      </c>
      <c r="D5965" s="10">
        <f t="shared" si="93"/>
        <v>6.1252089301627493</v>
      </c>
      <c r="F5965" s="8" t="str">
        <f>HYPERLINK("https://esbl.nhlbi.nih.gov/Databases/mpkFractions/proteomic_fractions_log_files/Yang_log_img/71725358.jpg","show blot")</f>
        <v>show blot</v>
      </c>
      <c r="H5965" s="8" t="str">
        <f>HYPERLINK("https://esbl.nhlbi.nih.gov/Databases/mpkFractions/proteomic_fractions_linear_files/Yang_linear_img/71725358.jpg","show blot")</f>
        <v>show blot</v>
      </c>
      <c r="J5965" s="5" t="s">
        <v>11717</v>
      </c>
      <c r="L5965" s="11">
        <v>6.1252089301627493</v>
      </c>
      <c r="N5965" s="12"/>
    </row>
    <row r="5966" spans="1:14" s="5" customFormat="1" ht="15" customHeight="1" x14ac:dyDescent="0.25">
      <c r="A5966" s="9" t="s">
        <v>11718</v>
      </c>
      <c r="C5966" s="9" t="str">
        <f>HYPERLINK("http://www.ncbi.nlm.nih.gov/protein/527317390","Psme2b")</f>
        <v>Psme2b</v>
      </c>
      <c r="D5966" s="10">
        <f t="shared" si="93"/>
        <v>2.6215784916635201</v>
      </c>
      <c r="F5966" s="8" t="str">
        <f>HYPERLINK("https://esbl.nhlbi.nih.gov/Databases/mpkFractions/proteomic_fractions_log_files/Yang_log_img/527317390.jpg","show blot")</f>
        <v>show blot</v>
      </c>
      <c r="H5966" s="8" t="str">
        <f>HYPERLINK("https://esbl.nhlbi.nih.gov/Databases/mpkFractions/proteomic_fractions_linear_files/Yang_linear_img/527317390.jpg","show blot")</f>
        <v>show blot</v>
      </c>
      <c r="J5966" s="5" t="s">
        <v>11719</v>
      </c>
      <c r="L5966" s="11">
        <v>2.6215784916635201</v>
      </c>
      <c r="N5966" s="12"/>
    </row>
    <row r="5967" spans="1:14" s="5" customFormat="1" ht="15" customHeight="1" x14ac:dyDescent="0.25">
      <c r="A5967" s="9" t="s">
        <v>11720</v>
      </c>
      <c r="C5967" s="9" t="str">
        <f>HYPERLINK("http://www.ncbi.nlm.nih.gov/protein/6755214","Psme3")</f>
        <v>Psme3</v>
      </c>
      <c r="D5967" s="10">
        <f t="shared" si="93"/>
        <v>5.5558611717161366</v>
      </c>
      <c r="F5967" s="8" t="str">
        <f>HYPERLINK("https://esbl.nhlbi.nih.gov/Databases/mpkFractions/proteomic_fractions_log_files/Yang_log_img/6755214.jpg","show blot")</f>
        <v>show blot</v>
      </c>
      <c r="H5967" s="8" t="str">
        <f>HYPERLINK("https://esbl.nhlbi.nih.gov/Databases/mpkFractions/proteomic_fractions_linear_files/Yang_linear_img/6755214.jpg","show blot")</f>
        <v>show blot</v>
      </c>
      <c r="J5967" s="5" t="s">
        <v>11721</v>
      </c>
      <c r="L5967" s="11">
        <v>5.5558611717161366</v>
      </c>
      <c r="N5967" s="12"/>
    </row>
    <row r="5968" spans="1:14" s="5" customFormat="1" ht="15" customHeight="1" x14ac:dyDescent="0.25">
      <c r="A5968" s="9" t="s">
        <v>11722</v>
      </c>
      <c r="C5968" s="9" t="str">
        <f>HYPERLINK("http://www.ncbi.nlm.nih.gov/protein/117956381","Psme4")</f>
        <v>Psme4</v>
      </c>
      <c r="D5968" s="10">
        <f t="shared" si="93"/>
        <v>3.8918406592760011</v>
      </c>
      <c r="F5968" s="8" t="str">
        <f>HYPERLINK("https://esbl.nhlbi.nih.gov/Databases/mpkFractions/proteomic_fractions_log_files/Yang_log_img/117956381.jpg","show blot")</f>
        <v>show blot</v>
      </c>
      <c r="H5968" s="8" t="str">
        <f>HYPERLINK("https://esbl.nhlbi.nih.gov/Databases/mpkFractions/proteomic_fractions_linear_files/Yang_linear_img/117956381.jpg","show blot")</f>
        <v>show blot</v>
      </c>
      <c r="J5968" s="5" t="s">
        <v>11723</v>
      </c>
      <c r="L5968" s="11">
        <v>3.8918406592760011</v>
      </c>
      <c r="N5968" s="12"/>
    </row>
    <row r="5969" spans="1:14" s="5" customFormat="1" ht="15" customHeight="1" x14ac:dyDescent="0.25">
      <c r="A5969" s="9" t="s">
        <v>11724</v>
      </c>
      <c r="C5969" s="9" t="str">
        <f>HYPERLINK("http://www.ncbi.nlm.nih.gov/protein/47078287","Psmf1")</f>
        <v>Psmf1</v>
      </c>
      <c r="D5969" s="10">
        <f t="shared" si="93"/>
        <v>4.6630098821545651</v>
      </c>
      <c r="F5969" s="8" t="str">
        <f>HYPERLINK("https://esbl.nhlbi.nih.gov/Databases/mpkFractions/proteomic_fractions_log_files/Yang_log_img/47078287.jpg","show blot")</f>
        <v>show blot</v>
      </c>
      <c r="H5969" s="8" t="str">
        <f>HYPERLINK("https://esbl.nhlbi.nih.gov/Databases/mpkFractions/proteomic_fractions_linear_files/Yang_linear_img/47078287.jpg","show blot")</f>
        <v>show blot</v>
      </c>
      <c r="J5969" s="5" t="s">
        <v>11725</v>
      </c>
      <c r="L5969" s="11">
        <v>4.6630098821545651</v>
      </c>
      <c r="N5969" s="12"/>
    </row>
    <row r="5970" spans="1:14" s="5" customFormat="1" ht="15" customHeight="1" x14ac:dyDescent="0.25">
      <c r="A5970" s="9" t="s">
        <v>11726</v>
      </c>
      <c r="C5970" s="9" t="str">
        <f>HYPERLINK("http://www.ncbi.nlm.nih.gov/protein/9506555","Psmg1")</f>
        <v>Psmg1</v>
      </c>
      <c r="D5970" s="10">
        <f t="shared" si="93"/>
        <v>5.0632123999506069</v>
      </c>
      <c r="F5970" s="8" t="str">
        <f>HYPERLINK("https://esbl.nhlbi.nih.gov/Databases/mpkFractions/proteomic_fractions_log_files/Yang_log_img/9506555.jpg","show blot")</f>
        <v>show blot</v>
      </c>
      <c r="H5970" s="8" t="str">
        <f>HYPERLINK("https://esbl.nhlbi.nih.gov/Databases/mpkFractions/proteomic_fractions_linear_files/Yang_linear_img/9506555.jpg","show blot")</f>
        <v>show blot</v>
      </c>
      <c r="J5970" s="5" t="s">
        <v>11727</v>
      </c>
      <c r="L5970" s="11">
        <v>5.0632123999506069</v>
      </c>
      <c r="N5970" s="12"/>
    </row>
    <row r="5971" spans="1:14" s="5" customFormat="1" ht="15" customHeight="1" x14ac:dyDescent="0.25">
      <c r="A5971" s="9" t="s">
        <v>11728</v>
      </c>
      <c r="C5971" s="9" t="str">
        <f>HYPERLINK("http://www.ncbi.nlm.nih.gov/protein/19527372","Psmg2")</f>
        <v>Psmg2</v>
      </c>
      <c r="D5971" s="10">
        <f t="shared" si="93"/>
        <v>4.7662368632350391</v>
      </c>
      <c r="F5971" s="8" t="str">
        <f>HYPERLINK("https://esbl.nhlbi.nih.gov/Databases/mpkFractions/proteomic_fractions_log_files/Yang_log_img/19527372.jpg","show blot")</f>
        <v>show blot</v>
      </c>
      <c r="H5971" s="8" t="str">
        <f>HYPERLINK("https://esbl.nhlbi.nih.gov/Databases/mpkFractions/proteomic_fractions_linear_files/Yang_linear_img/19527372.jpg","show blot")</f>
        <v>show blot</v>
      </c>
      <c r="J5971" s="5" t="s">
        <v>11729</v>
      </c>
      <c r="L5971" s="11">
        <v>4.7662368632350391</v>
      </c>
      <c r="N5971" s="12"/>
    </row>
    <row r="5972" spans="1:14" s="5" customFormat="1" ht="15" customHeight="1" x14ac:dyDescent="0.25">
      <c r="A5972" s="9" t="s">
        <v>11730</v>
      </c>
      <c r="C5972" s="9" t="str">
        <f>HYPERLINK("http://www.ncbi.nlm.nih.gov/protein/21313432","Psmg3")</f>
        <v>Psmg3</v>
      </c>
      <c r="D5972" s="10">
        <f t="shared" si="93"/>
        <v>4.8462741715138806</v>
      </c>
      <c r="F5972" s="8" t="str">
        <f>HYPERLINK("https://esbl.nhlbi.nih.gov/Databases/mpkFractions/proteomic_fractions_log_files/Yang_log_img/21313432.jpg","show blot")</f>
        <v>show blot</v>
      </c>
      <c r="H5972" s="8" t="str">
        <f>HYPERLINK("https://esbl.nhlbi.nih.gov/Databases/mpkFractions/proteomic_fractions_linear_files/Yang_linear_img/21313432.jpg","show blot")</f>
        <v>show blot</v>
      </c>
      <c r="J5972" s="5" t="s">
        <v>11731</v>
      </c>
      <c r="L5972" s="11">
        <v>4.8462741715138806</v>
      </c>
      <c r="N5972" s="12"/>
    </row>
    <row r="5973" spans="1:14" s="5" customFormat="1" ht="15" customHeight="1" x14ac:dyDescent="0.25">
      <c r="A5973" s="9" t="s">
        <v>11732</v>
      </c>
      <c r="C5973" s="9" t="str">
        <f>HYPERLINK("http://www.ncbi.nlm.nih.gov/protein/160333436","Psmg4")</f>
        <v>Psmg4</v>
      </c>
      <c r="D5973" s="10">
        <f t="shared" si="93"/>
        <v>4.7006495216178363</v>
      </c>
      <c r="F5973" s="8" t="str">
        <f>HYPERLINK("https://esbl.nhlbi.nih.gov/Databases/mpkFractions/proteomic_fractions_log_files/Yang_log_img/160333436.jpg","show blot")</f>
        <v>show blot</v>
      </c>
      <c r="H5973" s="8" t="str">
        <f>HYPERLINK("https://esbl.nhlbi.nih.gov/Databases/mpkFractions/proteomic_fractions_linear_files/Yang_linear_img/160333436.jpg","show blot")</f>
        <v>show blot</v>
      </c>
      <c r="J5973" s="5" t="s">
        <v>11733</v>
      </c>
      <c r="L5973" s="11">
        <v>4.7006495216178363</v>
      </c>
      <c r="N5973" s="12"/>
    </row>
    <row r="5974" spans="1:14" s="5" customFormat="1" ht="15" customHeight="1" x14ac:dyDescent="0.25">
      <c r="A5974" s="9" t="s">
        <v>11734</v>
      </c>
      <c r="C5974" s="9" t="str">
        <f>HYPERLINK("http://www.ncbi.nlm.nih.gov/protein/160333430","Psmg4")</f>
        <v>Psmg4</v>
      </c>
      <c r="D5974" s="10">
        <f t="shared" si="93"/>
        <v>4.7006495216178363</v>
      </c>
      <c r="F5974" s="8" t="str">
        <f>HYPERLINK("https://esbl.nhlbi.nih.gov/Databases/mpkFractions/proteomic_fractions_log_files/Yang_log_img/160333430.jpg","show blot")</f>
        <v>show blot</v>
      </c>
      <c r="H5974" s="8" t="str">
        <f>HYPERLINK("https://esbl.nhlbi.nih.gov/Databases/mpkFractions/proteomic_fractions_linear_files/Yang_linear_img/160333430.jpg","show blot")</f>
        <v>show blot</v>
      </c>
      <c r="J5974" s="5" t="s">
        <v>11735</v>
      </c>
      <c r="L5974" s="11">
        <v>4.7006495216178363</v>
      </c>
      <c r="N5974" s="12"/>
    </row>
    <row r="5975" spans="1:14" s="5" customFormat="1" ht="15" customHeight="1" x14ac:dyDescent="0.25">
      <c r="A5975" s="9" t="s">
        <v>11736</v>
      </c>
      <c r="C5975" s="9" t="str">
        <f>HYPERLINK("http://www.ncbi.nlm.nih.gov/protein/225543409","Pspc1")</f>
        <v>Pspc1</v>
      </c>
      <c r="D5975" s="10">
        <f t="shared" si="93"/>
        <v>5.614545314241199</v>
      </c>
      <c r="F5975" s="8" t="str">
        <f>HYPERLINK("https://esbl.nhlbi.nih.gov/Databases/mpkFractions/proteomic_fractions_log_files/Yang_log_img/225543409.jpg","show blot")</f>
        <v>show blot</v>
      </c>
      <c r="H5975" s="8" t="str">
        <f>HYPERLINK("https://esbl.nhlbi.nih.gov/Databases/mpkFractions/proteomic_fractions_linear_files/Yang_linear_img/225543409.jpg","show blot")</f>
        <v>show blot</v>
      </c>
      <c r="J5975" s="5" t="s">
        <v>11737</v>
      </c>
      <c r="L5975" s="11">
        <v>5.614545314241199</v>
      </c>
      <c r="N5975" s="12"/>
    </row>
    <row r="5976" spans="1:14" s="5" customFormat="1" ht="15" customHeight="1" x14ac:dyDescent="0.25">
      <c r="A5976" s="9" t="s">
        <v>11738</v>
      </c>
      <c r="C5976" s="9" t="str">
        <f>HYPERLINK("http://www.ncbi.nlm.nih.gov/protein/19527116","Psph")</f>
        <v>Psph</v>
      </c>
      <c r="D5976" s="10">
        <f t="shared" si="93"/>
        <v>4.772127881916659</v>
      </c>
      <c r="F5976" s="8" t="str">
        <f>HYPERLINK("https://esbl.nhlbi.nih.gov/Databases/mpkFractions/proteomic_fractions_log_files/Yang_log_img/19527116.jpg","show blot")</f>
        <v>show blot</v>
      </c>
      <c r="H5976" s="8" t="str">
        <f>HYPERLINK("https://esbl.nhlbi.nih.gov/Databases/mpkFractions/proteomic_fractions_linear_files/Yang_linear_img/19527116.jpg","show blot")</f>
        <v>show blot</v>
      </c>
      <c r="J5976" s="5" t="s">
        <v>11739</v>
      </c>
      <c r="L5976" s="11">
        <v>4.772127881916659</v>
      </c>
      <c r="N5976" s="12"/>
    </row>
    <row r="5977" spans="1:14" s="5" customFormat="1" ht="15" customHeight="1" x14ac:dyDescent="0.25">
      <c r="A5977" s="9" t="s">
        <v>11740</v>
      </c>
      <c r="C5977" s="9" t="str">
        <f>HYPERLINK("http://www.ncbi.nlm.nih.gov/protein/171184423","Pstpip1")</f>
        <v>Pstpip1</v>
      </c>
      <c r="D5977" s="10">
        <f t="shared" si="93"/>
        <v>2.765510029979219</v>
      </c>
      <c r="F5977" s="8" t="str">
        <f>HYPERLINK("https://esbl.nhlbi.nih.gov/Databases/mpkFractions/proteomic_fractions_log_files/Yang_log_img/171184423.jpg","show blot")</f>
        <v>show blot</v>
      </c>
      <c r="H5977" s="8" t="str">
        <f>HYPERLINK("https://esbl.nhlbi.nih.gov/Databases/mpkFractions/proteomic_fractions_linear_files/Yang_linear_img/171184423.jpg","show blot")</f>
        <v>show blot</v>
      </c>
      <c r="J5977" s="5" t="s">
        <v>11741</v>
      </c>
      <c r="L5977" s="11">
        <v>2.765510029979219</v>
      </c>
      <c r="N5977" s="12"/>
    </row>
    <row r="5978" spans="1:14" s="5" customFormat="1" ht="15" customHeight="1" x14ac:dyDescent="0.25">
      <c r="A5978" s="9" t="s">
        <v>11742</v>
      </c>
      <c r="C5978" s="9" t="str">
        <f>HYPERLINK("http://www.ncbi.nlm.nih.gov/protein/258613904","Ptar1")</f>
        <v>Ptar1</v>
      </c>
      <c r="D5978" s="10">
        <f t="shared" si="93"/>
        <v>4.5665371052767068</v>
      </c>
      <c r="F5978" s="8" t="str">
        <f>HYPERLINK("https://esbl.nhlbi.nih.gov/Databases/mpkFractions/proteomic_fractions_log_files/Yang_log_img/258613904.jpg","show blot")</f>
        <v>show blot</v>
      </c>
      <c r="H5978" s="8" t="str">
        <f>HYPERLINK("https://esbl.nhlbi.nih.gov/Databases/mpkFractions/proteomic_fractions_linear_files/Yang_linear_img/258613904.jpg","show blot")</f>
        <v>show blot</v>
      </c>
      <c r="J5978" s="5" t="s">
        <v>11743</v>
      </c>
      <c r="L5978" s="11">
        <v>4.5665371052767068</v>
      </c>
      <c r="N5978" s="12"/>
    </row>
    <row r="5979" spans="1:14" s="5" customFormat="1" ht="15" customHeight="1" x14ac:dyDescent="0.25">
      <c r="A5979" s="9" t="s">
        <v>11744</v>
      </c>
      <c r="C5979" s="9" t="str">
        <f>HYPERLINK("http://www.ncbi.nlm.nih.gov/protein/545688433","Ptbp1")</f>
        <v>Ptbp1</v>
      </c>
      <c r="D5979" s="10">
        <f t="shared" si="93"/>
        <v>6.5262219842985036</v>
      </c>
      <c r="F5979" s="8" t="str">
        <f>HYPERLINK("https://esbl.nhlbi.nih.gov/Databases/mpkFractions/proteomic_fractions_log_files/Yang_log_img/545688433.jpg","show blot")</f>
        <v>show blot</v>
      </c>
      <c r="H5979" s="8" t="str">
        <f>HYPERLINK("https://esbl.nhlbi.nih.gov/Databases/mpkFractions/proteomic_fractions_linear_files/Yang_linear_img/545688433.jpg","show blot")</f>
        <v>show blot</v>
      </c>
      <c r="J5979" s="5" t="s">
        <v>11745</v>
      </c>
      <c r="L5979" s="11">
        <v>6.5262219842985036</v>
      </c>
      <c r="N5979" s="12"/>
    </row>
    <row r="5980" spans="1:14" s="5" customFormat="1" ht="15" customHeight="1" x14ac:dyDescent="0.25">
      <c r="A5980" s="9" t="s">
        <v>11746</v>
      </c>
      <c r="C5980" s="9" t="str">
        <f>HYPERLINK("http://www.ncbi.nlm.nih.gov/protein/116517301","Ptbp1")</f>
        <v>Ptbp1</v>
      </c>
      <c r="D5980" s="10">
        <f t="shared" si="93"/>
        <v>6.5262219842985036</v>
      </c>
      <c r="F5980" s="8" t="str">
        <f>HYPERLINK("https://esbl.nhlbi.nih.gov/Databases/mpkFractions/proteomic_fractions_log_files/Yang_log_img/116517301.jpg","show blot")</f>
        <v>show blot</v>
      </c>
      <c r="H5980" s="8" t="str">
        <f>HYPERLINK("https://esbl.nhlbi.nih.gov/Databases/mpkFractions/proteomic_fractions_linear_files/Yang_linear_img/116517301.jpg","show blot")</f>
        <v>show blot</v>
      </c>
      <c r="J5980" s="5" t="s">
        <v>11747</v>
      </c>
      <c r="L5980" s="11">
        <v>6.5262219842985036</v>
      </c>
      <c r="N5980" s="12"/>
    </row>
    <row r="5981" spans="1:14" s="5" customFormat="1" ht="15" customHeight="1" x14ac:dyDescent="0.25">
      <c r="A5981" s="9" t="s">
        <v>11748</v>
      </c>
      <c r="C5981" s="9" t="str">
        <f>HYPERLINK("http://www.ncbi.nlm.nih.gov/protein/116517303","Ptbp1")</f>
        <v>Ptbp1</v>
      </c>
      <c r="D5981" s="10">
        <f t="shared" si="93"/>
        <v>6.5262219842985036</v>
      </c>
      <c r="F5981" s="8" t="str">
        <f>HYPERLINK("https://esbl.nhlbi.nih.gov/Databases/mpkFractions/proteomic_fractions_log_files/Yang_log_img/116517303.jpg","show blot")</f>
        <v>show blot</v>
      </c>
      <c r="H5981" s="8" t="str">
        <f>HYPERLINK("https://esbl.nhlbi.nih.gov/Databases/mpkFractions/proteomic_fractions_linear_files/Yang_linear_img/116517303.jpg","show blot")</f>
        <v>show blot</v>
      </c>
      <c r="J5981" s="5" t="s">
        <v>11749</v>
      </c>
      <c r="L5981" s="11">
        <v>6.5262219842985036</v>
      </c>
      <c r="N5981" s="12"/>
    </row>
    <row r="5982" spans="1:14" s="5" customFormat="1" ht="15" customHeight="1" x14ac:dyDescent="0.25">
      <c r="A5982" s="9" t="s">
        <v>11750</v>
      </c>
      <c r="C5982" s="9" t="str">
        <f>HYPERLINK("http://www.ncbi.nlm.nih.gov/protein/9507003","Ptbp2")</f>
        <v>Ptbp2</v>
      </c>
      <c r="D5982" s="10">
        <f t="shared" si="93"/>
        <v>5.8218910149495482</v>
      </c>
      <c r="F5982" s="8" t="str">
        <f>HYPERLINK("https://esbl.nhlbi.nih.gov/Databases/mpkFractions/proteomic_fractions_log_files/Yang_log_img/9507003.jpg","show blot")</f>
        <v>show blot</v>
      </c>
      <c r="H5982" s="8" t="str">
        <f>HYPERLINK("https://esbl.nhlbi.nih.gov/Databases/mpkFractions/proteomic_fractions_linear_files/Yang_linear_img/9507003.jpg","show blot")</f>
        <v>show blot</v>
      </c>
      <c r="J5982" s="5" t="s">
        <v>11751</v>
      </c>
      <c r="L5982" s="11">
        <v>5.8218910149495482</v>
      </c>
      <c r="N5982" s="12"/>
    </row>
    <row r="5983" spans="1:14" s="5" customFormat="1" ht="15" customHeight="1" x14ac:dyDescent="0.25">
      <c r="A5983" s="9" t="s">
        <v>11752</v>
      </c>
      <c r="C5983" s="9" t="str">
        <f>HYPERLINK("http://www.ncbi.nlm.nih.gov/protein/255003709","Ptbp3")</f>
        <v>Ptbp3</v>
      </c>
      <c r="D5983" s="10">
        <f t="shared" si="93"/>
        <v>5.9914313938366268</v>
      </c>
      <c r="F5983" s="8" t="str">
        <f>HYPERLINK("https://esbl.nhlbi.nih.gov/Databases/mpkFractions/proteomic_fractions_log_files/Yang_log_img/255003709.jpg","show blot")</f>
        <v>show blot</v>
      </c>
      <c r="H5983" s="8" t="str">
        <f>HYPERLINK("https://esbl.nhlbi.nih.gov/Databases/mpkFractions/proteomic_fractions_linear_files/Yang_linear_img/255003709.jpg","show blot")</f>
        <v>show blot</v>
      </c>
      <c r="J5983" s="5" t="s">
        <v>11753</v>
      </c>
      <c r="L5983" s="11">
        <v>5.9914313938366268</v>
      </c>
      <c r="N5983" s="12"/>
    </row>
    <row r="5984" spans="1:14" s="5" customFormat="1" ht="15" customHeight="1" x14ac:dyDescent="0.25">
      <c r="A5984" s="9" t="s">
        <v>11754</v>
      </c>
      <c r="C5984" s="9" t="str">
        <f>HYPERLINK("http://www.ncbi.nlm.nih.gov/protein/30039680","Ptbp3")</f>
        <v>Ptbp3</v>
      </c>
      <c r="D5984" s="10">
        <f t="shared" si="93"/>
        <v>5.9914313938366268</v>
      </c>
      <c r="F5984" s="8" t="str">
        <f>HYPERLINK("https://esbl.nhlbi.nih.gov/Databases/mpkFractions/proteomic_fractions_log_files/Yang_log_img/30039680.jpg","show blot")</f>
        <v>show blot</v>
      </c>
      <c r="H5984" s="8" t="str">
        <f>HYPERLINK("https://esbl.nhlbi.nih.gov/Databases/mpkFractions/proteomic_fractions_linear_files/Yang_linear_img/30039680.jpg","show blot")</f>
        <v>show blot</v>
      </c>
      <c r="J5984" s="5" t="s">
        <v>11755</v>
      </c>
      <c r="L5984" s="11">
        <v>5.9914313938366268</v>
      </c>
      <c r="N5984" s="12"/>
    </row>
    <row r="5985" spans="1:14" s="5" customFormat="1" ht="15" customHeight="1" x14ac:dyDescent="0.25">
      <c r="A5985" s="9" t="s">
        <v>11756</v>
      </c>
      <c r="C5985" s="9" t="str">
        <f>HYPERLINK("http://www.ncbi.nlm.nih.gov/protein/58037131","Ptcd2")</f>
        <v>Ptcd2</v>
      </c>
      <c r="D5985" s="10">
        <f t="shared" si="93"/>
        <v>3.811515597061212</v>
      </c>
      <c r="F5985" s="8" t="str">
        <f>HYPERLINK("https://esbl.nhlbi.nih.gov/Databases/mpkFractions/proteomic_fractions_log_files/Yang_log_img/58037131.jpg","show blot")</f>
        <v>show blot</v>
      </c>
      <c r="H5985" s="8" t="str">
        <f>HYPERLINK("https://esbl.nhlbi.nih.gov/Databases/mpkFractions/proteomic_fractions_linear_files/Yang_linear_img/58037131.jpg","show blot")</f>
        <v>show blot</v>
      </c>
      <c r="J5985" s="5" t="s">
        <v>11757</v>
      </c>
      <c r="L5985" s="11">
        <v>3.811515597061212</v>
      </c>
      <c r="N5985" s="12"/>
    </row>
    <row r="5986" spans="1:14" s="5" customFormat="1" ht="15" customHeight="1" x14ac:dyDescent="0.25">
      <c r="A5986" s="9" t="s">
        <v>11758</v>
      </c>
      <c r="C5986" s="9" t="str">
        <f>HYPERLINK("http://www.ncbi.nlm.nih.gov/protein/33469980","Ptcd3")</f>
        <v>Ptcd3</v>
      </c>
      <c r="D5986" s="10">
        <f t="shared" si="93"/>
        <v>4.3685726781472169</v>
      </c>
      <c r="F5986" s="8" t="str">
        <f>HYPERLINK("https://esbl.nhlbi.nih.gov/Databases/mpkFractions/proteomic_fractions_log_files/Yang_log_img/33469980.jpg","show blot")</f>
        <v>show blot</v>
      </c>
      <c r="H5986" s="8" t="str">
        <f>HYPERLINK("https://esbl.nhlbi.nih.gov/Databases/mpkFractions/proteomic_fractions_linear_files/Yang_linear_img/33469980.jpg","show blot")</f>
        <v>show blot</v>
      </c>
      <c r="J5986" s="5" t="s">
        <v>11759</v>
      </c>
      <c r="L5986" s="11">
        <v>4.3685726781472169</v>
      </c>
      <c r="N5986" s="12"/>
    </row>
    <row r="5987" spans="1:14" s="5" customFormat="1" ht="15" customHeight="1" x14ac:dyDescent="0.25">
      <c r="A5987" s="9" t="s">
        <v>11760</v>
      </c>
      <c r="C5987" s="9" t="str">
        <f>HYPERLINK("http://www.ncbi.nlm.nih.gov/protein/6755216","Ptcra")</f>
        <v>Ptcra</v>
      </c>
      <c r="D5987" s="10">
        <f t="shared" si="93"/>
        <v>5.2846852309890346</v>
      </c>
      <c r="F5987" s="8" t="str">
        <f>HYPERLINK("https://esbl.nhlbi.nih.gov/Databases/mpkFractions/proteomic_fractions_log_files/Yang_log_img/6755216.jpg","show blot")</f>
        <v>show blot</v>
      </c>
      <c r="H5987" s="8" t="str">
        <f>HYPERLINK("https://esbl.nhlbi.nih.gov/Databases/mpkFractions/proteomic_fractions_linear_files/Yang_linear_img/6755216.jpg","show blot")</f>
        <v>show blot</v>
      </c>
      <c r="J5987" s="5" t="s">
        <v>11761</v>
      </c>
      <c r="L5987" s="11">
        <v>5.2846852309890346</v>
      </c>
      <c r="N5987" s="12"/>
    </row>
    <row r="5988" spans="1:14" s="5" customFormat="1" ht="15" customHeight="1" x14ac:dyDescent="0.25">
      <c r="A5988" s="9" t="s">
        <v>11762</v>
      </c>
      <c r="C5988" s="9" t="str">
        <f>HYPERLINK("http://www.ncbi.nlm.nih.gov/protein/31560651","Ptdss1")</f>
        <v>Ptdss1</v>
      </c>
      <c r="D5988" s="10">
        <f t="shared" si="93"/>
        <v>2.4194450434751871</v>
      </c>
      <c r="F5988" s="8" t="str">
        <f>HYPERLINK("https://esbl.nhlbi.nih.gov/Databases/mpkFractions/proteomic_fractions_log_files/Yang_log_img/31560651.jpg","show blot")</f>
        <v>show blot</v>
      </c>
      <c r="H5988" s="8" t="str">
        <f>HYPERLINK("https://esbl.nhlbi.nih.gov/Databases/mpkFractions/proteomic_fractions_linear_files/Yang_linear_img/31560651.jpg","show blot")</f>
        <v>show blot</v>
      </c>
      <c r="J5988" s="5" t="s">
        <v>11763</v>
      </c>
      <c r="L5988" s="11">
        <v>2.4194450434751871</v>
      </c>
      <c r="N5988" s="12"/>
    </row>
    <row r="5989" spans="1:14" s="5" customFormat="1" ht="15" customHeight="1" x14ac:dyDescent="0.25">
      <c r="A5989" s="9" t="s">
        <v>11764</v>
      </c>
      <c r="C5989" s="9" t="str">
        <f>HYPERLINK("http://www.ncbi.nlm.nih.gov/protein/6679523","Pten")</f>
        <v>Pten</v>
      </c>
      <c r="D5989" s="10">
        <f t="shared" si="93"/>
        <v>4.0492965876086497</v>
      </c>
      <c r="F5989" s="8" t="str">
        <f>HYPERLINK("https://esbl.nhlbi.nih.gov/Databases/mpkFractions/proteomic_fractions_log_files/Yang_log_img/6679523.jpg","show blot")</f>
        <v>show blot</v>
      </c>
      <c r="H5989" s="8" t="str">
        <f>HYPERLINK("https://esbl.nhlbi.nih.gov/Databases/mpkFractions/proteomic_fractions_linear_files/Yang_linear_img/6679523.jpg","show blot")</f>
        <v>show blot</v>
      </c>
      <c r="J5989" s="5" t="s">
        <v>11765</v>
      </c>
      <c r="L5989" s="11">
        <v>4.0492965876086497</v>
      </c>
      <c r="N5989" s="12"/>
    </row>
    <row r="5990" spans="1:14" s="5" customFormat="1" ht="15" customHeight="1" x14ac:dyDescent="0.25">
      <c r="A5990" s="9" t="s">
        <v>11766</v>
      </c>
      <c r="C5990" s="9" t="str">
        <f>HYPERLINK("http://www.ncbi.nlm.nih.gov/protein/6679525","Pter")</f>
        <v>Pter</v>
      </c>
      <c r="D5990" s="10">
        <f t="shared" si="93"/>
        <v>5.3077516206309214</v>
      </c>
      <c r="F5990" s="8" t="str">
        <f>HYPERLINK("https://esbl.nhlbi.nih.gov/Databases/mpkFractions/proteomic_fractions_log_files/Yang_log_img/6679525.jpg","show blot")</f>
        <v>show blot</v>
      </c>
      <c r="H5990" s="8" t="str">
        <f>HYPERLINK("https://esbl.nhlbi.nih.gov/Databases/mpkFractions/proteomic_fractions_linear_files/Yang_linear_img/6679525.jpg","show blot")</f>
        <v>show blot</v>
      </c>
      <c r="J5990" s="5" t="s">
        <v>11767</v>
      </c>
      <c r="L5990" s="11">
        <v>5.3077516206309214</v>
      </c>
      <c r="N5990" s="12"/>
    </row>
    <row r="5991" spans="1:14" s="5" customFormat="1" ht="15" customHeight="1" x14ac:dyDescent="0.25">
      <c r="A5991" s="9" t="s">
        <v>11768</v>
      </c>
      <c r="C5991" s="9" t="str">
        <f>HYPERLINK("http://www.ncbi.nlm.nih.gov/protein/260763900","Ptges2")</f>
        <v>Ptges2</v>
      </c>
      <c r="D5991" s="10">
        <f t="shared" si="93"/>
        <v>4.6548319126255766</v>
      </c>
      <c r="F5991" s="8" t="str">
        <f>HYPERLINK("https://esbl.nhlbi.nih.gov/Databases/mpkFractions/proteomic_fractions_log_files/Yang_log_img/260763900.jpg","show blot")</f>
        <v>show blot</v>
      </c>
      <c r="H5991" s="8" t="str">
        <f>HYPERLINK("https://esbl.nhlbi.nih.gov/Databases/mpkFractions/proteomic_fractions_linear_files/Yang_linear_img/260763900.jpg","show blot")</f>
        <v>show blot</v>
      </c>
      <c r="J5991" s="5" t="s">
        <v>11769</v>
      </c>
      <c r="L5991" s="11">
        <v>4.6548319126255766</v>
      </c>
      <c r="N5991" s="12"/>
    </row>
    <row r="5992" spans="1:14" s="5" customFormat="1" ht="15" customHeight="1" x14ac:dyDescent="0.25">
      <c r="A5992" s="9" t="s">
        <v>11770</v>
      </c>
      <c r="C5992" s="9" t="str">
        <f>HYPERLINK("http://www.ncbi.nlm.nih.gov/protein/50845420","Ptgfrn")</f>
        <v>Ptgfrn</v>
      </c>
      <c r="D5992" s="10">
        <f t="shared" si="93"/>
        <v>4.5649427312575366</v>
      </c>
      <c r="F5992" s="8" t="str">
        <f>HYPERLINK("https://esbl.nhlbi.nih.gov/Databases/mpkFractions/proteomic_fractions_log_files/Yang_log_img/50845420.jpg","show blot")</f>
        <v>show blot</v>
      </c>
      <c r="H5992" s="8" t="str">
        <f>HYPERLINK("https://esbl.nhlbi.nih.gov/Databases/mpkFractions/proteomic_fractions_linear_files/Yang_linear_img/50845420.jpg","show blot")</f>
        <v>show blot</v>
      </c>
      <c r="J5992" s="5" t="s">
        <v>11771</v>
      </c>
      <c r="L5992" s="11">
        <v>4.5649427312575366</v>
      </c>
      <c r="N5992" s="12"/>
    </row>
    <row r="5993" spans="1:14" s="5" customFormat="1" ht="15" customHeight="1" x14ac:dyDescent="0.25">
      <c r="A5993" s="9" t="s">
        <v>11772</v>
      </c>
      <c r="C5993" s="9" t="str">
        <f>HYPERLINK("http://www.ncbi.nlm.nih.gov/protein/13385466","Ptgr1")</f>
        <v>Ptgr1</v>
      </c>
      <c r="D5993" s="10">
        <f t="shared" si="93"/>
        <v>4.4085229094711744</v>
      </c>
      <c r="F5993" s="8" t="str">
        <f>HYPERLINK("https://esbl.nhlbi.nih.gov/Databases/mpkFractions/proteomic_fractions_log_files/Yang_log_img/13385466.jpg","show blot")</f>
        <v>show blot</v>
      </c>
      <c r="H5993" s="8" t="str">
        <f>HYPERLINK("https://esbl.nhlbi.nih.gov/Databases/mpkFractions/proteomic_fractions_linear_files/Yang_linear_img/13385466.jpg","show blot")</f>
        <v>show blot</v>
      </c>
      <c r="J5993" s="5" t="s">
        <v>11773</v>
      </c>
      <c r="L5993" s="11">
        <v>4.4085229094711744</v>
      </c>
      <c r="N5993" s="12"/>
    </row>
    <row r="5994" spans="1:14" s="5" customFormat="1" ht="15" customHeight="1" x14ac:dyDescent="0.25">
      <c r="A5994" s="9" t="s">
        <v>11774</v>
      </c>
      <c r="C5994" s="9" t="str">
        <f>HYPERLINK("http://www.ncbi.nlm.nih.gov/protein/357933647","Ptgr2")</f>
        <v>Ptgr2</v>
      </c>
      <c r="D5994" s="10">
        <f t="shared" si="93"/>
        <v>5.4082204163664507</v>
      </c>
      <c r="F5994" s="8" t="str">
        <f>HYPERLINK("https://esbl.nhlbi.nih.gov/Databases/mpkFractions/proteomic_fractions_log_files/Yang_log_img/357933647.jpg","show blot")</f>
        <v>show blot</v>
      </c>
      <c r="H5994" s="8" t="str">
        <f>HYPERLINK("https://esbl.nhlbi.nih.gov/Databases/mpkFractions/proteomic_fractions_linear_files/Yang_linear_img/357933647.jpg","show blot")</f>
        <v>show blot</v>
      </c>
      <c r="J5994" s="5" t="s">
        <v>11775</v>
      </c>
      <c r="L5994" s="11">
        <v>5.4082204163664507</v>
      </c>
      <c r="N5994" s="12"/>
    </row>
    <row r="5995" spans="1:14" s="5" customFormat="1" ht="15" customHeight="1" x14ac:dyDescent="0.25">
      <c r="A5995" s="9" t="s">
        <v>11776</v>
      </c>
      <c r="C5995" s="9" t="str">
        <f>HYPERLINK("http://www.ncbi.nlm.nih.gov/protein/85719320","Ptgr2")</f>
        <v>Ptgr2</v>
      </c>
      <c r="D5995" s="10">
        <f t="shared" si="93"/>
        <v>5.4082204163664507</v>
      </c>
      <c r="F5995" s="8" t="str">
        <f>HYPERLINK("https://esbl.nhlbi.nih.gov/Databases/mpkFractions/proteomic_fractions_log_files/Yang_log_img/85719320.jpg","show blot")</f>
        <v>show blot</v>
      </c>
      <c r="H5995" s="8" t="str">
        <f>HYPERLINK("https://esbl.nhlbi.nih.gov/Databases/mpkFractions/proteomic_fractions_linear_files/Yang_linear_img/85719320.jpg","show blot")</f>
        <v>show blot</v>
      </c>
      <c r="J5995" s="5" t="s">
        <v>11777</v>
      </c>
      <c r="L5995" s="11">
        <v>5.4082204163664507</v>
      </c>
      <c r="N5995" s="12"/>
    </row>
    <row r="5996" spans="1:14" s="5" customFormat="1" ht="15" customHeight="1" x14ac:dyDescent="0.25">
      <c r="A5996" s="9" t="s">
        <v>11778</v>
      </c>
      <c r="C5996" s="9" t="str">
        <f>HYPERLINK("http://www.ncbi.nlm.nih.gov/protein/6679537","Ptgs1")</f>
        <v>Ptgs1</v>
      </c>
      <c r="D5996" s="10">
        <f t="shared" si="93"/>
        <v>4.3841199417379517</v>
      </c>
      <c r="F5996" s="8" t="str">
        <f>HYPERLINK("https://esbl.nhlbi.nih.gov/Databases/mpkFractions/proteomic_fractions_log_files/Yang_log_img/6679537.jpg","show blot")</f>
        <v>show blot</v>
      </c>
      <c r="H5996" s="8" t="str">
        <f>HYPERLINK("https://esbl.nhlbi.nih.gov/Databases/mpkFractions/proteomic_fractions_linear_files/Yang_linear_img/6679537.jpg","show blot")</f>
        <v>show blot</v>
      </c>
      <c r="J5996" s="5" t="s">
        <v>11779</v>
      </c>
      <c r="L5996" s="11">
        <v>4.3841199417379517</v>
      </c>
      <c r="N5996" s="12"/>
    </row>
    <row r="5997" spans="1:14" s="5" customFormat="1" ht="15" customHeight="1" x14ac:dyDescent="0.25">
      <c r="A5997" s="9" t="s">
        <v>11780</v>
      </c>
      <c r="C5997" s="9" t="str">
        <f>HYPERLINK("http://www.ncbi.nlm.nih.gov/protein/31981525","Ptgs2")</f>
        <v>Ptgs2</v>
      </c>
      <c r="D5997" s="10">
        <f t="shared" si="93"/>
        <v>3.974407762118461</v>
      </c>
      <c r="F5997" s="8" t="str">
        <f>HYPERLINK("https://esbl.nhlbi.nih.gov/Databases/mpkFractions/proteomic_fractions_log_files/Yang_log_img/31981525.jpg","show blot")</f>
        <v>show blot</v>
      </c>
      <c r="H5997" s="8" t="str">
        <f>HYPERLINK("https://esbl.nhlbi.nih.gov/Databases/mpkFractions/proteomic_fractions_linear_files/Yang_linear_img/31981525.jpg","show blot")</f>
        <v>show blot</v>
      </c>
      <c r="J5997" s="5" t="s">
        <v>11781</v>
      </c>
      <c r="L5997" s="11">
        <v>3.974407762118461</v>
      </c>
      <c r="N5997" s="12"/>
    </row>
    <row r="5998" spans="1:14" s="5" customFormat="1" ht="15" customHeight="1" x14ac:dyDescent="0.25">
      <c r="A5998" s="9" t="s">
        <v>11782</v>
      </c>
      <c r="C5998" s="9" t="str">
        <f>HYPERLINK("http://www.ncbi.nlm.nih.gov/protein/194353974","Ptk2")</f>
        <v>Ptk2</v>
      </c>
      <c r="D5998" s="10">
        <f t="shared" si="93"/>
        <v>4.2954111158555852</v>
      </c>
      <c r="F5998" s="8" t="str">
        <f>HYPERLINK("https://esbl.nhlbi.nih.gov/Databases/mpkFractions/proteomic_fractions_log_files/Yang_log_img/194353974.jpg","show blot")</f>
        <v>show blot</v>
      </c>
      <c r="H5998" s="8" t="str">
        <f>HYPERLINK("https://esbl.nhlbi.nih.gov/Databases/mpkFractions/proteomic_fractions_linear_files/Yang_linear_img/194353974.jpg","show blot")</f>
        <v>show blot</v>
      </c>
      <c r="J5998" s="5" t="s">
        <v>11783</v>
      </c>
      <c r="L5998" s="11">
        <v>4.2954111158555852</v>
      </c>
      <c r="N5998" s="12"/>
    </row>
    <row r="5999" spans="1:14" s="5" customFormat="1" ht="15" customHeight="1" x14ac:dyDescent="0.25">
      <c r="A5999" s="9" t="s">
        <v>11784</v>
      </c>
      <c r="C5999" s="9" t="str">
        <f>HYPERLINK("http://www.ncbi.nlm.nih.gov/protein/194353972","Ptk2")</f>
        <v>Ptk2</v>
      </c>
      <c r="D5999" s="10">
        <f t="shared" si="93"/>
        <v>4.2954111158555852</v>
      </c>
      <c r="F5999" s="8" t="str">
        <f>HYPERLINK("https://esbl.nhlbi.nih.gov/Databases/mpkFractions/proteomic_fractions_log_files/Yang_log_img/194353972.jpg","show blot")</f>
        <v>show blot</v>
      </c>
      <c r="H5999" s="8" t="str">
        <f>HYPERLINK("https://esbl.nhlbi.nih.gov/Databases/mpkFractions/proteomic_fractions_linear_files/Yang_linear_img/194353972.jpg","show blot")</f>
        <v>show blot</v>
      </c>
      <c r="J5999" s="5" t="s">
        <v>11785</v>
      </c>
      <c r="L5999" s="11">
        <v>4.2954111158555852</v>
      </c>
      <c r="N5999" s="12"/>
    </row>
    <row r="6000" spans="1:14" s="5" customFormat="1" ht="15" customHeight="1" x14ac:dyDescent="0.25">
      <c r="A6000" s="9" t="s">
        <v>11786</v>
      </c>
      <c r="C6000" s="9" t="str">
        <f>HYPERLINK("http://www.ncbi.nlm.nih.gov/protein/241982783","Ptk2b")</f>
        <v>Ptk2b</v>
      </c>
      <c r="D6000" s="10">
        <f t="shared" si="93"/>
        <v>3.7109733298908241</v>
      </c>
      <c r="F6000" s="8" t="str">
        <f>HYPERLINK("https://esbl.nhlbi.nih.gov/Databases/mpkFractions/proteomic_fractions_log_files/Yang_log_img/241982783.jpg","show blot")</f>
        <v>show blot</v>
      </c>
      <c r="H6000" s="8" t="str">
        <f>HYPERLINK("https://esbl.nhlbi.nih.gov/Databases/mpkFractions/proteomic_fractions_linear_files/Yang_linear_img/241982783.jpg","show blot")</f>
        <v>show blot</v>
      </c>
      <c r="J6000" s="5" t="s">
        <v>11787</v>
      </c>
      <c r="L6000" s="11">
        <v>3.7109733298908241</v>
      </c>
      <c r="N6000" s="12"/>
    </row>
    <row r="6001" spans="1:14" s="5" customFormat="1" ht="15" customHeight="1" x14ac:dyDescent="0.25">
      <c r="A6001" s="9" t="s">
        <v>11788</v>
      </c>
      <c r="C6001" s="9" t="str">
        <f>HYPERLINK("http://www.ncbi.nlm.nih.gov/protein/241982787","Ptk2b")</f>
        <v>Ptk2b</v>
      </c>
      <c r="D6001" s="10">
        <f t="shared" si="93"/>
        <v>3.7109733298908241</v>
      </c>
      <c r="F6001" s="8" t="str">
        <f>HYPERLINK("https://esbl.nhlbi.nih.gov/Databases/mpkFractions/proteomic_fractions_log_files/Yang_log_img/241982787.jpg","show blot")</f>
        <v>show blot</v>
      </c>
      <c r="H6001" s="8" t="str">
        <f>HYPERLINK("https://esbl.nhlbi.nih.gov/Databases/mpkFractions/proteomic_fractions_linear_files/Yang_linear_img/241982787.jpg","show blot")</f>
        <v>show blot</v>
      </c>
      <c r="J6001" s="5" t="s">
        <v>11789</v>
      </c>
      <c r="L6001" s="11">
        <v>3.7109733298908241</v>
      </c>
      <c r="N6001" s="12"/>
    </row>
    <row r="6002" spans="1:14" s="5" customFormat="1" ht="15" customHeight="1" x14ac:dyDescent="0.25">
      <c r="A6002" s="9" t="s">
        <v>11790</v>
      </c>
      <c r="C6002" s="9" t="str">
        <f>HYPERLINK("http://www.ncbi.nlm.nih.gov/protein/241982789","Ptk2b")</f>
        <v>Ptk2b</v>
      </c>
      <c r="D6002" s="10">
        <f t="shared" si="93"/>
        <v>3.7109733298908241</v>
      </c>
      <c r="F6002" s="8" t="str">
        <f>HYPERLINK("https://esbl.nhlbi.nih.gov/Databases/mpkFractions/proteomic_fractions_log_files/Yang_log_img/241982789.jpg","show blot")</f>
        <v>show blot</v>
      </c>
      <c r="H6002" s="8" t="str">
        <f>HYPERLINK("https://esbl.nhlbi.nih.gov/Databases/mpkFractions/proteomic_fractions_linear_files/Yang_linear_img/241982789.jpg","show blot")</f>
        <v>show blot</v>
      </c>
      <c r="J6002" s="5" t="s">
        <v>11791</v>
      </c>
      <c r="L6002" s="11">
        <v>3.7109733298908241</v>
      </c>
      <c r="N6002" s="12"/>
    </row>
    <row r="6003" spans="1:14" s="5" customFormat="1" ht="15" customHeight="1" x14ac:dyDescent="0.25">
      <c r="A6003" s="9" t="s">
        <v>11792</v>
      </c>
      <c r="C6003" s="9" t="str">
        <f>HYPERLINK("http://www.ncbi.nlm.nih.gov/protein/30425042","Ptk7")</f>
        <v>Ptk7</v>
      </c>
      <c r="D6003" s="10">
        <f t="shared" si="93"/>
        <v>4.2690017416617012</v>
      </c>
      <c r="F6003" s="8" t="str">
        <f>HYPERLINK("https://esbl.nhlbi.nih.gov/Databases/mpkFractions/proteomic_fractions_log_files/Yang_log_img/30425042.jpg","show blot")</f>
        <v>show blot</v>
      </c>
      <c r="H6003" s="8" t="str">
        <f>HYPERLINK("https://esbl.nhlbi.nih.gov/Databases/mpkFractions/proteomic_fractions_linear_files/Yang_linear_img/30425042.jpg","show blot")</f>
        <v>show blot</v>
      </c>
      <c r="J6003" s="5" t="s">
        <v>11793</v>
      </c>
      <c r="L6003" s="11">
        <v>4.2690017416617012</v>
      </c>
      <c r="N6003" s="12"/>
    </row>
    <row r="6004" spans="1:14" s="5" customFormat="1" ht="15" customHeight="1" x14ac:dyDescent="0.25">
      <c r="A6004" s="9" t="s">
        <v>11794</v>
      </c>
      <c r="C6004" s="9" t="str">
        <f>HYPERLINK("http://www.ncbi.nlm.nih.gov/protein/7110705","Ptma")</f>
        <v>Ptma</v>
      </c>
      <c r="D6004" s="10">
        <f t="shared" si="93"/>
        <v>6.731788104998131</v>
      </c>
      <c r="F6004" s="8" t="str">
        <f>HYPERLINK("https://esbl.nhlbi.nih.gov/Databases/mpkFractions/proteomic_fractions_log_files/Yang_log_img/7110705.jpg","show blot")</f>
        <v>show blot</v>
      </c>
      <c r="H6004" s="8" t="str">
        <f>HYPERLINK("https://esbl.nhlbi.nih.gov/Databases/mpkFractions/proteomic_fractions_linear_files/Yang_linear_img/7110705.jpg","show blot")</f>
        <v>show blot</v>
      </c>
      <c r="J6004" s="5" t="s">
        <v>11795</v>
      </c>
      <c r="L6004" s="11">
        <v>6.731788104998131</v>
      </c>
      <c r="N6004" s="12"/>
    </row>
    <row r="6005" spans="1:14" s="5" customFormat="1" ht="15" customHeight="1" x14ac:dyDescent="0.25">
      <c r="A6005" s="9" t="s">
        <v>11796</v>
      </c>
      <c r="C6005" s="9" t="str">
        <f>HYPERLINK("http://www.ncbi.nlm.nih.gov/protein/62460366","Ptms")</f>
        <v>Ptms</v>
      </c>
      <c r="D6005" s="10">
        <f t="shared" si="93"/>
        <v>5.6161799203068341</v>
      </c>
      <c r="F6005" s="8" t="str">
        <f>HYPERLINK("https://esbl.nhlbi.nih.gov/Databases/mpkFractions/proteomic_fractions_log_files/Yang_log_img/62460366.jpg","show blot")</f>
        <v>show blot</v>
      </c>
      <c r="H6005" s="8" t="str">
        <f>HYPERLINK("https://esbl.nhlbi.nih.gov/Databases/mpkFractions/proteomic_fractions_linear_files/Yang_linear_img/62460366.jpg","show blot")</f>
        <v>show blot</v>
      </c>
      <c r="J6005" s="5" t="s">
        <v>11797</v>
      </c>
      <c r="L6005" s="11">
        <v>5.6161799203068341</v>
      </c>
      <c r="N6005" s="12"/>
    </row>
    <row r="6006" spans="1:14" s="5" customFormat="1" ht="15" customHeight="1" x14ac:dyDescent="0.25">
      <c r="A6006" s="9" t="s">
        <v>11798</v>
      </c>
      <c r="C6006" s="9" t="str">
        <f>HYPERLINK("http://www.ncbi.nlm.nih.gov/protein/258613926;6679545","Ptp4a2")</f>
        <v>Ptp4a2</v>
      </c>
      <c r="D6006" s="10">
        <f t="shared" si="93"/>
        <v>4.7942223112577391</v>
      </c>
      <c r="F6006" s="8" t="str">
        <f>HYPERLINK("https://esbl.nhlbi.nih.gov/Databases/mpkFractions/proteomic_fractions_log_files/Yang_log_img/258613926;6679545.jpg","show blot")</f>
        <v>show blot</v>
      </c>
      <c r="H6006" s="8" t="str">
        <f>HYPERLINK("https://esbl.nhlbi.nih.gov/Databases/mpkFractions/proteomic_fractions_linear_files/Yang_linear_img/258613926;6679545.jpg","show blot")</f>
        <v>show blot</v>
      </c>
      <c r="J6006" s="5" t="s">
        <v>11799</v>
      </c>
      <c r="L6006" s="11">
        <v>4.7942223112577391</v>
      </c>
      <c r="N6006" s="12"/>
    </row>
    <row r="6007" spans="1:14" s="5" customFormat="1" ht="15" customHeight="1" x14ac:dyDescent="0.25">
      <c r="A6007" s="9" t="s">
        <v>11800</v>
      </c>
      <c r="C6007" s="9" t="str">
        <f>HYPERLINK("http://www.ncbi.nlm.nih.gov/protein/6679545","Ptp4a2")</f>
        <v>Ptp4a2</v>
      </c>
      <c r="D6007" s="10">
        <f t="shared" si="93"/>
        <v>4.7942223112577391</v>
      </c>
      <c r="F6007" s="8" t="str">
        <f>HYPERLINK("https://esbl.nhlbi.nih.gov/Databases/mpkFractions/proteomic_fractions_log_files/Yang_log_img/6679545.jpg","show blot")</f>
        <v>show blot</v>
      </c>
      <c r="H6007" s="8" t="str">
        <f>HYPERLINK("https://esbl.nhlbi.nih.gov/Databases/mpkFractions/proteomic_fractions_linear_files/Yang_linear_img/6679545.jpg","show blot")</f>
        <v>show blot</v>
      </c>
      <c r="J6007" s="5" t="s">
        <v>11799</v>
      </c>
      <c r="L6007" s="11">
        <v>4.7942223112577391</v>
      </c>
      <c r="N6007" s="12"/>
    </row>
    <row r="6008" spans="1:14" s="5" customFormat="1" ht="15" customHeight="1" x14ac:dyDescent="0.25">
      <c r="A6008" s="9" t="s">
        <v>11801</v>
      </c>
      <c r="C6008" s="9" t="str">
        <f>HYPERLINK("http://www.ncbi.nlm.nih.gov/protein/171184435","Ptplad1")</f>
        <v>Ptplad1</v>
      </c>
      <c r="D6008" s="10">
        <f t="shared" si="93"/>
        <v>2.2764618041732438</v>
      </c>
      <c r="F6008" s="8" t="str">
        <f>HYPERLINK("https://esbl.nhlbi.nih.gov/Databases/mpkFractions/proteomic_fractions_log_files/Yang_log_img/171184435.jpg","show blot")</f>
        <v>show blot</v>
      </c>
      <c r="H6008" s="8" t="str">
        <f>HYPERLINK("https://esbl.nhlbi.nih.gov/Databases/mpkFractions/proteomic_fractions_linear_files/Yang_linear_img/171184435.jpg","show blot")</f>
        <v>show blot</v>
      </c>
      <c r="J6008" s="5" t="s">
        <v>11802</v>
      </c>
      <c r="L6008" s="11">
        <v>2.2764618041732438</v>
      </c>
      <c r="N6008" s="12"/>
    </row>
    <row r="6009" spans="1:14" s="5" customFormat="1" ht="15" customHeight="1" x14ac:dyDescent="0.25">
      <c r="A6009" s="9" t="s">
        <v>11803</v>
      </c>
      <c r="C6009" s="9" t="str">
        <f>HYPERLINK("http://www.ncbi.nlm.nih.gov/protein/84872191","Ptplb")</f>
        <v>Ptplb</v>
      </c>
      <c r="D6009" s="10">
        <f t="shared" si="93"/>
        <v>4.1960050699379012</v>
      </c>
      <c r="F6009" s="8" t="str">
        <f>HYPERLINK("https://esbl.nhlbi.nih.gov/Databases/mpkFractions/proteomic_fractions_log_files/Yang_log_img/84872191.jpg","show blot")</f>
        <v>show blot</v>
      </c>
      <c r="H6009" s="8" t="str">
        <f>HYPERLINK("https://esbl.nhlbi.nih.gov/Databases/mpkFractions/proteomic_fractions_linear_files/Yang_linear_img/84872191.jpg","show blot")</f>
        <v>show blot</v>
      </c>
      <c r="J6009" s="5" t="s">
        <v>11804</v>
      </c>
      <c r="L6009" s="11">
        <v>4.1960050699379012</v>
      </c>
      <c r="N6009" s="12"/>
    </row>
    <row r="6010" spans="1:14" s="5" customFormat="1" ht="15" customHeight="1" x14ac:dyDescent="0.25">
      <c r="A6010" s="9" t="s">
        <v>11805</v>
      </c>
      <c r="C6010" s="9" t="str">
        <f>HYPERLINK("http://www.ncbi.nlm.nih.gov/protein/23956130","Ptpmt1")</f>
        <v>Ptpmt1</v>
      </c>
      <c r="D6010" s="10">
        <f t="shared" si="93"/>
        <v>3.7781343694097989</v>
      </c>
      <c r="F6010" s="8" t="str">
        <f>HYPERLINK("https://esbl.nhlbi.nih.gov/Databases/mpkFractions/proteomic_fractions_log_files/Yang_log_img/23956130.jpg","show blot")</f>
        <v>show blot</v>
      </c>
      <c r="H6010" s="8" t="str">
        <f>HYPERLINK("https://esbl.nhlbi.nih.gov/Databases/mpkFractions/proteomic_fractions_linear_files/Yang_linear_img/23956130.jpg","show blot")</f>
        <v>show blot</v>
      </c>
      <c r="J6010" s="5" t="s">
        <v>11806</v>
      </c>
      <c r="L6010" s="11">
        <v>3.7781343694097989</v>
      </c>
      <c r="N6010" s="12"/>
    </row>
    <row r="6011" spans="1:14" s="5" customFormat="1" ht="15" customHeight="1" x14ac:dyDescent="0.25">
      <c r="A6011" s="9" t="s">
        <v>11807</v>
      </c>
      <c r="C6011" s="9" t="str">
        <f>HYPERLINK("http://www.ncbi.nlm.nih.gov/protein/133505845","Ptpn1")</f>
        <v>Ptpn1</v>
      </c>
      <c r="D6011" s="10">
        <f t="shared" si="93"/>
        <v>4.4893003700259078</v>
      </c>
      <c r="F6011" s="8" t="str">
        <f>HYPERLINK("https://esbl.nhlbi.nih.gov/Databases/mpkFractions/proteomic_fractions_log_files/Yang_log_img/133505845.jpg","show blot")</f>
        <v>show blot</v>
      </c>
      <c r="H6011" s="8" t="str">
        <f>HYPERLINK("https://esbl.nhlbi.nih.gov/Databases/mpkFractions/proteomic_fractions_linear_files/Yang_linear_img/133505845.jpg","show blot")</f>
        <v>show blot</v>
      </c>
      <c r="J6011" s="5" t="s">
        <v>11808</v>
      </c>
      <c r="L6011" s="11">
        <v>4.4893003700259078</v>
      </c>
      <c r="N6011" s="12"/>
    </row>
    <row r="6012" spans="1:14" s="5" customFormat="1" ht="15" customHeight="1" x14ac:dyDescent="0.25">
      <c r="A6012" s="9" t="s">
        <v>11809</v>
      </c>
      <c r="C6012" s="9" t="str">
        <f>HYPERLINK("http://www.ncbi.nlm.nih.gov/protein/158508568","Ptpn11")</f>
        <v>Ptpn11</v>
      </c>
      <c r="D6012" s="10">
        <f t="shared" si="93"/>
        <v>4.9231006996352686</v>
      </c>
      <c r="F6012" s="8" t="str">
        <f>HYPERLINK("https://esbl.nhlbi.nih.gov/Databases/mpkFractions/proteomic_fractions_log_files/Yang_log_img/158508568.jpg","show blot")</f>
        <v>show blot</v>
      </c>
      <c r="H6012" s="8" t="str">
        <f>HYPERLINK("https://esbl.nhlbi.nih.gov/Databases/mpkFractions/proteomic_fractions_linear_files/Yang_linear_img/158508568.jpg","show blot")</f>
        <v>show blot</v>
      </c>
      <c r="J6012" s="5" t="s">
        <v>11810</v>
      </c>
      <c r="L6012" s="11">
        <v>4.9231006996352686</v>
      </c>
      <c r="N6012" s="12"/>
    </row>
    <row r="6013" spans="1:14" s="5" customFormat="1" ht="15" customHeight="1" x14ac:dyDescent="0.25">
      <c r="A6013" s="9" t="s">
        <v>11811</v>
      </c>
      <c r="C6013" s="9" t="str">
        <f>HYPERLINK("http://www.ncbi.nlm.nih.gov/protein/6755228","Ptpn11")</f>
        <v>Ptpn11</v>
      </c>
      <c r="D6013" s="10">
        <f t="shared" si="93"/>
        <v>4.9231006996352686</v>
      </c>
      <c r="F6013" s="8" t="str">
        <f>HYPERLINK("https://esbl.nhlbi.nih.gov/Databases/mpkFractions/proteomic_fractions_log_files/Yang_log_img/6755228.jpg","show blot")</f>
        <v>show blot</v>
      </c>
      <c r="H6013" s="8" t="str">
        <f>HYPERLINK("https://esbl.nhlbi.nih.gov/Databases/mpkFractions/proteomic_fractions_linear_files/Yang_linear_img/6755228.jpg","show blot")</f>
        <v>show blot</v>
      </c>
      <c r="J6013" s="5" t="s">
        <v>11812</v>
      </c>
      <c r="L6013" s="11">
        <v>4.9231006996352686</v>
      </c>
      <c r="N6013" s="12"/>
    </row>
    <row r="6014" spans="1:14" s="5" customFormat="1" ht="15" customHeight="1" x14ac:dyDescent="0.25">
      <c r="A6014" s="9" t="s">
        <v>11813</v>
      </c>
      <c r="C6014" s="9" t="str">
        <f>HYPERLINK("http://www.ncbi.nlm.nih.gov/protein/34328195","Ptpn12")</f>
        <v>Ptpn12</v>
      </c>
      <c r="D6014" s="10">
        <f t="shared" si="93"/>
        <v>4.0166973659494234</v>
      </c>
      <c r="F6014" s="8" t="str">
        <f>HYPERLINK("https://esbl.nhlbi.nih.gov/Databases/mpkFractions/proteomic_fractions_log_files/Yang_log_img/34328195.jpg","show blot")</f>
        <v>show blot</v>
      </c>
      <c r="H6014" s="8" t="str">
        <f>HYPERLINK("https://esbl.nhlbi.nih.gov/Databases/mpkFractions/proteomic_fractions_linear_files/Yang_linear_img/34328195.jpg","show blot")</f>
        <v>show blot</v>
      </c>
      <c r="J6014" s="5" t="s">
        <v>11814</v>
      </c>
      <c r="L6014" s="11">
        <v>4.0166973659494234</v>
      </c>
      <c r="N6014" s="12"/>
    </row>
    <row r="6015" spans="1:14" s="5" customFormat="1" ht="15" customHeight="1" x14ac:dyDescent="0.25">
      <c r="A6015" s="9" t="s">
        <v>11815</v>
      </c>
      <c r="C6015" s="9" t="str">
        <f>HYPERLINK("http://www.ncbi.nlm.nih.gov/protein/134948762","Ptpn13")</f>
        <v>Ptpn13</v>
      </c>
      <c r="D6015" s="10">
        <f t="shared" si="93"/>
        <v>3.400148146576814</v>
      </c>
      <c r="F6015" s="8" t="str">
        <f>HYPERLINK("https://esbl.nhlbi.nih.gov/Databases/mpkFractions/proteomic_fractions_log_files/Yang_log_img/134948762.jpg","show blot")</f>
        <v>show blot</v>
      </c>
      <c r="H6015" s="8" t="str">
        <f>HYPERLINK("https://esbl.nhlbi.nih.gov/Databases/mpkFractions/proteomic_fractions_linear_files/Yang_linear_img/134948762.jpg","show blot")</f>
        <v>show blot</v>
      </c>
      <c r="J6015" s="5" t="s">
        <v>11816</v>
      </c>
      <c r="L6015" s="11">
        <v>3.400148146576814</v>
      </c>
      <c r="N6015" s="12"/>
    </row>
    <row r="6016" spans="1:14" s="5" customFormat="1" ht="15" customHeight="1" x14ac:dyDescent="0.25">
      <c r="A6016" s="9" t="s">
        <v>11817</v>
      </c>
      <c r="C6016" s="9" t="str">
        <f>HYPERLINK("http://www.ncbi.nlm.nih.gov/protein/110825986","Ptpn14")</f>
        <v>Ptpn14</v>
      </c>
      <c r="D6016" s="10">
        <f t="shared" si="93"/>
        <v>4.0000266419683399</v>
      </c>
      <c r="F6016" s="8" t="str">
        <f>HYPERLINK("https://esbl.nhlbi.nih.gov/Databases/mpkFractions/proteomic_fractions_log_files/Yang_log_img/110825986.jpg","show blot")</f>
        <v>show blot</v>
      </c>
      <c r="H6016" s="8" t="str">
        <f>HYPERLINK("https://esbl.nhlbi.nih.gov/Databases/mpkFractions/proteomic_fractions_linear_files/Yang_linear_img/110825986.jpg","show blot")</f>
        <v>show blot</v>
      </c>
      <c r="J6016" s="5" t="s">
        <v>11818</v>
      </c>
      <c r="L6016" s="11">
        <v>4.0000266419683399</v>
      </c>
      <c r="N6016" s="12"/>
    </row>
    <row r="6017" spans="1:14" s="5" customFormat="1" ht="15" customHeight="1" x14ac:dyDescent="0.25">
      <c r="A6017" s="9" t="s">
        <v>11819</v>
      </c>
      <c r="C6017" s="9" t="str">
        <f>HYPERLINK("http://www.ncbi.nlm.nih.gov/protein/187608416","Ptpn2")</f>
        <v>Ptpn2</v>
      </c>
      <c r="D6017" s="10">
        <f t="shared" si="93"/>
        <v>2.8117784977556162</v>
      </c>
      <c r="F6017" s="8" t="str">
        <f>HYPERLINK("https://esbl.nhlbi.nih.gov/Databases/mpkFractions/proteomic_fractions_log_files/Yang_log_img/187608416.jpg","show blot")</f>
        <v>show blot</v>
      </c>
      <c r="H6017" s="8" t="str">
        <f>HYPERLINK("https://esbl.nhlbi.nih.gov/Databases/mpkFractions/proteomic_fractions_linear_files/Yang_linear_img/187608416.jpg","show blot")</f>
        <v>show blot</v>
      </c>
      <c r="J6017" s="5" t="s">
        <v>11820</v>
      </c>
      <c r="L6017" s="11">
        <v>2.8117784977556162</v>
      </c>
      <c r="N6017" s="12"/>
    </row>
    <row r="6018" spans="1:14" s="5" customFormat="1" ht="15" customHeight="1" x14ac:dyDescent="0.25">
      <c r="A6018" s="9" t="s">
        <v>11821</v>
      </c>
      <c r="C6018" s="9" t="str">
        <f>HYPERLINK("http://www.ncbi.nlm.nih.gov/protein/6679553","Ptpn2")</f>
        <v>Ptpn2</v>
      </c>
      <c r="D6018" s="10">
        <f t="shared" si="93"/>
        <v>2.8117784977556162</v>
      </c>
      <c r="F6018" s="8" t="str">
        <f>HYPERLINK("https://esbl.nhlbi.nih.gov/Databases/mpkFractions/proteomic_fractions_log_files/Yang_log_img/6679553.jpg","show blot")</f>
        <v>show blot</v>
      </c>
      <c r="H6018" s="8" t="str">
        <f>HYPERLINK("https://esbl.nhlbi.nih.gov/Databases/mpkFractions/proteomic_fractions_linear_files/Yang_linear_img/6679553.jpg","show blot")</f>
        <v>show blot</v>
      </c>
      <c r="J6018" s="5" t="s">
        <v>11822</v>
      </c>
      <c r="L6018" s="11">
        <v>2.8117784977556162</v>
      </c>
      <c r="N6018" s="12"/>
    </row>
    <row r="6019" spans="1:14" s="5" customFormat="1" ht="15" customHeight="1" x14ac:dyDescent="0.25">
      <c r="A6019" s="9" t="s">
        <v>11823</v>
      </c>
      <c r="C6019" s="9" t="str">
        <f>HYPERLINK("http://www.ncbi.nlm.nih.gov/protein/226246561","Ptpn21")</f>
        <v>Ptpn21</v>
      </c>
      <c r="D6019" s="10">
        <f t="shared" si="93"/>
        <v>3.2748381809174809</v>
      </c>
      <c r="F6019" s="8" t="str">
        <f>HYPERLINK("https://esbl.nhlbi.nih.gov/Databases/mpkFractions/proteomic_fractions_log_files/Yang_log_img/226246561.jpg","show blot")</f>
        <v>show blot</v>
      </c>
      <c r="H6019" s="8" t="str">
        <f>HYPERLINK("https://esbl.nhlbi.nih.gov/Databases/mpkFractions/proteomic_fractions_linear_files/Yang_linear_img/226246561.jpg","show blot")</f>
        <v>show blot</v>
      </c>
      <c r="J6019" s="5" t="s">
        <v>11824</v>
      </c>
      <c r="L6019" s="11">
        <v>3.2748381809174809</v>
      </c>
      <c r="N6019" s="12"/>
    </row>
    <row r="6020" spans="1:14" s="5" customFormat="1" ht="15" customHeight="1" x14ac:dyDescent="0.25">
      <c r="A6020" s="9" t="s">
        <v>11825</v>
      </c>
      <c r="C6020" s="9" t="str">
        <f>HYPERLINK("http://www.ncbi.nlm.nih.gov/protein/226246563;226246561","Ptpn21")</f>
        <v>Ptpn21</v>
      </c>
      <c r="D6020" s="10">
        <f t="shared" si="93"/>
        <v>3.2748381809174809</v>
      </c>
      <c r="F6020" s="8" t="str">
        <f>HYPERLINK("https://esbl.nhlbi.nih.gov/Databases/mpkFractions/proteomic_fractions_log_files/Yang_log_img/226246563;226246561.jpg","show blot")</f>
        <v>show blot</v>
      </c>
      <c r="H6020" s="8" t="str">
        <f>HYPERLINK("https://esbl.nhlbi.nih.gov/Databases/mpkFractions/proteomic_fractions_linear_files/Yang_linear_img/226246563;226246561.jpg","show blot")</f>
        <v>show blot</v>
      </c>
      <c r="J6020" s="5" t="s">
        <v>11824</v>
      </c>
      <c r="L6020" s="11">
        <v>3.2748381809174809</v>
      </c>
      <c r="N6020" s="12"/>
    </row>
    <row r="6021" spans="1:14" s="5" customFormat="1" ht="15" customHeight="1" x14ac:dyDescent="0.25">
      <c r="A6021" s="9" t="s">
        <v>11826</v>
      </c>
      <c r="C6021" s="9" t="str">
        <f>HYPERLINK("http://www.ncbi.nlm.nih.gov/protein/124517678","Ptpn23")</f>
        <v>Ptpn23</v>
      </c>
      <c r="D6021" s="10">
        <f t="shared" ref="D6021:D6084" si="94">L6021</f>
        <v>5.1867132789624488</v>
      </c>
      <c r="F6021" s="8" t="str">
        <f>HYPERLINK("https://esbl.nhlbi.nih.gov/Databases/mpkFractions/proteomic_fractions_log_files/Yang_log_img/124517678.jpg","show blot")</f>
        <v>show blot</v>
      </c>
      <c r="H6021" s="8" t="str">
        <f>HYPERLINK("https://esbl.nhlbi.nih.gov/Databases/mpkFractions/proteomic_fractions_linear_files/Yang_linear_img/124517678.jpg","show blot")</f>
        <v>show blot</v>
      </c>
      <c r="J6021" s="5" t="s">
        <v>11827</v>
      </c>
      <c r="L6021" s="11">
        <v>5.1867132789624488</v>
      </c>
      <c r="N6021" s="12"/>
    </row>
    <row r="6022" spans="1:14" s="5" customFormat="1" ht="15" customHeight="1" x14ac:dyDescent="0.25">
      <c r="A6022" s="9" t="s">
        <v>11828</v>
      </c>
      <c r="C6022" s="9" t="str">
        <f>HYPERLINK("http://www.ncbi.nlm.nih.gov/protein/218505829","Ptpn3")</f>
        <v>Ptpn3</v>
      </c>
      <c r="D6022" s="10">
        <f t="shared" si="94"/>
        <v>2.1605031606310821</v>
      </c>
      <c r="F6022" s="8" t="str">
        <f>HYPERLINK("https://esbl.nhlbi.nih.gov/Databases/mpkFractions/proteomic_fractions_log_files/Yang_log_img/218505829.jpg","show blot")</f>
        <v>show blot</v>
      </c>
      <c r="H6022" s="8" t="str">
        <f>HYPERLINK("https://esbl.nhlbi.nih.gov/Databases/mpkFractions/proteomic_fractions_linear_files/Yang_linear_img/218505829.jpg","show blot")</f>
        <v>show blot</v>
      </c>
      <c r="J6022" s="5" t="s">
        <v>11829</v>
      </c>
      <c r="L6022" s="11">
        <v>2.1605031606310821</v>
      </c>
      <c r="N6022" s="12"/>
    </row>
    <row r="6023" spans="1:14" s="5" customFormat="1" ht="15" customHeight="1" x14ac:dyDescent="0.25">
      <c r="A6023" s="9" t="s">
        <v>11830</v>
      </c>
      <c r="C6023" s="9" t="str">
        <f>HYPERLINK("http://www.ncbi.nlm.nih.gov/protein/118130771","Ptpn6")</f>
        <v>Ptpn6</v>
      </c>
      <c r="D6023" s="10">
        <f t="shared" si="94"/>
        <v>4.7596471790770201</v>
      </c>
      <c r="F6023" s="8" t="str">
        <f>HYPERLINK("https://esbl.nhlbi.nih.gov/Databases/mpkFractions/proteomic_fractions_log_files/Yang_log_img/118130771.jpg","show blot")</f>
        <v>show blot</v>
      </c>
      <c r="H6023" s="8" t="str">
        <f>HYPERLINK("https://esbl.nhlbi.nih.gov/Databases/mpkFractions/proteomic_fractions_linear_files/Yang_linear_img/118130771.jpg","show blot")</f>
        <v>show blot</v>
      </c>
      <c r="J6023" s="5" t="s">
        <v>11831</v>
      </c>
      <c r="L6023" s="11">
        <v>4.7596471790770201</v>
      </c>
      <c r="N6023" s="12"/>
    </row>
    <row r="6024" spans="1:14" s="5" customFormat="1" ht="15" customHeight="1" x14ac:dyDescent="0.25">
      <c r="A6024" s="9" t="s">
        <v>11832</v>
      </c>
      <c r="C6024" s="9" t="str">
        <f>HYPERLINK("http://www.ncbi.nlm.nih.gov/protein/118130785","Ptpn6")</f>
        <v>Ptpn6</v>
      </c>
      <c r="D6024" s="10">
        <f t="shared" si="94"/>
        <v>4.7596471790770201</v>
      </c>
      <c r="F6024" s="8" t="str">
        <f>HYPERLINK("https://esbl.nhlbi.nih.gov/Databases/mpkFractions/proteomic_fractions_log_files/Yang_log_img/118130785.jpg","show blot")</f>
        <v>show blot</v>
      </c>
      <c r="H6024" s="8" t="str">
        <f>HYPERLINK("https://esbl.nhlbi.nih.gov/Databases/mpkFractions/proteomic_fractions_linear_files/Yang_linear_img/118130785.jpg","show blot")</f>
        <v>show blot</v>
      </c>
      <c r="J6024" s="5" t="s">
        <v>11833</v>
      </c>
      <c r="L6024" s="11">
        <v>4.7596471790770201</v>
      </c>
      <c r="N6024" s="12"/>
    </row>
    <row r="6025" spans="1:14" s="5" customFormat="1" ht="15" customHeight="1" x14ac:dyDescent="0.25">
      <c r="A6025" s="9" t="s">
        <v>11834</v>
      </c>
      <c r="C6025" s="9" t="str">
        <f>HYPERLINK("http://www.ncbi.nlm.nih.gov/protein/61098100","Ptpn9")</f>
        <v>Ptpn9</v>
      </c>
      <c r="D6025" s="10">
        <f t="shared" si="94"/>
        <v>5.0486846383220803</v>
      </c>
      <c r="F6025" s="8" t="str">
        <f>HYPERLINK("https://esbl.nhlbi.nih.gov/Databases/mpkFractions/proteomic_fractions_log_files/Yang_log_img/61098100.jpg","show blot")</f>
        <v>show blot</v>
      </c>
      <c r="H6025" s="8" t="str">
        <f>HYPERLINK("https://esbl.nhlbi.nih.gov/Databases/mpkFractions/proteomic_fractions_linear_files/Yang_linear_img/61098100.jpg","show blot")</f>
        <v>show blot</v>
      </c>
      <c r="J6025" s="5" t="s">
        <v>11835</v>
      </c>
      <c r="L6025" s="11">
        <v>5.0486846383220803</v>
      </c>
      <c r="N6025" s="12"/>
    </row>
    <row r="6026" spans="1:14" s="5" customFormat="1" ht="15" customHeight="1" x14ac:dyDescent="0.25">
      <c r="A6026" s="9" t="s">
        <v>11836</v>
      </c>
      <c r="C6026" s="9" t="str">
        <f>HYPERLINK("http://www.ncbi.nlm.nih.gov/protein/255304936","Ptpra")</f>
        <v>Ptpra</v>
      </c>
      <c r="D6026" s="10">
        <f t="shared" si="94"/>
        <v>4.842235579433634</v>
      </c>
      <c r="F6026" s="8" t="str">
        <f>HYPERLINK("https://esbl.nhlbi.nih.gov/Databases/mpkFractions/proteomic_fractions_log_files/Yang_log_img/255304936.jpg","show blot")</f>
        <v>show blot</v>
      </c>
      <c r="H6026" s="8" t="str">
        <f>HYPERLINK("https://esbl.nhlbi.nih.gov/Databases/mpkFractions/proteomic_fractions_linear_files/Yang_linear_img/255304936.jpg","show blot")</f>
        <v>show blot</v>
      </c>
      <c r="J6026" s="5" t="s">
        <v>11837</v>
      </c>
      <c r="L6026" s="11">
        <v>4.842235579433634</v>
      </c>
      <c r="N6026" s="12"/>
    </row>
    <row r="6027" spans="1:14" s="5" customFormat="1" ht="15" customHeight="1" x14ac:dyDescent="0.25">
      <c r="A6027" s="9" t="s">
        <v>11838</v>
      </c>
      <c r="C6027" s="9" t="str">
        <f>HYPERLINK("http://www.ncbi.nlm.nih.gov/protein/255304938","Ptpra")</f>
        <v>Ptpra</v>
      </c>
      <c r="D6027" s="10">
        <f t="shared" si="94"/>
        <v>4.842235579433634</v>
      </c>
      <c r="F6027" s="8" t="str">
        <f>HYPERLINK("https://esbl.nhlbi.nih.gov/Databases/mpkFractions/proteomic_fractions_log_files/Yang_log_img/255304938.jpg","show blot")</f>
        <v>show blot</v>
      </c>
      <c r="H6027" s="8" t="str">
        <f>HYPERLINK("https://esbl.nhlbi.nih.gov/Databases/mpkFractions/proteomic_fractions_linear_files/Yang_linear_img/255304938.jpg","show blot")</f>
        <v>show blot</v>
      </c>
      <c r="J6027" s="5" t="s">
        <v>11839</v>
      </c>
      <c r="L6027" s="11">
        <v>4.842235579433634</v>
      </c>
      <c r="N6027" s="12"/>
    </row>
    <row r="6028" spans="1:14" s="5" customFormat="1" ht="15" customHeight="1" x14ac:dyDescent="0.25">
      <c r="A6028" s="9" t="s">
        <v>11840</v>
      </c>
      <c r="C6028" s="9" t="str">
        <f>HYPERLINK("http://www.ncbi.nlm.nih.gov/protein/90403603","Ptprd")</f>
        <v>Ptprd</v>
      </c>
      <c r="D6028" s="10">
        <f t="shared" si="94"/>
        <v>2.088358937152496</v>
      </c>
      <c r="F6028" s="8" t="str">
        <f>HYPERLINK("https://esbl.nhlbi.nih.gov/Databases/mpkFractions/proteomic_fractions_log_files/Yang_log_img/90403603.jpg","show blot")</f>
        <v>show blot</v>
      </c>
      <c r="H6028" s="8" t="str">
        <f>HYPERLINK("https://esbl.nhlbi.nih.gov/Databases/mpkFractions/proteomic_fractions_linear_files/Yang_linear_img/90403603.jpg","show blot")</f>
        <v>show blot</v>
      </c>
      <c r="J6028" s="5" t="s">
        <v>11841</v>
      </c>
      <c r="L6028" s="11">
        <v>2.088358937152496</v>
      </c>
      <c r="N6028" s="12"/>
    </row>
    <row r="6029" spans="1:14" s="5" customFormat="1" ht="15" customHeight="1" x14ac:dyDescent="0.25">
      <c r="A6029" s="9" t="s">
        <v>11842</v>
      </c>
      <c r="C6029" s="9" t="str">
        <f>HYPERLINK("http://www.ncbi.nlm.nih.gov/protein/115648048","Ptprf")</f>
        <v>Ptprf</v>
      </c>
      <c r="D6029" s="10">
        <f t="shared" si="94"/>
        <v>3.666847767937131</v>
      </c>
      <c r="F6029" s="8" t="str">
        <f>HYPERLINK("https://esbl.nhlbi.nih.gov/Databases/mpkFractions/proteomic_fractions_log_files/Yang_log_img/115648048.jpg","show blot")</f>
        <v>show blot</v>
      </c>
      <c r="H6029" s="8" t="str">
        <f>HYPERLINK("https://esbl.nhlbi.nih.gov/Databases/mpkFractions/proteomic_fractions_linear_files/Yang_linear_img/115648048.jpg","show blot")</f>
        <v>show blot</v>
      </c>
      <c r="J6029" s="5" t="s">
        <v>11843</v>
      </c>
      <c r="L6029" s="11">
        <v>3.666847767937131</v>
      </c>
      <c r="N6029" s="12"/>
    </row>
    <row r="6030" spans="1:14" s="5" customFormat="1" ht="15" customHeight="1" x14ac:dyDescent="0.25">
      <c r="A6030" s="9" t="s">
        <v>11844</v>
      </c>
      <c r="C6030" s="9" t="str">
        <f>HYPERLINK("http://www.ncbi.nlm.nih.gov/protein/208609939","Ptprj")</f>
        <v>Ptprj</v>
      </c>
      <c r="D6030" s="10">
        <f t="shared" si="94"/>
        <v>4.2631953526373891</v>
      </c>
      <c r="F6030" s="8" t="str">
        <f>HYPERLINK("https://esbl.nhlbi.nih.gov/Databases/mpkFractions/proteomic_fractions_log_files/Yang_log_img/208609939.jpg","show blot")</f>
        <v>show blot</v>
      </c>
      <c r="H6030" s="8" t="str">
        <f>HYPERLINK("https://esbl.nhlbi.nih.gov/Databases/mpkFractions/proteomic_fractions_linear_files/Yang_linear_img/208609939.jpg","show blot")</f>
        <v>show blot</v>
      </c>
      <c r="J6030" s="5" t="s">
        <v>11845</v>
      </c>
      <c r="L6030" s="11">
        <v>4.2631953526373891</v>
      </c>
      <c r="N6030" s="12"/>
    </row>
    <row r="6031" spans="1:14" s="5" customFormat="1" ht="15" customHeight="1" x14ac:dyDescent="0.25">
      <c r="A6031" s="9" t="s">
        <v>11846</v>
      </c>
      <c r="C6031" s="9" t="str">
        <f>HYPERLINK("http://www.ncbi.nlm.nih.gov/protein/208609941","Ptprj")</f>
        <v>Ptprj</v>
      </c>
      <c r="D6031" s="10">
        <f t="shared" si="94"/>
        <v>4.2631953526373891</v>
      </c>
      <c r="F6031" s="8" t="str">
        <f>HYPERLINK("https://esbl.nhlbi.nih.gov/Databases/mpkFractions/proteomic_fractions_log_files/Yang_log_img/208609941.jpg","show blot")</f>
        <v>show blot</v>
      </c>
      <c r="H6031" s="8" t="str">
        <f>HYPERLINK("https://esbl.nhlbi.nih.gov/Databases/mpkFractions/proteomic_fractions_linear_files/Yang_linear_img/208609941.jpg","show blot")</f>
        <v>show blot</v>
      </c>
      <c r="J6031" s="5" t="s">
        <v>11847</v>
      </c>
      <c r="L6031" s="11">
        <v>4.2631953526373891</v>
      </c>
      <c r="N6031" s="12"/>
    </row>
    <row r="6032" spans="1:14" s="5" customFormat="1" ht="15" customHeight="1" x14ac:dyDescent="0.25">
      <c r="A6032" s="9" t="s">
        <v>11848</v>
      </c>
      <c r="C6032" s="9" t="str">
        <f>HYPERLINK("http://www.ncbi.nlm.nih.gov/protein/6679561","Ptprk")</f>
        <v>Ptprk</v>
      </c>
      <c r="D6032" s="10">
        <f t="shared" si="94"/>
        <v>4.4121662735478031</v>
      </c>
      <c r="F6032" s="8" t="str">
        <f>HYPERLINK("https://esbl.nhlbi.nih.gov/Databases/mpkFractions/proteomic_fractions_log_files/Yang_log_img/6679561.jpg","show blot")</f>
        <v>show blot</v>
      </c>
      <c r="H6032" s="8" t="str">
        <f>HYPERLINK("https://esbl.nhlbi.nih.gov/Databases/mpkFractions/proteomic_fractions_linear_files/Yang_linear_img/6679561.jpg","show blot")</f>
        <v>show blot</v>
      </c>
      <c r="J6032" s="5" t="s">
        <v>11849</v>
      </c>
      <c r="L6032" s="11">
        <v>4.4121662735478031</v>
      </c>
      <c r="N6032" s="12"/>
    </row>
    <row r="6033" spans="1:14" s="5" customFormat="1" ht="15" customHeight="1" x14ac:dyDescent="0.25">
      <c r="A6033" s="9" t="s">
        <v>11850</v>
      </c>
      <c r="C6033" s="9" t="str">
        <f>HYPERLINK("http://www.ncbi.nlm.nih.gov/protein/226054321","Ptprm")</f>
        <v>Ptprm</v>
      </c>
      <c r="D6033" s="10">
        <f t="shared" si="94"/>
        <v>3.3171046541668221</v>
      </c>
      <c r="F6033" s="8" t="str">
        <f>HYPERLINK("https://esbl.nhlbi.nih.gov/Databases/mpkFractions/proteomic_fractions_log_files/Yang_log_img/226054321.jpg","show blot")</f>
        <v>show blot</v>
      </c>
      <c r="H6033" s="8" t="str">
        <f>HYPERLINK("https://esbl.nhlbi.nih.gov/Databases/mpkFractions/proteomic_fractions_linear_files/Yang_linear_img/226054321.jpg","show blot")</f>
        <v>show blot</v>
      </c>
      <c r="J6033" s="5" t="s">
        <v>11851</v>
      </c>
      <c r="L6033" s="11">
        <v>3.3171046541668221</v>
      </c>
      <c r="N6033" s="12"/>
    </row>
    <row r="6034" spans="1:14" s="5" customFormat="1" ht="15" customHeight="1" x14ac:dyDescent="0.25">
      <c r="A6034" s="9" t="s">
        <v>11852</v>
      </c>
      <c r="C6034" s="9" t="str">
        <f>HYPERLINK("http://www.ncbi.nlm.nih.gov/protein/257096040","Ptpro")</f>
        <v>Ptpro</v>
      </c>
      <c r="D6034" s="10">
        <f t="shared" si="94"/>
        <v>4.0423785981398774</v>
      </c>
      <c r="F6034" s="8" t="str">
        <f>HYPERLINK("https://esbl.nhlbi.nih.gov/Databases/mpkFractions/proteomic_fractions_log_files/Yang_log_img/257096040.jpg","show blot")</f>
        <v>show blot</v>
      </c>
      <c r="H6034" s="8" t="str">
        <f>HYPERLINK("https://esbl.nhlbi.nih.gov/Databases/mpkFractions/proteomic_fractions_linear_files/Yang_linear_img/257096040.jpg","show blot")</f>
        <v>show blot</v>
      </c>
      <c r="J6034" s="5" t="s">
        <v>11853</v>
      </c>
      <c r="L6034" s="11">
        <v>4.0423785981398774</v>
      </c>
      <c r="N6034" s="12"/>
    </row>
    <row r="6035" spans="1:14" s="5" customFormat="1" ht="15" customHeight="1" x14ac:dyDescent="0.25">
      <c r="A6035" s="9" t="s">
        <v>11854</v>
      </c>
      <c r="C6035" s="9" t="str">
        <f>HYPERLINK("http://www.ncbi.nlm.nih.gov/protein/257096042","Ptpro")</f>
        <v>Ptpro</v>
      </c>
      <c r="D6035" s="10">
        <f t="shared" si="94"/>
        <v>4.0423785981398774</v>
      </c>
      <c r="F6035" s="8" t="str">
        <f>HYPERLINK("https://esbl.nhlbi.nih.gov/Databases/mpkFractions/proteomic_fractions_log_files/Yang_log_img/257096042.jpg","show blot")</f>
        <v>show blot</v>
      </c>
      <c r="H6035" s="8" t="str">
        <f>HYPERLINK("https://esbl.nhlbi.nih.gov/Databases/mpkFractions/proteomic_fractions_linear_files/Yang_linear_img/257096042.jpg","show blot")</f>
        <v>show blot</v>
      </c>
      <c r="J6035" s="5" t="s">
        <v>11855</v>
      </c>
      <c r="L6035" s="11">
        <v>4.0423785981398774</v>
      </c>
      <c r="N6035" s="12"/>
    </row>
    <row r="6036" spans="1:14" s="5" customFormat="1" ht="15" customHeight="1" x14ac:dyDescent="0.25">
      <c r="A6036" s="9" t="s">
        <v>11856</v>
      </c>
      <c r="C6036" s="9" t="str">
        <f>HYPERLINK("http://www.ncbi.nlm.nih.gov/protein/257096044","Ptpro")</f>
        <v>Ptpro</v>
      </c>
      <c r="D6036" s="10">
        <f t="shared" si="94"/>
        <v>4.0423785981398774</v>
      </c>
      <c r="F6036" s="8" t="str">
        <f>HYPERLINK("https://esbl.nhlbi.nih.gov/Databases/mpkFractions/proteomic_fractions_log_files/Yang_log_img/257096044.jpg","show blot")</f>
        <v>show blot</v>
      </c>
      <c r="H6036" s="8" t="str">
        <f>HYPERLINK("https://esbl.nhlbi.nih.gov/Databases/mpkFractions/proteomic_fractions_linear_files/Yang_linear_img/257096044.jpg","show blot")</f>
        <v>show blot</v>
      </c>
      <c r="J6036" s="5" t="s">
        <v>11857</v>
      </c>
      <c r="L6036" s="11">
        <v>4.0423785981398774</v>
      </c>
      <c r="N6036" s="12"/>
    </row>
    <row r="6037" spans="1:14" s="5" customFormat="1" ht="15" customHeight="1" x14ac:dyDescent="0.25">
      <c r="A6037" s="9" t="s">
        <v>11858</v>
      </c>
      <c r="C6037" s="9" t="str">
        <f>HYPERLINK("http://www.ncbi.nlm.nih.gov/protein/257096046","Ptpro")</f>
        <v>Ptpro</v>
      </c>
      <c r="D6037" s="10">
        <f t="shared" si="94"/>
        <v>4.0423785981398774</v>
      </c>
      <c r="F6037" s="8" t="str">
        <f>HYPERLINK("https://esbl.nhlbi.nih.gov/Databases/mpkFractions/proteomic_fractions_log_files/Yang_log_img/257096046.jpg","show blot")</f>
        <v>show blot</v>
      </c>
      <c r="H6037" s="8" t="str">
        <f>HYPERLINK("https://esbl.nhlbi.nih.gov/Databases/mpkFractions/proteomic_fractions_linear_files/Yang_linear_img/257096046.jpg","show blot")</f>
        <v>show blot</v>
      </c>
      <c r="J6037" s="5" t="s">
        <v>11859</v>
      </c>
      <c r="L6037" s="11">
        <v>4.0423785981398774</v>
      </c>
      <c r="N6037" s="12"/>
    </row>
    <row r="6038" spans="1:14" s="5" customFormat="1" ht="15" customHeight="1" x14ac:dyDescent="0.25">
      <c r="A6038" s="9" t="s">
        <v>11860</v>
      </c>
      <c r="C6038" s="9" t="str">
        <f>HYPERLINK("http://www.ncbi.nlm.nih.gov/protein/6679567","Ptrf")</f>
        <v>Ptrf</v>
      </c>
      <c r="D6038" s="10">
        <f t="shared" si="94"/>
        <v>5.1639041599092561</v>
      </c>
      <c r="F6038" s="8" t="str">
        <f>HYPERLINK("https://esbl.nhlbi.nih.gov/Databases/mpkFractions/proteomic_fractions_log_files/Yang_log_img/6679567.jpg","show blot")</f>
        <v>show blot</v>
      </c>
      <c r="H6038" s="8" t="str">
        <f>HYPERLINK("https://esbl.nhlbi.nih.gov/Databases/mpkFractions/proteomic_fractions_linear_files/Yang_linear_img/6679567.jpg","show blot")</f>
        <v>show blot</v>
      </c>
      <c r="J6038" s="5" t="s">
        <v>11861</v>
      </c>
      <c r="L6038" s="11">
        <v>5.1639041599092561</v>
      </c>
      <c r="N6038" s="12"/>
    </row>
    <row r="6039" spans="1:14" s="5" customFormat="1" ht="15" customHeight="1" x14ac:dyDescent="0.25">
      <c r="A6039" s="9" t="s">
        <v>11862</v>
      </c>
      <c r="C6039" s="9" t="str">
        <f>HYPERLINK("http://www.ncbi.nlm.nih.gov/protein/149363634","Ptrh2")</f>
        <v>Ptrh2</v>
      </c>
      <c r="D6039" s="10">
        <f t="shared" si="94"/>
        <v>5.648348644399686</v>
      </c>
      <c r="F6039" s="8" t="str">
        <f>HYPERLINK("https://esbl.nhlbi.nih.gov/Databases/mpkFractions/proteomic_fractions_log_files/Yang_log_img/149363634.jpg","show blot")</f>
        <v>show blot</v>
      </c>
      <c r="H6039" s="8" t="str">
        <f>HYPERLINK("https://esbl.nhlbi.nih.gov/Databases/mpkFractions/proteomic_fractions_linear_files/Yang_linear_img/149363634.jpg","show blot")</f>
        <v>show blot</v>
      </c>
      <c r="J6039" s="5" t="s">
        <v>11863</v>
      </c>
      <c r="L6039" s="11">
        <v>5.648348644399686</v>
      </c>
      <c r="N6039" s="12"/>
    </row>
    <row r="6040" spans="1:14" s="5" customFormat="1" ht="15" customHeight="1" x14ac:dyDescent="0.25">
      <c r="A6040" s="9" t="s">
        <v>11864</v>
      </c>
      <c r="C6040" s="9" t="str">
        <f>HYPERLINK("http://www.ncbi.nlm.nih.gov/protein/33239415","Ptrh2")</f>
        <v>Ptrh2</v>
      </c>
      <c r="D6040" s="10">
        <f t="shared" si="94"/>
        <v>5.648348644399686</v>
      </c>
      <c r="F6040" s="8" t="str">
        <f>HYPERLINK("https://esbl.nhlbi.nih.gov/Databases/mpkFractions/proteomic_fractions_log_files/Yang_log_img/33239415.jpg","show blot")</f>
        <v>show blot</v>
      </c>
      <c r="H6040" s="8" t="str">
        <f>HYPERLINK("https://esbl.nhlbi.nih.gov/Databases/mpkFractions/proteomic_fractions_linear_files/Yang_linear_img/33239415.jpg","show blot")</f>
        <v>show blot</v>
      </c>
      <c r="J6040" s="5" t="s">
        <v>11865</v>
      </c>
      <c r="L6040" s="11">
        <v>5.648348644399686</v>
      </c>
      <c r="N6040" s="12"/>
    </row>
    <row r="6041" spans="1:14" s="5" customFormat="1" ht="15" customHeight="1" x14ac:dyDescent="0.25">
      <c r="A6041" s="9" t="s">
        <v>11866</v>
      </c>
      <c r="C6041" s="9" t="str">
        <f>HYPERLINK("http://www.ncbi.nlm.nih.gov/protein/325995166","Ptrhd1")</f>
        <v>Ptrhd1</v>
      </c>
      <c r="D6041" s="10">
        <f t="shared" si="94"/>
        <v>4.5284555386907828</v>
      </c>
      <c r="F6041" s="8" t="str">
        <f>HYPERLINK("https://esbl.nhlbi.nih.gov/Databases/mpkFractions/proteomic_fractions_log_files/Yang_log_img/325995166.jpg","show blot")</f>
        <v>show blot</v>
      </c>
      <c r="H6041" s="8" t="str">
        <f>HYPERLINK("https://esbl.nhlbi.nih.gov/Databases/mpkFractions/proteomic_fractions_linear_files/Yang_linear_img/325995166.jpg","show blot")</f>
        <v>show blot</v>
      </c>
      <c r="J6041" s="5" t="s">
        <v>11867</v>
      </c>
      <c r="L6041" s="11">
        <v>4.5284555386907828</v>
      </c>
      <c r="N6041" s="12"/>
    </row>
    <row r="6042" spans="1:14" s="5" customFormat="1" ht="15" customHeight="1" x14ac:dyDescent="0.25">
      <c r="A6042" s="9" t="s">
        <v>11868</v>
      </c>
      <c r="C6042" s="9" t="str">
        <f>HYPERLINK("http://www.ncbi.nlm.nih.gov/protein/7110709","Pts")</f>
        <v>Pts</v>
      </c>
      <c r="D6042" s="10">
        <f t="shared" si="94"/>
        <v>5.6293344984869824</v>
      </c>
      <c r="F6042" s="8" t="str">
        <f>HYPERLINK("https://esbl.nhlbi.nih.gov/Databases/mpkFractions/proteomic_fractions_log_files/Yang_log_img/7110709.jpg","show blot")</f>
        <v>show blot</v>
      </c>
      <c r="H6042" s="8" t="str">
        <f>HYPERLINK("https://esbl.nhlbi.nih.gov/Databases/mpkFractions/proteomic_fractions_linear_files/Yang_linear_img/7110709.jpg","show blot")</f>
        <v>show blot</v>
      </c>
      <c r="J6042" s="5" t="s">
        <v>11869</v>
      </c>
      <c r="L6042" s="11">
        <v>5.6293344984869824</v>
      </c>
      <c r="N6042" s="12"/>
    </row>
    <row r="6043" spans="1:14" s="5" customFormat="1" ht="15" customHeight="1" x14ac:dyDescent="0.25">
      <c r="A6043" s="9" t="s">
        <v>11870</v>
      </c>
      <c r="C6043" s="9" t="str">
        <f>HYPERLINK("http://www.ncbi.nlm.nih.gov/protein/22122339","Pttg1ip")</f>
        <v>Pttg1ip</v>
      </c>
      <c r="D6043" s="10">
        <f t="shared" si="94"/>
        <v>5.7835586238912029</v>
      </c>
      <c r="F6043" s="8" t="str">
        <f>HYPERLINK("https://esbl.nhlbi.nih.gov/Databases/mpkFractions/proteomic_fractions_log_files/Yang_log_img/22122339.jpg","show blot")</f>
        <v>show blot</v>
      </c>
      <c r="H6043" s="8" t="str">
        <f>HYPERLINK("https://esbl.nhlbi.nih.gov/Databases/mpkFractions/proteomic_fractions_linear_files/Yang_linear_img/22122339.jpg","show blot")</f>
        <v>show blot</v>
      </c>
      <c r="J6043" s="5" t="s">
        <v>11871</v>
      </c>
      <c r="L6043" s="11">
        <v>5.7835586238912029</v>
      </c>
      <c r="N6043" s="12"/>
    </row>
    <row r="6044" spans="1:14" s="5" customFormat="1" ht="15" customHeight="1" x14ac:dyDescent="0.25">
      <c r="A6044" s="9" t="s">
        <v>11872</v>
      </c>
      <c r="C6044" s="9" t="str">
        <f>HYPERLINK("http://www.ncbi.nlm.nih.gov/protein/257196183","Puf60")</f>
        <v>Puf60</v>
      </c>
      <c r="D6044" s="10">
        <f t="shared" si="94"/>
        <v>5.6175383436040072</v>
      </c>
      <c r="F6044" s="8" t="str">
        <f>HYPERLINK("https://esbl.nhlbi.nih.gov/Databases/mpkFractions/proteomic_fractions_log_files/Yang_log_img/257196183.jpg","show blot")</f>
        <v>show blot</v>
      </c>
      <c r="H6044" s="8" t="str">
        <f>HYPERLINK("https://esbl.nhlbi.nih.gov/Databases/mpkFractions/proteomic_fractions_linear_files/Yang_linear_img/257196183.jpg","show blot")</f>
        <v>show blot</v>
      </c>
      <c r="J6044" s="5" t="s">
        <v>11873</v>
      </c>
      <c r="L6044" s="11">
        <v>5.6175383436040072</v>
      </c>
      <c r="N6044" s="12"/>
    </row>
    <row r="6045" spans="1:14" s="5" customFormat="1" ht="15" customHeight="1" x14ac:dyDescent="0.25">
      <c r="A6045" s="9" t="s">
        <v>11874</v>
      </c>
      <c r="C6045" s="9" t="str">
        <f>HYPERLINK("http://www.ncbi.nlm.nih.gov/protein/257196186","Puf60")</f>
        <v>Puf60</v>
      </c>
      <c r="D6045" s="10">
        <f t="shared" si="94"/>
        <v>5.6175383436040072</v>
      </c>
      <c r="F6045" s="8" t="str">
        <f>HYPERLINK("https://esbl.nhlbi.nih.gov/Databases/mpkFractions/proteomic_fractions_log_files/Yang_log_img/257196186.jpg","show blot")</f>
        <v>show blot</v>
      </c>
      <c r="H6045" s="8" t="str">
        <f>HYPERLINK("https://esbl.nhlbi.nih.gov/Databases/mpkFractions/proteomic_fractions_linear_files/Yang_linear_img/257196186.jpg","show blot")</f>
        <v>show blot</v>
      </c>
      <c r="J6045" s="5" t="s">
        <v>11875</v>
      </c>
      <c r="L6045" s="11">
        <v>5.6175383436040072</v>
      </c>
      <c r="N6045" s="12"/>
    </row>
    <row r="6046" spans="1:14" s="5" customFormat="1" ht="15" customHeight="1" x14ac:dyDescent="0.25">
      <c r="A6046" s="9" t="s">
        <v>11876</v>
      </c>
      <c r="C6046" s="9" t="str">
        <f>HYPERLINK("http://www.ncbi.nlm.nih.gov/protein/76677895","Puf60")</f>
        <v>Puf60</v>
      </c>
      <c r="D6046" s="10">
        <f t="shared" si="94"/>
        <v>5.6175383436040072</v>
      </c>
      <c r="F6046" s="8" t="str">
        <f>HYPERLINK("https://esbl.nhlbi.nih.gov/Databases/mpkFractions/proteomic_fractions_log_files/Yang_log_img/76677895.jpg","show blot")</f>
        <v>show blot</v>
      </c>
      <c r="H6046" s="8" t="str">
        <f>HYPERLINK("https://esbl.nhlbi.nih.gov/Databases/mpkFractions/proteomic_fractions_linear_files/Yang_linear_img/76677895.jpg","show blot")</f>
        <v>show blot</v>
      </c>
      <c r="J6046" s="5" t="s">
        <v>11877</v>
      </c>
      <c r="L6046" s="11">
        <v>5.6175383436040072</v>
      </c>
      <c r="N6046" s="12"/>
    </row>
    <row r="6047" spans="1:14" s="5" customFormat="1" ht="15" customHeight="1" x14ac:dyDescent="0.25">
      <c r="A6047" s="9" t="s">
        <v>11878</v>
      </c>
      <c r="C6047" s="9" t="str">
        <f>HYPERLINK("http://www.ncbi.nlm.nih.gov/protein/227430380","Pum1")</f>
        <v>Pum1</v>
      </c>
      <c r="D6047" s="10">
        <f t="shared" si="94"/>
        <v>3.8748694034329598</v>
      </c>
      <c r="F6047" s="8" t="str">
        <f>HYPERLINK("https://esbl.nhlbi.nih.gov/Databases/mpkFractions/proteomic_fractions_log_files/Yang_log_img/227430380.jpg","show blot")</f>
        <v>show blot</v>
      </c>
      <c r="H6047" s="8" t="str">
        <f>HYPERLINK("https://esbl.nhlbi.nih.gov/Databases/mpkFractions/proteomic_fractions_linear_files/Yang_linear_img/227430380.jpg","show blot")</f>
        <v>show blot</v>
      </c>
      <c r="J6047" s="5" t="s">
        <v>11879</v>
      </c>
      <c r="L6047" s="11">
        <v>3.8748694034329598</v>
      </c>
      <c r="N6047" s="12"/>
    </row>
    <row r="6048" spans="1:14" s="5" customFormat="1" ht="15" customHeight="1" x14ac:dyDescent="0.25">
      <c r="A6048" s="9" t="s">
        <v>11880</v>
      </c>
      <c r="C6048" s="9" t="str">
        <f>HYPERLINK("http://www.ncbi.nlm.nih.gov/protein/227430382","Pum1")</f>
        <v>Pum1</v>
      </c>
      <c r="D6048" s="10">
        <f t="shared" si="94"/>
        <v>3.8748694034329598</v>
      </c>
      <c r="F6048" s="8" t="str">
        <f>HYPERLINK("https://esbl.nhlbi.nih.gov/Databases/mpkFractions/proteomic_fractions_log_files/Yang_log_img/227430382.jpg","show blot")</f>
        <v>show blot</v>
      </c>
      <c r="H6048" s="8" t="str">
        <f>HYPERLINK("https://esbl.nhlbi.nih.gov/Databases/mpkFractions/proteomic_fractions_linear_files/Yang_linear_img/227430382.jpg","show blot")</f>
        <v>show blot</v>
      </c>
      <c r="J6048" s="5" t="s">
        <v>11881</v>
      </c>
      <c r="L6048" s="11">
        <v>3.8748694034329598</v>
      </c>
      <c r="N6048" s="12"/>
    </row>
    <row r="6049" spans="1:14" s="5" customFormat="1" ht="15" customHeight="1" x14ac:dyDescent="0.25">
      <c r="A6049" s="9" t="s">
        <v>11882</v>
      </c>
      <c r="C6049" s="9" t="str">
        <f>HYPERLINK("http://www.ncbi.nlm.nih.gov/protein/227430384","Pum1")</f>
        <v>Pum1</v>
      </c>
      <c r="D6049" s="10">
        <f t="shared" si="94"/>
        <v>3.8748694034329598</v>
      </c>
      <c r="F6049" s="8" t="str">
        <f>HYPERLINK("https://esbl.nhlbi.nih.gov/Databases/mpkFractions/proteomic_fractions_log_files/Yang_log_img/227430384.jpg","show blot")</f>
        <v>show blot</v>
      </c>
      <c r="H6049" s="8" t="str">
        <f>HYPERLINK("https://esbl.nhlbi.nih.gov/Databases/mpkFractions/proteomic_fractions_linear_files/Yang_linear_img/227430384.jpg","show blot")</f>
        <v>show blot</v>
      </c>
      <c r="J6049" s="5" t="s">
        <v>11883</v>
      </c>
      <c r="L6049" s="11">
        <v>3.8748694034329598</v>
      </c>
      <c r="N6049" s="12"/>
    </row>
    <row r="6050" spans="1:14" s="5" customFormat="1" ht="15" customHeight="1" x14ac:dyDescent="0.25">
      <c r="A6050" s="9" t="s">
        <v>11884</v>
      </c>
      <c r="C6050" s="9" t="str">
        <f>HYPERLINK("http://www.ncbi.nlm.nih.gov/protein/227430386","Pum1")</f>
        <v>Pum1</v>
      </c>
      <c r="D6050" s="10">
        <f t="shared" si="94"/>
        <v>3.8748694034329598</v>
      </c>
      <c r="F6050" s="8" t="str">
        <f>HYPERLINK("https://esbl.nhlbi.nih.gov/Databases/mpkFractions/proteomic_fractions_log_files/Yang_log_img/227430386.jpg","show blot")</f>
        <v>show blot</v>
      </c>
      <c r="H6050" s="8" t="str">
        <f>HYPERLINK("https://esbl.nhlbi.nih.gov/Databases/mpkFractions/proteomic_fractions_linear_files/Yang_linear_img/227430386.jpg","show blot")</f>
        <v>show blot</v>
      </c>
      <c r="J6050" s="5" t="s">
        <v>11885</v>
      </c>
      <c r="L6050" s="11">
        <v>3.8748694034329598</v>
      </c>
      <c r="N6050" s="12"/>
    </row>
    <row r="6051" spans="1:14" s="5" customFormat="1" ht="15" customHeight="1" x14ac:dyDescent="0.25">
      <c r="A6051" s="9" t="s">
        <v>11886</v>
      </c>
      <c r="C6051" s="9" t="str">
        <f>HYPERLINK("http://www.ncbi.nlm.nih.gov/protein/227430388","Pum1")</f>
        <v>Pum1</v>
      </c>
      <c r="D6051" s="10">
        <f t="shared" si="94"/>
        <v>3.8748694034329598</v>
      </c>
      <c r="F6051" s="8" t="str">
        <f>HYPERLINK("https://esbl.nhlbi.nih.gov/Databases/mpkFractions/proteomic_fractions_log_files/Yang_log_img/227430388.jpg","show blot")</f>
        <v>show blot</v>
      </c>
      <c r="H6051" s="8" t="str">
        <f>HYPERLINK("https://esbl.nhlbi.nih.gov/Databases/mpkFractions/proteomic_fractions_linear_files/Yang_linear_img/227430388.jpg","show blot")</f>
        <v>show blot</v>
      </c>
      <c r="J6051" s="5" t="s">
        <v>11887</v>
      </c>
      <c r="L6051" s="11">
        <v>3.8748694034329598</v>
      </c>
      <c r="N6051" s="12"/>
    </row>
    <row r="6052" spans="1:14" s="5" customFormat="1" ht="15" customHeight="1" x14ac:dyDescent="0.25">
      <c r="A6052" s="9" t="s">
        <v>11888</v>
      </c>
      <c r="C6052" s="9" t="str">
        <f>HYPERLINK("http://www.ncbi.nlm.nih.gov/protein/237649081;237649070","Pum2")</f>
        <v>Pum2</v>
      </c>
      <c r="D6052" s="10">
        <f t="shared" si="94"/>
        <v>4.3687132320175524</v>
      </c>
      <c r="F6052" s="8" t="str">
        <f>HYPERLINK("https://esbl.nhlbi.nih.gov/Databases/mpkFractions/proteomic_fractions_log_files/Yang_log_img/237649081;237649070.jpg","show blot")</f>
        <v>show blot</v>
      </c>
      <c r="H6052" s="8" t="str">
        <f>HYPERLINK("https://esbl.nhlbi.nih.gov/Databases/mpkFractions/proteomic_fractions_linear_files/Yang_linear_img/237649081;237649070.jpg","show blot")</f>
        <v>show blot</v>
      </c>
      <c r="J6052" s="5" t="s">
        <v>11889</v>
      </c>
      <c r="L6052" s="11">
        <v>4.3687132320175524</v>
      </c>
      <c r="N6052" s="12"/>
    </row>
    <row r="6053" spans="1:14" s="5" customFormat="1" ht="15" customHeight="1" x14ac:dyDescent="0.25">
      <c r="A6053" s="9" t="s">
        <v>11890</v>
      </c>
      <c r="C6053" s="9" t="str">
        <f>HYPERLINK("http://www.ncbi.nlm.nih.gov/protein/237649085;237649083","Pum2")</f>
        <v>Pum2</v>
      </c>
      <c r="D6053" s="10">
        <f t="shared" si="94"/>
        <v>4.3687132320175524</v>
      </c>
      <c r="F6053" s="8" t="str">
        <f>HYPERLINK("https://esbl.nhlbi.nih.gov/Databases/mpkFractions/proteomic_fractions_log_files/Yang_log_img/237649085;237649083.jpg","show blot")</f>
        <v>show blot</v>
      </c>
      <c r="H6053" s="8" t="str">
        <f>HYPERLINK("https://esbl.nhlbi.nih.gov/Databases/mpkFractions/proteomic_fractions_linear_files/Yang_linear_img/237649085;237649083.jpg","show blot")</f>
        <v>show blot</v>
      </c>
      <c r="J6053" s="5" t="s">
        <v>11891</v>
      </c>
      <c r="L6053" s="11">
        <v>4.3687132320175524</v>
      </c>
      <c r="N6053" s="12"/>
    </row>
    <row r="6054" spans="1:14" s="5" customFormat="1" ht="15" customHeight="1" x14ac:dyDescent="0.25">
      <c r="A6054" s="9" t="s">
        <v>11892</v>
      </c>
      <c r="C6054" s="9" t="str">
        <f>HYPERLINK("http://www.ncbi.nlm.nih.gov/protein/237649087","Pum2")</f>
        <v>Pum2</v>
      </c>
      <c r="D6054" s="10">
        <f t="shared" si="94"/>
        <v>4.3687132320175524</v>
      </c>
      <c r="F6054" s="8" t="str">
        <f>HYPERLINK("https://esbl.nhlbi.nih.gov/Databases/mpkFractions/proteomic_fractions_log_files/Yang_log_img/237649087.jpg","show blot")</f>
        <v>show blot</v>
      </c>
      <c r="H6054" s="8" t="str">
        <f>HYPERLINK("https://esbl.nhlbi.nih.gov/Databases/mpkFractions/proteomic_fractions_linear_files/Yang_linear_img/237649087.jpg","show blot")</f>
        <v>show blot</v>
      </c>
      <c r="J6054" s="5" t="s">
        <v>11893</v>
      </c>
      <c r="L6054" s="11">
        <v>4.3687132320175524</v>
      </c>
      <c r="N6054" s="12"/>
    </row>
    <row r="6055" spans="1:14" s="5" customFormat="1" ht="15" customHeight="1" x14ac:dyDescent="0.25">
      <c r="A6055" s="9" t="s">
        <v>11894</v>
      </c>
      <c r="C6055" s="9" t="str">
        <f>HYPERLINK("http://www.ncbi.nlm.nih.gov/protein/6679573","Pura")</f>
        <v>Pura</v>
      </c>
      <c r="D6055" s="10">
        <f t="shared" si="94"/>
        <v>5.2564871666283564</v>
      </c>
      <c r="F6055" s="8" t="str">
        <f>HYPERLINK("https://esbl.nhlbi.nih.gov/Databases/mpkFractions/proteomic_fractions_log_files/Yang_log_img/6679573.jpg","show blot")</f>
        <v>show blot</v>
      </c>
      <c r="H6055" s="8" t="str">
        <f>HYPERLINK("https://esbl.nhlbi.nih.gov/Databases/mpkFractions/proteomic_fractions_linear_files/Yang_linear_img/6679573.jpg","show blot")</f>
        <v>show blot</v>
      </c>
      <c r="J6055" s="5" t="s">
        <v>11895</v>
      </c>
      <c r="L6055" s="11">
        <v>5.2564871666283564</v>
      </c>
      <c r="N6055" s="12"/>
    </row>
    <row r="6056" spans="1:14" s="5" customFormat="1" ht="15" customHeight="1" x14ac:dyDescent="0.25">
      <c r="A6056" s="9" t="s">
        <v>11896</v>
      </c>
      <c r="C6056" s="9" t="str">
        <f>HYPERLINK("http://www.ncbi.nlm.nih.gov/protein/6755252","Purb")</f>
        <v>Purb</v>
      </c>
      <c r="D6056" s="10">
        <f t="shared" si="94"/>
        <v>6.0592718662727876</v>
      </c>
      <c r="F6056" s="8" t="str">
        <f>HYPERLINK("https://esbl.nhlbi.nih.gov/Databases/mpkFractions/proteomic_fractions_log_files/Yang_log_img/6755252.jpg","show blot")</f>
        <v>show blot</v>
      </c>
      <c r="H6056" s="8" t="str">
        <f>HYPERLINK("https://esbl.nhlbi.nih.gov/Databases/mpkFractions/proteomic_fractions_linear_files/Yang_linear_img/6755252.jpg","show blot")</f>
        <v>show blot</v>
      </c>
      <c r="J6056" s="5" t="s">
        <v>11897</v>
      </c>
      <c r="L6056" s="11">
        <v>6.0592718662727876</v>
      </c>
      <c r="N6056" s="12"/>
    </row>
    <row r="6057" spans="1:14" s="5" customFormat="1" ht="15" customHeight="1" x14ac:dyDescent="0.25">
      <c r="A6057" s="9" t="s">
        <v>11898</v>
      </c>
      <c r="C6057" s="9" t="str">
        <f>HYPERLINK("http://www.ncbi.nlm.nih.gov/protein/70906468","Pus1")</f>
        <v>Pus1</v>
      </c>
      <c r="D6057" s="10">
        <f t="shared" si="94"/>
        <v>5.1264025639343149</v>
      </c>
      <c r="F6057" s="8" t="str">
        <f>HYPERLINK("https://esbl.nhlbi.nih.gov/Databases/mpkFractions/proteomic_fractions_log_files/Yang_log_img/70906468.jpg","show blot")</f>
        <v>show blot</v>
      </c>
      <c r="H6057" s="8" t="str">
        <f>HYPERLINK("https://esbl.nhlbi.nih.gov/Databases/mpkFractions/proteomic_fractions_linear_files/Yang_linear_img/70906468.jpg","show blot")</f>
        <v>show blot</v>
      </c>
      <c r="J6057" s="5" t="s">
        <v>11899</v>
      </c>
      <c r="L6057" s="11">
        <v>5.1264025639343149</v>
      </c>
      <c r="N6057" s="12"/>
    </row>
    <row r="6058" spans="1:14" s="5" customFormat="1" ht="15" customHeight="1" x14ac:dyDescent="0.25">
      <c r="A6058" s="9" t="s">
        <v>11900</v>
      </c>
      <c r="C6058" s="9" t="str">
        <f>HYPERLINK("http://www.ncbi.nlm.nih.gov/protein/70906470","Pus1")</f>
        <v>Pus1</v>
      </c>
      <c r="D6058" s="10">
        <f t="shared" si="94"/>
        <v>5.1264025639343149</v>
      </c>
      <c r="F6058" s="8" t="str">
        <f>HYPERLINK("https://esbl.nhlbi.nih.gov/Databases/mpkFractions/proteomic_fractions_log_files/Yang_log_img/70906470.jpg","show blot")</f>
        <v>show blot</v>
      </c>
      <c r="H6058" s="8" t="str">
        <f>HYPERLINK("https://esbl.nhlbi.nih.gov/Databases/mpkFractions/proteomic_fractions_linear_files/Yang_linear_img/70906470.jpg","show blot")</f>
        <v>show blot</v>
      </c>
      <c r="J6058" s="5" t="s">
        <v>11901</v>
      </c>
      <c r="L6058" s="11">
        <v>5.1264025639343149</v>
      </c>
      <c r="N6058" s="12"/>
    </row>
    <row r="6059" spans="1:14" s="5" customFormat="1" ht="15" customHeight="1" x14ac:dyDescent="0.25">
      <c r="A6059" s="9" t="s">
        <v>11902</v>
      </c>
      <c r="C6059" s="9" t="str">
        <f>HYPERLINK("http://www.ncbi.nlm.nih.gov/protein/70906472","Pus1")</f>
        <v>Pus1</v>
      </c>
      <c r="D6059" s="10">
        <f t="shared" si="94"/>
        <v>5.1264025639343149</v>
      </c>
      <c r="F6059" s="8" t="str">
        <f>HYPERLINK("https://esbl.nhlbi.nih.gov/Databases/mpkFractions/proteomic_fractions_log_files/Yang_log_img/70906472.jpg","show blot")</f>
        <v>show blot</v>
      </c>
      <c r="H6059" s="8" t="str">
        <f>HYPERLINK("https://esbl.nhlbi.nih.gov/Databases/mpkFractions/proteomic_fractions_linear_files/Yang_linear_img/70906472.jpg","show blot")</f>
        <v>show blot</v>
      </c>
      <c r="J6059" s="5" t="s">
        <v>11903</v>
      </c>
      <c r="L6059" s="11">
        <v>5.1264025639343149</v>
      </c>
      <c r="N6059" s="12"/>
    </row>
    <row r="6060" spans="1:14" s="5" customFormat="1" ht="15" customHeight="1" x14ac:dyDescent="0.25">
      <c r="A6060" s="9" t="s">
        <v>11904</v>
      </c>
      <c r="C6060" s="9" t="str">
        <f>HYPERLINK("http://www.ncbi.nlm.nih.gov/protein/68342034","Pus10")</f>
        <v>Pus10</v>
      </c>
      <c r="D6060" s="10">
        <f t="shared" si="94"/>
        <v>3.8366869007490849</v>
      </c>
      <c r="F6060" s="8" t="str">
        <f>HYPERLINK("https://esbl.nhlbi.nih.gov/Databases/mpkFractions/proteomic_fractions_log_files/Yang_log_img/68342034.jpg","show blot")</f>
        <v>show blot</v>
      </c>
      <c r="H6060" s="8" t="str">
        <f>HYPERLINK("https://esbl.nhlbi.nih.gov/Databases/mpkFractions/proteomic_fractions_linear_files/Yang_linear_img/68342034.jpg","show blot")</f>
        <v>show blot</v>
      </c>
      <c r="J6060" s="5" t="s">
        <v>11905</v>
      </c>
      <c r="L6060" s="11">
        <v>3.8366869007490849</v>
      </c>
      <c r="N6060" s="12"/>
    </row>
    <row r="6061" spans="1:14" s="5" customFormat="1" ht="15" customHeight="1" x14ac:dyDescent="0.25">
      <c r="A6061" s="9" t="s">
        <v>11906</v>
      </c>
      <c r="C6061" s="9" t="str">
        <f>HYPERLINK("http://www.ncbi.nlm.nih.gov/protein/89111935","Pus7")</f>
        <v>Pus7</v>
      </c>
      <c r="D6061" s="10">
        <f t="shared" si="94"/>
        <v>5.0889506838311487</v>
      </c>
      <c r="F6061" s="8" t="str">
        <f>HYPERLINK("https://esbl.nhlbi.nih.gov/Databases/mpkFractions/proteomic_fractions_log_files/Yang_log_img/89111935.jpg","show blot")</f>
        <v>show blot</v>
      </c>
      <c r="H6061" s="8" t="str">
        <f>HYPERLINK("https://esbl.nhlbi.nih.gov/Databases/mpkFractions/proteomic_fractions_linear_files/Yang_linear_img/89111935.jpg","show blot")</f>
        <v>show blot</v>
      </c>
      <c r="J6061" s="5" t="s">
        <v>11907</v>
      </c>
      <c r="L6061" s="11">
        <v>5.0889506838311487</v>
      </c>
      <c r="N6061" s="12"/>
    </row>
    <row r="6062" spans="1:14" s="5" customFormat="1" ht="15" customHeight="1" x14ac:dyDescent="0.25">
      <c r="A6062" s="9" t="s">
        <v>11908</v>
      </c>
      <c r="C6062" s="9" t="str">
        <f>HYPERLINK("http://www.ncbi.nlm.nih.gov/protein/27369583","Pus7l")</f>
        <v>Pus7l</v>
      </c>
      <c r="D6062" s="10">
        <f t="shared" si="94"/>
        <v>3.7241230542586168</v>
      </c>
      <c r="F6062" s="8" t="str">
        <f>HYPERLINK("https://esbl.nhlbi.nih.gov/Databases/mpkFractions/proteomic_fractions_log_files/Yang_log_img/27369583.jpg","show blot")</f>
        <v>show blot</v>
      </c>
      <c r="H6062" s="8" t="str">
        <f>HYPERLINK("https://esbl.nhlbi.nih.gov/Databases/mpkFractions/proteomic_fractions_linear_files/Yang_linear_img/27369583.jpg","show blot")</f>
        <v>show blot</v>
      </c>
      <c r="J6062" s="5" t="s">
        <v>11909</v>
      </c>
      <c r="L6062" s="11">
        <v>3.7241230542586168</v>
      </c>
      <c r="N6062" s="12"/>
    </row>
    <row r="6063" spans="1:14" s="5" customFormat="1" ht="15" customHeight="1" x14ac:dyDescent="0.25">
      <c r="A6063" s="9" t="s">
        <v>11910</v>
      </c>
      <c r="C6063" s="9" t="str">
        <f>HYPERLINK("http://www.ncbi.nlm.nih.gov/protein/241896974","Pusl1")</f>
        <v>Pusl1</v>
      </c>
      <c r="D6063" s="10">
        <f t="shared" si="94"/>
        <v>2.6328565839940561</v>
      </c>
      <c r="F6063" s="8" t="str">
        <f>HYPERLINK("https://esbl.nhlbi.nih.gov/Databases/mpkFractions/proteomic_fractions_log_files/Yang_log_img/241896974.jpg","show blot")</f>
        <v>show blot</v>
      </c>
      <c r="H6063" s="8" t="str">
        <f>HYPERLINK("https://esbl.nhlbi.nih.gov/Databases/mpkFractions/proteomic_fractions_linear_files/Yang_linear_img/241896974.jpg","show blot")</f>
        <v>show blot</v>
      </c>
      <c r="J6063" s="5" t="s">
        <v>11911</v>
      </c>
      <c r="L6063" s="11">
        <v>2.6328565839940561</v>
      </c>
      <c r="N6063" s="12"/>
    </row>
    <row r="6064" spans="1:14" s="5" customFormat="1" ht="15" customHeight="1" x14ac:dyDescent="0.25">
      <c r="A6064" s="9" t="s">
        <v>11912</v>
      </c>
      <c r="C6064" s="9" t="str">
        <f>HYPERLINK("http://www.ncbi.nlm.nih.gov/protein/228480273","Pvrl2")</f>
        <v>Pvrl2</v>
      </c>
      <c r="D6064" s="10">
        <f t="shared" si="94"/>
        <v>1.9004628241710879</v>
      </c>
      <c r="F6064" s="8" t="str">
        <f>HYPERLINK("https://esbl.nhlbi.nih.gov/Databases/mpkFractions/proteomic_fractions_log_files/Yang_log_img/228480273.jpg","show blot")</f>
        <v>show blot</v>
      </c>
      <c r="H6064" s="8" t="str">
        <f>HYPERLINK("https://esbl.nhlbi.nih.gov/Databases/mpkFractions/proteomic_fractions_linear_files/Yang_linear_img/228480273.jpg","show blot")</f>
        <v>show blot</v>
      </c>
      <c r="J6064" s="5" t="s">
        <v>11913</v>
      </c>
      <c r="L6064" s="11">
        <v>1.9004628241710879</v>
      </c>
      <c r="N6064" s="12"/>
    </row>
    <row r="6065" spans="1:14" s="5" customFormat="1" ht="15" customHeight="1" x14ac:dyDescent="0.25">
      <c r="A6065" s="9" t="s">
        <v>11914</v>
      </c>
      <c r="C6065" s="9" t="str">
        <f>HYPERLINK("http://www.ncbi.nlm.nih.gov/protein/170014682","Pvrl4")</f>
        <v>Pvrl4</v>
      </c>
      <c r="D6065" s="10">
        <f t="shared" si="94"/>
        <v>3.871913244873884</v>
      </c>
      <c r="F6065" s="8" t="str">
        <f>HYPERLINK("https://esbl.nhlbi.nih.gov/Databases/mpkFractions/proteomic_fractions_log_files/Yang_log_img/170014682.jpg","show blot")</f>
        <v>show blot</v>
      </c>
      <c r="H6065" s="8" t="str">
        <f>HYPERLINK("https://esbl.nhlbi.nih.gov/Databases/mpkFractions/proteomic_fractions_linear_files/Yang_linear_img/170014682.jpg","show blot")</f>
        <v>show blot</v>
      </c>
      <c r="J6065" s="5" t="s">
        <v>11915</v>
      </c>
      <c r="L6065" s="11">
        <v>3.871913244873884</v>
      </c>
      <c r="N6065" s="12"/>
    </row>
    <row r="6066" spans="1:14" s="5" customFormat="1" ht="15" customHeight="1" x14ac:dyDescent="0.25">
      <c r="A6066" s="9" t="s">
        <v>11916</v>
      </c>
      <c r="C6066" s="9" t="str">
        <f>HYPERLINK("http://www.ncbi.nlm.nih.gov/protein/170014686","Pvrl4")</f>
        <v>Pvrl4</v>
      </c>
      <c r="D6066" s="10">
        <f t="shared" si="94"/>
        <v>3.871913244873884</v>
      </c>
      <c r="F6066" s="8" t="str">
        <f>HYPERLINK("https://esbl.nhlbi.nih.gov/Databases/mpkFractions/proteomic_fractions_log_files/Yang_log_img/170014686.jpg","show blot")</f>
        <v>show blot</v>
      </c>
      <c r="H6066" s="8" t="str">
        <f>HYPERLINK("https://esbl.nhlbi.nih.gov/Databases/mpkFractions/proteomic_fractions_linear_files/Yang_linear_img/170014686.jpg","show blot")</f>
        <v>show blot</v>
      </c>
      <c r="J6066" s="5" t="s">
        <v>11917</v>
      </c>
      <c r="L6066" s="11">
        <v>3.871913244873884</v>
      </c>
      <c r="N6066" s="12"/>
    </row>
    <row r="6067" spans="1:14" s="5" customFormat="1" ht="15" customHeight="1" x14ac:dyDescent="0.25">
      <c r="A6067" s="9" t="s">
        <v>11918</v>
      </c>
      <c r="C6067" s="9" t="str">
        <f>HYPERLINK("http://www.ncbi.nlm.nih.gov/protein/284005509","Pwp1")</f>
        <v>Pwp1</v>
      </c>
      <c r="D6067" s="10">
        <f t="shared" si="94"/>
        <v>4.0118668227168843</v>
      </c>
      <c r="F6067" s="8" t="str">
        <f>HYPERLINK("https://esbl.nhlbi.nih.gov/Databases/mpkFractions/proteomic_fractions_log_files/Yang_log_img/284005509.jpg","show blot")</f>
        <v>show blot</v>
      </c>
      <c r="H6067" s="8" t="str">
        <f>HYPERLINK("https://esbl.nhlbi.nih.gov/Databases/mpkFractions/proteomic_fractions_linear_files/Yang_linear_img/284005509.jpg","show blot")</f>
        <v>show blot</v>
      </c>
      <c r="J6067" s="5" t="s">
        <v>11919</v>
      </c>
      <c r="L6067" s="11">
        <v>4.0118668227168843</v>
      </c>
      <c r="N6067" s="12"/>
    </row>
    <row r="6068" spans="1:14" s="5" customFormat="1" ht="15" customHeight="1" x14ac:dyDescent="0.25">
      <c r="A6068" s="9" t="s">
        <v>11920</v>
      </c>
      <c r="C6068" s="9" t="str">
        <f>HYPERLINK("http://www.ncbi.nlm.nih.gov/protein/407262659","Pwp2")</f>
        <v>Pwp2</v>
      </c>
      <c r="D6068" s="10">
        <f t="shared" si="94"/>
        <v>2.5777988458858512</v>
      </c>
      <c r="F6068" s="8" t="str">
        <f>HYPERLINK("https://esbl.nhlbi.nih.gov/Databases/mpkFractions/proteomic_fractions_log_files/Yang_log_img/407262659.jpg","show blot")</f>
        <v>show blot</v>
      </c>
      <c r="H6068" s="8" t="str">
        <f>HYPERLINK("https://esbl.nhlbi.nih.gov/Databases/mpkFractions/proteomic_fractions_linear_files/Yang_linear_img/407262659.jpg","show blot")</f>
        <v>show blot</v>
      </c>
      <c r="J6068" s="5" t="s">
        <v>11921</v>
      </c>
      <c r="L6068" s="11">
        <v>2.5777988458858512</v>
      </c>
      <c r="N6068" s="12"/>
    </row>
    <row r="6069" spans="1:14" s="5" customFormat="1" ht="15" customHeight="1" x14ac:dyDescent="0.25">
      <c r="A6069" s="9" t="s">
        <v>11922</v>
      </c>
      <c r="C6069" s="9" t="str">
        <f>HYPERLINK("http://www.ncbi.nlm.nih.gov/protein/407262661","Pwp2")</f>
        <v>Pwp2</v>
      </c>
      <c r="D6069" s="10">
        <f t="shared" si="94"/>
        <v>2.5777988458858512</v>
      </c>
      <c r="F6069" s="8" t="str">
        <f>HYPERLINK("https://esbl.nhlbi.nih.gov/Databases/mpkFractions/proteomic_fractions_log_files/Yang_log_img/407262661.jpg","show blot")</f>
        <v>show blot</v>
      </c>
      <c r="H6069" s="8" t="str">
        <f>HYPERLINK("https://esbl.nhlbi.nih.gov/Databases/mpkFractions/proteomic_fractions_linear_files/Yang_linear_img/407262661.jpg","show blot")</f>
        <v>show blot</v>
      </c>
      <c r="J6069" s="5" t="s">
        <v>11923</v>
      </c>
      <c r="L6069" s="11">
        <v>2.5777988458858512</v>
      </c>
      <c r="N6069" s="12"/>
    </row>
    <row r="6070" spans="1:14" s="5" customFormat="1" ht="15" customHeight="1" x14ac:dyDescent="0.25">
      <c r="A6070" s="9" t="s">
        <v>11924</v>
      </c>
      <c r="C6070" s="9" t="str">
        <f>HYPERLINK("http://www.ncbi.nlm.nih.gov/protein/268370173","Pxdn")</f>
        <v>Pxdn</v>
      </c>
      <c r="D6070" s="10">
        <f t="shared" si="94"/>
        <v>2.1156201775520032</v>
      </c>
      <c r="F6070" s="8" t="str">
        <f>HYPERLINK("https://esbl.nhlbi.nih.gov/Databases/mpkFractions/proteomic_fractions_log_files/Yang_log_img/268370173.jpg","show blot")</f>
        <v>show blot</v>
      </c>
      <c r="H6070" s="8" t="str">
        <f>HYPERLINK("https://esbl.nhlbi.nih.gov/Databases/mpkFractions/proteomic_fractions_linear_files/Yang_linear_img/268370173.jpg","show blot")</f>
        <v>show blot</v>
      </c>
      <c r="J6070" s="5" t="s">
        <v>11925</v>
      </c>
      <c r="L6070" s="11">
        <v>2.1156201775520032</v>
      </c>
      <c r="N6070" s="12"/>
    </row>
    <row r="6071" spans="1:14" s="5" customFormat="1" ht="15" customHeight="1" x14ac:dyDescent="0.25">
      <c r="A6071" s="9" t="s">
        <v>11926</v>
      </c>
      <c r="C6071" s="9" t="str">
        <f>HYPERLINK("http://www.ncbi.nlm.nih.gov/protein/254692828","Pxk")</f>
        <v>Pxk</v>
      </c>
      <c r="D6071" s="10">
        <f t="shared" si="94"/>
        <v>3.256655061385374</v>
      </c>
      <c r="F6071" s="8" t="str">
        <f>HYPERLINK("https://esbl.nhlbi.nih.gov/Databases/mpkFractions/proteomic_fractions_log_files/Yang_log_img/254692828.jpg","show blot")</f>
        <v>show blot</v>
      </c>
      <c r="H6071" s="8" t="str">
        <f>HYPERLINK("https://esbl.nhlbi.nih.gov/Databases/mpkFractions/proteomic_fractions_linear_files/Yang_linear_img/254692828.jpg","show blot")</f>
        <v>show blot</v>
      </c>
      <c r="J6071" s="5" t="s">
        <v>11927</v>
      </c>
      <c r="L6071" s="11">
        <v>3.256655061385374</v>
      </c>
      <c r="N6071" s="12"/>
    </row>
    <row r="6072" spans="1:14" s="5" customFormat="1" ht="15" customHeight="1" x14ac:dyDescent="0.25">
      <c r="A6072" s="9" t="s">
        <v>11928</v>
      </c>
      <c r="C6072" s="9" t="str">
        <f>HYPERLINK("http://www.ncbi.nlm.nih.gov/protein/72535128","Pxk")</f>
        <v>Pxk</v>
      </c>
      <c r="D6072" s="10">
        <f t="shared" si="94"/>
        <v>3.256655061385374</v>
      </c>
      <c r="F6072" s="8" t="str">
        <f>HYPERLINK("https://esbl.nhlbi.nih.gov/Databases/mpkFractions/proteomic_fractions_log_files/Yang_log_img/72535128.jpg","show blot")</f>
        <v>show blot</v>
      </c>
      <c r="H6072" s="8" t="str">
        <f>HYPERLINK("https://esbl.nhlbi.nih.gov/Databases/mpkFractions/proteomic_fractions_linear_files/Yang_linear_img/72535128.jpg","show blot")</f>
        <v>show blot</v>
      </c>
      <c r="J6072" s="5" t="s">
        <v>11929</v>
      </c>
      <c r="L6072" s="11">
        <v>3.256655061385374</v>
      </c>
      <c r="N6072" s="12"/>
    </row>
    <row r="6073" spans="1:14" s="5" customFormat="1" ht="15" customHeight="1" x14ac:dyDescent="0.25">
      <c r="A6073" s="9" t="s">
        <v>11930</v>
      </c>
      <c r="C6073" s="9" t="str">
        <f>HYPERLINK("http://www.ncbi.nlm.nih.gov/protein/10946966","Pxmp4")</f>
        <v>Pxmp4</v>
      </c>
      <c r="D6073" s="10">
        <f t="shared" si="94"/>
        <v>4.6373472612353961</v>
      </c>
      <c r="F6073" s="8" t="str">
        <f>HYPERLINK("https://esbl.nhlbi.nih.gov/Databases/mpkFractions/proteomic_fractions_log_files/Yang_log_img/10946966.jpg","show blot")</f>
        <v>show blot</v>
      </c>
      <c r="H6073" s="8" t="str">
        <f>HYPERLINK("https://esbl.nhlbi.nih.gov/Databases/mpkFractions/proteomic_fractions_linear_files/Yang_linear_img/10946966.jpg","show blot")</f>
        <v>show blot</v>
      </c>
      <c r="J6073" s="5" t="s">
        <v>11931</v>
      </c>
      <c r="L6073" s="11">
        <v>4.6373472612353961</v>
      </c>
      <c r="N6073" s="12"/>
    </row>
    <row r="6074" spans="1:14" s="5" customFormat="1" ht="15" customHeight="1" x14ac:dyDescent="0.25">
      <c r="A6074" s="9" t="s">
        <v>11932</v>
      </c>
      <c r="C6074" s="9" t="str">
        <f>HYPERLINK("http://www.ncbi.nlm.nih.gov/protein/114326502","Pxn")</f>
        <v>Pxn</v>
      </c>
      <c r="D6074" s="10">
        <f t="shared" si="94"/>
        <v>4.5313020794020096</v>
      </c>
      <c r="F6074" s="8" t="str">
        <f>HYPERLINK("https://esbl.nhlbi.nih.gov/Databases/mpkFractions/proteomic_fractions_log_files/Yang_log_img/114326502.jpg","show blot")</f>
        <v>show blot</v>
      </c>
      <c r="H6074" s="8" t="str">
        <f>HYPERLINK("https://esbl.nhlbi.nih.gov/Databases/mpkFractions/proteomic_fractions_linear_files/Yang_linear_img/114326502.jpg","show blot")</f>
        <v>show blot</v>
      </c>
      <c r="J6074" s="5" t="s">
        <v>11933</v>
      </c>
      <c r="L6074" s="11">
        <v>4.5313020794020096</v>
      </c>
      <c r="N6074" s="12"/>
    </row>
    <row r="6075" spans="1:14" s="5" customFormat="1" ht="15" customHeight="1" x14ac:dyDescent="0.25">
      <c r="A6075" s="9" t="s">
        <v>11934</v>
      </c>
      <c r="C6075" s="9" t="str">
        <f>HYPERLINK("http://www.ncbi.nlm.nih.gov/protein/21281693","Pxn")</f>
        <v>Pxn</v>
      </c>
      <c r="D6075" s="10">
        <f t="shared" si="94"/>
        <v>4.5313020794020096</v>
      </c>
      <c r="F6075" s="8" t="str">
        <f>HYPERLINK("https://esbl.nhlbi.nih.gov/Databases/mpkFractions/proteomic_fractions_log_files/Yang_log_img/21281693.jpg","show blot")</f>
        <v>show blot</v>
      </c>
      <c r="H6075" s="8" t="str">
        <f>HYPERLINK("https://esbl.nhlbi.nih.gov/Databases/mpkFractions/proteomic_fractions_linear_files/Yang_linear_img/21281693.jpg","show blot")</f>
        <v>show blot</v>
      </c>
      <c r="J6075" s="5" t="s">
        <v>11935</v>
      </c>
      <c r="L6075" s="11">
        <v>4.5313020794020096</v>
      </c>
      <c r="N6075" s="12"/>
    </row>
    <row r="6076" spans="1:14" s="5" customFormat="1" ht="15" customHeight="1" x14ac:dyDescent="0.25">
      <c r="A6076" s="9" t="s">
        <v>11936</v>
      </c>
      <c r="C6076" s="9" t="str">
        <f>HYPERLINK("http://www.ncbi.nlm.nih.gov/protein/21450149","Pycr1")</f>
        <v>Pycr1</v>
      </c>
      <c r="D6076" s="10">
        <f t="shared" si="94"/>
        <v>6.1211565467008366</v>
      </c>
      <c r="F6076" s="8" t="str">
        <f>HYPERLINK("https://esbl.nhlbi.nih.gov/Databases/mpkFractions/proteomic_fractions_log_files/Yang_log_img/21450149.jpg","show blot")</f>
        <v>show blot</v>
      </c>
      <c r="H6076" s="8" t="str">
        <f>HYPERLINK("https://esbl.nhlbi.nih.gov/Databases/mpkFractions/proteomic_fractions_linear_files/Yang_linear_img/21450149.jpg","show blot")</f>
        <v>show blot</v>
      </c>
      <c r="J6076" s="5" t="s">
        <v>11937</v>
      </c>
      <c r="L6076" s="11">
        <v>6.1211565467008366</v>
      </c>
      <c r="N6076" s="12"/>
    </row>
    <row r="6077" spans="1:14" s="5" customFormat="1" ht="15" customHeight="1" x14ac:dyDescent="0.25">
      <c r="A6077" s="9" t="s">
        <v>11938</v>
      </c>
      <c r="C6077" s="9" t="str">
        <f>HYPERLINK("http://www.ncbi.nlm.nih.gov/protein/19526878","Pycr2")</f>
        <v>Pycr2</v>
      </c>
      <c r="D6077" s="10">
        <f t="shared" si="94"/>
        <v>6.5767792613043703</v>
      </c>
      <c r="F6077" s="8" t="str">
        <f>HYPERLINK("https://esbl.nhlbi.nih.gov/Databases/mpkFractions/proteomic_fractions_log_files/Yang_log_img/19526878.jpg","show blot")</f>
        <v>show blot</v>
      </c>
      <c r="H6077" s="8" t="str">
        <f>HYPERLINK("https://esbl.nhlbi.nih.gov/Databases/mpkFractions/proteomic_fractions_linear_files/Yang_linear_img/19526878.jpg","show blot")</f>
        <v>show blot</v>
      </c>
      <c r="J6077" s="5" t="s">
        <v>11939</v>
      </c>
      <c r="L6077" s="11">
        <v>6.5767792613043703</v>
      </c>
      <c r="N6077" s="12"/>
    </row>
    <row r="6078" spans="1:14" s="5" customFormat="1" ht="15" customHeight="1" x14ac:dyDescent="0.25">
      <c r="A6078" s="9" t="s">
        <v>11940</v>
      </c>
      <c r="C6078" s="9" t="str">
        <f>HYPERLINK("http://www.ncbi.nlm.nih.gov/protein/119508439","Pycrl")</f>
        <v>Pycrl</v>
      </c>
      <c r="D6078" s="10">
        <f t="shared" si="94"/>
        <v>5.6463245794094501</v>
      </c>
      <c r="F6078" s="8" t="str">
        <f>HYPERLINK("https://esbl.nhlbi.nih.gov/Databases/mpkFractions/proteomic_fractions_log_files/Yang_log_img/119508439.jpg","show blot")</f>
        <v>show blot</v>
      </c>
      <c r="H6078" s="8" t="str">
        <f>HYPERLINK("https://esbl.nhlbi.nih.gov/Databases/mpkFractions/proteomic_fractions_linear_files/Yang_linear_img/119508439.jpg","show blot")</f>
        <v>show blot</v>
      </c>
      <c r="J6078" s="5" t="s">
        <v>11941</v>
      </c>
      <c r="L6078" s="11">
        <v>5.6463245794094501</v>
      </c>
      <c r="N6078" s="12"/>
    </row>
    <row r="6079" spans="1:14" s="5" customFormat="1" ht="15" customHeight="1" x14ac:dyDescent="0.25">
      <c r="A6079" s="9" t="s">
        <v>11942</v>
      </c>
      <c r="C6079" s="9" t="str">
        <f>HYPERLINK("http://www.ncbi.nlm.nih.gov/protein/24418919","Pygb")</f>
        <v>Pygb</v>
      </c>
      <c r="D6079" s="10">
        <f t="shared" si="94"/>
        <v>6.2639113162080626</v>
      </c>
      <c r="F6079" s="8" t="str">
        <f>HYPERLINK("https://esbl.nhlbi.nih.gov/Databases/mpkFractions/proteomic_fractions_log_files/Yang_log_img/24418919.jpg","show blot")</f>
        <v>show blot</v>
      </c>
      <c r="H6079" s="8" t="str">
        <f>HYPERLINK("https://esbl.nhlbi.nih.gov/Databases/mpkFractions/proteomic_fractions_linear_files/Yang_linear_img/24418919.jpg","show blot")</f>
        <v>show blot</v>
      </c>
      <c r="J6079" s="5" t="s">
        <v>11943</v>
      </c>
      <c r="L6079" s="11">
        <v>6.2639113162080626</v>
      </c>
      <c r="N6079" s="12"/>
    </row>
    <row r="6080" spans="1:14" s="5" customFormat="1" ht="15" customHeight="1" x14ac:dyDescent="0.25">
      <c r="A6080" s="9" t="s">
        <v>11944</v>
      </c>
      <c r="C6080" s="9" t="str">
        <f>HYPERLINK("http://www.ncbi.nlm.nih.gov/protein/268836255","Pygl")</f>
        <v>Pygl</v>
      </c>
      <c r="D6080" s="10">
        <f t="shared" si="94"/>
        <v>5.5601912888200369</v>
      </c>
      <c r="F6080" s="8" t="str">
        <f>HYPERLINK("https://esbl.nhlbi.nih.gov/Databases/mpkFractions/proteomic_fractions_log_files/Yang_log_img/268836255.jpg","show blot")</f>
        <v>show blot</v>
      </c>
      <c r="H6080" s="8" t="str">
        <f>HYPERLINK("https://esbl.nhlbi.nih.gov/Databases/mpkFractions/proteomic_fractions_linear_files/Yang_linear_img/268836255.jpg","show blot")</f>
        <v>show blot</v>
      </c>
      <c r="J6080" s="5" t="s">
        <v>11945</v>
      </c>
      <c r="L6080" s="11">
        <v>5.5601912888200369</v>
      </c>
      <c r="N6080" s="12"/>
    </row>
    <row r="6081" spans="1:14" s="5" customFormat="1" ht="15" customHeight="1" x14ac:dyDescent="0.25">
      <c r="A6081" s="9" t="s">
        <v>11946</v>
      </c>
      <c r="C6081" s="9" t="str">
        <f>HYPERLINK("http://www.ncbi.nlm.nih.gov/protein/6755256","Pygm")</f>
        <v>Pygm</v>
      </c>
      <c r="D6081" s="10">
        <f t="shared" si="94"/>
        <v>5.8220782529614867</v>
      </c>
      <c r="F6081" s="8" t="str">
        <f>HYPERLINK("https://esbl.nhlbi.nih.gov/Databases/mpkFractions/proteomic_fractions_log_files/Yang_log_img/6755256.jpg","show blot")</f>
        <v>show blot</v>
      </c>
      <c r="H6081" s="8" t="str">
        <f>HYPERLINK("https://esbl.nhlbi.nih.gov/Databases/mpkFractions/proteomic_fractions_linear_files/Yang_linear_img/6755256.jpg","show blot")</f>
        <v>show blot</v>
      </c>
      <c r="J6081" s="5" t="s">
        <v>11947</v>
      </c>
      <c r="L6081" s="11">
        <v>5.8220782529614867</v>
      </c>
      <c r="N6081" s="12"/>
    </row>
    <row r="6082" spans="1:14" s="5" customFormat="1" ht="15" customHeight="1" x14ac:dyDescent="0.25">
      <c r="A6082" s="9" t="s">
        <v>11948</v>
      </c>
      <c r="C6082" s="9" t="str">
        <f>HYPERLINK("http://www.ncbi.nlm.nih.gov/protein/269954677","Qars")</f>
        <v>Qars</v>
      </c>
      <c r="D6082" s="10">
        <f t="shared" si="94"/>
        <v>6.1581611911973857</v>
      </c>
      <c r="F6082" s="8" t="str">
        <f>HYPERLINK("https://esbl.nhlbi.nih.gov/Databases/mpkFractions/proteomic_fractions_log_files/Yang_log_img/269954677.jpg","show blot")</f>
        <v>show blot</v>
      </c>
      <c r="H6082" s="8" t="str">
        <f>HYPERLINK("https://esbl.nhlbi.nih.gov/Databases/mpkFractions/proteomic_fractions_linear_files/Yang_linear_img/269954677.jpg","show blot")</f>
        <v>show blot</v>
      </c>
      <c r="J6082" s="5" t="s">
        <v>11949</v>
      </c>
      <c r="L6082" s="11">
        <v>6.1581611911973857</v>
      </c>
      <c r="N6082" s="12"/>
    </row>
    <row r="6083" spans="1:14" s="5" customFormat="1" ht="15" customHeight="1" x14ac:dyDescent="0.25">
      <c r="A6083" s="9" t="s">
        <v>11950</v>
      </c>
      <c r="C6083" s="9" t="str">
        <f>HYPERLINK("http://www.ncbi.nlm.nih.gov/protein/269954679","Qars")</f>
        <v>Qars</v>
      </c>
      <c r="D6083" s="10">
        <f t="shared" si="94"/>
        <v>6.1581611911973857</v>
      </c>
      <c r="F6083" s="8" t="str">
        <f>HYPERLINK("https://esbl.nhlbi.nih.gov/Databases/mpkFractions/proteomic_fractions_log_files/Yang_log_img/269954679.jpg","show blot")</f>
        <v>show blot</v>
      </c>
      <c r="H6083" s="8" t="str">
        <f>HYPERLINK("https://esbl.nhlbi.nih.gov/Databases/mpkFractions/proteomic_fractions_linear_files/Yang_linear_img/269954679.jpg","show blot")</f>
        <v>show blot</v>
      </c>
      <c r="J6083" s="5" t="s">
        <v>11951</v>
      </c>
      <c r="L6083" s="11">
        <v>6.1581611911973857</v>
      </c>
      <c r="N6083" s="12"/>
    </row>
    <row r="6084" spans="1:14" s="5" customFormat="1" ht="15" customHeight="1" x14ac:dyDescent="0.25">
      <c r="A6084" s="9" t="s">
        <v>11952</v>
      </c>
      <c r="C6084" s="9" t="str">
        <f>HYPERLINK("http://www.ncbi.nlm.nih.gov/protein/21312520","Qdpr")</f>
        <v>Qdpr</v>
      </c>
      <c r="D6084" s="10">
        <f t="shared" si="94"/>
        <v>5.8992616246494807</v>
      </c>
      <c r="F6084" s="8" t="str">
        <f>HYPERLINK("https://esbl.nhlbi.nih.gov/Databases/mpkFractions/proteomic_fractions_log_files/Yang_log_img/21312520.jpg","show blot")</f>
        <v>show blot</v>
      </c>
      <c r="H6084" s="8" t="str">
        <f>HYPERLINK("https://esbl.nhlbi.nih.gov/Databases/mpkFractions/proteomic_fractions_linear_files/Yang_linear_img/21312520.jpg","show blot")</f>
        <v>show blot</v>
      </c>
      <c r="J6084" s="5" t="s">
        <v>11953</v>
      </c>
      <c r="L6084" s="11">
        <v>5.8992616246494807</v>
      </c>
      <c r="N6084" s="12"/>
    </row>
    <row r="6085" spans="1:14" s="5" customFormat="1" ht="15" customHeight="1" x14ac:dyDescent="0.25">
      <c r="A6085" s="9" t="s">
        <v>11954</v>
      </c>
      <c r="C6085" s="9" t="str">
        <f>HYPERLINK("http://www.ncbi.nlm.nih.gov/protein/11527388","Qk")</f>
        <v>Qk</v>
      </c>
      <c r="D6085" s="10">
        <f t="shared" ref="D6085:D6148" si="95">L6085</f>
        <v>4.0846247870996368</v>
      </c>
      <c r="F6085" s="8" t="str">
        <f>HYPERLINK("https://esbl.nhlbi.nih.gov/Databases/mpkFractions/proteomic_fractions_log_files/Yang_log_img/11527388.jpg","show blot")</f>
        <v>show blot</v>
      </c>
      <c r="H6085" s="8" t="str">
        <f>HYPERLINK("https://esbl.nhlbi.nih.gov/Databases/mpkFractions/proteomic_fractions_linear_files/Yang_linear_img/11527388.jpg","show blot")</f>
        <v>show blot</v>
      </c>
      <c r="J6085" s="5" t="s">
        <v>11955</v>
      </c>
      <c r="L6085" s="11">
        <v>4.0846247870996368</v>
      </c>
      <c r="N6085" s="12"/>
    </row>
    <row r="6086" spans="1:14" s="5" customFormat="1" ht="15" customHeight="1" x14ac:dyDescent="0.25">
      <c r="A6086" s="9" t="s">
        <v>11956</v>
      </c>
      <c r="C6086" s="9" t="str">
        <f>HYPERLINK("http://www.ncbi.nlm.nih.gov/protein/226958438","Qk")</f>
        <v>Qk</v>
      </c>
      <c r="D6086" s="10">
        <f t="shared" si="95"/>
        <v>4.0846247870996368</v>
      </c>
      <c r="F6086" s="8" t="str">
        <f>HYPERLINK("https://esbl.nhlbi.nih.gov/Databases/mpkFractions/proteomic_fractions_log_files/Yang_log_img/226958438.jpg","show blot")</f>
        <v>show blot</v>
      </c>
      <c r="H6086" s="8" t="str">
        <f>HYPERLINK("https://esbl.nhlbi.nih.gov/Databases/mpkFractions/proteomic_fractions_linear_files/Yang_linear_img/226958438.jpg","show blot")</f>
        <v>show blot</v>
      </c>
      <c r="J6086" s="5" t="s">
        <v>11957</v>
      </c>
      <c r="L6086" s="11">
        <v>4.0846247870996368</v>
      </c>
      <c r="N6086" s="12"/>
    </row>
    <row r="6087" spans="1:14" s="5" customFormat="1" ht="15" customHeight="1" x14ac:dyDescent="0.25">
      <c r="A6087" s="9" t="s">
        <v>11958</v>
      </c>
      <c r="C6087" s="9" t="str">
        <f>HYPERLINK("http://www.ncbi.nlm.nih.gov/protein/226958440","Qk")</f>
        <v>Qk</v>
      </c>
      <c r="D6087" s="10">
        <f t="shared" si="95"/>
        <v>4.0846247870996368</v>
      </c>
      <c r="F6087" s="8" t="str">
        <f>HYPERLINK("https://esbl.nhlbi.nih.gov/Databases/mpkFractions/proteomic_fractions_log_files/Yang_log_img/226958440.jpg","show blot")</f>
        <v>show blot</v>
      </c>
      <c r="H6087" s="8" t="str">
        <f>HYPERLINK("https://esbl.nhlbi.nih.gov/Databases/mpkFractions/proteomic_fractions_linear_files/Yang_linear_img/226958440.jpg","show blot")</f>
        <v>show blot</v>
      </c>
      <c r="J6087" s="5" t="s">
        <v>11959</v>
      </c>
      <c r="L6087" s="11">
        <v>4.0846247870996368</v>
      </c>
      <c r="N6087" s="12"/>
    </row>
    <row r="6088" spans="1:14" s="5" customFormat="1" ht="15" customHeight="1" x14ac:dyDescent="0.25">
      <c r="A6088" s="9" t="s">
        <v>11960</v>
      </c>
      <c r="C6088" s="9" t="str">
        <f>HYPERLINK("http://www.ncbi.nlm.nih.gov/protein/166295181","Qrich1")</f>
        <v>Qrich1</v>
      </c>
      <c r="D6088" s="10">
        <f t="shared" si="95"/>
        <v>3.365257190036901</v>
      </c>
      <c r="F6088" s="8" t="str">
        <f>HYPERLINK("https://esbl.nhlbi.nih.gov/Databases/mpkFractions/proteomic_fractions_log_files/Yang_log_img/166295181.jpg","show blot")</f>
        <v>show blot</v>
      </c>
      <c r="H6088" s="8" t="str">
        <f>HYPERLINK("https://esbl.nhlbi.nih.gov/Databases/mpkFractions/proteomic_fractions_linear_files/Yang_linear_img/166295181.jpg","show blot")</f>
        <v>show blot</v>
      </c>
      <c r="J6088" s="5" t="s">
        <v>11961</v>
      </c>
      <c r="L6088" s="11">
        <v>3.365257190036901</v>
      </c>
      <c r="N6088" s="12"/>
    </row>
    <row r="6089" spans="1:14" s="5" customFormat="1" ht="15" customHeight="1" x14ac:dyDescent="0.25">
      <c r="A6089" s="9" t="s">
        <v>11962</v>
      </c>
      <c r="C6089" s="9" t="str">
        <f>HYPERLINK("http://www.ncbi.nlm.nih.gov/protein/124486688","Qrsl1")</f>
        <v>Qrsl1</v>
      </c>
      <c r="D6089" s="10">
        <f t="shared" si="95"/>
        <v>3.7139384653811152</v>
      </c>
      <c r="F6089" s="8" t="str">
        <f>HYPERLINK("https://esbl.nhlbi.nih.gov/Databases/mpkFractions/proteomic_fractions_log_files/Yang_log_img/124486688.jpg","show blot")</f>
        <v>show blot</v>
      </c>
      <c r="H6089" s="8" t="str">
        <f>HYPERLINK("https://esbl.nhlbi.nih.gov/Databases/mpkFractions/proteomic_fractions_linear_files/Yang_linear_img/124486688.jpg","show blot")</f>
        <v>show blot</v>
      </c>
      <c r="J6089" s="5" t="s">
        <v>11963</v>
      </c>
      <c r="L6089" s="11">
        <v>3.7139384653811152</v>
      </c>
      <c r="N6089" s="12"/>
    </row>
    <row r="6090" spans="1:14" s="5" customFormat="1" ht="15" customHeight="1" x14ac:dyDescent="0.25">
      <c r="A6090" s="9" t="s">
        <v>11964</v>
      </c>
      <c r="C6090" s="9" t="str">
        <f>HYPERLINK("http://www.ncbi.nlm.nih.gov/protein/158186691","Qtrt1")</f>
        <v>Qtrt1</v>
      </c>
      <c r="D6090" s="10">
        <f t="shared" si="95"/>
        <v>4.7545397296391831</v>
      </c>
      <c r="F6090" s="8" t="str">
        <f>HYPERLINK("https://esbl.nhlbi.nih.gov/Databases/mpkFractions/proteomic_fractions_log_files/Yang_log_img/158186691.jpg","show blot")</f>
        <v>show blot</v>
      </c>
      <c r="H6090" s="8" t="str">
        <f>HYPERLINK("https://esbl.nhlbi.nih.gov/Databases/mpkFractions/proteomic_fractions_linear_files/Yang_linear_img/158186691.jpg","show blot")</f>
        <v>show blot</v>
      </c>
      <c r="J6090" s="5" t="s">
        <v>11965</v>
      </c>
      <c r="L6090" s="11">
        <v>4.7545397296391831</v>
      </c>
      <c r="N6090" s="12"/>
    </row>
    <row r="6091" spans="1:14" s="5" customFormat="1" ht="15" customHeight="1" x14ac:dyDescent="0.25">
      <c r="A6091" s="9" t="s">
        <v>11966</v>
      </c>
      <c r="C6091" s="9" t="str">
        <f>HYPERLINK("http://www.ncbi.nlm.nih.gov/protein/54144622","Qtrtd1")</f>
        <v>Qtrtd1</v>
      </c>
      <c r="D6091" s="10">
        <f t="shared" si="95"/>
        <v>3.8566346331416539</v>
      </c>
      <c r="F6091" s="8" t="str">
        <f>HYPERLINK("https://esbl.nhlbi.nih.gov/Databases/mpkFractions/proteomic_fractions_log_files/Yang_log_img/54144622.jpg","show blot")</f>
        <v>show blot</v>
      </c>
      <c r="H6091" s="8" t="str">
        <f>HYPERLINK("https://esbl.nhlbi.nih.gov/Databases/mpkFractions/proteomic_fractions_linear_files/Yang_linear_img/54144622.jpg","show blot")</f>
        <v>show blot</v>
      </c>
      <c r="J6091" s="5" t="s">
        <v>11967</v>
      </c>
      <c r="L6091" s="11">
        <v>3.8566346331416539</v>
      </c>
      <c r="N6091" s="12"/>
    </row>
    <row r="6092" spans="1:14" s="5" customFormat="1" ht="15" customHeight="1" x14ac:dyDescent="0.25">
      <c r="A6092" s="9" t="s">
        <v>11968</v>
      </c>
      <c r="C6092" s="9" t="str">
        <f>HYPERLINK("http://www.ncbi.nlm.nih.gov/protein/225579031","R3hcc1")</f>
        <v>R3hcc1</v>
      </c>
      <c r="D6092" s="10" t="str">
        <f t="shared" si="95"/>
        <v>-</v>
      </c>
      <c r="F6092" s="8" t="str">
        <f>HYPERLINK("https://esbl.nhlbi.nih.gov/Databases/mpkFractions/proteomic_fractions_log_files/Yang_log_img/225579031.jpg","show blot")</f>
        <v>show blot</v>
      </c>
      <c r="H6092" s="8" t="str">
        <f>HYPERLINK("https://esbl.nhlbi.nih.gov/Databases/mpkFractions/proteomic_fractions_linear_files/Yang_linear_img/225579031.jpg","show blot")</f>
        <v>show blot</v>
      </c>
      <c r="J6092" s="5" t="s">
        <v>11969</v>
      </c>
      <c r="L6092" s="13" t="s">
        <v>389</v>
      </c>
      <c r="N6092" s="12"/>
    </row>
    <row r="6093" spans="1:14" s="5" customFormat="1" ht="15" customHeight="1" x14ac:dyDescent="0.25">
      <c r="A6093" s="9" t="s">
        <v>11970</v>
      </c>
      <c r="C6093" s="9" t="str">
        <f>HYPERLINK("http://www.ncbi.nlm.nih.gov/protein/50845430","R3hdm1")</f>
        <v>R3hdm1</v>
      </c>
      <c r="D6093" s="10">
        <f t="shared" si="95"/>
        <v>2.7409365532682668</v>
      </c>
      <c r="F6093" s="8" t="str">
        <f>HYPERLINK("https://esbl.nhlbi.nih.gov/Databases/mpkFractions/proteomic_fractions_log_files/Yang_log_img/50845430.jpg","show blot")</f>
        <v>show blot</v>
      </c>
      <c r="H6093" s="8" t="str">
        <f>HYPERLINK("https://esbl.nhlbi.nih.gov/Databases/mpkFractions/proteomic_fractions_linear_files/Yang_linear_img/50845430.jpg","show blot")</f>
        <v>show blot</v>
      </c>
      <c r="J6093" s="5" t="s">
        <v>11971</v>
      </c>
      <c r="L6093" s="11">
        <v>2.7409365532682668</v>
      </c>
      <c r="N6093" s="12"/>
    </row>
    <row r="6094" spans="1:14" s="5" customFormat="1" ht="15" customHeight="1" x14ac:dyDescent="0.25">
      <c r="A6094" s="9" t="s">
        <v>11972</v>
      </c>
      <c r="C6094" s="9" t="str">
        <f>HYPERLINK("http://www.ncbi.nlm.nih.gov/protein/150010587","R3hdml")</f>
        <v>R3hdml</v>
      </c>
      <c r="D6094" s="10">
        <f t="shared" si="95"/>
        <v>4.3162571168803376</v>
      </c>
      <c r="F6094" s="8" t="str">
        <f>HYPERLINK("https://esbl.nhlbi.nih.gov/Databases/mpkFractions/proteomic_fractions_log_files/Yang_log_img/150010587.jpg","show blot")</f>
        <v>show blot</v>
      </c>
      <c r="H6094" s="8" t="str">
        <f>HYPERLINK("https://esbl.nhlbi.nih.gov/Databases/mpkFractions/proteomic_fractions_linear_files/Yang_linear_img/150010587.jpg","show blot")</f>
        <v>show blot</v>
      </c>
      <c r="J6094" s="5" t="s">
        <v>11973</v>
      </c>
      <c r="L6094" s="11">
        <v>4.3162571168803376</v>
      </c>
      <c r="N6094" s="12"/>
    </row>
    <row r="6095" spans="1:14" s="5" customFormat="1" ht="15" customHeight="1" x14ac:dyDescent="0.25">
      <c r="A6095" s="9" t="s">
        <v>11974</v>
      </c>
      <c r="C6095" s="9" t="str">
        <f>HYPERLINK("http://www.ncbi.nlm.nih.gov/protein/6679587","Rab1")</f>
        <v>Rab1</v>
      </c>
      <c r="D6095" s="10">
        <f t="shared" si="95"/>
        <v>6.9009863228505068</v>
      </c>
      <c r="F6095" s="8" t="str">
        <f>HYPERLINK("https://esbl.nhlbi.nih.gov/Databases/mpkFractions/proteomic_fractions_log_files/Yang_log_img/6679587.jpg","show blot")</f>
        <v>show blot</v>
      </c>
      <c r="H6095" s="8" t="str">
        <f>HYPERLINK("https://esbl.nhlbi.nih.gov/Databases/mpkFractions/proteomic_fractions_linear_files/Yang_linear_img/6679587.jpg","show blot")</f>
        <v>show blot</v>
      </c>
      <c r="J6095" s="5" t="s">
        <v>11975</v>
      </c>
      <c r="L6095" s="11">
        <v>6.9009863228505068</v>
      </c>
      <c r="N6095" s="12"/>
    </row>
    <row r="6096" spans="1:14" s="5" customFormat="1" ht="15" customHeight="1" x14ac:dyDescent="0.25">
      <c r="A6096" s="9" t="s">
        <v>11976</v>
      </c>
      <c r="C6096" s="9" t="str">
        <f>HYPERLINK("http://www.ncbi.nlm.nih.gov/protein/7710086","Rab10")</f>
        <v>Rab10</v>
      </c>
      <c r="D6096" s="10">
        <f t="shared" si="95"/>
        <v>6.8844540724888361</v>
      </c>
      <c r="F6096" s="8" t="str">
        <f>HYPERLINK("https://esbl.nhlbi.nih.gov/Databases/mpkFractions/proteomic_fractions_log_files/Yang_log_img/7710086.jpg","show blot")</f>
        <v>show blot</v>
      </c>
      <c r="H6096" s="8" t="str">
        <f>HYPERLINK("https://esbl.nhlbi.nih.gov/Databases/mpkFractions/proteomic_fractions_linear_files/Yang_linear_img/7710086.jpg","show blot")</f>
        <v>show blot</v>
      </c>
      <c r="J6096" s="5" t="s">
        <v>11977</v>
      </c>
      <c r="L6096" s="11">
        <v>6.8844540724888361</v>
      </c>
      <c r="N6096" s="12"/>
    </row>
    <row r="6097" spans="1:14" s="5" customFormat="1" ht="15" customHeight="1" x14ac:dyDescent="0.25">
      <c r="A6097" s="9" t="s">
        <v>11978</v>
      </c>
      <c r="C6097" s="9" t="str">
        <f>HYPERLINK("http://www.ncbi.nlm.nih.gov/protein/31980840","Rab11a")</f>
        <v>Rab11a</v>
      </c>
      <c r="D6097" s="10">
        <f t="shared" si="95"/>
        <v>6.6186643076059868</v>
      </c>
      <c r="F6097" s="8" t="str">
        <f>HYPERLINK("https://esbl.nhlbi.nih.gov/Databases/mpkFractions/proteomic_fractions_log_files/Yang_log_img/31980840.jpg","show blot")</f>
        <v>show blot</v>
      </c>
      <c r="H6097" s="8" t="str">
        <f>HYPERLINK("https://esbl.nhlbi.nih.gov/Databases/mpkFractions/proteomic_fractions_linear_files/Yang_linear_img/31980840.jpg","show blot")</f>
        <v>show blot</v>
      </c>
      <c r="J6097" s="5" t="s">
        <v>11979</v>
      </c>
      <c r="L6097" s="11">
        <v>6.6186643076059868</v>
      </c>
      <c r="N6097" s="12"/>
    </row>
    <row r="6098" spans="1:14" s="5" customFormat="1" ht="15" customHeight="1" x14ac:dyDescent="0.25">
      <c r="A6098" s="9" t="s">
        <v>11980</v>
      </c>
      <c r="C6098" s="9" t="str">
        <f>HYPERLINK("http://www.ncbi.nlm.nih.gov/protein/6679583","Rab11b")</f>
        <v>Rab11b</v>
      </c>
      <c r="D6098" s="10">
        <f t="shared" si="95"/>
        <v>6.6162585769105524</v>
      </c>
      <c r="F6098" s="8" t="str">
        <f>HYPERLINK("https://esbl.nhlbi.nih.gov/Databases/mpkFractions/proteomic_fractions_log_files/Yang_log_img/6679583.jpg","show blot")</f>
        <v>show blot</v>
      </c>
      <c r="H6098" s="8" t="str">
        <f>HYPERLINK("https://esbl.nhlbi.nih.gov/Databases/mpkFractions/proteomic_fractions_linear_files/Yang_linear_img/6679583.jpg","show blot")</f>
        <v>show blot</v>
      </c>
      <c r="J6098" s="5" t="s">
        <v>11981</v>
      </c>
      <c r="L6098" s="11">
        <v>6.6162585769105524</v>
      </c>
      <c r="N6098" s="12"/>
    </row>
    <row r="6099" spans="1:14" s="5" customFormat="1" ht="15" customHeight="1" x14ac:dyDescent="0.25">
      <c r="A6099" s="9" t="s">
        <v>11982</v>
      </c>
      <c r="C6099" s="9" t="str">
        <f>HYPERLINK("http://www.ncbi.nlm.nih.gov/protein/124249097","Rab11fip1")</f>
        <v>Rab11fip1</v>
      </c>
      <c r="D6099" s="10">
        <f t="shared" si="95"/>
        <v>2.1324581251946739</v>
      </c>
      <c r="F6099" s="8" t="str">
        <f>HYPERLINK("https://esbl.nhlbi.nih.gov/Databases/mpkFractions/proteomic_fractions_log_files/Yang_log_img/124249097.jpg","show blot")</f>
        <v>show blot</v>
      </c>
      <c r="H6099" s="8" t="str">
        <f>HYPERLINK("https://esbl.nhlbi.nih.gov/Databases/mpkFractions/proteomic_fractions_linear_files/Yang_linear_img/124249097.jpg","show blot")</f>
        <v>show blot</v>
      </c>
      <c r="J6099" s="5" t="s">
        <v>11983</v>
      </c>
      <c r="L6099" s="11">
        <v>2.1324581251946739</v>
      </c>
      <c r="N6099" s="12"/>
    </row>
    <row r="6100" spans="1:14" s="5" customFormat="1" ht="15" customHeight="1" x14ac:dyDescent="0.25">
      <c r="A6100" s="9" t="s">
        <v>11984</v>
      </c>
      <c r="C6100" s="9" t="str">
        <f>HYPERLINK("http://www.ncbi.nlm.nih.gov/protein/297206826","Rab11fip1")</f>
        <v>Rab11fip1</v>
      </c>
      <c r="D6100" s="10">
        <f t="shared" si="95"/>
        <v>2.1324581251946739</v>
      </c>
      <c r="F6100" s="8" t="str">
        <f>HYPERLINK("https://esbl.nhlbi.nih.gov/Databases/mpkFractions/proteomic_fractions_log_files/Yang_log_img/297206826.jpg","show blot")</f>
        <v>show blot</v>
      </c>
      <c r="H6100" s="8" t="str">
        <f>HYPERLINK("https://esbl.nhlbi.nih.gov/Databases/mpkFractions/proteomic_fractions_linear_files/Yang_linear_img/297206826.jpg","show blot")</f>
        <v>show blot</v>
      </c>
      <c r="J6100" s="5" t="s">
        <v>11985</v>
      </c>
      <c r="L6100" s="11">
        <v>2.1324581251946739</v>
      </c>
      <c r="N6100" s="12"/>
    </row>
    <row r="6101" spans="1:14" s="5" customFormat="1" ht="15" customHeight="1" x14ac:dyDescent="0.25">
      <c r="A6101" s="9" t="s">
        <v>11986</v>
      </c>
      <c r="C6101" s="9" t="str">
        <f>HYPERLINK("http://www.ncbi.nlm.nih.gov/protein/256773180","Rab11fip2")</f>
        <v>Rab11fip2</v>
      </c>
      <c r="D6101" s="10">
        <f t="shared" si="95"/>
        <v>1.3324384599156049</v>
      </c>
      <c r="F6101" s="8" t="str">
        <f>HYPERLINK("https://esbl.nhlbi.nih.gov/Databases/mpkFractions/proteomic_fractions_log_files/Yang_log_img/256773180.jpg","show blot")</f>
        <v>show blot</v>
      </c>
      <c r="H6101" s="8" t="str">
        <f>HYPERLINK("https://esbl.nhlbi.nih.gov/Databases/mpkFractions/proteomic_fractions_linear_files/Yang_linear_img/256773180.jpg","show blot")</f>
        <v>show blot</v>
      </c>
      <c r="J6101" s="5" t="s">
        <v>11987</v>
      </c>
      <c r="L6101" s="11">
        <v>1.3324384599156049</v>
      </c>
      <c r="N6101" s="12"/>
    </row>
    <row r="6102" spans="1:14" s="5" customFormat="1" ht="15" customHeight="1" x14ac:dyDescent="0.25">
      <c r="A6102" s="9" t="s">
        <v>11988</v>
      </c>
      <c r="C6102" s="9" t="str">
        <f>HYPERLINK("http://www.ncbi.nlm.nih.gov/protein/256773182","Rab11fip2")</f>
        <v>Rab11fip2</v>
      </c>
      <c r="D6102" s="10">
        <f t="shared" si="95"/>
        <v>1.3324384599156049</v>
      </c>
      <c r="F6102" s="8" t="str">
        <f>HYPERLINK("https://esbl.nhlbi.nih.gov/Databases/mpkFractions/proteomic_fractions_log_files/Yang_log_img/256773182.jpg","show blot")</f>
        <v>show blot</v>
      </c>
      <c r="H6102" s="8" t="str">
        <f>HYPERLINK("https://esbl.nhlbi.nih.gov/Databases/mpkFractions/proteomic_fractions_linear_files/Yang_linear_img/256773182.jpg","show blot")</f>
        <v>show blot</v>
      </c>
      <c r="J6102" s="5" t="s">
        <v>11989</v>
      </c>
      <c r="L6102" s="11">
        <v>1.3324384599156049</v>
      </c>
      <c r="N6102" s="12"/>
    </row>
    <row r="6103" spans="1:14" s="5" customFormat="1" ht="15" customHeight="1" x14ac:dyDescent="0.25">
      <c r="A6103" s="9" t="s">
        <v>11990</v>
      </c>
      <c r="C6103" s="9" t="str">
        <f>HYPERLINK("http://www.ncbi.nlm.nih.gov/protein/106507168","Rab12")</f>
        <v>Rab12</v>
      </c>
      <c r="D6103" s="10">
        <f t="shared" si="95"/>
        <v>6.564861367544629</v>
      </c>
      <c r="F6103" s="8" t="str">
        <f>HYPERLINK("https://esbl.nhlbi.nih.gov/Databases/mpkFractions/proteomic_fractions_log_files/Yang_log_img/106507168.jpg","show blot")</f>
        <v>show blot</v>
      </c>
      <c r="H6103" s="8" t="str">
        <f>HYPERLINK("https://esbl.nhlbi.nih.gov/Databases/mpkFractions/proteomic_fractions_linear_files/Yang_linear_img/106507168.jpg","show blot")</f>
        <v>show blot</v>
      </c>
      <c r="J6103" s="5" t="s">
        <v>11991</v>
      </c>
      <c r="L6103" s="11">
        <v>6.564861367544629</v>
      </c>
      <c r="N6103" s="12"/>
    </row>
    <row r="6104" spans="1:14" s="5" customFormat="1" ht="15" customHeight="1" x14ac:dyDescent="0.25">
      <c r="A6104" s="9" t="s">
        <v>11992</v>
      </c>
      <c r="C6104" s="9" t="str">
        <f>HYPERLINK("http://www.ncbi.nlm.nih.gov/protein/21311975","Rab13")</f>
        <v>Rab13</v>
      </c>
      <c r="D6104" s="10">
        <f t="shared" si="95"/>
        <v>6.3035007790375737</v>
      </c>
      <c r="F6104" s="8" t="str">
        <f>HYPERLINK("https://esbl.nhlbi.nih.gov/Databases/mpkFractions/proteomic_fractions_log_files/Yang_log_img/21311975.jpg","show blot")</f>
        <v>show blot</v>
      </c>
      <c r="H6104" s="8" t="str">
        <f>HYPERLINK("https://esbl.nhlbi.nih.gov/Databases/mpkFractions/proteomic_fractions_linear_files/Yang_linear_img/21311975.jpg","show blot")</f>
        <v>show blot</v>
      </c>
      <c r="J6104" s="5" t="s">
        <v>11993</v>
      </c>
      <c r="L6104" s="11">
        <v>6.3035007790375737</v>
      </c>
      <c r="N6104" s="12"/>
    </row>
    <row r="6105" spans="1:14" s="5" customFormat="1" ht="15" customHeight="1" x14ac:dyDescent="0.25">
      <c r="A6105" s="9" t="s">
        <v>11994</v>
      </c>
      <c r="C6105" s="9" t="str">
        <f>HYPERLINK("http://www.ncbi.nlm.nih.gov/protein/18390323","Rab14")</f>
        <v>Rab14</v>
      </c>
      <c r="D6105" s="10">
        <f t="shared" si="95"/>
        <v>6.7884327631383528</v>
      </c>
      <c r="F6105" s="8" t="str">
        <f>HYPERLINK("https://esbl.nhlbi.nih.gov/Databases/mpkFractions/proteomic_fractions_log_files/Yang_log_img/18390323.jpg","show blot")</f>
        <v>show blot</v>
      </c>
      <c r="H6105" s="8" t="str">
        <f>HYPERLINK("https://esbl.nhlbi.nih.gov/Databases/mpkFractions/proteomic_fractions_linear_files/Yang_linear_img/18390323.jpg","show blot")</f>
        <v>show blot</v>
      </c>
      <c r="J6105" s="5" t="s">
        <v>11995</v>
      </c>
      <c r="L6105" s="11">
        <v>6.7884327631383528</v>
      </c>
      <c r="N6105" s="12"/>
    </row>
    <row r="6106" spans="1:14" s="5" customFormat="1" ht="15" customHeight="1" x14ac:dyDescent="0.25">
      <c r="A6106" s="9" t="s">
        <v>11996</v>
      </c>
      <c r="C6106" s="9" t="str">
        <f>HYPERLINK("http://www.ncbi.nlm.nih.gov/protein/165377074","Rab15")</f>
        <v>Rab15</v>
      </c>
      <c r="D6106" s="10">
        <f t="shared" si="95"/>
        <v>6.7623874866902423</v>
      </c>
      <c r="F6106" s="8" t="str">
        <f>HYPERLINK("https://esbl.nhlbi.nih.gov/Databases/mpkFractions/proteomic_fractions_log_files/Yang_log_img/165377074.jpg","show blot")</f>
        <v>show blot</v>
      </c>
      <c r="H6106" s="8" t="str">
        <f>HYPERLINK("https://esbl.nhlbi.nih.gov/Databases/mpkFractions/proteomic_fractions_linear_files/Yang_linear_img/165377074.jpg","show blot")</f>
        <v>show blot</v>
      </c>
      <c r="J6106" s="5" t="s">
        <v>11997</v>
      </c>
      <c r="L6106" s="11">
        <v>6.7623874866902423</v>
      </c>
      <c r="N6106" s="12"/>
    </row>
    <row r="6107" spans="1:14" s="5" customFormat="1" ht="15" customHeight="1" x14ac:dyDescent="0.25">
      <c r="A6107" s="9" t="s">
        <v>11998</v>
      </c>
      <c r="C6107" s="9" t="str">
        <f>HYPERLINK("http://www.ncbi.nlm.nih.gov/protein/229577224","Rab17")</f>
        <v>Rab17</v>
      </c>
      <c r="D6107" s="10">
        <f t="shared" si="95"/>
        <v>4.4628397656347438</v>
      </c>
      <c r="F6107" s="8" t="str">
        <f>HYPERLINK("https://esbl.nhlbi.nih.gov/Databases/mpkFractions/proteomic_fractions_log_files/Yang_log_img/229577224.jpg","show blot")</f>
        <v>show blot</v>
      </c>
      <c r="H6107" s="8" t="str">
        <f>HYPERLINK("https://esbl.nhlbi.nih.gov/Databases/mpkFractions/proteomic_fractions_linear_files/Yang_linear_img/229577224.jpg","show blot")</f>
        <v>show blot</v>
      </c>
      <c r="J6107" s="5" t="s">
        <v>11999</v>
      </c>
      <c r="L6107" s="11">
        <v>4.4628397656347438</v>
      </c>
      <c r="N6107" s="12"/>
    </row>
    <row r="6108" spans="1:14" s="5" customFormat="1" ht="15" customHeight="1" x14ac:dyDescent="0.25">
      <c r="A6108" s="9" t="s">
        <v>12000</v>
      </c>
      <c r="C6108" s="9" t="str">
        <f>HYPERLINK("http://www.ncbi.nlm.nih.gov/protein/510936915","Rab18")</f>
        <v>Rab18</v>
      </c>
      <c r="D6108" s="10">
        <f t="shared" si="95"/>
        <v>5.7281374772365163</v>
      </c>
      <c r="F6108" s="8" t="str">
        <f>HYPERLINK("https://esbl.nhlbi.nih.gov/Databases/mpkFractions/proteomic_fractions_log_files/Yang_log_img/510936915.jpg","show blot")</f>
        <v>show blot</v>
      </c>
      <c r="H6108" s="8" t="str">
        <f>HYPERLINK("https://esbl.nhlbi.nih.gov/Databases/mpkFractions/proteomic_fractions_linear_files/Yang_linear_img/510936915.jpg","show blot")</f>
        <v>show blot</v>
      </c>
      <c r="J6108" s="5" t="s">
        <v>12001</v>
      </c>
      <c r="L6108" s="11">
        <v>5.7281374772365163</v>
      </c>
      <c r="N6108" s="12"/>
    </row>
    <row r="6109" spans="1:14" s="5" customFormat="1" ht="15" customHeight="1" x14ac:dyDescent="0.25">
      <c r="A6109" s="9" t="s">
        <v>12002</v>
      </c>
      <c r="C6109" s="9" t="str">
        <f>HYPERLINK("http://www.ncbi.nlm.nih.gov/protein/30841008","Rab18")</f>
        <v>Rab18</v>
      </c>
      <c r="D6109" s="10">
        <f t="shared" si="95"/>
        <v>5.7281374772365163</v>
      </c>
      <c r="F6109" s="8" t="str">
        <f>HYPERLINK("https://esbl.nhlbi.nih.gov/Databases/mpkFractions/proteomic_fractions_log_files/Yang_log_img/30841008.jpg","show blot")</f>
        <v>show blot</v>
      </c>
      <c r="H6109" s="8" t="str">
        <f>HYPERLINK("https://esbl.nhlbi.nih.gov/Databases/mpkFractions/proteomic_fractions_linear_files/Yang_linear_img/30841008.jpg","show blot")</f>
        <v>show blot</v>
      </c>
      <c r="J6109" s="5" t="s">
        <v>12003</v>
      </c>
      <c r="L6109" s="11">
        <v>5.7281374772365163</v>
      </c>
      <c r="N6109" s="12"/>
    </row>
    <row r="6110" spans="1:14" s="5" customFormat="1" ht="15" customHeight="1" x14ac:dyDescent="0.25">
      <c r="A6110" s="9" t="s">
        <v>12004</v>
      </c>
      <c r="C6110" s="9" t="str">
        <f>HYPERLINK("http://www.ncbi.nlm.nih.gov/protein/33859608","Rab19")</f>
        <v>Rab19</v>
      </c>
      <c r="D6110" s="10">
        <f t="shared" si="95"/>
        <v>3.8413143159826402</v>
      </c>
      <c r="F6110" s="8" t="str">
        <f>HYPERLINK("https://esbl.nhlbi.nih.gov/Databases/mpkFractions/proteomic_fractions_log_files/Yang_log_img/33859608.jpg","show blot")</f>
        <v>show blot</v>
      </c>
      <c r="H6110" s="8" t="str">
        <f>HYPERLINK("https://esbl.nhlbi.nih.gov/Databases/mpkFractions/proteomic_fractions_linear_files/Yang_linear_img/33859608.jpg","show blot")</f>
        <v>show blot</v>
      </c>
      <c r="J6110" s="5" t="s">
        <v>12005</v>
      </c>
      <c r="L6110" s="11">
        <v>3.8413143159826402</v>
      </c>
      <c r="N6110" s="12"/>
    </row>
    <row r="6111" spans="1:14" s="5" customFormat="1" ht="15" customHeight="1" x14ac:dyDescent="0.25">
      <c r="A6111" s="9" t="s">
        <v>12006</v>
      </c>
      <c r="C6111" s="9" t="str">
        <f>HYPERLINK("http://www.ncbi.nlm.nih.gov/protein/21313162","Rab1b")</f>
        <v>Rab1b</v>
      </c>
      <c r="D6111" s="10">
        <f t="shared" si="95"/>
        <v>6.9646732480313647</v>
      </c>
      <c r="F6111" s="8" t="str">
        <f>HYPERLINK("https://esbl.nhlbi.nih.gov/Databases/mpkFractions/proteomic_fractions_log_files/Yang_log_img/21313162.jpg","show blot")</f>
        <v>show blot</v>
      </c>
      <c r="H6111" s="8" t="str">
        <f>HYPERLINK("https://esbl.nhlbi.nih.gov/Databases/mpkFractions/proteomic_fractions_linear_files/Yang_linear_img/21313162.jpg","show blot")</f>
        <v>show blot</v>
      </c>
      <c r="J6111" s="5" t="s">
        <v>12007</v>
      </c>
      <c r="L6111" s="11">
        <v>6.9646732480313647</v>
      </c>
      <c r="N6111" s="12"/>
    </row>
    <row r="6112" spans="1:14" s="5" customFormat="1" ht="15" customHeight="1" x14ac:dyDescent="0.25">
      <c r="A6112" s="9" t="s">
        <v>12008</v>
      </c>
      <c r="C6112" s="9" t="str">
        <f>HYPERLINK("http://www.ncbi.nlm.nih.gov/protein/45593126","Rab20")</f>
        <v>Rab20</v>
      </c>
      <c r="D6112" s="10">
        <f t="shared" si="95"/>
        <v>3.9625909662197509</v>
      </c>
      <c r="F6112" s="8" t="str">
        <f>HYPERLINK("https://esbl.nhlbi.nih.gov/Databases/mpkFractions/proteomic_fractions_log_files/Yang_log_img/45593126.jpg","show blot")</f>
        <v>show blot</v>
      </c>
      <c r="H6112" s="8" t="str">
        <f>HYPERLINK("https://esbl.nhlbi.nih.gov/Databases/mpkFractions/proteomic_fractions_linear_files/Yang_linear_img/45593126.jpg","show blot")</f>
        <v>show blot</v>
      </c>
      <c r="J6112" s="5" t="s">
        <v>12009</v>
      </c>
      <c r="L6112" s="11">
        <v>3.9625909662197509</v>
      </c>
      <c r="N6112" s="12"/>
    </row>
    <row r="6113" spans="1:14" s="5" customFormat="1" ht="15" customHeight="1" x14ac:dyDescent="0.25">
      <c r="A6113" s="9" t="s">
        <v>12010</v>
      </c>
      <c r="C6113" s="9" t="str">
        <f>HYPERLINK("http://www.ncbi.nlm.nih.gov/protein/33859751","Rab21")</f>
        <v>Rab21</v>
      </c>
      <c r="D6113" s="10">
        <f t="shared" si="95"/>
        <v>5.6811201799780138</v>
      </c>
      <c r="F6113" s="8" t="str">
        <f>HYPERLINK("https://esbl.nhlbi.nih.gov/Databases/mpkFractions/proteomic_fractions_log_files/Yang_log_img/33859751.jpg","show blot")</f>
        <v>show blot</v>
      </c>
      <c r="H6113" s="8" t="str">
        <f>HYPERLINK("https://esbl.nhlbi.nih.gov/Databases/mpkFractions/proteomic_fractions_linear_files/Yang_linear_img/33859751.jpg","show blot")</f>
        <v>show blot</v>
      </c>
      <c r="J6113" s="5" t="s">
        <v>12011</v>
      </c>
      <c r="L6113" s="11">
        <v>5.6811201799780138</v>
      </c>
      <c r="N6113" s="12"/>
    </row>
    <row r="6114" spans="1:14" s="5" customFormat="1" ht="15" customHeight="1" x14ac:dyDescent="0.25">
      <c r="A6114" s="9" t="s">
        <v>12012</v>
      </c>
      <c r="C6114" s="9" t="str">
        <f>HYPERLINK("http://www.ncbi.nlm.nih.gov/protein/148747177","Rab22a")</f>
        <v>Rab22a</v>
      </c>
      <c r="D6114" s="10">
        <f t="shared" si="95"/>
        <v>4.9194906976520114</v>
      </c>
      <c r="F6114" s="8" t="str">
        <f>HYPERLINK("https://esbl.nhlbi.nih.gov/Databases/mpkFractions/proteomic_fractions_log_files/Yang_log_img/148747177.jpg","show blot")</f>
        <v>show blot</v>
      </c>
      <c r="H6114" s="8" t="str">
        <f>HYPERLINK("https://esbl.nhlbi.nih.gov/Databases/mpkFractions/proteomic_fractions_linear_files/Yang_linear_img/148747177.jpg","show blot")</f>
        <v>show blot</v>
      </c>
      <c r="J6114" s="5" t="s">
        <v>12013</v>
      </c>
      <c r="L6114" s="11">
        <v>4.9194906976520114</v>
      </c>
      <c r="N6114" s="12"/>
    </row>
    <row r="6115" spans="1:14" s="5" customFormat="1" ht="15" customHeight="1" x14ac:dyDescent="0.25">
      <c r="A6115" s="9" t="s">
        <v>12014</v>
      </c>
      <c r="C6115" s="9" t="str">
        <f>HYPERLINK("http://www.ncbi.nlm.nih.gov/protein/31543565","Rab23")</f>
        <v>Rab23</v>
      </c>
      <c r="D6115" s="10">
        <f t="shared" si="95"/>
        <v>4.1784315165903516</v>
      </c>
      <c r="F6115" s="8" t="str">
        <f>HYPERLINK("https://esbl.nhlbi.nih.gov/Databases/mpkFractions/proteomic_fractions_log_files/Yang_log_img/31543565.jpg","show blot")</f>
        <v>show blot</v>
      </c>
      <c r="H6115" s="8" t="str">
        <f>HYPERLINK("https://esbl.nhlbi.nih.gov/Databases/mpkFractions/proteomic_fractions_linear_files/Yang_linear_img/31543565.jpg","show blot")</f>
        <v>show blot</v>
      </c>
      <c r="J6115" s="5" t="s">
        <v>12015</v>
      </c>
      <c r="L6115" s="11">
        <v>4.1784315165903516</v>
      </c>
      <c r="N6115" s="12"/>
    </row>
    <row r="6116" spans="1:14" s="5" customFormat="1" ht="15" customHeight="1" x14ac:dyDescent="0.25">
      <c r="A6116" s="9" t="s">
        <v>12016</v>
      </c>
      <c r="C6116" s="9" t="str">
        <f>HYPERLINK("http://www.ncbi.nlm.nih.gov/protein/6679591","Rab24")</f>
        <v>Rab24</v>
      </c>
      <c r="D6116" s="10">
        <f t="shared" si="95"/>
        <v>4.6299691641117597</v>
      </c>
      <c r="F6116" s="8" t="str">
        <f>HYPERLINK("https://esbl.nhlbi.nih.gov/Databases/mpkFractions/proteomic_fractions_log_files/Yang_log_img/6679591.jpg","show blot")</f>
        <v>show blot</v>
      </c>
      <c r="H6116" s="8" t="str">
        <f>HYPERLINK("https://esbl.nhlbi.nih.gov/Databases/mpkFractions/proteomic_fractions_linear_files/Yang_linear_img/6679591.jpg","show blot")</f>
        <v>show blot</v>
      </c>
      <c r="J6116" s="5" t="s">
        <v>12017</v>
      </c>
      <c r="L6116" s="11">
        <v>4.6299691641117597</v>
      </c>
      <c r="N6116" s="12"/>
    </row>
    <row r="6117" spans="1:14" s="5" customFormat="1" ht="15" customHeight="1" x14ac:dyDescent="0.25">
      <c r="A6117" s="9" t="s">
        <v>12018</v>
      </c>
      <c r="C6117" s="9" t="str">
        <f>HYPERLINK("http://www.ncbi.nlm.nih.gov/protein/31980838","Rab25")</f>
        <v>Rab25</v>
      </c>
      <c r="D6117" s="10">
        <f t="shared" si="95"/>
        <v>5.8305831036775588</v>
      </c>
      <c r="F6117" s="8" t="str">
        <f>HYPERLINK("https://esbl.nhlbi.nih.gov/Databases/mpkFractions/proteomic_fractions_log_files/Yang_log_img/31980838.jpg","show blot")</f>
        <v>show blot</v>
      </c>
      <c r="H6117" s="8" t="str">
        <f>HYPERLINK("https://esbl.nhlbi.nih.gov/Databases/mpkFractions/proteomic_fractions_linear_files/Yang_linear_img/31980838.jpg","show blot")</f>
        <v>show blot</v>
      </c>
      <c r="J6117" s="5" t="s">
        <v>12019</v>
      </c>
      <c r="L6117" s="11">
        <v>5.8305831036775588</v>
      </c>
      <c r="N6117" s="12"/>
    </row>
    <row r="6118" spans="1:14" s="5" customFormat="1" ht="15" customHeight="1" x14ac:dyDescent="0.25">
      <c r="A6118" s="9" t="s">
        <v>12020</v>
      </c>
      <c r="C6118" s="9" t="str">
        <f>HYPERLINK("http://www.ncbi.nlm.nih.gov/protein/254939698","Rab26")</f>
        <v>Rab26</v>
      </c>
      <c r="D6118" s="10">
        <f t="shared" si="95"/>
        <v>6.5401073105721359</v>
      </c>
      <c r="F6118" s="8" t="str">
        <f>HYPERLINK("https://esbl.nhlbi.nih.gov/Databases/mpkFractions/proteomic_fractions_log_files/Yang_log_img/254939698.jpg","show blot")</f>
        <v>show blot</v>
      </c>
      <c r="H6118" s="8" t="str">
        <f>HYPERLINK("https://esbl.nhlbi.nih.gov/Databases/mpkFractions/proteomic_fractions_linear_files/Yang_linear_img/254939698.jpg","show blot")</f>
        <v>show blot</v>
      </c>
      <c r="J6118" s="5" t="s">
        <v>12021</v>
      </c>
      <c r="L6118" s="11">
        <v>6.5401073105721359</v>
      </c>
      <c r="N6118" s="12"/>
    </row>
    <row r="6119" spans="1:14" s="5" customFormat="1" ht="15" customHeight="1" x14ac:dyDescent="0.25">
      <c r="A6119" s="9" t="s">
        <v>12022</v>
      </c>
      <c r="C6119" s="9" t="str">
        <f>HYPERLINK("http://www.ncbi.nlm.nih.gov/protein/13128964","Rab27a")</f>
        <v>Rab27a</v>
      </c>
      <c r="D6119" s="10">
        <f t="shared" si="95"/>
        <v>4.2776701684830174</v>
      </c>
      <c r="F6119" s="8" t="str">
        <f>HYPERLINK("https://esbl.nhlbi.nih.gov/Databases/mpkFractions/proteomic_fractions_log_files/Yang_log_img/13128964.jpg","show blot")</f>
        <v>show blot</v>
      </c>
      <c r="H6119" s="8" t="str">
        <f>HYPERLINK("https://esbl.nhlbi.nih.gov/Databases/mpkFractions/proteomic_fractions_linear_files/Yang_linear_img/13128964.jpg","show blot")</f>
        <v>show blot</v>
      </c>
      <c r="J6119" s="5" t="s">
        <v>12023</v>
      </c>
      <c r="L6119" s="11">
        <v>4.2776701684830174</v>
      </c>
      <c r="N6119" s="12"/>
    </row>
    <row r="6120" spans="1:14" s="5" customFormat="1" ht="15" customHeight="1" x14ac:dyDescent="0.25">
      <c r="A6120" s="9" t="s">
        <v>12024</v>
      </c>
      <c r="C6120" s="9" t="str">
        <f>HYPERLINK("http://www.ncbi.nlm.nih.gov/protein/127138858","Rab27b")</f>
        <v>Rab27b</v>
      </c>
      <c r="D6120" s="10">
        <f t="shared" si="95"/>
        <v>4.3304060895975676</v>
      </c>
      <c r="F6120" s="8" t="str">
        <f>HYPERLINK("https://esbl.nhlbi.nih.gov/Databases/mpkFractions/proteomic_fractions_log_files/Yang_log_img/127138858.jpg","show blot")</f>
        <v>show blot</v>
      </c>
      <c r="H6120" s="8" t="str">
        <f>HYPERLINK("https://esbl.nhlbi.nih.gov/Databases/mpkFractions/proteomic_fractions_linear_files/Yang_linear_img/127138858.jpg","show blot")</f>
        <v>show blot</v>
      </c>
      <c r="J6120" s="5" t="s">
        <v>12025</v>
      </c>
      <c r="L6120" s="11">
        <v>4.3304060895975676</v>
      </c>
      <c r="N6120" s="12"/>
    </row>
    <row r="6121" spans="1:14" s="5" customFormat="1" ht="15" customHeight="1" x14ac:dyDescent="0.25">
      <c r="A6121" s="9" t="s">
        <v>12026</v>
      </c>
      <c r="C6121" s="9" t="str">
        <f>HYPERLINK("http://www.ncbi.nlm.nih.gov/protein/58037191","Rab28")</f>
        <v>Rab28</v>
      </c>
      <c r="D6121" s="10">
        <f t="shared" si="95"/>
        <v>4.5282553098928142</v>
      </c>
      <c r="F6121" s="8" t="str">
        <f>HYPERLINK("https://esbl.nhlbi.nih.gov/Databases/mpkFractions/proteomic_fractions_log_files/Yang_log_img/58037191.jpg","show blot")</f>
        <v>show blot</v>
      </c>
      <c r="H6121" s="8" t="str">
        <f>HYPERLINK("https://esbl.nhlbi.nih.gov/Databases/mpkFractions/proteomic_fractions_linear_files/Yang_linear_img/58037191.jpg","show blot")</f>
        <v>show blot</v>
      </c>
      <c r="J6121" s="5" t="s">
        <v>12027</v>
      </c>
      <c r="L6121" s="11">
        <v>4.5282553098928142</v>
      </c>
      <c r="N6121" s="12"/>
    </row>
    <row r="6122" spans="1:14" s="5" customFormat="1" ht="15" customHeight="1" x14ac:dyDescent="0.25">
      <c r="A6122" s="9" t="s">
        <v>12028</v>
      </c>
      <c r="C6122" s="9" t="str">
        <f>HYPERLINK("http://www.ncbi.nlm.nih.gov/protein/10946940","Rab2a")</f>
        <v>Rab2a</v>
      </c>
      <c r="D6122" s="10">
        <f t="shared" si="95"/>
        <v>6.180068671848157</v>
      </c>
      <c r="F6122" s="8" t="str">
        <f>HYPERLINK("https://esbl.nhlbi.nih.gov/Databases/mpkFractions/proteomic_fractions_log_files/Yang_log_img/10946940.jpg","show blot")</f>
        <v>show blot</v>
      </c>
      <c r="H6122" s="8" t="str">
        <f>HYPERLINK("https://esbl.nhlbi.nih.gov/Databases/mpkFractions/proteomic_fractions_linear_files/Yang_linear_img/10946940.jpg","show blot")</f>
        <v>show blot</v>
      </c>
      <c r="J6122" s="5" t="s">
        <v>12029</v>
      </c>
      <c r="L6122" s="11">
        <v>6.180068671848157</v>
      </c>
      <c r="N6122" s="12"/>
    </row>
    <row r="6123" spans="1:14" s="5" customFormat="1" ht="15" customHeight="1" x14ac:dyDescent="0.25">
      <c r="A6123" s="9" t="s">
        <v>12030</v>
      </c>
      <c r="C6123" s="9" t="str">
        <f>HYPERLINK("http://www.ncbi.nlm.nih.gov/protein/30525051","Rab2b")</f>
        <v>Rab2b</v>
      </c>
      <c r="D6123" s="10">
        <f t="shared" si="95"/>
        <v>5.7629826272745666</v>
      </c>
      <c r="F6123" s="8" t="str">
        <f>HYPERLINK("https://esbl.nhlbi.nih.gov/Databases/mpkFractions/proteomic_fractions_log_files/Yang_log_img/30525051.jpg","show blot")</f>
        <v>show blot</v>
      </c>
      <c r="H6123" s="8" t="str">
        <f>HYPERLINK("https://esbl.nhlbi.nih.gov/Databases/mpkFractions/proteomic_fractions_linear_files/Yang_linear_img/30525051.jpg","show blot")</f>
        <v>show blot</v>
      </c>
      <c r="J6123" s="5" t="s">
        <v>12031</v>
      </c>
      <c r="L6123" s="11">
        <v>5.7629826272745666</v>
      </c>
      <c r="N6123" s="12"/>
    </row>
    <row r="6124" spans="1:14" s="5" customFormat="1" ht="15" customHeight="1" x14ac:dyDescent="0.25">
      <c r="A6124" s="9" t="s">
        <v>12032</v>
      </c>
      <c r="C6124" s="9" t="str">
        <f>HYPERLINK("http://www.ncbi.nlm.nih.gov/protein/31560778","Rab30")</f>
        <v>Rab30</v>
      </c>
      <c r="D6124" s="10">
        <f t="shared" si="95"/>
        <v>6.6256155741431</v>
      </c>
      <c r="F6124" s="8" t="str">
        <f>HYPERLINK("https://esbl.nhlbi.nih.gov/Databases/mpkFractions/proteomic_fractions_log_files/Yang_log_img/31560778.jpg","show blot")</f>
        <v>show blot</v>
      </c>
      <c r="H6124" s="8" t="str">
        <f>HYPERLINK("https://esbl.nhlbi.nih.gov/Databases/mpkFractions/proteomic_fractions_linear_files/Yang_linear_img/31560778.jpg","show blot")</f>
        <v>show blot</v>
      </c>
      <c r="J6124" s="5" t="s">
        <v>12033</v>
      </c>
      <c r="L6124" s="11">
        <v>6.6256155741431</v>
      </c>
      <c r="N6124" s="12"/>
    </row>
    <row r="6125" spans="1:14" s="5" customFormat="1" ht="15" customHeight="1" x14ac:dyDescent="0.25">
      <c r="A6125" s="9" t="s">
        <v>12034</v>
      </c>
      <c r="C6125" s="9" t="str">
        <f>HYPERLINK("http://www.ncbi.nlm.nih.gov/protein/225579124","Rab31")</f>
        <v>Rab31</v>
      </c>
      <c r="D6125" s="10">
        <f t="shared" si="95"/>
        <v>4.8868001377930828</v>
      </c>
      <c r="F6125" s="8" t="str">
        <f>HYPERLINK("https://esbl.nhlbi.nih.gov/Databases/mpkFractions/proteomic_fractions_log_files/Yang_log_img/225579124.jpg","show blot")</f>
        <v>show blot</v>
      </c>
      <c r="H6125" s="8" t="str">
        <f>HYPERLINK("https://esbl.nhlbi.nih.gov/Databases/mpkFractions/proteomic_fractions_linear_files/Yang_linear_img/225579124.jpg","show blot")</f>
        <v>show blot</v>
      </c>
      <c r="J6125" s="5" t="s">
        <v>12035</v>
      </c>
      <c r="L6125" s="11">
        <v>4.8868001377930828</v>
      </c>
      <c r="N6125" s="12"/>
    </row>
    <row r="6126" spans="1:14" s="5" customFormat="1" ht="15" customHeight="1" x14ac:dyDescent="0.25">
      <c r="A6126" s="9" t="s">
        <v>12036</v>
      </c>
      <c r="C6126" s="9" t="str">
        <f>HYPERLINK("http://www.ncbi.nlm.nih.gov/protein/13385896","Rab32")</f>
        <v>Rab32</v>
      </c>
      <c r="D6126" s="10">
        <f t="shared" si="95"/>
        <v>3.6114857420274431</v>
      </c>
      <c r="F6126" s="8" t="str">
        <f>HYPERLINK("https://esbl.nhlbi.nih.gov/Databases/mpkFractions/proteomic_fractions_log_files/Yang_log_img/13385896.jpg","show blot")</f>
        <v>show blot</v>
      </c>
      <c r="H6126" s="8" t="str">
        <f>HYPERLINK("https://esbl.nhlbi.nih.gov/Databases/mpkFractions/proteomic_fractions_linear_files/Yang_linear_img/13385896.jpg","show blot")</f>
        <v>show blot</v>
      </c>
      <c r="J6126" s="5" t="s">
        <v>12037</v>
      </c>
      <c r="L6126" s="11">
        <v>3.6114857420274431</v>
      </c>
      <c r="N6126" s="12"/>
    </row>
    <row r="6127" spans="1:14" s="5" customFormat="1" ht="15" customHeight="1" x14ac:dyDescent="0.25">
      <c r="A6127" s="9" t="s">
        <v>12038</v>
      </c>
      <c r="C6127" s="9" t="str">
        <f>HYPERLINK("http://www.ncbi.nlm.nih.gov/protein/6755260","Rab33a")</f>
        <v>Rab33a</v>
      </c>
      <c r="D6127" s="10">
        <f t="shared" si="95"/>
        <v>3.407985421308136</v>
      </c>
      <c r="F6127" s="8" t="str">
        <f>HYPERLINK("https://esbl.nhlbi.nih.gov/Databases/mpkFractions/proteomic_fractions_log_files/Yang_log_img/6755260.jpg","show blot")</f>
        <v>show blot</v>
      </c>
      <c r="H6127" s="8" t="str">
        <f>HYPERLINK("https://esbl.nhlbi.nih.gov/Databases/mpkFractions/proteomic_fractions_linear_files/Yang_linear_img/6755260.jpg","show blot")</f>
        <v>show blot</v>
      </c>
      <c r="J6127" s="5" t="s">
        <v>12039</v>
      </c>
      <c r="L6127" s="11">
        <v>3.407985421308136</v>
      </c>
      <c r="N6127" s="12"/>
    </row>
    <row r="6128" spans="1:14" s="5" customFormat="1" ht="15" customHeight="1" x14ac:dyDescent="0.25">
      <c r="A6128" s="9" t="s">
        <v>12040</v>
      </c>
      <c r="C6128" s="9" t="str">
        <f>HYPERLINK("http://www.ncbi.nlm.nih.gov/protein/8394133","Rab33b")</f>
        <v>Rab33b</v>
      </c>
      <c r="D6128" s="10">
        <f t="shared" si="95"/>
        <v>6.5806604749401796</v>
      </c>
      <c r="F6128" s="8" t="str">
        <f>HYPERLINK("https://esbl.nhlbi.nih.gov/Databases/mpkFractions/proteomic_fractions_log_files/Yang_log_img/8394133.jpg","show blot")</f>
        <v>show blot</v>
      </c>
      <c r="H6128" s="8" t="str">
        <f>HYPERLINK("https://esbl.nhlbi.nih.gov/Databases/mpkFractions/proteomic_fractions_linear_files/Yang_linear_img/8394133.jpg","show blot")</f>
        <v>show blot</v>
      </c>
      <c r="J6128" s="5" t="s">
        <v>12041</v>
      </c>
      <c r="L6128" s="11">
        <v>6.5806604749401796</v>
      </c>
      <c r="N6128" s="12"/>
    </row>
    <row r="6129" spans="1:14" s="5" customFormat="1" ht="15" customHeight="1" x14ac:dyDescent="0.25">
      <c r="A6129" s="9" t="s">
        <v>12042</v>
      </c>
      <c r="C6129" s="9" t="str">
        <f>HYPERLINK("http://www.ncbi.nlm.nih.gov/protein/31560774","Rab34")</f>
        <v>Rab34</v>
      </c>
      <c r="D6129" s="10">
        <f t="shared" si="95"/>
        <v>2.9742390620657009</v>
      </c>
      <c r="F6129" s="8" t="str">
        <f>HYPERLINK("https://esbl.nhlbi.nih.gov/Databases/mpkFractions/proteomic_fractions_log_files/Yang_log_img/31560774.jpg","show blot")</f>
        <v>show blot</v>
      </c>
      <c r="H6129" s="8" t="str">
        <f>HYPERLINK("https://esbl.nhlbi.nih.gov/Databases/mpkFractions/proteomic_fractions_linear_files/Yang_linear_img/31560774.jpg","show blot")</f>
        <v>show blot</v>
      </c>
      <c r="J6129" s="5" t="s">
        <v>12043</v>
      </c>
      <c r="L6129" s="11">
        <v>2.9742390620657009</v>
      </c>
      <c r="N6129" s="12"/>
    </row>
    <row r="6130" spans="1:14" s="5" customFormat="1" ht="15" customHeight="1" x14ac:dyDescent="0.25">
      <c r="A6130" s="9" t="s">
        <v>12044</v>
      </c>
      <c r="C6130" s="9" t="str">
        <f>HYPERLINK("http://www.ncbi.nlm.nih.gov/protein/37718983","Rab35")</f>
        <v>Rab35</v>
      </c>
      <c r="D6130" s="10">
        <f t="shared" si="95"/>
        <v>6.8014940882451889</v>
      </c>
      <c r="F6130" s="8" t="str">
        <f>HYPERLINK("https://esbl.nhlbi.nih.gov/Databases/mpkFractions/proteomic_fractions_log_files/Yang_log_img/37718983.jpg","show blot")</f>
        <v>show blot</v>
      </c>
      <c r="H6130" s="8" t="str">
        <f>HYPERLINK("https://esbl.nhlbi.nih.gov/Databases/mpkFractions/proteomic_fractions_linear_files/Yang_linear_img/37718983.jpg","show blot")</f>
        <v>show blot</v>
      </c>
      <c r="J6130" s="5" t="s">
        <v>12045</v>
      </c>
      <c r="L6130" s="11">
        <v>6.8014940882451889</v>
      </c>
      <c r="N6130" s="12"/>
    </row>
    <row r="6131" spans="1:14" s="5" customFormat="1" ht="15" customHeight="1" x14ac:dyDescent="0.25">
      <c r="A6131" s="9" t="s">
        <v>12046</v>
      </c>
      <c r="C6131" s="9" t="str">
        <f>HYPERLINK("http://www.ncbi.nlm.nih.gov/protein/254939625","Rab37")</f>
        <v>Rab37</v>
      </c>
      <c r="D6131" s="10">
        <f t="shared" si="95"/>
        <v>6.607054100202749</v>
      </c>
      <c r="F6131" s="8" t="str">
        <f>HYPERLINK("https://esbl.nhlbi.nih.gov/Databases/mpkFractions/proteomic_fractions_log_files/Yang_log_img/254939625.jpg","show blot")</f>
        <v>show blot</v>
      </c>
      <c r="H6131" s="8" t="str">
        <f>HYPERLINK("https://esbl.nhlbi.nih.gov/Databases/mpkFractions/proteomic_fractions_linear_files/Yang_linear_img/254939625.jpg","show blot")</f>
        <v>show blot</v>
      </c>
      <c r="J6131" s="5" t="s">
        <v>12047</v>
      </c>
      <c r="L6131" s="11">
        <v>6.607054100202749</v>
      </c>
      <c r="N6131" s="12"/>
    </row>
    <row r="6132" spans="1:14" s="5" customFormat="1" ht="15" customHeight="1" x14ac:dyDescent="0.25">
      <c r="A6132" s="9" t="s">
        <v>12048</v>
      </c>
      <c r="C6132" s="9" t="str">
        <f>HYPERLINK("http://www.ncbi.nlm.nih.gov/protein/254939635","Rab37")</f>
        <v>Rab37</v>
      </c>
      <c r="D6132" s="10">
        <f t="shared" si="95"/>
        <v>6.607054100202749</v>
      </c>
      <c r="F6132" s="8" t="str">
        <f>HYPERLINK("https://esbl.nhlbi.nih.gov/Databases/mpkFractions/proteomic_fractions_log_files/Yang_log_img/254939635.jpg","show blot")</f>
        <v>show blot</v>
      </c>
      <c r="H6132" s="8" t="str">
        <f>HYPERLINK("https://esbl.nhlbi.nih.gov/Databases/mpkFractions/proteomic_fractions_linear_files/Yang_linear_img/254939635.jpg","show blot")</f>
        <v>show blot</v>
      </c>
      <c r="J6132" s="5" t="s">
        <v>12049</v>
      </c>
      <c r="L6132" s="11">
        <v>6.607054100202749</v>
      </c>
      <c r="N6132" s="12"/>
    </row>
    <row r="6133" spans="1:14" s="5" customFormat="1" ht="15" customHeight="1" x14ac:dyDescent="0.25">
      <c r="A6133" s="9" t="s">
        <v>12050</v>
      </c>
      <c r="C6133" s="9" t="str">
        <f>HYPERLINK("http://www.ncbi.nlm.nih.gov/protein/21105857","Rab38")</f>
        <v>Rab38</v>
      </c>
      <c r="D6133" s="10">
        <f t="shared" si="95"/>
        <v>3.6082499786418931</v>
      </c>
      <c r="F6133" s="8" t="str">
        <f>HYPERLINK("https://esbl.nhlbi.nih.gov/Databases/mpkFractions/proteomic_fractions_log_files/Yang_log_img/21105857.jpg","show blot")</f>
        <v>show blot</v>
      </c>
      <c r="H6133" s="8" t="str">
        <f>HYPERLINK("https://esbl.nhlbi.nih.gov/Databases/mpkFractions/proteomic_fractions_linear_files/Yang_linear_img/21105857.jpg","show blot")</f>
        <v>show blot</v>
      </c>
      <c r="J6133" s="5" t="s">
        <v>12051</v>
      </c>
      <c r="L6133" s="11">
        <v>3.6082499786418931</v>
      </c>
      <c r="N6133" s="12"/>
    </row>
    <row r="6134" spans="1:14" s="5" customFormat="1" ht="15" customHeight="1" x14ac:dyDescent="0.25">
      <c r="A6134" s="9" t="s">
        <v>12052</v>
      </c>
      <c r="C6134" s="9" t="str">
        <f>HYPERLINK("http://www.ncbi.nlm.nih.gov/protein/30425356","Rab39")</f>
        <v>Rab39</v>
      </c>
      <c r="D6134" s="10">
        <f t="shared" si="95"/>
        <v>6.5893253332423178</v>
      </c>
      <c r="F6134" s="8" t="str">
        <f>HYPERLINK("https://esbl.nhlbi.nih.gov/Databases/mpkFractions/proteomic_fractions_log_files/Yang_log_img/30425356.jpg","show blot")</f>
        <v>show blot</v>
      </c>
      <c r="H6134" s="8" t="str">
        <f>HYPERLINK("https://esbl.nhlbi.nih.gov/Databases/mpkFractions/proteomic_fractions_linear_files/Yang_linear_img/30425356.jpg","show blot")</f>
        <v>show blot</v>
      </c>
      <c r="J6134" s="5" t="s">
        <v>12053</v>
      </c>
      <c r="L6134" s="11">
        <v>6.5893253332423178</v>
      </c>
      <c r="N6134" s="12"/>
    </row>
    <row r="6135" spans="1:14" s="5" customFormat="1" ht="15" customHeight="1" x14ac:dyDescent="0.25">
      <c r="A6135" s="9" t="s">
        <v>12054</v>
      </c>
      <c r="C6135" s="9" t="str">
        <f>HYPERLINK("http://www.ncbi.nlm.nih.gov/protein/30424726","Rab39b")</f>
        <v>Rab39b</v>
      </c>
      <c r="D6135" s="10">
        <f t="shared" si="95"/>
        <v>6.5893253332423178</v>
      </c>
      <c r="F6135" s="8" t="str">
        <f>HYPERLINK("https://esbl.nhlbi.nih.gov/Databases/mpkFractions/proteomic_fractions_log_files/Yang_log_img/30424726.jpg","show blot")</f>
        <v>show blot</v>
      </c>
      <c r="H6135" s="8" t="str">
        <f>HYPERLINK("https://esbl.nhlbi.nih.gov/Databases/mpkFractions/proteomic_fractions_linear_files/Yang_linear_img/30424726.jpg","show blot")</f>
        <v>show blot</v>
      </c>
      <c r="J6135" s="5" t="s">
        <v>12055</v>
      </c>
      <c r="L6135" s="11">
        <v>6.5893253332423178</v>
      </c>
      <c r="N6135" s="12"/>
    </row>
    <row r="6136" spans="1:14" s="5" customFormat="1" ht="15" customHeight="1" x14ac:dyDescent="0.25">
      <c r="A6136" s="9" t="s">
        <v>12056</v>
      </c>
      <c r="C6136" s="9" t="str">
        <f>HYPERLINK("http://www.ncbi.nlm.nih.gov/protein/261862303","Rab3a")</f>
        <v>Rab3a</v>
      </c>
      <c r="D6136" s="10">
        <f t="shared" si="95"/>
        <v>6.6041608217502219</v>
      </c>
      <c r="F6136" s="8" t="str">
        <f>HYPERLINK("https://esbl.nhlbi.nih.gov/Databases/mpkFractions/proteomic_fractions_log_files/Yang_log_img/261862303.jpg","show blot")</f>
        <v>show blot</v>
      </c>
      <c r="H6136" s="8" t="str">
        <f>HYPERLINK("https://esbl.nhlbi.nih.gov/Databases/mpkFractions/proteomic_fractions_linear_files/Yang_linear_img/261862303.jpg","show blot")</f>
        <v>show blot</v>
      </c>
      <c r="J6136" s="5" t="s">
        <v>12057</v>
      </c>
      <c r="L6136" s="11">
        <v>6.6041608217502219</v>
      </c>
      <c r="N6136" s="12"/>
    </row>
    <row r="6137" spans="1:14" s="5" customFormat="1" ht="15" customHeight="1" x14ac:dyDescent="0.25">
      <c r="A6137" s="9" t="s">
        <v>12058</v>
      </c>
      <c r="C6137" s="9" t="str">
        <f>HYPERLINK("http://www.ncbi.nlm.nih.gov/protein/12963723","Rab3b")</f>
        <v>Rab3b</v>
      </c>
      <c r="D6137" s="10">
        <f t="shared" si="95"/>
        <v>6.6022212327811696</v>
      </c>
      <c r="F6137" s="8" t="str">
        <f>HYPERLINK("https://esbl.nhlbi.nih.gov/Databases/mpkFractions/proteomic_fractions_log_files/Yang_log_img/12963723.jpg","show blot")</f>
        <v>show blot</v>
      </c>
      <c r="H6137" s="8" t="str">
        <f>HYPERLINK("https://esbl.nhlbi.nih.gov/Databases/mpkFractions/proteomic_fractions_linear_files/Yang_linear_img/12963723.jpg","show blot")</f>
        <v>show blot</v>
      </c>
      <c r="J6137" s="5" t="s">
        <v>12059</v>
      </c>
      <c r="L6137" s="11">
        <v>6.6022212327811696</v>
      </c>
      <c r="N6137" s="12"/>
    </row>
    <row r="6138" spans="1:14" s="5" customFormat="1" ht="15" customHeight="1" x14ac:dyDescent="0.25">
      <c r="A6138" s="9" t="s">
        <v>12060</v>
      </c>
      <c r="C6138" s="9" t="str">
        <f>HYPERLINK("http://www.ncbi.nlm.nih.gov/protein/13470090","Rab3c")</f>
        <v>Rab3c</v>
      </c>
      <c r="D6138" s="10">
        <f t="shared" si="95"/>
        <v>6.5848101596213446</v>
      </c>
      <c r="F6138" s="8" t="str">
        <f>HYPERLINK("https://esbl.nhlbi.nih.gov/Databases/mpkFractions/proteomic_fractions_log_files/Yang_log_img/13470090.jpg","show blot")</f>
        <v>show blot</v>
      </c>
      <c r="H6138" s="8" t="str">
        <f>HYPERLINK("https://esbl.nhlbi.nih.gov/Databases/mpkFractions/proteomic_fractions_linear_files/Yang_linear_img/13470090.jpg","show blot")</f>
        <v>show blot</v>
      </c>
      <c r="J6138" s="5" t="s">
        <v>12061</v>
      </c>
      <c r="L6138" s="11">
        <v>6.5848101596213446</v>
      </c>
      <c r="N6138" s="12"/>
    </row>
    <row r="6139" spans="1:14" s="5" customFormat="1" ht="15" customHeight="1" x14ac:dyDescent="0.25">
      <c r="A6139" s="9" t="s">
        <v>12062</v>
      </c>
      <c r="C6139" s="9" t="str">
        <f>HYPERLINK("http://www.ncbi.nlm.nih.gov/protein/15042957","Rab3d")</f>
        <v>Rab3d</v>
      </c>
      <c r="D6139" s="10">
        <f t="shared" si="95"/>
        <v>6.6395896755767279</v>
      </c>
      <c r="F6139" s="8" t="str">
        <f>HYPERLINK("https://esbl.nhlbi.nih.gov/Databases/mpkFractions/proteomic_fractions_log_files/Yang_log_img/15042957.jpg","show blot")</f>
        <v>show blot</v>
      </c>
      <c r="H6139" s="8" t="str">
        <f>HYPERLINK("https://esbl.nhlbi.nih.gov/Databases/mpkFractions/proteomic_fractions_linear_files/Yang_linear_img/15042957.jpg","show blot")</f>
        <v>show blot</v>
      </c>
      <c r="J6139" s="5" t="s">
        <v>12063</v>
      </c>
      <c r="L6139" s="11">
        <v>6.6395896755767279</v>
      </c>
      <c r="N6139" s="12"/>
    </row>
    <row r="6140" spans="1:14" s="5" customFormat="1" ht="15" customHeight="1" x14ac:dyDescent="0.25">
      <c r="A6140" s="9" t="s">
        <v>12064</v>
      </c>
      <c r="C6140" s="9" t="str">
        <f>HYPERLINK("http://www.ncbi.nlm.nih.gov/protein/158966667","Rab3gap1")</f>
        <v>Rab3gap1</v>
      </c>
      <c r="D6140" s="10">
        <f t="shared" si="95"/>
        <v>4.1404917523607434</v>
      </c>
      <c r="F6140" s="8" t="str">
        <f>HYPERLINK("https://esbl.nhlbi.nih.gov/Databases/mpkFractions/proteomic_fractions_log_files/Yang_log_img/158966667.jpg","show blot")</f>
        <v>show blot</v>
      </c>
      <c r="H6140" s="8" t="str">
        <f>HYPERLINK("https://esbl.nhlbi.nih.gov/Databases/mpkFractions/proteomic_fractions_linear_files/Yang_linear_img/158966667.jpg","show blot")</f>
        <v>show blot</v>
      </c>
      <c r="J6140" s="5" t="s">
        <v>12065</v>
      </c>
      <c r="L6140" s="11">
        <v>4.1404917523607434</v>
      </c>
      <c r="N6140" s="12"/>
    </row>
    <row r="6141" spans="1:14" s="5" customFormat="1" ht="15" customHeight="1" x14ac:dyDescent="0.25">
      <c r="A6141" s="9" t="s">
        <v>12066</v>
      </c>
      <c r="C6141" s="9" t="str">
        <f>HYPERLINK("http://www.ncbi.nlm.nih.gov/protein/255003810","Rab3gap2")</f>
        <v>Rab3gap2</v>
      </c>
      <c r="D6141" s="10">
        <f t="shared" si="95"/>
        <v>4.3152748797539768</v>
      </c>
      <c r="F6141" s="8" t="str">
        <f>HYPERLINK("https://esbl.nhlbi.nih.gov/Databases/mpkFractions/proteomic_fractions_log_files/Yang_log_img/255003810.jpg","show blot")</f>
        <v>show blot</v>
      </c>
      <c r="H6141" s="8" t="str">
        <f>HYPERLINK("https://esbl.nhlbi.nih.gov/Databases/mpkFractions/proteomic_fractions_linear_files/Yang_linear_img/255003810.jpg","show blot")</f>
        <v>show blot</v>
      </c>
      <c r="J6141" s="5" t="s">
        <v>12067</v>
      </c>
      <c r="L6141" s="11">
        <v>4.3152748797539768</v>
      </c>
      <c r="N6141" s="12"/>
    </row>
    <row r="6142" spans="1:14" s="5" customFormat="1" ht="15" customHeight="1" x14ac:dyDescent="0.25">
      <c r="A6142" s="9" t="s">
        <v>12068</v>
      </c>
      <c r="C6142" s="9" t="str">
        <f>HYPERLINK("http://www.ncbi.nlm.nih.gov/protein/51556219","Rab3ip")</f>
        <v>Rab3ip</v>
      </c>
      <c r="D6142" s="10">
        <f t="shared" si="95"/>
        <v>4.7627481662803453</v>
      </c>
      <c r="F6142" s="8" t="str">
        <f>HYPERLINK("https://esbl.nhlbi.nih.gov/Databases/mpkFractions/proteomic_fractions_log_files/Yang_log_img/51556219.jpg","show blot")</f>
        <v>show blot</v>
      </c>
      <c r="H6142" s="8" t="str">
        <f>HYPERLINK("https://esbl.nhlbi.nih.gov/Databases/mpkFractions/proteomic_fractions_linear_files/Yang_linear_img/51556219.jpg","show blot")</f>
        <v>show blot</v>
      </c>
      <c r="J6142" s="5" t="s">
        <v>12069</v>
      </c>
      <c r="L6142" s="11">
        <v>4.7627481662803453</v>
      </c>
      <c r="N6142" s="12"/>
    </row>
    <row r="6143" spans="1:14" s="5" customFormat="1" ht="15" customHeight="1" x14ac:dyDescent="0.25">
      <c r="A6143" s="9" t="s">
        <v>12070</v>
      </c>
      <c r="C6143" s="9" t="str">
        <f>HYPERLINK("http://www.ncbi.nlm.nih.gov/protein/253970492","Rab40b")</f>
        <v>Rab40b</v>
      </c>
      <c r="D6143" s="10">
        <f t="shared" si="95"/>
        <v>5.9643819220341383</v>
      </c>
      <c r="F6143" s="8" t="str">
        <f>HYPERLINK("https://esbl.nhlbi.nih.gov/Databases/mpkFractions/proteomic_fractions_log_files/Yang_log_img/253970492.jpg","show blot")</f>
        <v>show blot</v>
      </c>
      <c r="H6143" s="8" t="str">
        <f>HYPERLINK("https://esbl.nhlbi.nih.gov/Databases/mpkFractions/proteomic_fractions_linear_files/Yang_linear_img/253970492.jpg","show blot")</f>
        <v>show blot</v>
      </c>
      <c r="J6143" s="5" t="s">
        <v>12071</v>
      </c>
      <c r="L6143" s="11">
        <v>5.9643819220341383</v>
      </c>
      <c r="N6143" s="12"/>
    </row>
    <row r="6144" spans="1:14" s="5" customFormat="1" ht="15" customHeight="1" x14ac:dyDescent="0.25">
      <c r="A6144" s="9" t="s">
        <v>12072</v>
      </c>
      <c r="C6144" s="9" t="str">
        <f>HYPERLINK("http://www.ncbi.nlm.nih.gov/protein/86476069","Rab43")</f>
        <v>Rab43</v>
      </c>
      <c r="D6144" s="10">
        <f t="shared" si="95"/>
        <v>6.6255375058967623</v>
      </c>
      <c r="F6144" s="8" t="str">
        <f>HYPERLINK("https://esbl.nhlbi.nih.gov/Databases/mpkFractions/proteomic_fractions_log_files/Yang_log_img/86476069.jpg","show blot")</f>
        <v>show blot</v>
      </c>
      <c r="H6144" s="8" t="str">
        <f>HYPERLINK("https://esbl.nhlbi.nih.gov/Databases/mpkFractions/proteomic_fractions_linear_files/Yang_linear_img/86476069.jpg","show blot")</f>
        <v>show blot</v>
      </c>
      <c r="J6144" s="5" t="s">
        <v>12073</v>
      </c>
      <c r="L6144" s="11">
        <v>6.6255375058967623</v>
      </c>
      <c r="N6144" s="12"/>
    </row>
    <row r="6145" spans="1:14" s="5" customFormat="1" ht="15" customHeight="1" x14ac:dyDescent="0.25">
      <c r="A6145" s="9" t="s">
        <v>12074</v>
      </c>
      <c r="C6145" s="9" t="str">
        <f>HYPERLINK("http://www.ncbi.nlm.nih.gov/protein/171184402","Rab4a")</f>
        <v>Rab4a</v>
      </c>
      <c r="D6145" s="10">
        <f t="shared" si="95"/>
        <v>6.6221185308982964</v>
      </c>
      <c r="F6145" s="8" t="str">
        <f>HYPERLINK("https://esbl.nhlbi.nih.gov/Databases/mpkFractions/proteomic_fractions_log_files/Yang_log_img/171184402.jpg","show blot")</f>
        <v>show blot</v>
      </c>
      <c r="H6145" s="8" t="str">
        <f>HYPERLINK("https://esbl.nhlbi.nih.gov/Databases/mpkFractions/proteomic_fractions_linear_files/Yang_linear_img/171184402.jpg","show blot")</f>
        <v>show blot</v>
      </c>
      <c r="J6145" s="5" t="s">
        <v>12075</v>
      </c>
      <c r="L6145" s="11">
        <v>6.6221185308982964</v>
      </c>
      <c r="N6145" s="12"/>
    </row>
    <row r="6146" spans="1:14" s="5" customFormat="1" ht="15" customHeight="1" x14ac:dyDescent="0.25">
      <c r="A6146" s="9" t="s">
        <v>12076</v>
      </c>
      <c r="C6146" s="9" t="str">
        <f>HYPERLINK("http://www.ncbi.nlm.nih.gov/protein/21313012","Rab4b")</f>
        <v>Rab4b</v>
      </c>
      <c r="D6146" s="10">
        <f t="shared" si="95"/>
        <v>6.6398250808586194</v>
      </c>
      <c r="F6146" s="8" t="str">
        <f>HYPERLINK("https://esbl.nhlbi.nih.gov/Databases/mpkFractions/proteomic_fractions_log_files/Yang_log_img/21313012.jpg","show blot")</f>
        <v>show blot</v>
      </c>
      <c r="H6146" s="8" t="str">
        <f>HYPERLINK("https://esbl.nhlbi.nih.gov/Databases/mpkFractions/proteomic_fractions_linear_files/Yang_linear_img/21313012.jpg","show blot")</f>
        <v>show blot</v>
      </c>
      <c r="J6146" s="5" t="s">
        <v>12077</v>
      </c>
      <c r="L6146" s="11">
        <v>6.6398250808586194</v>
      </c>
      <c r="N6146" s="12"/>
    </row>
    <row r="6147" spans="1:14" s="5" customFormat="1" ht="15" customHeight="1" x14ac:dyDescent="0.25">
      <c r="A6147" s="9" t="s">
        <v>12078</v>
      </c>
      <c r="C6147" s="9" t="str">
        <f>HYPERLINK("http://www.ncbi.nlm.nih.gov/protein/13385374","Rab5a")</f>
        <v>Rab5a</v>
      </c>
      <c r="D6147" s="10">
        <f t="shared" si="95"/>
        <v>6.47956035304626</v>
      </c>
      <c r="F6147" s="8" t="str">
        <f>HYPERLINK("https://esbl.nhlbi.nih.gov/Databases/mpkFractions/proteomic_fractions_log_files/Yang_log_img/13385374.jpg","show blot")</f>
        <v>show blot</v>
      </c>
      <c r="H6147" s="8" t="str">
        <f>HYPERLINK("https://esbl.nhlbi.nih.gov/Databases/mpkFractions/proteomic_fractions_linear_files/Yang_linear_img/13385374.jpg","show blot")</f>
        <v>show blot</v>
      </c>
      <c r="J6147" s="5" t="s">
        <v>12079</v>
      </c>
      <c r="L6147" s="11">
        <v>6.47956035304626</v>
      </c>
      <c r="N6147" s="12"/>
    </row>
    <row r="6148" spans="1:14" s="5" customFormat="1" ht="15" customHeight="1" x14ac:dyDescent="0.25">
      <c r="A6148" s="9" t="s">
        <v>12080</v>
      </c>
      <c r="C6148" s="9" t="str">
        <f>HYPERLINK("http://www.ncbi.nlm.nih.gov/protein/28916687","Rab5b")</f>
        <v>Rab5b</v>
      </c>
      <c r="D6148" s="10">
        <f t="shared" si="95"/>
        <v>6.3938935235941479</v>
      </c>
      <c r="F6148" s="8" t="str">
        <f>HYPERLINK("https://esbl.nhlbi.nih.gov/Databases/mpkFractions/proteomic_fractions_log_files/Yang_log_img/28916687.jpg","show blot")</f>
        <v>show blot</v>
      </c>
      <c r="H6148" s="8" t="str">
        <f>HYPERLINK("https://esbl.nhlbi.nih.gov/Databases/mpkFractions/proteomic_fractions_linear_files/Yang_linear_img/28916687.jpg","show blot")</f>
        <v>show blot</v>
      </c>
      <c r="J6148" s="5" t="s">
        <v>12081</v>
      </c>
      <c r="L6148" s="11">
        <v>6.3938935235941479</v>
      </c>
      <c r="N6148" s="12"/>
    </row>
    <row r="6149" spans="1:14" s="5" customFormat="1" ht="15" customHeight="1" x14ac:dyDescent="0.25">
      <c r="A6149" s="9" t="s">
        <v>12082</v>
      </c>
      <c r="C6149" s="9" t="str">
        <f>HYPERLINK("http://www.ncbi.nlm.nih.gov/protein/113866024","Rab5c")</f>
        <v>Rab5c</v>
      </c>
      <c r="D6149" s="10">
        <f t="shared" ref="D6149:D6212" si="96">L6149</f>
        <v>6.5455427139196463</v>
      </c>
      <c r="F6149" s="8" t="str">
        <f>HYPERLINK("https://esbl.nhlbi.nih.gov/Databases/mpkFractions/proteomic_fractions_log_files/Yang_log_img/113866024.jpg","show blot")</f>
        <v>show blot</v>
      </c>
      <c r="H6149" s="8" t="str">
        <f>HYPERLINK("https://esbl.nhlbi.nih.gov/Databases/mpkFractions/proteomic_fractions_linear_files/Yang_linear_img/113866024.jpg","show blot")</f>
        <v>show blot</v>
      </c>
      <c r="J6149" s="5" t="s">
        <v>12083</v>
      </c>
      <c r="L6149" s="11">
        <v>6.5455427139196463</v>
      </c>
      <c r="N6149" s="12"/>
    </row>
    <row r="6150" spans="1:14" s="5" customFormat="1" ht="15" customHeight="1" x14ac:dyDescent="0.25">
      <c r="A6150" s="9" t="s">
        <v>12084</v>
      </c>
      <c r="C6150" s="9" t="str">
        <f>HYPERLINK("http://www.ncbi.nlm.nih.gov/protein/13195674","Rab6a")</f>
        <v>Rab6a</v>
      </c>
      <c r="D6150" s="10">
        <f t="shared" si="96"/>
        <v>6.6954577412767016</v>
      </c>
      <c r="F6150" s="8" t="str">
        <f>HYPERLINK("https://esbl.nhlbi.nih.gov/Databases/mpkFractions/proteomic_fractions_log_files/Yang_log_img/13195674.jpg","show blot")</f>
        <v>show blot</v>
      </c>
      <c r="H6150" s="8" t="str">
        <f>HYPERLINK("https://esbl.nhlbi.nih.gov/Databases/mpkFractions/proteomic_fractions_linear_files/Yang_linear_img/13195674.jpg","show blot")</f>
        <v>show blot</v>
      </c>
      <c r="J6150" s="5" t="s">
        <v>12085</v>
      </c>
      <c r="L6150" s="11">
        <v>6.6954577412767016</v>
      </c>
      <c r="N6150" s="12"/>
    </row>
    <row r="6151" spans="1:14" s="5" customFormat="1" ht="15" customHeight="1" x14ac:dyDescent="0.25">
      <c r="A6151" s="9" t="s">
        <v>12086</v>
      </c>
      <c r="C6151" s="9" t="str">
        <f>HYPERLINK("http://www.ncbi.nlm.nih.gov/protein/254750706","Rab6a")</f>
        <v>Rab6a</v>
      </c>
      <c r="D6151" s="10">
        <f t="shared" si="96"/>
        <v>6.6954577412767016</v>
      </c>
      <c r="F6151" s="8" t="str">
        <f>HYPERLINK("https://esbl.nhlbi.nih.gov/Databases/mpkFractions/proteomic_fractions_log_files/Yang_log_img/254750706.jpg","show blot")</f>
        <v>show blot</v>
      </c>
      <c r="H6151" s="8" t="str">
        <f>HYPERLINK("https://esbl.nhlbi.nih.gov/Databases/mpkFractions/proteomic_fractions_linear_files/Yang_linear_img/254750706.jpg","show blot")</f>
        <v>show blot</v>
      </c>
      <c r="J6151" s="5" t="s">
        <v>12087</v>
      </c>
      <c r="L6151" s="11">
        <v>6.6954577412767016</v>
      </c>
      <c r="N6151" s="12"/>
    </row>
    <row r="6152" spans="1:14" s="5" customFormat="1" ht="15" customHeight="1" x14ac:dyDescent="0.25">
      <c r="A6152" s="9" t="s">
        <v>12088</v>
      </c>
      <c r="C6152" s="9" t="str">
        <f>HYPERLINK("http://www.ncbi.nlm.nih.gov/protein/30424655","Rab6b")</f>
        <v>Rab6b</v>
      </c>
      <c r="D6152" s="10">
        <f t="shared" si="96"/>
        <v>6.7445737763306193</v>
      </c>
      <c r="F6152" s="8" t="str">
        <f>HYPERLINK("https://esbl.nhlbi.nih.gov/Databases/mpkFractions/proteomic_fractions_log_files/Yang_log_img/30424655.jpg","show blot")</f>
        <v>show blot</v>
      </c>
      <c r="H6152" s="8" t="str">
        <f>HYPERLINK("https://esbl.nhlbi.nih.gov/Databases/mpkFractions/proteomic_fractions_linear_files/Yang_linear_img/30424655.jpg","show blot")</f>
        <v>show blot</v>
      </c>
      <c r="J6152" s="5" t="s">
        <v>12089</v>
      </c>
      <c r="L6152" s="11">
        <v>6.7445737763306193</v>
      </c>
      <c r="N6152" s="12"/>
    </row>
    <row r="6153" spans="1:14" s="5" customFormat="1" ht="15" customHeight="1" x14ac:dyDescent="0.25">
      <c r="A6153" s="9" t="s">
        <v>12090</v>
      </c>
      <c r="C6153" s="9" t="str">
        <f>HYPERLINK("http://www.ncbi.nlm.nih.gov/protein/148747526","Rab7")</f>
        <v>Rab7</v>
      </c>
      <c r="D6153" s="10">
        <f t="shared" si="96"/>
        <v>6.7452069657359131</v>
      </c>
      <c r="F6153" s="8" t="str">
        <f>HYPERLINK("https://esbl.nhlbi.nih.gov/Databases/mpkFractions/proteomic_fractions_log_files/Yang_log_img/148747526.jpg","show blot")</f>
        <v>show blot</v>
      </c>
      <c r="H6153" s="8" t="str">
        <f>HYPERLINK("https://esbl.nhlbi.nih.gov/Databases/mpkFractions/proteomic_fractions_linear_files/Yang_linear_img/148747526.jpg","show blot")</f>
        <v>show blot</v>
      </c>
      <c r="J6153" s="5" t="s">
        <v>12091</v>
      </c>
      <c r="L6153" s="11">
        <v>6.7452069657359131</v>
      </c>
      <c r="N6153" s="12"/>
    </row>
    <row r="6154" spans="1:14" s="5" customFormat="1" ht="15" customHeight="1" x14ac:dyDescent="0.25">
      <c r="A6154" s="9" t="s">
        <v>12092</v>
      </c>
      <c r="C6154" s="9" t="str">
        <f>HYPERLINK("http://www.ncbi.nlm.nih.gov/protein/229608951","Rab7l1")</f>
        <v>Rab7l1</v>
      </c>
      <c r="D6154" s="10">
        <f t="shared" si="96"/>
        <v>3.656727391520386</v>
      </c>
      <c r="F6154" s="8" t="str">
        <f>HYPERLINK("https://esbl.nhlbi.nih.gov/Databases/mpkFractions/proteomic_fractions_log_files/Yang_log_img/229608951.jpg","show blot")</f>
        <v>show blot</v>
      </c>
      <c r="H6154" s="8" t="str">
        <f>HYPERLINK("https://esbl.nhlbi.nih.gov/Databases/mpkFractions/proteomic_fractions_linear_files/Yang_linear_img/229608951.jpg","show blot")</f>
        <v>show blot</v>
      </c>
      <c r="J6154" s="5" t="s">
        <v>12093</v>
      </c>
      <c r="L6154" s="11">
        <v>3.656727391520386</v>
      </c>
      <c r="N6154" s="12"/>
    </row>
    <row r="6155" spans="1:14" s="5" customFormat="1" ht="15" customHeight="1" x14ac:dyDescent="0.25">
      <c r="A6155" s="9" t="s">
        <v>12094</v>
      </c>
      <c r="C6155" s="9" t="str">
        <f>HYPERLINK("http://www.ncbi.nlm.nih.gov/protein/38372905","Rab8a")</f>
        <v>Rab8a</v>
      </c>
      <c r="D6155" s="10">
        <f t="shared" si="96"/>
        <v>6.8075613337776373</v>
      </c>
      <c r="F6155" s="8" t="str">
        <f>HYPERLINK("https://esbl.nhlbi.nih.gov/Databases/mpkFractions/proteomic_fractions_log_files/Yang_log_img/38372905.jpg","show blot")</f>
        <v>show blot</v>
      </c>
      <c r="H6155" s="8" t="str">
        <f>HYPERLINK("https://esbl.nhlbi.nih.gov/Databases/mpkFractions/proteomic_fractions_linear_files/Yang_linear_img/38372905.jpg","show blot")</f>
        <v>show blot</v>
      </c>
      <c r="J6155" s="5" t="s">
        <v>12095</v>
      </c>
      <c r="L6155" s="11">
        <v>6.8075613337776373</v>
      </c>
      <c r="N6155" s="12"/>
    </row>
    <row r="6156" spans="1:14" s="5" customFormat="1" ht="15" customHeight="1" x14ac:dyDescent="0.25">
      <c r="A6156" s="9" t="s">
        <v>12096</v>
      </c>
      <c r="C6156" s="9" t="str">
        <f>HYPERLINK("http://www.ncbi.nlm.nih.gov/protein/27734154","Rab8b")</f>
        <v>Rab8b</v>
      </c>
      <c r="D6156" s="10">
        <f t="shared" si="96"/>
        <v>6.7901867047181739</v>
      </c>
      <c r="F6156" s="8" t="str">
        <f>HYPERLINK("https://esbl.nhlbi.nih.gov/Databases/mpkFractions/proteomic_fractions_log_files/Yang_log_img/27734154.jpg","show blot")</f>
        <v>show blot</v>
      </c>
      <c r="H6156" s="8" t="str">
        <f>HYPERLINK("https://esbl.nhlbi.nih.gov/Databases/mpkFractions/proteomic_fractions_linear_files/Yang_linear_img/27734154.jpg","show blot")</f>
        <v>show blot</v>
      </c>
      <c r="J6156" s="5" t="s">
        <v>12097</v>
      </c>
      <c r="L6156" s="11">
        <v>6.7901867047181739</v>
      </c>
      <c r="N6156" s="12"/>
    </row>
    <row r="6157" spans="1:14" s="5" customFormat="1" ht="15" customHeight="1" x14ac:dyDescent="0.25">
      <c r="A6157" s="9" t="s">
        <v>12098</v>
      </c>
      <c r="C6157" s="9" t="str">
        <f>HYPERLINK("http://www.ncbi.nlm.nih.gov/protein/9790227","Rab9")</f>
        <v>Rab9</v>
      </c>
      <c r="D6157" s="10">
        <f t="shared" si="96"/>
        <v>5.1662131132538622</v>
      </c>
      <c r="F6157" s="8" t="str">
        <f>HYPERLINK("https://esbl.nhlbi.nih.gov/Databases/mpkFractions/proteomic_fractions_log_files/Yang_log_img/9790227.jpg","show blot")</f>
        <v>show blot</v>
      </c>
      <c r="H6157" s="8" t="str">
        <f>HYPERLINK("https://esbl.nhlbi.nih.gov/Databases/mpkFractions/proteomic_fractions_linear_files/Yang_linear_img/9790227.jpg","show blot")</f>
        <v>show blot</v>
      </c>
      <c r="J6157" s="5" t="s">
        <v>12099</v>
      </c>
      <c r="L6157" s="11">
        <v>5.1662131132538622</v>
      </c>
      <c r="N6157" s="12"/>
    </row>
    <row r="6158" spans="1:14" s="5" customFormat="1" ht="15" customHeight="1" x14ac:dyDescent="0.25">
      <c r="A6158" s="9" t="s">
        <v>12100</v>
      </c>
      <c r="C6158" s="9" t="str">
        <f>HYPERLINK("http://www.ncbi.nlm.nih.gov/protein/28892801","Rab9b")</f>
        <v>Rab9b</v>
      </c>
      <c r="D6158" s="10">
        <f t="shared" si="96"/>
        <v>3.4822627281996801</v>
      </c>
      <c r="F6158" s="8" t="str">
        <f>HYPERLINK("https://esbl.nhlbi.nih.gov/Databases/mpkFractions/proteomic_fractions_log_files/Yang_log_img/28892801.jpg","show blot")</f>
        <v>show blot</v>
      </c>
      <c r="H6158" s="8" t="str">
        <f>HYPERLINK("https://esbl.nhlbi.nih.gov/Databases/mpkFractions/proteomic_fractions_linear_files/Yang_linear_img/28892801.jpg","show blot")</f>
        <v>show blot</v>
      </c>
      <c r="J6158" s="5" t="s">
        <v>12101</v>
      </c>
      <c r="L6158" s="11">
        <v>3.4822627281996801</v>
      </c>
      <c r="N6158" s="12"/>
    </row>
    <row r="6159" spans="1:14" s="5" customFormat="1" ht="15" customHeight="1" x14ac:dyDescent="0.25">
      <c r="A6159" s="9" t="s">
        <v>12102</v>
      </c>
      <c r="C6159" s="9" t="str">
        <f>HYPERLINK("http://www.ncbi.nlm.nih.gov/protein/33859558","Rabac1")</f>
        <v>Rabac1</v>
      </c>
      <c r="D6159" s="10">
        <f t="shared" si="96"/>
        <v>4.6332517484608351</v>
      </c>
      <c r="F6159" s="8" t="str">
        <f>HYPERLINK("https://esbl.nhlbi.nih.gov/Databases/mpkFractions/proteomic_fractions_log_files/Yang_log_img/33859558.jpg","show blot")</f>
        <v>show blot</v>
      </c>
      <c r="H6159" s="8" t="str">
        <f>HYPERLINK("https://esbl.nhlbi.nih.gov/Databases/mpkFractions/proteomic_fractions_linear_files/Yang_linear_img/33859558.jpg","show blot")</f>
        <v>show blot</v>
      </c>
      <c r="J6159" s="5" t="s">
        <v>12103</v>
      </c>
      <c r="L6159" s="11">
        <v>4.6332517484608351</v>
      </c>
      <c r="N6159" s="12"/>
    </row>
    <row r="6160" spans="1:14" s="5" customFormat="1" ht="15" customHeight="1" x14ac:dyDescent="0.25">
      <c r="A6160" s="9" t="s">
        <v>12104</v>
      </c>
      <c r="C6160" s="9" t="str">
        <f>HYPERLINK("http://www.ncbi.nlm.nih.gov/protein/238231439","Rabep1")</f>
        <v>Rabep1</v>
      </c>
      <c r="D6160" s="10">
        <f t="shared" si="96"/>
        <v>4.2241563261993802</v>
      </c>
      <c r="F6160" s="8" t="str">
        <f>HYPERLINK("https://esbl.nhlbi.nih.gov/Databases/mpkFractions/proteomic_fractions_log_files/Yang_log_img/238231439.jpg","show blot")</f>
        <v>show blot</v>
      </c>
      <c r="H6160" s="8" t="str">
        <f>HYPERLINK("https://esbl.nhlbi.nih.gov/Databases/mpkFractions/proteomic_fractions_linear_files/Yang_linear_img/238231439.jpg","show blot")</f>
        <v>show blot</v>
      </c>
      <c r="J6160" s="5" t="s">
        <v>12105</v>
      </c>
      <c r="L6160" s="11">
        <v>4.2241563261993802</v>
      </c>
      <c r="N6160" s="12"/>
    </row>
    <row r="6161" spans="1:14" s="5" customFormat="1" ht="15" customHeight="1" x14ac:dyDescent="0.25">
      <c r="A6161" s="9" t="s">
        <v>12106</v>
      </c>
      <c r="C6161" s="9" t="str">
        <f>HYPERLINK("http://www.ncbi.nlm.nih.gov/protein/140970573","Rabep2")</f>
        <v>Rabep2</v>
      </c>
      <c r="D6161" s="10">
        <f t="shared" si="96"/>
        <v>4.9529014330381838</v>
      </c>
      <c r="F6161" s="8" t="str">
        <f>HYPERLINK("https://esbl.nhlbi.nih.gov/Databases/mpkFractions/proteomic_fractions_log_files/Yang_log_img/140970573.jpg","show blot")</f>
        <v>show blot</v>
      </c>
      <c r="H6161" s="8" t="str">
        <f>HYPERLINK("https://esbl.nhlbi.nih.gov/Databases/mpkFractions/proteomic_fractions_linear_files/Yang_linear_img/140970573.jpg","show blot")</f>
        <v>show blot</v>
      </c>
      <c r="J6161" s="5" t="s">
        <v>12107</v>
      </c>
      <c r="L6161" s="11">
        <v>4.9529014330381838</v>
      </c>
      <c r="N6161" s="12"/>
    </row>
    <row r="6162" spans="1:14" s="5" customFormat="1" ht="15" customHeight="1" x14ac:dyDescent="0.25">
      <c r="A6162" s="9" t="s">
        <v>12108</v>
      </c>
      <c r="C6162" s="9" t="str">
        <f>HYPERLINK("http://www.ncbi.nlm.nih.gov/protein/76880489","Rabgap1")</f>
        <v>Rabgap1</v>
      </c>
      <c r="D6162" s="10">
        <f t="shared" si="96"/>
        <v>4.8690226076427248</v>
      </c>
      <c r="F6162" s="8" t="str">
        <f>HYPERLINK("https://esbl.nhlbi.nih.gov/Databases/mpkFractions/proteomic_fractions_log_files/Yang_log_img/76880489.jpg","show blot")</f>
        <v>show blot</v>
      </c>
      <c r="H6162" s="8" t="str">
        <f>HYPERLINK("https://esbl.nhlbi.nih.gov/Databases/mpkFractions/proteomic_fractions_linear_files/Yang_linear_img/76880489.jpg","show blot")</f>
        <v>show blot</v>
      </c>
      <c r="J6162" s="5" t="s">
        <v>12109</v>
      </c>
      <c r="L6162" s="11">
        <v>4.8690226076427248</v>
      </c>
      <c r="N6162" s="12"/>
    </row>
    <row r="6163" spans="1:14" s="5" customFormat="1" ht="15" customHeight="1" x14ac:dyDescent="0.25">
      <c r="A6163" s="9" t="s">
        <v>12110</v>
      </c>
      <c r="C6163" s="9" t="str">
        <f>HYPERLINK("http://www.ncbi.nlm.nih.gov/protein/76880498","Rabgap1")</f>
        <v>Rabgap1</v>
      </c>
      <c r="D6163" s="10">
        <f t="shared" si="96"/>
        <v>4.8690226076427248</v>
      </c>
      <c r="F6163" s="8" t="str">
        <f>HYPERLINK("https://esbl.nhlbi.nih.gov/Databases/mpkFractions/proteomic_fractions_log_files/Yang_log_img/76880498.jpg","show blot")</f>
        <v>show blot</v>
      </c>
      <c r="H6163" s="8" t="str">
        <f>HYPERLINK("https://esbl.nhlbi.nih.gov/Databases/mpkFractions/proteomic_fractions_linear_files/Yang_linear_img/76880498.jpg","show blot")</f>
        <v>show blot</v>
      </c>
      <c r="J6163" s="5" t="s">
        <v>12111</v>
      </c>
      <c r="L6163" s="11">
        <v>4.8690226076427248</v>
      </c>
      <c r="N6163" s="12"/>
    </row>
    <row r="6164" spans="1:14" s="5" customFormat="1" ht="15" customHeight="1" x14ac:dyDescent="0.25">
      <c r="A6164" s="9" t="s">
        <v>12112</v>
      </c>
      <c r="C6164" s="9" t="str">
        <f>HYPERLINK("http://www.ncbi.nlm.nih.gov/protein/229577255","Rabgap1l")</f>
        <v>Rabgap1l</v>
      </c>
      <c r="D6164" s="10">
        <f t="shared" si="96"/>
        <v>3.641659806981103</v>
      </c>
      <c r="F6164" s="8" t="str">
        <f>HYPERLINK("https://esbl.nhlbi.nih.gov/Databases/mpkFractions/proteomic_fractions_log_files/Yang_log_img/229577255.jpg","show blot")</f>
        <v>show blot</v>
      </c>
      <c r="H6164" s="8" t="str">
        <f>HYPERLINK("https://esbl.nhlbi.nih.gov/Databases/mpkFractions/proteomic_fractions_linear_files/Yang_linear_img/229577255.jpg","show blot")</f>
        <v>show blot</v>
      </c>
      <c r="J6164" s="5" t="s">
        <v>12113</v>
      </c>
      <c r="L6164" s="11">
        <v>3.641659806981103</v>
      </c>
      <c r="N6164" s="12"/>
    </row>
    <row r="6165" spans="1:14" s="5" customFormat="1" ht="15" customHeight="1" x14ac:dyDescent="0.25">
      <c r="A6165" s="9" t="s">
        <v>12114</v>
      </c>
      <c r="C6165" s="9" t="str">
        <f>HYPERLINK("http://www.ncbi.nlm.nih.gov/protein/84490375","Rabgap1l")</f>
        <v>Rabgap1l</v>
      </c>
      <c r="D6165" s="10">
        <f t="shared" si="96"/>
        <v>3.641659806981103</v>
      </c>
      <c r="F6165" s="8" t="str">
        <f>HYPERLINK("https://esbl.nhlbi.nih.gov/Databases/mpkFractions/proteomic_fractions_log_files/Yang_log_img/84490375.jpg","show blot")</f>
        <v>show blot</v>
      </c>
      <c r="H6165" s="8" t="str">
        <f>HYPERLINK("https://esbl.nhlbi.nih.gov/Databases/mpkFractions/proteomic_fractions_linear_files/Yang_linear_img/84490375.jpg","show blot")</f>
        <v>show blot</v>
      </c>
      <c r="J6165" s="5" t="s">
        <v>12115</v>
      </c>
      <c r="L6165" s="11">
        <v>3.641659806981103</v>
      </c>
      <c r="N6165" s="12"/>
    </row>
    <row r="6166" spans="1:14" s="5" customFormat="1" ht="15" customHeight="1" x14ac:dyDescent="0.25">
      <c r="A6166" s="9" t="s">
        <v>12116</v>
      </c>
      <c r="C6166" s="9" t="str">
        <f>HYPERLINK("http://www.ncbi.nlm.nih.gov/protein/312261269;9910316","Rabgef1")</f>
        <v>Rabgef1</v>
      </c>
      <c r="D6166" s="10">
        <f t="shared" si="96"/>
        <v>3.7830713401537062</v>
      </c>
      <c r="F6166" s="8" t="str">
        <f>HYPERLINK("https://esbl.nhlbi.nih.gov/Databases/mpkFractions/proteomic_fractions_log_files/Yang_log_img/312261269;9910316.jpg","show blot")</f>
        <v>show blot</v>
      </c>
      <c r="H6166" s="8" t="str">
        <f>HYPERLINK("https://esbl.nhlbi.nih.gov/Databases/mpkFractions/proteomic_fractions_linear_files/Yang_linear_img/312261269;9910316.jpg","show blot")</f>
        <v>show blot</v>
      </c>
      <c r="J6166" s="5" t="s">
        <v>12117</v>
      </c>
      <c r="L6166" s="11">
        <v>3.7830713401537062</v>
      </c>
      <c r="N6166" s="12"/>
    </row>
    <row r="6167" spans="1:14" s="5" customFormat="1" ht="15" customHeight="1" x14ac:dyDescent="0.25">
      <c r="A6167" s="9" t="s">
        <v>12118</v>
      </c>
      <c r="C6167" s="9" t="str">
        <f>HYPERLINK("http://www.ncbi.nlm.nih.gov/protein/9507023","Rabggta")</f>
        <v>Rabggta</v>
      </c>
      <c r="D6167" s="10">
        <f t="shared" si="96"/>
        <v>4.9059452561225489</v>
      </c>
      <c r="F6167" s="8" t="str">
        <f>HYPERLINK("https://esbl.nhlbi.nih.gov/Databases/mpkFractions/proteomic_fractions_log_files/Yang_log_img/9507023.jpg","show blot")</f>
        <v>show blot</v>
      </c>
      <c r="H6167" s="8" t="str">
        <f>HYPERLINK("https://esbl.nhlbi.nih.gov/Databases/mpkFractions/proteomic_fractions_linear_files/Yang_linear_img/9507023.jpg","show blot")</f>
        <v>show blot</v>
      </c>
      <c r="J6167" s="5" t="s">
        <v>12119</v>
      </c>
      <c r="L6167" s="11">
        <v>4.9059452561225489</v>
      </c>
      <c r="N6167" s="12"/>
    </row>
    <row r="6168" spans="1:14" s="5" customFormat="1" ht="15" customHeight="1" x14ac:dyDescent="0.25">
      <c r="A6168" s="9" t="s">
        <v>12120</v>
      </c>
      <c r="C6168" s="9" t="str">
        <f>HYPERLINK("http://www.ncbi.nlm.nih.gov/protein/254553291","Rabggtb")</f>
        <v>Rabggtb</v>
      </c>
      <c r="D6168" s="10">
        <f t="shared" si="96"/>
        <v>5.3391620515074782</v>
      </c>
      <c r="F6168" s="8" t="str">
        <f>HYPERLINK("https://esbl.nhlbi.nih.gov/Databases/mpkFractions/proteomic_fractions_log_files/Yang_log_img/254553291.jpg","show blot")</f>
        <v>show blot</v>
      </c>
      <c r="H6168" s="8" t="str">
        <f>HYPERLINK("https://esbl.nhlbi.nih.gov/Databases/mpkFractions/proteomic_fractions_linear_files/Yang_linear_img/254553291.jpg","show blot")</f>
        <v>show blot</v>
      </c>
      <c r="J6168" s="5" t="s">
        <v>12121</v>
      </c>
      <c r="L6168" s="11">
        <v>5.3391620515074782</v>
      </c>
      <c r="N6168" s="12"/>
    </row>
    <row r="6169" spans="1:14" s="5" customFormat="1" ht="15" customHeight="1" x14ac:dyDescent="0.25">
      <c r="A6169" s="9" t="s">
        <v>12122</v>
      </c>
      <c r="C6169" s="9" t="str">
        <f>HYPERLINK("http://www.ncbi.nlm.nih.gov/protein/254553293","Rabggtb")</f>
        <v>Rabggtb</v>
      </c>
      <c r="D6169" s="10">
        <f t="shared" si="96"/>
        <v>5.3391620515074782</v>
      </c>
      <c r="F6169" s="8" t="str">
        <f>HYPERLINK("https://esbl.nhlbi.nih.gov/Databases/mpkFractions/proteomic_fractions_log_files/Yang_log_img/254553293.jpg","show blot")</f>
        <v>show blot</v>
      </c>
      <c r="H6169" s="8" t="str">
        <f>HYPERLINK("https://esbl.nhlbi.nih.gov/Databases/mpkFractions/proteomic_fractions_linear_files/Yang_linear_img/254553293.jpg","show blot")</f>
        <v>show blot</v>
      </c>
      <c r="J6169" s="5" t="s">
        <v>12123</v>
      </c>
      <c r="L6169" s="11">
        <v>5.3391620515074782</v>
      </c>
      <c r="N6169" s="12"/>
    </row>
    <row r="6170" spans="1:14" s="5" customFormat="1" ht="15" customHeight="1" x14ac:dyDescent="0.25">
      <c r="A6170" s="9" t="s">
        <v>12124</v>
      </c>
      <c r="C6170" s="9" t="str">
        <f>HYPERLINK("http://www.ncbi.nlm.nih.gov/protein/254553295","Rabggtb")</f>
        <v>Rabggtb</v>
      </c>
      <c r="D6170" s="10">
        <f t="shared" si="96"/>
        <v>5.3391620515074782</v>
      </c>
      <c r="F6170" s="8" t="str">
        <f>HYPERLINK("https://esbl.nhlbi.nih.gov/Databases/mpkFractions/proteomic_fractions_log_files/Yang_log_img/254553295.jpg","show blot")</f>
        <v>show blot</v>
      </c>
      <c r="H6170" s="8" t="str">
        <f>HYPERLINK("https://esbl.nhlbi.nih.gov/Databases/mpkFractions/proteomic_fractions_linear_files/Yang_linear_img/254553295.jpg","show blot")</f>
        <v>show blot</v>
      </c>
      <c r="J6170" s="5" t="s">
        <v>12125</v>
      </c>
      <c r="L6170" s="11">
        <v>5.3391620515074782</v>
      </c>
      <c r="N6170" s="12"/>
    </row>
    <row r="6171" spans="1:14" s="5" customFormat="1" ht="15" customHeight="1" x14ac:dyDescent="0.25">
      <c r="A6171" s="9" t="s">
        <v>12126</v>
      </c>
      <c r="C6171" s="9" t="str">
        <f>HYPERLINK("http://www.ncbi.nlm.nih.gov/protein/21704004","Rabif")</f>
        <v>Rabif</v>
      </c>
      <c r="D6171" s="10">
        <f t="shared" si="96"/>
        <v>4.1925037035155412</v>
      </c>
      <c r="F6171" s="8" t="str">
        <f>HYPERLINK("https://esbl.nhlbi.nih.gov/Databases/mpkFractions/proteomic_fractions_log_files/Yang_log_img/21704004.jpg","show blot")</f>
        <v>show blot</v>
      </c>
      <c r="H6171" s="8" t="str">
        <f>HYPERLINK("https://esbl.nhlbi.nih.gov/Databases/mpkFractions/proteomic_fractions_linear_files/Yang_linear_img/21704004.jpg","show blot")</f>
        <v>show blot</v>
      </c>
      <c r="J6171" s="5" t="s">
        <v>12127</v>
      </c>
      <c r="L6171" s="11">
        <v>4.1925037035155412</v>
      </c>
      <c r="N6171" s="12"/>
    </row>
    <row r="6172" spans="1:14" s="5" customFormat="1" ht="15" customHeight="1" x14ac:dyDescent="0.25">
      <c r="A6172" s="9" t="s">
        <v>12128</v>
      </c>
      <c r="C6172" s="9" t="str">
        <f>HYPERLINK("http://www.ncbi.nlm.nih.gov/protein/146134336","Rabl2")</f>
        <v>Rabl2</v>
      </c>
      <c r="D6172" s="10">
        <f t="shared" si="96"/>
        <v>3.936036996648089</v>
      </c>
      <c r="F6172" s="8" t="str">
        <f>HYPERLINK("https://esbl.nhlbi.nih.gov/Databases/mpkFractions/proteomic_fractions_log_files/Yang_log_img/146134336.jpg","show blot")</f>
        <v>show blot</v>
      </c>
      <c r="H6172" s="8" t="str">
        <f>HYPERLINK("https://esbl.nhlbi.nih.gov/Databases/mpkFractions/proteomic_fractions_linear_files/Yang_linear_img/146134336.jpg","show blot")</f>
        <v>show blot</v>
      </c>
      <c r="J6172" s="5" t="s">
        <v>12129</v>
      </c>
      <c r="L6172" s="11">
        <v>3.936036996648089</v>
      </c>
      <c r="N6172" s="12"/>
    </row>
    <row r="6173" spans="1:14" s="5" customFormat="1" ht="15" customHeight="1" x14ac:dyDescent="0.25">
      <c r="A6173" s="9" t="s">
        <v>12130</v>
      </c>
      <c r="C6173" s="9" t="str">
        <f>HYPERLINK("http://www.ncbi.nlm.nih.gov/protein/21313026","Rabl5")</f>
        <v>Rabl5</v>
      </c>
      <c r="D6173" s="10">
        <f t="shared" si="96"/>
        <v>4.6393467741794376</v>
      </c>
      <c r="F6173" s="8" t="str">
        <f>HYPERLINK("https://esbl.nhlbi.nih.gov/Databases/mpkFractions/proteomic_fractions_log_files/Yang_log_img/21313026.jpg","show blot")</f>
        <v>show blot</v>
      </c>
      <c r="H6173" s="8" t="str">
        <f>HYPERLINK("https://esbl.nhlbi.nih.gov/Databases/mpkFractions/proteomic_fractions_linear_files/Yang_linear_img/21313026.jpg","show blot")</f>
        <v>show blot</v>
      </c>
      <c r="J6173" s="5" t="s">
        <v>12131</v>
      </c>
      <c r="L6173" s="11">
        <v>4.6393467741794376</v>
      </c>
      <c r="N6173" s="12"/>
    </row>
    <row r="6174" spans="1:14" s="5" customFormat="1" ht="15" customHeight="1" x14ac:dyDescent="0.25">
      <c r="A6174" s="9" t="s">
        <v>12132</v>
      </c>
      <c r="C6174" s="9" t="str">
        <f>HYPERLINK("http://www.ncbi.nlm.nih.gov/protein/112181302","Rabl6")</f>
        <v>Rabl6</v>
      </c>
      <c r="D6174" s="10">
        <f t="shared" si="96"/>
        <v>4.2824541635016597</v>
      </c>
      <c r="F6174" s="8" t="str">
        <f>HYPERLINK("https://esbl.nhlbi.nih.gov/Databases/mpkFractions/proteomic_fractions_log_files/Yang_log_img/112181302.jpg","show blot")</f>
        <v>show blot</v>
      </c>
      <c r="H6174" s="8" t="str">
        <f>HYPERLINK("https://esbl.nhlbi.nih.gov/Databases/mpkFractions/proteomic_fractions_linear_files/Yang_linear_img/112181302.jpg","show blot")</f>
        <v>show blot</v>
      </c>
      <c r="J6174" s="5" t="s">
        <v>12133</v>
      </c>
      <c r="L6174" s="11">
        <v>4.2824541635016597</v>
      </c>
      <c r="N6174" s="12"/>
    </row>
    <row r="6175" spans="1:14" s="5" customFormat="1" ht="15" customHeight="1" x14ac:dyDescent="0.25">
      <c r="A6175" s="9" t="s">
        <v>12134</v>
      </c>
      <c r="C6175" s="9" t="str">
        <f>HYPERLINK("http://www.ncbi.nlm.nih.gov/protein/45592934","Rac1")</f>
        <v>Rac1</v>
      </c>
      <c r="D6175" s="10">
        <f t="shared" si="96"/>
        <v>6.8771138928993736</v>
      </c>
      <c r="F6175" s="8" t="str">
        <f>HYPERLINK("https://esbl.nhlbi.nih.gov/Databases/mpkFractions/proteomic_fractions_log_files/Yang_log_img/45592934.jpg","show blot")</f>
        <v>show blot</v>
      </c>
      <c r="H6175" s="8" t="str">
        <f>HYPERLINK("https://esbl.nhlbi.nih.gov/Databases/mpkFractions/proteomic_fractions_linear_files/Yang_linear_img/45592934.jpg","show blot")</f>
        <v>show blot</v>
      </c>
      <c r="J6175" s="5" t="s">
        <v>12135</v>
      </c>
      <c r="L6175" s="11">
        <v>6.8771138928993736</v>
      </c>
      <c r="N6175" s="12"/>
    </row>
    <row r="6176" spans="1:14" s="5" customFormat="1" ht="15" customHeight="1" x14ac:dyDescent="0.25">
      <c r="A6176" s="9" t="s">
        <v>12136</v>
      </c>
      <c r="C6176" s="9" t="str">
        <f>HYPERLINK("http://www.ncbi.nlm.nih.gov/protein/6679601","Rac2")</f>
        <v>Rac2</v>
      </c>
      <c r="D6176" s="10">
        <f t="shared" si="96"/>
        <v>6.6908692055417811</v>
      </c>
      <c r="F6176" s="8" t="str">
        <f>HYPERLINK("https://esbl.nhlbi.nih.gov/Databases/mpkFractions/proteomic_fractions_log_files/Yang_log_img/6679601.jpg","show blot")</f>
        <v>show blot</v>
      </c>
      <c r="H6176" s="8" t="str">
        <f>HYPERLINK("https://esbl.nhlbi.nih.gov/Databases/mpkFractions/proteomic_fractions_linear_files/Yang_linear_img/6679601.jpg","show blot")</f>
        <v>show blot</v>
      </c>
      <c r="J6176" s="5" t="s">
        <v>12137</v>
      </c>
      <c r="L6176" s="11">
        <v>6.6908692055417811</v>
      </c>
      <c r="N6176" s="12"/>
    </row>
    <row r="6177" spans="1:14" s="5" customFormat="1" ht="15" customHeight="1" x14ac:dyDescent="0.25">
      <c r="A6177" s="9" t="s">
        <v>12138</v>
      </c>
      <c r="C6177" s="9" t="str">
        <f>HYPERLINK("http://www.ncbi.nlm.nih.gov/protein/18875380","Rac3")</f>
        <v>Rac3</v>
      </c>
      <c r="D6177" s="10">
        <f t="shared" si="96"/>
        <v>6.7724060329272886</v>
      </c>
      <c r="F6177" s="8" t="str">
        <f>HYPERLINK("https://esbl.nhlbi.nih.gov/Databases/mpkFractions/proteomic_fractions_log_files/Yang_log_img/18875380.jpg","show blot")</f>
        <v>show blot</v>
      </c>
      <c r="H6177" s="8" t="str">
        <f>HYPERLINK("https://esbl.nhlbi.nih.gov/Databases/mpkFractions/proteomic_fractions_linear_files/Yang_linear_img/18875380.jpg","show blot")</f>
        <v>show blot</v>
      </c>
      <c r="J6177" s="5" t="s">
        <v>12139</v>
      </c>
      <c r="L6177" s="11">
        <v>6.7724060329272886</v>
      </c>
      <c r="N6177" s="12"/>
    </row>
    <row r="6178" spans="1:14" s="5" customFormat="1" ht="15" customHeight="1" x14ac:dyDescent="0.25">
      <c r="A6178" s="9" t="s">
        <v>12140</v>
      </c>
      <c r="C6178" s="9" t="str">
        <f>HYPERLINK("http://www.ncbi.nlm.nih.gov/protein/6755266","Racgap1")</f>
        <v>Racgap1</v>
      </c>
      <c r="D6178" s="10">
        <f t="shared" si="96"/>
        <v>2.9603029236724678</v>
      </c>
      <c r="F6178" s="8" t="str">
        <f>HYPERLINK("https://esbl.nhlbi.nih.gov/Databases/mpkFractions/proteomic_fractions_log_files/Yang_log_img/6755266.jpg","show blot")</f>
        <v>show blot</v>
      </c>
      <c r="H6178" s="8" t="str">
        <f>HYPERLINK("https://esbl.nhlbi.nih.gov/Databases/mpkFractions/proteomic_fractions_linear_files/Yang_linear_img/6755266.jpg","show blot")</f>
        <v>show blot</v>
      </c>
      <c r="J6178" s="5" t="s">
        <v>12141</v>
      </c>
      <c r="L6178" s="11">
        <v>2.9603029236724678</v>
      </c>
      <c r="N6178" s="12"/>
    </row>
    <row r="6179" spans="1:14" s="5" customFormat="1" ht="15" customHeight="1" x14ac:dyDescent="0.25">
      <c r="A6179" s="9" t="s">
        <v>12142</v>
      </c>
      <c r="C6179" s="9" t="str">
        <f>HYPERLINK("http://www.ncbi.nlm.nih.gov/protein/84872189","Rad1")</f>
        <v>Rad1</v>
      </c>
      <c r="D6179" s="10">
        <f t="shared" si="96"/>
        <v>3.9883554179183629</v>
      </c>
      <c r="F6179" s="8" t="str">
        <f>HYPERLINK("https://esbl.nhlbi.nih.gov/Databases/mpkFractions/proteomic_fractions_log_files/Yang_log_img/84872189.jpg","show blot")</f>
        <v>show blot</v>
      </c>
      <c r="H6179" s="8" t="str">
        <f>HYPERLINK("https://esbl.nhlbi.nih.gov/Databases/mpkFractions/proteomic_fractions_linear_files/Yang_linear_img/84872189.jpg","show blot")</f>
        <v>show blot</v>
      </c>
      <c r="J6179" s="5" t="s">
        <v>12143</v>
      </c>
      <c r="L6179" s="11">
        <v>3.9883554179183629</v>
      </c>
      <c r="N6179" s="12"/>
    </row>
    <row r="6180" spans="1:14" s="5" customFormat="1" ht="15" customHeight="1" x14ac:dyDescent="0.25">
      <c r="A6180" s="9" t="s">
        <v>12144</v>
      </c>
      <c r="C6180" s="9" t="str">
        <f>HYPERLINK("http://www.ncbi.nlm.nih.gov/protein/254692855","Rad21")</f>
        <v>Rad21</v>
      </c>
      <c r="D6180" s="10">
        <f t="shared" si="96"/>
        <v>4.2507288798821046</v>
      </c>
      <c r="F6180" s="8" t="str">
        <f>HYPERLINK("https://esbl.nhlbi.nih.gov/Databases/mpkFractions/proteomic_fractions_log_files/Yang_log_img/254692855.jpg","show blot")</f>
        <v>show blot</v>
      </c>
      <c r="H6180" s="8" t="str">
        <f>HYPERLINK("https://esbl.nhlbi.nih.gov/Databases/mpkFractions/proteomic_fractions_linear_files/Yang_linear_img/254692855.jpg","show blot")</f>
        <v>show blot</v>
      </c>
      <c r="J6180" s="5" t="s">
        <v>12145</v>
      </c>
      <c r="L6180" s="11">
        <v>4.2507288798821046</v>
      </c>
      <c r="N6180" s="12"/>
    </row>
    <row r="6181" spans="1:14" s="5" customFormat="1" ht="15" customHeight="1" x14ac:dyDescent="0.25">
      <c r="A6181" s="9" t="s">
        <v>12146</v>
      </c>
      <c r="C6181" s="9" t="str">
        <f>HYPERLINK("http://www.ncbi.nlm.nih.gov/protein/34447211","Rad23a")</f>
        <v>Rad23a</v>
      </c>
      <c r="D6181" s="10">
        <f t="shared" si="96"/>
        <v>5.0116687773756894</v>
      </c>
      <c r="F6181" s="8" t="str">
        <f>HYPERLINK("https://esbl.nhlbi.nih.gov/Databases/mpkFractions/proteomic_fractions_log_files/Yang_log_img/34447211.jpg","show blot")</f>
        <v>show blot</v>
      </c>
      <c r="H6181" s="8" t="str">
        <f>HYPERLINK("https://esbl.nhlbi.nih.gov/Databases/mpkFractions/proteomic_fractions_linear_files/Yang_linear_img/34447211.jpg","show blot")</f>
        <v>show blot</v>
      </c>
      <c r="J6181" s="5" t="s">
        <v>12147</v>
      </c>
      <c r="L6181" s="11">
        <v>5.0116687773756894</v>
      </c>
      <c r="N6181" s="12"/>
    </row>
    <row r="6182" spans="1:14" s="5" customFormat="1" ht="15" customHeight="1" x14ac:dyDescent="0.25">
      <c r="A6182" s="9" t="s">
        <v>12148</v>
      </c>
      <c r="C6182" s="9" t="str">
        <f>HYPERLINK("http://www.ncbi.nlm.nih.gov/protein/171906578","Rad23b")</f>
        <v>Rad23b</v>
      </c>
      <c r="D6182" s="10">
        <f t="shared" si="96"/>
        <v>5.6868818317089271</v>
      </c>
      <c r="F6182" s="8" t="str">
        <f>HYPERLINK("https://esbl.nhlbi.nih.gov/Databases/mpkFractions/proteomic_fractions_log_files/Yang_log_img/171906578.jpg","show blot")</f>
        <v>show blot</v>
      </c>
      <c r="H6182" s="8" t="str">
        <f>HYPERLINK("https://esbl.nhlbi.nih.gov/Databases/mpkFractions/proteomic_fractions_linear_files/Yang_linear_img/171906578.jpg","show blot")</f>
        <v>show blot</v>
      </c>
      <c r="J6182" s="5" t="s">
        <v>12149</v>
      </c>
      <c r="L6182" s="11">
        <v>5.6868818317089271</v>
      </c>
      <c r="N6182" s="12"/>
    </row>
    <row r="6183" spans="1:14" s="5" customFormat="1" ht="15" customHeight="1" x14ac:dyDescent="0.25">
      <c r="A6183" s="9" t="s">
        <v>12150</v>
      </c>
      <c r="C6183" s="9" t="str">
        <f>HYPERLINK("http://www.ncbi.nlm.nih.gov/protein/153945822","Rad50")</f>
        <v>Rad50</v>
      </c>
      <c r="D6183" s="10">
        <f t="shared" si="96"/>
        <v>4.2229877868070664</v>
      </c>
      <c r="F6183" s="8" t="str">
        <f>HYPERLINK("https://esbl.nhlbi.nih.gov/Databases/mpkFractions/proteomic_fractions_log_files/Yang_log_img/153945822.jpg","show blot")</f>
        <v>show blot</v>
      </c>
      <c r="H6183" s="8" t="str">
        <f>HYPERLINK("https://esbl.nhlbi.nih.gov/Databases/mpkFractions/proteomic_fractions_linear_files/Yang_linear_img/153945822.jpg","show blot")</f>
        <v>show blot</v>
      </c>
      <c r="J6183" s="5" t="s">
        <v>12151</v>
      </c>
      <c r="L6183" s="11">
        <v>4.2229877868070664</v>
      </c>
      <c r="N6183" s="12"/>
    </row>
    <row r="6184" spans="1:14" s="5" customFormat="1" ht="15" customHeight="1" x14ac:dyDescent="0.25">
      <c r="A6184" s="9" t="s">
        <v>12152</v>
      </c>
      <c r="C6184" s="9" t="str">
        <f>HYPERLINK("http://www.ncbi.nlm.nih.gov/protein/6755276","Rad51")</f>
        <v>Rad51</v>
      </c>
      <c r="D6184" s="10">
        <f t="shared" si="96"/>
        <v>4.2880124205971732</v>
      </c>
      <c r="F6184" s="8" t="str">
        <f>HYPERLINK("https://esbl.nhlbi.nih.gov/Databases/mpkFractions/proteomic_fractions_log_files/Yang_log_img/6755276.jpg","show blot")</f>
        <v>show blot</v>
      </c>
      <c r="H6184" s="8" t="str">
        <f>HYPERLINK("https://esbl.nhlbi.nih.gov/Databases/mpkFractions/proteomic_fractions_linear_files/Yang_linear_img/6755276.jpg","show blot")</f>
        <v>show blot</v>
      </c>
      <c r="J6184" s="5" t="s">
        <v>12153</v>
      </c>
      <c r="L6184" s="11">
        <v>4.2880124205971732</v>
      </c>
      <c r="N6184" s="12"/>
    </row>
    <row r="6185" spans="1:14" s="5" customFormat="1" ht="15" customHeight="1" x14ac:dyDescent="0.25">
      <c r="A6185" s="9" t="s">
        <v>12154</v>
      </c>
      <c r="C6185" s="9" t="str">
        <f>HYPERLINK("http://www.ncbi.nlm.nih.gov/protein/110626102","Rad51ap1")</f>
        <v>Rad51ap1</v>
      </c>
      <c r="D6185" s="10">
        <f t="shared" si="96"/>
        <v>2.828086728987167</v>
      </c>
      <c r="F6185" s="8" t="str">
        <f>HYPERLINK("https://esbl.nhlbi.nih.gov/Databases/mpkFractions/proteomic_fractions_log_files/Yang_log_img/110626102.jpg","show blot")</f>
        <v>show blot</v>
      </c>
      <c r="H6185" s="8" t="str">
        <f>HYPERLINK("https://esbl.nhlbi.nih.gov/Databases/mpkFractions/proteomic_fractions_linear_files/Yang_linear_img/110626102.jpg","show blot")</f>
        <v>show blot</v>
      </c>
      <c r="J6185" s="5" t="s">
        <v>12155</v>
      </c>
      <c r="L6185" s="11">
        <v>2.828086728987167</v>
      </c>
      <c r="N6185" s="12"/>
    </row>
    <row r="6186" spans="1:14" s="5" customFormat="1" ht="15" customHeight="1" x14ac:dyDescent="0.25">
      <c r="A6186" s="9" t="s">
        <v>12156</v>
      </c>
      <c r="C6186" s="9" t="str">
        <f>HYPERLINK("http://www.ncbi.nlm.nih.gov/protein/31982072","Rad51b")</f>
        <v>Rad51b</v>
      </c>
      <c r="D6186" s="10">
        <f t="shared" si="96"/>
        <v>3.949710908999684</v>
      </c>
      <c r="F6186" s="8" t="str">
        <f>HYPERLINK("https://esbl.nhlbi.nih.gov/Databases/mpkFractions/proteomic_fractions_log_files/Yang_log_img/31982072.jpg","show blot")</f>
        <v>show blot</v>
      </c>
      <c r="H6186" s="8" t="str">
        <f>HYPERLINK("https://esbl.nhlbi.nih.gov/Databases/mpkFractions/proteomic_fractions_linear_files/Yang_linear_img/31982072.jpg","show blot")</f>
        <v>show blot</v>
      </c>
      <c r="J6186" s="5" t="s">
        <v>12157</v>
      </c>
      <c r="L6186" s="11">
        <v>3.949710908999684</v>
      </c>
      <c r="N6186" s="12"/>
    </row>
    <row r="6187" spans="1:14" s="5" customFormat="1" ht="15" customHeight="1" x14ac:dyDescent="0.25">
      <c r="A6187" s="9" t="s">
        <v>12158</v>
      </c>
      <c r="C6187" s="9" t="str">
        <f>HYPERLINK("http://www.ncbi.nlm.nih.gov/protein/16716605","Rad51c")</f>
        <v>Rad51c</v>
      </c>
      <c r="D6187" s="10">
        <f t="shared" si="96"/>
        <v>3.478400714882695</v>
      </c>
      <c r="F6187" s="8" t="str">
        <f>HYPERLINK("https://esbl.nhlbi.nih.gov/Databases/mpkFractions/proteomic_fractions_log_files/Yang_log_img/16716605.jpg","show blot")</f>
        <v>show blot</v>
      </c>
      <c r="H6187" s="8" t="str">
        <f>HYPERLINK("https://esbl.nhlbi.nih.gov/Databases/mpkFractions/proteomic_fractions_linear_files/Yang_linear_img/16716605.jpg","show blot")</f>
        <v>show blot</v>
      </c>
      <c r="J6187" s="5" t="s">
        <v>12159</v>
      </c>
      <c r="L6187" s="11">
        <v>3.478400714882695</v>
      </c>
      <c r="N6187" s="12"/>
    </row>
    <row r="6188" spans="1:14" s="5" customFormat="1" ht="15" customHeight="1" x14ac:dyDescent="0.25">
      <c r="A6188" s="9" t="s">
        <v>12160</v>
      </c>
      <c r="C6188" s="9" t="str">
        <f>HYPERLINK("http://www.ncbi.nlm.nih.gov/protein/6755278","Rad51d")</f>
        <v>Rad51d</v>
      </c>
      <c r="D6188" s="10">
        <f t="shared" si="96"/>
        <v>3.1049078933530958</v>
      </c>
      <c r="F6188" s="8" t="str">
        <f>HYPERLINK("https://esbl.nhlbi.nih.gov/Databases/mpkFractions/proteomic_fractions_log_files/Yang_log_img/6755278.jpg","show blot")</f>
        <v>show blot</v>
      </c>
      <c r="H6188" s="8" t="str">
        <f>HYPERLINK("https://esbl.nhlbi.nih.gov/Databases/mpkFractions/proteomic_fractions_linear_files/Yang_linear_img/6755278.jpg","show blot")</f>
        <v>show blot</v>
      </c>
      <c r="J6188" s="5" t="s">
        <v>12161</v>
      </c>
      <c r="L6188" s="11">
        <v>3.1049078933530958</v>
      </c>
      <c r="N6188" s="12"/>
    </row>
    <row r="6189" spans="1:14" s="5" customFormat="1" ht="15" customHeight="1" x14ac:dyDescent="0.25">
      <c r="A6189" s="9" t="s">
        <v>12162</v>
      </c>
      <c r="C6189" s="9" t="str">
        <f>HYPERLINK("http://www.ncbi.nlm.nih.gov/protein/126090612","Rad54l2")</f>
        <v>Rad54l2</v>
      </c>
      <c r="D6189" s="10">
        <f t="shared" si="96"/>
        <v>2.0338989271842149</v>
      </c>
      <c r="F6189" s="8" t="str">
        <f>HYPERLINK("https://esbl.nhlbi.nih.gov/Databases/mpkFractions/proteomic_fractions_log_files/Yang_log_img/126090612.jpg","show blot")</f>
        <v>show blot</v>
      </c>
      <c r="H6189" s="8" t="str">
        <f>HYPERLINK("https://esbl.nhlbi.nih.gov/Databases/mpkFractions/proteomic_fractions_linear_files/Yang_linear_img/126090612.jpg","show blot")</f>
        <v>show blot</v>
      </c>
      <c r="J6189" s="5" t="s">
        <v>12163</v>
      </c>
      <c r="L6189" s="11">
        <v>2.0338989271842149</v>
      </c>
      <c r="N6189" s="12"/>
    </row>
    <row r="6190" spans="1:14" s="5" customFormat="1" ht="15" customHeight="1" x14ac:dyDescent="0.25">
      <c r="A6190" s="9" t="s">
        <v>12164</v>
      </c>
      <c r="C6190" s="9" t="str">
        <f>HYPERLINK("http://www.ncbi.nlm.nih.gov/protein/28201956","Rae1")</f>
        <v>Rae1</v>
      </c>
      <c r="D6190" s="10">
        <f t="shared" si="96"/>
        <v>4.778668414336285</v>
      </c>
      <c r="F6190" s="8" t="str">
        <f>HYPERLINK("https://esbl.nhlbi.nih.gov/Databases/mpkFractions/proteomic_fractions_log_files/Yang_log_img/28201956.jpg","show blot")</f>
        <v>show blot</v>
      </c>
      <c r="H6190" s="8" t="str">
        <f>HYPERLINK("https://esbl.nhlbi.nih.gov/Databases/mpkFractions/proteomic_fractions_linear_files/Yang_linear_img/28201956.jpg","show blot")</f>
        <v>show blot</v>
      </c>
      <c r="J6190" s="5" t="s">
        <v>12165</v>
      </c>
      <c r="L6190" s="11">
        <v>4.778668414336285</v>
      </c>
      <c r="N6190" s="12"/>
    </row>
    <row r="6191" spans="1:14" s="5" customFormat="1" ht="15" customHeight="1" x14ac:dyDescent="0.25">
      <c r="A6191" s="9" t="s">
        <v>12166</v>
      </c>
      <c r="C6191" s="9" t="str">
        <f>HYPERLINK("http://www.ncbi.nlm.nih.gov/protein/6679617","Raet1a")</f>
        <v>Raet1a</v>
      </c>
      <c r="D6191" s="10">
        <f t="shared" si="96"/>
        <v>3.1850245213224122</v>
      </c>
      <c r="F6191" s="8" t="str">
        <f>HYPERLINK("https://esbl.nhlbi.nih.gov/Databases/mpkFractions/proteomic_fractions_log_files/Yang_log_img/6679617.jpg","show blot")</f>
        <v>show blot</v>
      </c>
      <c r="H6191" s="8" t="str">
        <f>HYPERLINK("https://esbl.nhlbi.nih.gov/Databases/mpkFractions/proteomic_fractions_linear_files/Yang_linear_img/6679617.jpg","show blot")</f>
        <v>show blot</v>
      </c>
      <c r="J6191" s="5" t="s">
        <v>12167</v>
      </c>
      <c r="L6191" s="11">
        <v>3.1850245213224122</v>
      </c>
      <c r="N6191" s="12"/>
    </row>
    <row r="6192" spans="1:14" s="5" customFormat="1" ht="15" customHeight="1" x14ac:dyDescent="0.25">
      <c r="A6192" s="9" t="s">
        <v>12168</v>
      </c>
      <c r="C6192" s="9" t="str">
        <f>HYPERLINK("http://www.ncbi.nlm.nih.gov/protein/6679619","Raet1b")</f>
        <v>Raet1b</v>
      </c>
      <c r="D6192" s="10">
        <f t="shared" si="96"/>
        <v>3.1850245213224122</v>
      </c>
      <c r="F6192" s="8" t="str">
        <f>HYPERLINK("https://esbl.nhlbi.nih.gov/Databases/mpkFractions/proteomic_fractions_log_files/Yang_log_img/6679619.jpg","show blot")</f>
        <v>show blot</v>
      </c>
      <c r="H6192" s="8" t="str">
        <f>HYPERLINK("https://esbl.nhlbi.nih.gov/Databases/mpkFractions/proteomic_fractions_linear_files/Yang_linear_img/6679619.jpg","show blot")</f>
        <v>show blot</v>
      </c>
      <c r="J6192" s="5" t="s">
        <v>12169</v>
      </c>
      <c r="L6192" s="11">
        <v>3.1850245213224122</v>
      </c>
      <c r="N6192" s="12"/>
    </row>
    <row r="6193" spans="1:14" s="5" customFormat="1" ht="15" customHeight="1" x14ac:dyDescent="0.25">
      <c r="A6193" s="9" t="s">
        <v>12170</v>
      </c>
      <c r="C6193" s="9" t="str">
        <f>HYPERLINK("http://www.ncbi.nlm.nih.gov/protein/6679621","Raet1c")</f>
        <v>Raet1c</v>
      </c>
      <c r="D6193" s="10">
        <f t="shared" si="96"/>
        <v>3.1850245213224122</v>
      </c>
      <c r="F6193" s="8" t="str">
        <f>HYPERLINK("https://esbl.nhlbi.nih.gov/Databases/mpkFractions/proteomic_fractions_log_files/Yang_log_img/6679621.jpg","show blot")</f>
        <v>show blot</v>
      </c>
      <c r="H6193" s="8" t="str">
        <f>HYPERLINK("https://esbl.nhlbi.nih.gov/Databases/mpkFractions/proteomic_fractions_linear_files/Yang_linear_img/6679621.jpg","show blot")</f>
        <v>show blot</v>
      </c>
      <c r="J6193" s="5" t="s">
        <v>12171</v>
      </c>
      <c r="L6193" s="11">
        <v>3.1850245213224122</v>
      </c>
      <c r="N6193" s="12"/>
    </row>
    <row r="6194" spans="1:14" s="5" customFormat="1" ht="15" customHeight="1" x14ac:dyDescent="0.25">
      <c r="A6194" s="9" t="s">
        <v>12172</v>
      </c>
      <c r="C6194" s="9" t="str">
        <f>HYPERLINK("http://www.ncbi.nlm.nih.gov/protein/9910522","Raet1d")</f>
        <v>Raet1d</v>
      </c>
      <c r="D6194" s="10">
        <f t="shared" si="96"/>
        <v>3.2043296765177991</v>
      </c>
      <c r="F6194" s="8" t="str">
        <f>HYPERLINK("https://esbl.nhlbi.nih.gov/Databases/mpkFractions/proteomic_fractions_log_files/Yang_log_img/9910522.jpg","show blot")</f>
        <v>show blot</v>
      </c>
      <c r="H6194" s="8" t="str">
        <f>HYPERLINK("https://esbl.nhlbi.nih.gov/Databases/mpkFractions/proteomic_fractions_linear_files/Yang_linear_img/9910522.jpg","show blot")</f>
        <v>show blot</v>
      </c>
      <c r="J6194" s="5" t="s">
        <v>12173</v>
      </c>
      <c r="L6194" s="11">
        <v>3.2043296765177991</v>
      </c>
      <c r="N6194" s="12"/>
    </row>
    <row r="6195" spans="1:14" s="5" customFormat="1" ht="15" customHeight="1" x14ac:dyDescent="0.25">
      <c r="A6195" s="9" t="s">
        <v>12174</v>
      </c>
      <c r="C6195" s="9" t="str">
        <f>HYPERLINK("http://www.ncbi.nlm.nih.gov/protein/38016148","Raet1e")</f>
        <v>Raet1e</v>
      </c>
      <c r="D6195" s="10">
        <f t="shared" si="96"/>
        <v>3.1850245213224122</v>
      </c>
      <c r="F6195" s="8" t="str">
        <f>HYPERLINK("https://esbl.nhlbi.nih.gov/Databases/mpkFractions/proteomic_fractions_log_files/Yang_log_img/38016148.jpg","show blot")</f>
        <v>show blot</v>
      </c>
      <c r="H6195" s="8" t="str">
        <f>HYPERLINK("https://esbl.nhlbi.nih.gov/Databases/mpkFractions/proteomic_fractions_linear_files/Yang_linear_img/38016148.jpg","show blot")</f>
        <v>show blot</v>
      </c>
      <c r="J6195" s="5" t="s">
        <v>12175</v>
      </c>
      <c r="L6195" s="11">
        <v>3.1850245213224122</v>
      </c>
      <c r="N6195" s="12"/>
    </row>
    <row r="6196" spans="1:14" s="5" customFormat="1" ht="15" customHeight="1" x14ac:dyDescent="0.25">
      <c r="A6196" s="9" t="s">
        <v>12176</v>
      </c>
      <c r="C6196" s="9" t="str">
        <f>HYPERLINK("http://www.ncbi.nlm.nih.gov/protein/18497290","Raf1")</f>
        <v>Raf1</v>
      </c>
      <c r="D6196" s="10">
        <f t="shared" si="96"/>
        <v>3.8690342931432649</v>
      </c>
      <c r="F6196" s="8" t="str">
        <f>HYPERLINK("https://esbl.nhlbi.nih.gov/Databases/mpkFractions/proteomic_fractions_log_files/Yang_log_img/18497290.jpg","show blot")</f>
        <v>show blot</v>
      </c>
      <c r="H6196" s="8" t="str">
        <f>HYPERLINK("https://esbl.nhlbi.nih.gov/Databases/mpkFractions/proteomic_fractions_linear_files/Yang_linear_img/18497290.jpg","show blot")</f>
        <v>show blot</v>
      </c>
      <c r="J6196" s="5" t="s">
        <v>12177</v>
      </c>
      <c r="L6196" s="11">
        <v>3.8690342931432649</v>
      </c>
      <c r="N6196" s="12"/>
    </row>
    <row r="6197" spans="1:14" s="5" customFormat="1" ht="15" customHeight="1" x14ac:dyDescent="0.25">
      <c r="A6197" s="9" t="s">
        <v>12178</v>
      </c>
      <c r="C6197" s="9" t="str">
        <f>HYPERLINK("http://www.ncbi.nlm.nih.gov/protein/13507620","Rai14")</f>
        <v>Rai14</v>
      </c>
      <c r="D6197" s="10">
        <f t="shared" si="96"/>
        <v>3.1225606923041389</v>
      </c>
      <c r="F6197" s="8" t="str">
        <f>HYPERLINK("https://esbl.nhlbi.nih.gov/Databases/mpkFractions/proteomic_fractions_log_files/Yang_log_img/13507620.jpg","show blot")</f>
        <v>show blot</v>
      </c>
      <c r="H6197" s="8" t="str">
        <f>HYPERLINK("https://esbl.nhlbi.nih.gov/Databases/mpkFractions/proteomic_fractions_linear_files/Yang_linear_img/13507620.jpg","show blot")</f>
        <v>show blot</v>
      </c>
      <c r="J6197" s="5" t="s">
        <v>12179</v>
      </c>
      <c r="L6197" s="11">
        <v>3.1225606923041389</v>
      </c>
      <c r="N6197" s="12"/>
    </row>
    <row r="6198" spans="1:14" s="5" customFormat="1" ht="15" customHeight="1" x14ac:dyDescent="0.25">
      <c r="A6198" s="9" t="s">
        <v>12180</v>
      </c>
      <c r="C6198" s="9" t="str">
        <f>HYPERLINK("http://www.ncbi.nlm.nih.gov/protein/34328471","Rala")</f>
        <v>Rala</v>
      </c>
      <c r="D6198" s="10">
        <f t="shared" si="96"/>
        <v>6.1470347138066916</v>
      </c>
      <c r="F6198" s="8" t="str">
        <f>HYPERLINK("https://esbl.nhlbi.nih.gov/Databases/mpkFractions/proteomic_fractions_log_files/Yang_log_img/34328471.jpg","show blot")</f>
        <v>show blot</v>
      </c>
      <c r="H6198" s="8" t="str">
        <f>HYPERLINK("https://esbl.nhlbi.nih.gov/Databases/mpkFractions/proteomic_fractions_linear_files/Yang_linear_img/34328471.jpg","show blot")</f>
        <v>show blot</v>
      </c>
      <c r="J6198" s="5" t="s">
        <v>12181</v>
      </c>
      <c r="L6198" s="11">
        <v>6.1470347138066916</v>
      </c>
      <c r="N6198" s="12"/>
    </row>
    <row r="6199" spans="1:14" s="5" customFormat="1" ht="15" customHeight="1" x14ac:dyDescent="0.25">
      <c r="A6199" s="9" t="s">
        <v>12182</v>
      </c>
      <c r="C6199" s="9" t="str">
        <f>HYPERLINK("http://www.ncbi.nlm.nih.gov/protein/11612509","Ralb")</f>
        <v>Ralb</v>
      </c>
      <c r="D6199" s="10">
        <f t="shared" si="96"/>
        <v>6.1947355584038393</v>
      </c>
      <c r="F6199" s="8" t="str">
        <f>HYPERLINK("https://esbl.nhlbi.nih.gov/Databases/mpkFractions/proteomic_fractions_log_files/Yang_log_img/11612509.jpg","show blot")</f>
        <v>show blot</v>
      </c>
      <c r="H6199" s="8" t="str">
        <f>HYPERLINK("https://esbl.nhlbi.nih.gov/Databases/mpkFractions/proteomic_fractions_linear_files/Yang_linear_img/11612509.jpg","show blot")</f>
        <v>show blot</v>
      </c>
      <c r="J6199" s="5" t="s">
        <v>12183</v>
      </c>
      <c r="L6199" s="11">
        <v>6.1947355584038393</v>
      </c>
      <c r="N6199" s="12"/>
    </row>
    <row r="6200" spans="1:14" s="5" customFormat="1" ht="15" customHeight="1" x14ac:dyDescent="0.25">
      <c r="A6200" s="9" t="s">
        <v>12184</v>
      </c>
      <c r="C6200" s="9" t="str">
        <f>HYPERLINK("http://www.ncbi.nlm.nih.gov/protein/163310721","Ralgapa1")</f>
        <v>Ralgapa1</v>
      </c>
      <c r="D6200" s="10">
        <f t="shared" si="96"/>
        <v>2.3740035183572621</v>
      </c>
      <c r="F6200" s="8" t="str">
        <f>HYPERLINK("https://esbl.nhlbi.nih.gov/Databases/mpkFractions/proteomic_fractions_log_files/Yang_log_img/163310721.jpg","show blot")</f>
        <v>show blot</v>
      </c>
      <c r="H6200" s="8" t="str">
        <f>HYPERLINK("https://esbl.nhlbi.nih.gov/Databases/mpkFractions/proteomic_fractions_linear_files/Yang_linear_img/163310721.jpg","show blot")</f>
        <v>show blot</v>
      </c>
      <c r="J6200" s="5" t="s">
        <v>12185</v>
      </c>
      <c r="L6200" s="11">
        <v>2.3740035183572621</v>
      </c>
      <c r="N6200" s="12"/>
    </row>
    <row r="6201" spans="1:14" s="5" customFormat="1" ht="15" customHeight="1" x14ac:dyDescent="0.25">
      <c r="A6201" s="9" t="s">
        <v>12186</v>
      </c>
      <c r="C6201" s="9" t="str">
        <f>HYPERLINK("http://www.ncbi.nlm.nih.gov/protein/51230692","Ralgapa1")</f>
        <v>Ralgapa1</v>
      </c>
      <c r="D6201" s="10">
        <f t="shared" si="96"/>
        <v>2.3740035183572621</v>
      </c>
      <c r="F6201" s="8" t="str">
        <f>HYPERLINK("https://esbl.nhlbi.nih.gov/Databases/mpkFractions/proteomic_fractions_log_files/Yang_log_img/51230692.jpg","show blot")</f>
        <v>show blot</v>
      </c>
      <c r="H6201" s="8" t="str">
        <f>HYPERLINK("https://esbl.nhlbi.nih.gov/Databases/mpkFractions/proteomic_fractions_linear_files/Yang_linear_img/51230692.jpg","show blot")</f>
        <v>show blot</v>
      </c>
      <c r="J6201" s="5" t="s">
        <v>12187</v>
      </c>
      <c r="L6201" s="11">
        <v>2.3740035183572621</v>
      </c>
      <c r="N6201" s="12"/>
    </row>
    <row r="6202" spans="1:14" s="5" customFormat="1" ht="15" customHeight="1" x14ac:dyDescent="0.25">
      <c r="A6202" s="9" t="s">
        <v>12188</v>
      </c>
      <c r="C6202" s="9" t="str">
        <f>HYPERLINK("http://www.ncbi.nlm.nih.gov/protein/158187505","Ralgapa2")</f>
        <v>Ralgapa2</v>
      </c>
      <c r="D6202" s="10">
        <f t="shared" si="96"/>
        <v>4.1649624593902876</v>
      </c>
      <c r="F6202" s="8" t="str">
        <f>HYPERLINK("https://esbl.nhlbi.nih.gov/Databases/mpkFractions/proteomic_fractions_log_files/Yang_log_img/158187505.jpg","show blot")</f>
        <v>show blot</v>
      </c>
      <c r="H6202" s="8" t="str">
        <f>HYPERLINK("https://esbl.nhlbi.nih.gov/Databases/mpkFractions/proteomic_fractions_linear_files/Yang_linear_img/158187505.jpg","show blot")</f>
        <v>show blot</v>
      </c>
      <c r="J6202" s="5" t="s">
        <v>12189</v>
      </c>
      <c r="L6202" s="11">
        <v>4.1649624593902876</v>
      </c>
      <c r="N6202" s="12"/>
    </row>
    <row r="6203" spans="1:14" s="5" customFormat="1" ht="15" customHeight="1" x14ac:dyDescent="0.25">
      <c r="A6203" s="9" t="s">
        <v>12190</v>
      </c>
      <c r="C6203" s="9" t="str">
        <f>HYPERLINK("http://www.ncbi.nlm.nih.gov/protein/124487299","Ralgapb")</f>
        <v>Ralgapb</v>
      </c>
      <c r="D6203" s="10">
        <f t="shared" si="96"/>
        <v>2.8768695076335891</v>
      </c>
      <c r="F6203" s="8" t="str">
        <f>HYPERLINK("https://esbl.nhlbi.nih.gov/Databases/mpkFractions/proteomic_fractions_log_files/Yang_log_img/124487299.jpg","show blot")</f>
        <v>show blot</v>
      </c>
      <c r="H6203" s="8" t="str">
        <f>HYPERLINK("https://esbl.nhlbi.nih.gov/Databases/mpkFractions/proteomic_fractions_linear_files/Yang_linear_img/124487299.jpg","show blot")</f>
        <v>show blot</v>
      </c>
      <c r="J6203" s="5" t="s">
        <v>12191</v>
      </c>
      <c r="L6203" s="11">
        <v>2.8768695076335891</v>
      </c>
      <c r="N6203" s="12"/>
    </row>
    <row r="6204" spans="1:14" s="5" customFormat="1" ht="15" customHeight="1" x14ac:dyDescent="0.25">
      <c r="A6204" s="9" t="s">
        <v>12192</v>
      </c>
      <c r="C6204" s="9" t="str">
        <f>HYPERLINK("http://www.ncbi.nlm.nih.gov/protein/213417784;213417775","Raly")</f>
        <v>Raly</v>
      </c>
      <c r="D6204" s="10">
        <f t="shared" si="96"/>
        <v>5.9496111120087063</v>
      </c>
      <c r="F6204" s="8" t="str">
        <f>HYPERLINK("https://esbl.nhlbi.nih.gov/Databases/mpkFractions/proteomic_fractions_log_files/Yang_log_img/213417784;213417775.jpg","show blot")</f>
        <v>show blot</v>
      </c>
      <c r="H6204" s="8" t="str">
        <f>HYPERLINK("https://esbl.nhlbi.nih.gov/Databases/mpkFractions/proteomic_fractions_linear_files/Yang_linear_img/213417784;213417775.jpg","show blot")</f>
        <v>show blot</v>
      </c>
      <c r="J6204" s="5" t="s">
        <v>12193</v>
      </c>
      <c r="L6204" s="11">
        <v>5.9496111120087063</v>
      </c>
      <c r="N6204" s="12"/>
    </row>
    <row r="6205" spans="1:14" s="5" customFormat="1" ht="15" customHeight="1" x14ac:dyDescent="0.25">
      <c r="A6205" s="9" t="s">
        <v>12194</v>
      </c>
      <c r="C6205" s="9" t="str">
        <f>HYPERLINK("http://www.ncbi.nlm.nih.gov/protein/213417775","Raly")</f>
        <v>Raly</v>
      </c>
      <c r="D6205" s="10">
        <f t="shared" si="96"/>
        <v>5.9496111120087063</v>
      </c>
      <c r="F6205" s="8" t="str">
        <f>HYPERLINK("https://esbl.nhlbi.nih.gov/Databases/mpkFractions/proteomic_fractions_log_files/Yang_log_img/213417775.jpg","show blot")</f>
        <v>show blot</v>
      </c>
      <c r="H6205" s="8" t="str">
        <f>HYPERLINK("https://esbl.nhlbi.nih.gov/Databases/mpkFractions/proteomic_fractions_linear_files/Yang_linear_img/213417775.jpg","show blot")</f>
        <v>show blot</v>
      </c>
      <c r="J6205" s="5" t="s">
        <v>12193</v>
      </c>
      <c r="L6205" s="11">
        <v>5.9496111120087063</v>
      </c>
      <c r="N6205" s="12"/>
    </row>
    <row r="6206" spans="1:14" s="5" customFormat="1" ht="15" customHeight="1" x14ac:dyDescent="0.25">
      <c r="A6206" s="9" t="s">
        <v>12195</v>
      </c>
      <c r="C6206" s="9" t="str">
        <f>HYPERLINK("http://www.ncbi.nlm.nih.gov/protein/213417812","Raly")</f>
        <v>Raly</v>
      </c>
      <c r="D6206" s="10">
        <f t="shared" si="96"/>
        <v>5.9496111120087063</v>
      </c>
      <c r="F6206" s="8" t="str">
        <f>HYPERLINK("https://esbl.nhlbi.nih.gov/Databases/mpkFractions/proteomic_fractions_log_files/Yang_log_img/213417812.jpg","show blot")</f>
        <v>show blot</v>
      </c>
      <c r="H6206" s="8" t="str">
        <f>HYPERLINK("https://esbl.nhlbi.nih.gov/Databases/mpkFractions/proteomic_fractions_linear_files/Yang_linear_img/213417812.jpg","show blot")</f>
        <v>show blot</v>
      </c>
      <c r="J6206" s="5" t="s">
        <v>12196</v>
      </c>
      <c r="L6206" s="11">
        <v>5.9496111120087063</v>
      </c>
      <c r="N6206" s="12"/>
    </row>
    <row r="6207" spans="1:14" s="5" customFormat="1" ht="15" customHeight="1" x14ac:dyDescent="0.25">
      <c r="A6207" s="9" t="s">
        <v>12197</v>
      </c>
      <c r="C6207" s="9" t="str">
        <f>HYPERLINK("http://www.ncbi.nlm.nih.gov/protein/153792001","Ranbp1")</f>
        <v>Ranbp1</v>
      </c>
      <c r="D6207" s="10">
        <f t="shared" si="96"/>
        <v>6.3987587093380727</v>
      </c>
      <c r="F6207" s="8" t="str">
        <f>HYPERLINK("https://esbl.nhlbi.nih.gov/Databases/mpkFractions/proteomic_fractions_log_files/Yang_log_img/153792001.jpg","show blot")</f>
        <v>show blot</v>
      </c>
      <c r="H6207" s="8" t="str">
        <f>HYPERLINK("https://esbl.nhlbi.nih.gov/Databases/mpkFractions/proteomic_fractions_linear_files/Yang_linear_img/153792001.jpg","show blot")</f>
        <v>show blot</v>
      </c>
      <c r="J6207" s="5" t="s">
        <v>12198</v>
      </c>
      <c r="L6207" s="11">
        <v>6.3987587093380727</v>
      </c>
      <c r="N6207" s="12"/>
    </row>
    <row r="6208" spans="1:14" s="5" customFormat="1" ht="15" customHeight="1" x14ac:dyDescent="0.25">
      <c r="A6208" s="9" t="s">
        <v>12199</v>
      </c>
      <c r="C6208" s="9" t="str">
        <f>HYPERLINK("http://www.ncbi.nlm.nih.gov/protein/40804757","Ranbp10")</f>
        <v>Ranbp10</v>
      </c>
      <c r="D6208" s="10">
        <f t="shared" si="96"/>
        <v>4.2262757426038533</v>
      </c>
      <c r="F6208" s="8" t="str">
        <f>HYPERLINK("https://esbl.nhlbi.nih.gov/Databases/mpkFractions/proteomic_fractions_log_files/Yang_log_img/40804757.jpg","show blot")</f>
        <v>show blot</v>
      </c>
      <c r="H6208" s="8" t="str">
        <f>HYPERLINK("https://esbl.nhlbi.nih.gov/Databases/mpkFractions/proteomic_fractions_linear_files/Yang_linear_img/40804757.jpg","show blot")</f>
        <v>show blot</v>
      </c>
      <c r="J6208" s="5" t="s">
        <v>12200</v>
      </c>
      <c r="L6208" s="11">
        <v>4.2262757426038533</v>
      </c>
      <c r="N6208" s="12"/>
    </row>
    <row r="6209" spans="1:14" s="5" customFormat="1" ht="15" customHeight="1" x14ac:dyDescent="0.25">
      <c r="A6209" s="9" t="s">
        <v>12201</v>
      </c>
      <c r="C6209" s="9" t="str">
        <f>HYPERLINK("http://www.ncbi.nlm.nih.gov/protein/153792534","Ranbp2")</f>
        <v>Ranbp2</v>
      </c>
      <c r="D6209" s="10">
        <f t="shared" si="96"/>
        <v>3.9485099819487468</v>
      </c>
      <c r="F6209" s="8" t="str">
        <f>HYPERLINK("https://esbl.nhlbi.nih.gov/Databases/mpkFractions/proteomic_fractions_log_files/Yang_log_img/153792534.jpg","show blot")</f>
        <v>show blot</v>
      </c>
      <c r="H6209" s="8" t="str">
        <f>HYPERLINK("https://esbl.nhlbi.nih.gov/Databases/mpkFractions/proteomic_fractions_linear_files/Yang_linear_img/153792534.jpg","show blot")</f>
        <v>show blot</v>
      </c>
      <c r="J6209" s="5" t="s">
        <v>12202</v>
      </c>
      <c r="L6209" s="11">
        <v>3.9485099819487468</v>
      </c>
      <c r="N6209" s="12"/>
    </row>
    <row r="6210" spans="1:14" s="5" customFormat="1" ht="15" customHeight="1" x14ac:dyDescent="0.25">
      <c r="A6210" s="9" t="s">
        <v>12203</v>
      </c>
      <c r="C6210" s="9" t="str">
        <f>HYPERLINK("http://www.ncbi.nlm.nih.gov/protein/357197128","Ranbp3")</f>
        <v>Ranbp3</v>
      </c>
      <c r="D6210" s="10">
        <f t="shared" si="96"/>
        <v>5.1666048981158452</v>
      </c>
      <c r="F6210" s="8" t="str">
        <f>HYPERLINK("https://esbl.nhlbi.nih.gov/Databases/mpkFractions/proteomic_fractions_log_files/Yang_log_img/357197128.jpg","show blot")</f>
        <v>show blot</v>
      </c>
      <c r="H6210" s="8" t="str">
        <f>HYPERLINK("https://esbl.nhlbi.nih.gov/Databases/mpkFractions/proteomic_fractions_linear_files/Yang_linear_img/357197128.jpg","show blot")</f>
        <v>show blot</v>
      </c>
      <c r="J6210" s="5" t="s">
        <v>12204</v>
      </c>
      <c r="L6210" s="11">
        <v>5.1666048981158452</v>
      </c>
      <c r="N6210" s="12"/>
    </row>
    <row r="6211" spans="1:14" s="5" customFormat="1" ht="15" customHeight="1" x14ac:dyDescent="0.25">
      <c r="A6211" s="9" t="s">
        <v>12205</v>
      </c>
      <c r="C6211" s="9" t="str">
        <f>HYPERLINK("http://www.ncbi.nlm.nih.gov/protein/357197131","Ranbp3")</f>
        <v>Ranbp3</v>
      </c>
      <c r="D6211" s="10">
        <f t="shared" si="96"/>
        <v>5.1666048981158452</v>
      </c>
      <c r="F6211" s="8" t="str">
        <f>HYPERLINK("https://esbl.nhlbi.nih.gov/Databases/mpkFractions/proteomic_fractions_log_files/Yang_log_img/357197131.jpg","show blot")</f>
        <v>show blot</v>
      </c>
      <c r="H6211" s="8" t="str">
        <f>HYPERLINK("https://esbl.nhlbi.nih.gov/Databases/mpkFractions/proteomic_fractions_linear_files/Yang_linear_img/357197131.jpg","show blot")</f>
        <v>show blot</v>
      </c>
      <c r="J6211" s="5" t="s">
        <v>12206</v>
      </c>
      <c r="L6211" s="11">
        <v>5.1666048981158452</v>
      </c>
      <c r="N6211" s="12"/>
    </row>
    <row r="6212" spans="1:14" s="5" customFormat="1" ht="15" customHeight="1" x14ac:dyDescent="0.25">
      <c r="A6212" s="9" t="s">
        <v>12207</v>
      </c>
      <c r="C6212" s="9" t="str">
        <f>HYPERLINK("http://www.ncbi.nlm.nih.gov/protein/83523744","Ranbp3")</f>
        <v>Ranbp3</v>
      </c>
      <c r="D6212" s="10">
        <f t="shared" si="96"/>
        <v>5.1666048981158452</v>
      </c>
      <c r="F6212" s="8" t="str">
        <f>HYPERLINK("https://esbl.nhlbi.nih.gov/Databases/mpkFractions/proteomic_fractions_log_files/Yang_log_img/83523744.jpg","show blot")</f>
        <v>show blot</v>
      </c>
      <c r="H6212" s="8" t="str">
        <f>HYPERLINK("https://esbl.nhlbi.nih.gov/Databases/mpkFractions/proteomic_fractions_linear_files/Yang_linear_img/83523744.jpg","show blot")</f>
        <v>show blot</v>
      </c>
      <c r="J6212" s="5" t="s">
        <v>12208</v>
      </c>
      <c r="L6212" s="11">
        <v>5.1666048981158452</v>
      </c>
      <c r="N6212" s="12"/>
    </row>
    <row r="6213" spans="1:14" s="5" customFormat="1" ht="15" customHeight="1" x14ac:dyDescent="0.25">
      <c r="A6213" s="9" t="s">
        <v>12209</v>
      </c>
      <c r="C6213" s="9" t="str">
        <f>HYPERLINK("http://www.ncbi.nlm.nih.gov/protein/53850664","Ranbp6")</f>
        <v>Ranbp6</v>
      </c>
      <c r="D6213" s="10">
        <f t="shared" ref="D6213:D6276" si="97">L6213</f>
        <v>3.538349710515893</v>
      </c>
      <c r="F6213" s="8" t="str">
        <f>HYPERLINK("https://esbl.nhlbi.nih.gov/Databases/mpkFractions/proteomic_fractions_log_files/Yang_log_img/53850664.jpg","show blot")</f>
        <v>show blot</v>
      </c>
      <c r="H6213" s="8" t="str">
        <f>HYPERLINK("https://esbl.nhlbi.nih.gov/Databases/mpkFractions/proteomic_fractions_linear_files/Yang_linear_img/53850664.jpg","show blot")</f>
        <v>show blot</v>
      </c>
      <c r="J6213" s="5" t="s">
        <v>12210</v>
      </c>
      <c r="L6213" s="11">
        <v>3.538349710515893</v>
      </c>
      <c r="N6213" s="12"/>
    </row>
    <row r="6214" spans="1:14" s="5" customFormat="1" ht="15" customHeight="1" x14ac:dyDescent="0.25">
      <c r="A6214" s="9" t="s">
        <v>12211</v>
      </c>
      <c r="C6214" s="9" t="str">
        <f>HYPERLINK("http://www.ncbi.nlm.nih.gov/protein/161353515","Ranbp9")</f>
        <v>Ranbp9</v>
      </c>
      <c r="D6214" s="10">
        <f t="shared" si="97"/>
        <v>4.4548125193776693</v>
      </c>
      <c r="F6214" s="8" t="str">
        <f>HYPERLINK("https://esbl.nhlbi.nih.gov/Databases/mpkFractions/proteomic_fractions_log_files/Yang_log_img/161353515.jpg","show blot")</f>
        <v>show blot</v>
      </c>
      <c r="H6214" s="8" t="str">
        <f>HYPERLINK("https://esbl.nhlbi.nih.gov/Databases/mpkFractions/proteomic_fractions_linear_files/Yang_linear_img/161353515.jpg","show blot")</f>
        <v>show blot</v>
      </c>
      <c r="J6214" s="5" t="s">
        <v>12212</v>
      </c>
      <c r="L6214" s="11">
        <v>4.4548125193776693</v>
      </c>
      <c r="N6214" s="12"/>
    </row>
    <row r="6215" spans="1:14" s="5" customFormat="1" ht="15" customHeight="1" x14ac:dyDescent="0.25">
      <c r="A6215" s="9" t="s">
        <v>12213</v>
      </c>
      <c r="C6215" s="9" t="str">
        <f>HYPERLINK("http://www.ncbi.nlm.nih.gov/protein/226051567","Rangap1")</f>
        <v>Rangap1</v>
      </c>
      <c r="D6215" s="10">
        <f t="shared" si="97"/>
        <v>5.4819744343413612</v>
      </c>
      <c r="F6215" s="8" t="str">
        <f>HYPERLINK("https://esbl.nhlbi.nih.gov/Databases/mpkFractions/proteomic_fractions_log_files/Yang_log_img/226051567.jpg","show blot")</f>
        <v>show blot</v>
      </c>
      <c r="H6215" s="8" t="str">
        <f>HYPERLINK("https://esbl.nhlbi.nih.gov/Databases/mpkFractions/proteomic_fractions_linear_files/Yang_linear_img/226051567.jpg","show blot")</f>
        <v>show blot</v>
      </c>
      <c r="J6215" s="5" t="s">
        <v>12214</v>
      </c>
      <c r="L6215" s="11">
        <v>5.4819744343413612</v>
      </c>
      <c r="N6215" s="12"/>
    </row>
    <row r="6216" spans="1:14" s="5" customFormat="1" ht="15" customHeight="1" x14ac:dyDescent="0.25">
      <c r="A6216" s="9" t="s">
        <v>12215</v>
      </c>
      <c r="C6216" s="9" t="str">
        <f>HYPERLINK("http://www.ncbi.nlm.nih.gov/protein/21704066","Rap1a")</f>
        <v>Rap1a</v>
      </c>
      <c r="D6216" s="10">
        <f t="shared" si="97"/>
        <v>6.3997401559847962</v>
      </c>
      <c r="F6216" s="8" t="str">
        <f>HYPERLINK("https://esbl.nhlbi.nih.gov/Databases/mpkFractions/proteomic_fractions_log_files/Yang_log_img/21704066.jpg","show blot")</f>
        <v>show blot</v>
      </c>
      <c r="H6216" s="8" t="str">
        <f>HYPERLINK("https://esbl.nhlbi.nih.gov/Databases/mpkFractions/proteomic_fractions_linear_files/Yang_linear_img/21704066.jpg","show blot")</f>
        <v>show blot</v>
      </c>
      <c r="J6216" s="5" t="s">
        <v>12216</v>
      </c>
      <c r="L6216" s="11">
        <v>6.3997401559847962</v>
      </c>
      <c r="N6216" s="12"/>
    </row>
    <row r="6217" spans="1:14" s="5" customFormat="1" ht="15" customHeight="1" x14ac:dyDescent="0.25">
      <c r="A6217" s="9" t="s">
        <v>12217</v>
      </c>
      <c r="C6217" s="9" t="str">
        <f>HYPERLINK("http://www.ncbi.nlm.nih.gov/protein/33859753","Rap1b")</f>
        <v>Rap1b</v>
      </c>
      <c r="D6217" s="10">
        <f t="shared" si="97"/>
        <v>6.4175281996317084</v>
      </c>
      <c r="F6217" s="8" t="str">
        <f>HYPERLINK("https://esbl.nhlbi.nih.gov/Databases/mpkFractions/proteomic_fractions_log_files/Yang_log_img/33859753.jpg","show blot")</f>
        <v>show blot</v>
      </c>
      <c r="H6217" s="8" t="str">
        <f>HYPERLINK("https://esbl.nhlbi.nih.gov/Databases/mpkFractions/proteomic_fractions_linear_files/Yang_linear_img/33859753.jpg","show blot")</f>
        <v>show blot</v>
      </c>
      <c r="J6217" s="5" t="s">
        <v>12218</v>
      </c>
      <c r="L6217" s="11">
        <v>6.4175281996317084</v>
      </c>
      <c r="N6217" s="12"/>
    </row>
    <row r="6218" spans="1:14" s="5" customFormat="1" ht="15" customHeight="1" x14ac:dyDescent="0.25">
      <c r="A6218" s="9" t="s">
        <v>12219</v>
      </c>
      <c r="C6218" s="9" t="str">
        <f>HYPERLINK("http://www.ncbi.nlm.nih.gov/protein/100818161","Rap1gds1")</f>
        <v>Rap1gds1</v>
      </c>
      <c r="D6218" s="10">
        <f t="shared" si="97"/>
        <v>5.0475192663214434</v>
      </c>
      <c r="F6218" s="8" t="str">
        <f>HYPERLINK("https://esbl.nhlbi.nih.gov/Databases/mpkFractions/proteomic_fractions_log_files/Yang_log_img/100818161.jpg","show blot")</f>
        <v>show blot</v>
      </c>
      <c r="H6218" s="8" t="str">
        <f>HYPERLINK("https://esbl.nhlbi.nih.gov/Databases/mpkFractions/proteomic_fractions_linear_files/Yang_linear_img/100818161.jpg","show blot")</f>
        <v>show blot</v>
      </c>
      <c r="J6218" s="5" t="s">
        <v>12220</v>
      </c>
      <c r="L6218" s="11">
        <v>5.0475192663214434</v>
      </c>
      <c r="N6218" s="12"/>
    </row>
    <row r="6219" spans="1:14" s="5" customFormat="1" ht="15" customHeight="1" x14ac:dyDescent="0.25">
      <c r="A6219" s="9" t="s">
        <v>12221</v>
      </c>
      <c r="C6219" s="9" t="str">
        <f>HYPERLINK("http://www.ncbi.nlm.nih.gov/protein/100818462","Rap1gds1")</f>
        <v>Rap1gds1</v>
      </c>
      <c r="D6219" s="10">
        <f t="shared" si="97"/>
        <v>5.0475192663214434</v>
      </c>
      <c r="F6219" s="8" t="str">
        <f>HYPERLINK("https://esbl.nhlbi.nih.gov/Databases/mpkFractions/proteomic_fractions_log_files/Yang_log_img/100818462.jpg","show blot")</f>
        <v>show blot</v>
      </c>
      <c r="H6219" s="8" t="str">
        <f>HYPERLINK("https://esbl.nhlbi.nih.gov/Databases/mpkFractions/proteomic_fractions_linear_files/Yang_linear_img/100818462.jpg","show blot")</f>
        <v>show blot</v>
      </c>
      <c r="J6219" s="5" t="s">
        <v>12222</v>
      </c>
      <c r="L6219" s="11">
        <v>5.0475192663214434</v>
      </c>
      <c r="N6219" s="12"/>
    </row>
    <row r="6220" spans="1:14" s="5" customFormat="1" ht="15" customHeight="1" x14ac:dyDescent="0.25">
      <c r="A6220" s="9" t="s">
        <v>12223</v>
      </c>
      <c r="C6220" s="9" t="str">
        <f>HYPERLINK("http://www.ncbi.nlm.nih.gov/protein/40254160","Rap2a")</f>
        <v>Rap2a</v>
      </c>
      <c r="D6220" s="10">
        <f t="shared" si="97"/>
        <v>4.8389397539581989</v>
      </c>
      <c r="F6220" s="8" t="str">
        <f>HYPERLINK("https://esbl.nhlbi.nih.gov/Databases/mpkFractions/proteomic_fractions_log_files/Yang_log_img/40254160.jpg","show blot")</f>
        <v>show blot</v>
      </c>
      <c r="H6220" s="8" t="str">
        <f>HYPERLINK("https://esbl.nhlbi.nih.gov/Databases/mpkFractions/proteomic_fractions_linear_files/Yang_linear_img/40254160.jpg","show blot")</f>
        <v>show blot</v>
      </c>
      <c r="J6220" s="5" t="s">
        <v>12224</v>
      </c>
      <c r="L6220" s="11">
        <v>4.8389397539581989</v>
      </c>
      <c r="N6220" s="12"/>
    </row>
    <row r="6221" spans="1:14" s="5" customFormat="1" ht="15" customHeight="1" x14ac:dyDescent="0.25">
      <c r="A6221" s="9" t="s">
        <v>12225</v>
      </c>
      <c r="C6221" s="9" t="str">
        <f>HYPERLINK("http://www.ncbi.nlm.nih.gov/protein/13386338","Rap2b")</f>
        <v>Rap2b</v>
      </c>
      <c r="D6221" s="10">
        <f t="shared" si="97"/>
        <v>5.0075978437703892</v>
      </c>
      <c r="F6221" s="8" t="str">
        <f>HYPERLINK("https://esbl.nhlbi.nih.gov/Databases/mpkFractions/proteomic_fractions_log_files/Yang_log_img/13386338.jpg","show blot")</f>
        <v>show blot</v>
      </c>
      <c r="H6221" s="8" t="str">
        <f>HYPERLINK("https://esbl.nhlbi.nih.gov/Databases/mpkFractions/proteomic_fractions_linear_files/Yang_linear_img/13386338.jpg","show blot")</f>
        <v>show blot</v>
      </c>
      <c r="J6221" s="5" t="s">
        <v>12226</v>
      </c>
      <c r="L6221" s="11">
        <v>5.0075978437703892</v>
      </c>
      <c r="N6221" s="12"/>
    </row>
    <row r="6222" spans="1:14" s="5" customFormat="1" ht="15" customHeight="1" x14ac:dyDescent="0.25">
      <c r="A6222" s="9" t="s">
        <v>12227</v>
      </c>
      <c r="C6222" s="9" t="str">
        <f>HYPERLINK("http://www.ncbi.nlm.nih.gov/protein/27369539","Rap2c")</f>
        <v>Rap2c</v>
      </c>
      <c r="D6222" s="10">
        <f t="shared" si="97"/>
        <v>5.122476527849825</v>
      </c>
      <c r="F6222" s="8" t="str">
        <f>HYPERLINK("https://esbl.nhlbi.nih.gov/Databases/mpkFractions/proteomic_fractions_log_files/Yang_log_img/27369539.jpg","show blot")</f>
        <v>show blot</v>
      </c>
      <c r="H6222" s="8" t="str">
        <f>HYPERLINK("https://esbl.nhlbi.nih.gov/Databases/mpkFractions/proteomic_fractions_linear_files/Yang_linear_img/27369539.jpg","show blot")</f>
        <v>show blot</v>
      </c>
      <c r="J6222" s="5" t="s">
        <v>12228</v>
      </c>
      <c r="L6222" s="11">
        <v>5.122476527849825</v>
      </c>
      <c r="N6222" s="12"/>
    </row>
    <row r="6223" spans="1:14" s="5" customFormat="1" ht="15" customHeight="1" x14ac:dyDescent="0.25">
      <c r="A6223" s="9" t="s">
        <v>12229</v>
      </c>
      <c r="C6223" s="9" t="str">
        <f>HYPERLINK("http://www.ncbi.nlm.nih.gov/protein/323637461","Rapgef4")</f>
        <v>Rapgef4</v>
      </c>
      <c r="D6223" s="10">
        <f t="shared" si="97"/>
        <v>3.9437696144527061</v>
      </c>
      <c r="F6223" s="8" t="str">
        <f>HYPERLINK("https://esbl.nhlbi.nih.gov/Databases/mpkFractions/proteomic_fractions_log_files/Yang_log_img/323637461.jpg","show blot")</f>
        <v>show blot</v>
      </c>
      <c r="H6223" s="8" t="str">
        <f>HYPERLINK("https://esbl.nhlbi.nih.gov/Databases/mpkFractions/proteomic_fractions_linear_files/Yang_linear_img/323637461.jpg","show blot")</f>
        <v>show blot</v>
      </c>
      <c r="J6223" s="5" t="s">
        <v>12230</v>
      </c>
      <c r="L6223" s="11">
        <v>3.9437696144527061</v>
      </c>
      <c r="N6223" s="12"/>
    </row>
    <row r="6224" spans="1:14" s="5" customFormat="1" ht="15" customHeight="1" x14ac:dyDescent="0.25">
      <c r="A6224" s="9" t="s">
        <v>12231</v>
      </c>
      <c r="C6224" s="9" t="str">
        <f>HYPERLINK("http://www.ncbi.nlm.nih.gov/protein/323637463","Rapgef4")</f>
        <v>Rapgef4</v>
      </c>
      <c r="D6224" s="10">
        <f t="shared" si="97"/>
        <v>3.9437696144527061</v>
      </c>
      <c r="F6224" s="8" t="str">
        <f>HYPERLINK("https://esbl.nhlbi.nih.gov/Databases/mpkFractions/proteomic_fractions_log_files/Yang_log_img/323637463.jpg","show blot")</f>
        <v>show blot</v>
      </c>
      <c r="H6224" s="8" t="str">
        <f>HYPERLINK("https://esbl.nhlbi.nih.gov/Databases/mpkFractions/proteomic_fractions_linear_files/Yang_linear_img/323637463.jpg","show blot")</f>
        <v>show blot</v>
      </c>
      <c r="J6224" s="5" t="s">
        <v>12232</v>
      </c>
      <c r="L6224" s="11">
        <v>3.9437696144527061</v>
      </c>
      <c r="N6224" s="12"/>
    </row>
    <row r="6225" spans="1:14" s="5" customFormat="1" ht="15" customHeight="1" x14ac:dyDescent="0.25">
      <c r="A6225" s="9" t="s">
        <v>12233</v>
      </c>
      <c r="C6225" s="9" t="str">
        <f>HYPERLINK("http://www.ncbi.nlm.nih.gov/protein/9790087","Rapgef4")</f>
        <v>Rapgef4</v>
      </c>
      <c r="D6225" s="10">
        <f t="shared" si="97"/>
        <v>3.9437696144527061</v>
      </c>
      <c r="F6225" s="8" t="str">
        <f>HYPERLINK("https://esbl.nhlbi.nih.gov/Databases/mpkFractions/proteomic_fractions_log_files/Yang_log_img/9790087.jpg","show blot")</f>
        <v>show blot</v>
      </c>
      <c r="H6225" s="8" t="str">
        <f>HYPERLINK("https://esbl.nhlbi.nih.gov/Databases/mpkFractions/proteomic_fractions_linear_files/Yang_linear_img/9790087.jpg","show blot")</f>
        <v>show blot</v>
      </c>
      <c r="J6225" s="5" t="s">
        <v>12234</v>
      </c>
      <c r="L6225" s="11">
        <v>3.9437696144527061</v>
      </c>
      <c r="N6225" s="12"/>
    </row>
    <row r="6226" spans="1:14" s="5" customFormat="1" ht="15" customHeight="1" x14ac:dyDescent="0.25">
      <c r="A6226" s="9" t="s">
        <v>12235</v>
      </c>
      <c r="C6226" s="9" t="str">
        <f>HYPERLINK("http://www.ncbi.nlm.nih.gov/protein/124257963","Rapgefl1")</f>
        <v>Rapgefl1</v>
      </c>
      <c r="D6226" s="10">
        <f t="shared" si="97"/>
        <v>4.0701730893192796</v>
      </c>
      <c r="F6226" s="8" t="str">
        <f>HYPERLINK("https://esbl.nhlbi.nih.gov/Databases/mpkFractions/proteomic_fractions_log_files/Yang_log_img/124257963.jpg","show blot")</f>
        <v>show blot</v>
      </c>
      <c r="H6226" s="8" t="str">
        <f>HYPERLINK("https://esbl.nhlbi.nih.gov/Databases/mpkFractions/proteomic_fractions_linear_files/Yang_linear_img/124257963.jpg","show blot")</f>
        <v>show blot</v>
      </c>
      <c r="J6226" s="5" t="s">
        <v>12236</v>
      </c>
      <c r="L6226" s="11">
        <v>4.0701730893192796</v>
      </c>
      <c r="N6226" s="12"/>
    </row>
    <row r="6227" spans="1:14" s="5" customFormat="1" ht="15" customHeight="1" x14ac:dyDescent="0.25">
      <c r="A6227" s="9" t="s">
        <v>12237</v>
      </c>
      <c r="C6227" s="9" t="str">
        <f>HYPERLINK("http://www.ncbi.nlm.nih.gov/protein/262118273","Rars")</f>
        <v>Rars</v>
      </c>
      <c r="D6227" s="10">
        <f t="shared" si="97"/>
        <v>6.386961483558248</v>
      </c>
      <c r="F6227" s="8" t="str">
        <f>HYPERLINK("https://esbl.nhlbi.nih.gov/Databases/mpkFractions/proteomic_fractions_log_files/Yang_log_img/262118273.jpg","show blot")</f>
        <v>show blot</v>
      </c>
      <c r="H6227" s="8" t="str">
        <f>HYPERLINK("https://esbl.nhlbi.nih.gov/Databases/mpkFractions/proteomic_fractions_linear_files/Yang_linear_img/262118273.jpg","show blot")</f>
        <v>show blot</v>
      </c>
      <c r="J6227" s="5" t="s">
        <v>12238</v>
      </c>
      <c r="L6227" s="11">
        <v>6.386961483558248</v>
      </c>
      <c r="N6227" s="12"/>
    </row>
    <row r="6228" spans="1:14" s="5" customFormat="1" ht="15" customHeight="1" x14ac:dyDescent="0.25">
      <c r="A6228" s="9" t="s">
        <v>12239</v>
      </c>
      <c r="C6228" s="9" t="str">
        <f>HYPERLINK("http://www.ncbi.nlm.nih.gov/protein/240120047","Rars2")</f>
        <v>Rars2</v>
      </c>
      <c r="D6228" s="10">
        <f t="shared" si="97"/>
        <v>2.5509524796109582</v>
      </c>
      <c r="F6228" s="8" t="str">
        <f>HYPERLINK("https://esbl.nhlbi.nih.gov/Databases/mpkFractions/proteomic_fractions_log_files/Yang_log_img/240120047.jpg","show blot")</f>
        <v>show blot</v>
      </c>
      <c r="H6228" s="8" t="str">
        <f>HYPERLINK("https://esbl.nhlbi.nih.gov/Databases/mpkFractions/proteomic_fractions_linear_files/Yang_linear_img/240120047.jpg","show blot")</f>
        <v>show blot</v>
      </c>
      <c r="J6228" s="5" t="s">
        <v>12240</v>
      </c>
      <c r="L6228" s="11">
        <v>2.5509524796109582</v>
      </c>
      <c r="N6228" s="12"/>
    </row>
    <row r="6229" spans="1:14" s="5" customFormat="1" ht="15" customHeight="1" x14ac:dyDescent="0.25">
      <c r="A6229" s="9" t="s">
        <v>12241</v>
      </c>
      <c r="C6229" s="9" t="str">
        <f>HYPERLINK("http://www.ncbi.nlm.nih.gov/protein/164663773","Rasa1")</f>
        <v>Rasa1</v>
      </c>
      <c r="D6229" s="10">
        <f t="shared" si="97"/>
        <v>4.1405178998117016</v>
      </c>
      <c r="F6229" s="8" t="str">
        <f>HYPERLINK("https://esbl.nhlbi.nih.gov/Databases/mpkFractions/proteomic_fractions_log_files/Yang_log_img/164663773.jpg","show blot")</f>
        <v>show blot</v>
      </c>
      <c r="H6229" s="8" t="str">
        <f>HYPERLINK("https://esbl.nhlbi.nih.gov/Databases/mpkFractions/proteomic_fractions_linear_files/Yang_linear_img/164663773.jpg","show blot")</f>
        <v>show blot</v>
      </c>
      <c r="J6229" s="5" t="s">
        <v>12242</v>
      </c>
      <c r="L6229" s="11">
        <v>4.1405178998117016</v>
      </c>
      <c r="N6229" s="12"/>
    </row>
    <row r="6230" spans="1:14" s="5" customFormat="1" ht="15" customHeight="1" x14ac:dyDescent="0.25">
      <c r="A6230" s="9" t="s">
        <v>12243</v>
      </c>
      <c r="C6230" s="9" t="str">
        <f>HYPERLINK("http://www.ncbi.nlm.nih.gov/protein/31980729","Rasal1")</f>
        <v>Rasal1</v>
      </c>
      <c r="D6230" s="10">
        <f t="shared" si="97"/>
        <v>3.7336409641057999</v>
      </c>
      <c r="F6230" s="8" t="str">
        <f>HYPERLINK("https://esbl.nhlbi.nih.gov/Databases/mpkFractions/proteomic_fractions_log_files/Yang_log_img/31980729.jpg","show blot")</f>
        <v>show blot</v>
      </c>
      <c r="H6230" s="8" t="str">
        <f>HYPERLINK("https://esbl.nhlbi.nih.gov/Databases/mpkFractions/proteomic_fractions_linear_files/Yang_linear_img/31980729.jpg","show blot")</f>
        <v>show blot</v>
      </c>
      <c r="J6230" s="5" t="s">
        <v>12244</v>
      </c>
      <c r="L6230" s="11">
        <v>3.7336409641057999</v>
      </c>
      <c r="N6230" s="12"/>
    </row>
    <row r="6231" spans="1:14" s="5" customFormat="1" ht="15" customHeight="1" x14ac:dyDescent="0.25">
      <c r="A6231" s="9" t="s">
        <v>12245</v>
      </c>
      <c r="C6231" s="9" t="str">
        <f>HYPERLINK("http://www.ncbi.nlm.nih.gov/protein/530537198","Rasal1")</f>
        <v>Rasal1</v>
      </c>
      <c r="D6231" s="10">
        <f t="shared" si="97"/>
        <v>3.7336409641057999</v>
      </c>
      <c r="F6231" s="8" t="str">
        <f>HYPERLINK("https://esbl.nhlbi.nih.gov/Databases/mpkFractions/proteomic_fractions_log_files/Yang_log_img/530537198.jpg","show blot")</f>
        <v>show blot</v>
      </c>
      <c r="H6231" s="8" t="str">
        <f>HYPERLINK("https://esbl.nhlbi.nih.gov/Databases/mpkFractions/proteomic_fractions_linear_files/Yang_linear_img/530537198.jpg","show blot")</f>
        <v>show blot</v>
      </c>
      <c r="J6231" s="5" t="s">
        <v>12246</v>
      </c>
      <c r="L6231" s="11">
        <v>3.7336409641057999</v>
      </c>
      <c r="N6231" s="12"/>
    </row>
    <row r="6232" spans="1:14" s="5" customFormat="1" ht="15" customHeight="1" x14ac:dyDescent="0.25">
      <c r="A6232" s="9" t="s">
        <v>12247</v>
      </c>
      <c r="C6232" s="9" t="str">
        <f>HYPERLINK("http://www.ncbi.nlm.nih.gov/protein/6677677","Rasl2-9")</f>
        <v>Rasl2-9</v>
      </c>
      <c r="D6232" s="10">
        <f t="shared" si="97"/>
        <v>6.6228709805127322</v>
      </c>
      <c r="F6232" s="8" t="str">
        <f>HYPERLINK("https://esbl.nhlbi.nih.gov/Databases/mpkFractions/proteomic_fractions_log_files/Yang_log_img/6677677.jpg","show blot")</f>
        <v>show blot</v>
      </c>
      <c r="H6232" s="8" t="str">
        <f>HYPERLINK("https://esbl.nhlbi.nih.gov/Databases/mpkFractions/proteomic_fractions_linear_files/Yang_linear_img/6677677.jpg","show blot")</f>
        <v>show blot</v>
      </c>
      <c r="J6232" s="5" t="s">
        <v>12248</v>
      </c>
      <c r="L6232" s="11">
        <v>6.6228709805127322</v>
      </c>
      <c r="N6232" s="12"/>
    </row>
    <row r="6233" spans="1:14" s="5" customFormat="1" ht="15" customHeight="1" x14ac:dyDescent="0.25">
      <c r="A6233" s="9" t="s">
        <v>12249</v>
      </c>
      <c r="C6233" s="9" t="str">
        <f>HYPERLINK("http://www.ncbi.nlm.nih.gov/protein/110431380","Rassf6")</f>
        <v>Rassf6</v>
      </c>
      <c r="D6233" s="10">
        <f t="shared" si="97"/>
        <v>4.7145898463865299</v>
      </c>
      <c r="F6233" s="8" t="str">
        <f>HYPERLINK("https://esbl.nhlbi.nih.gov/Databases/mpkFractions/proteomic_fractions_log_files/Yang_log_img/110431380.jpg","show blot")</f>
        <v>show blot</v>
      </c>
      <c r="H6233" s="8" t="str">
        <f>HYPERLINK("https://esbl.nhlbi.nih.gov/Databases/mpkFractions/proteomic_fractions_linear_files/Yang_linear_img/110431380.jpg","show blot")</f>
        <v>show blot</v>
      </c>
      <c r="J6233" s="5" t="s">
        <v>12250</v>
      </c>
      <c r="L6233" s="11">
        <v>4.7145898463865299</v>
      </c>
      <c r="N6233" s="12"/>
    </row>
    <row r="6234" spans="1:14" s="5" customFormat="1" ht="15" customHeight="1" x14ac:dyDescent="0.25">
      <c r="A6234" s="9" t="s">
        <v>12251</v>
      </c>
      <c r="C6234" s="9" t="str">
        <f>HYPERLINK("http://www.ncbi.nlm.nih.gov/protein/29789209","Raver1")</f>
        <v>Raver1</v>
      </c>
      <c r="D6234" s="10">
        <f t="shared" si="97"/>
        <v>4.4796436847588366</v>
      </c>
      <c r="F6234" s="8" t="str">
        <f>HYPERLINK("https://esbl.nhlbi.nih.gov/Databases/mpkFractions/proteomic_fractions_log_files/Yang_log_img/29789209.jpg","show blot")</f>
        <v>show blot</v>
      </c>
      <c r="H6234" s="8" t="str">
        <f>HYPERLINK("https://esbl.nhlbi.nih.gov/Databases/mpkFractions/proteomic_fractions_linear_files/Yang_linear_img/29789209.jpg","show blot")</f>
        <v>show blot</v>
      </c>
      <c r="J6234" s="5" t="s">
        <v>12252</v>
      </c>
      <c r="L6234" s="11">
        <v>4.4796436847588366</v>
      </c>
      <c r="N6234" s="12"/>
    </row>
    <row r="6235" spans="1:14" s="5" customFormat="1" ht="15" customHeight="1" x14ac:dyDescent="0.25">
      <c r="A6235" s="9" t="s">
        <v>12253</v>
      </c>
      <c r="C6235" s="9" t="str">
        <f>HYPERLINK("http://www.ncbi.nlm.nih.gov/protein/226693374","Rb1cc1")</f>
        <v>Rb1cc1</v>
      </c>
      <c r="D6235" s="10">
        <f t="shared" si="97"/>
        <v>2.58807513493106</v>
      </c>
      <c r="F6235" s="8" t="str">
        <f>HYPERLINK("https://esbl.nhlbi.nih.gov/Databases/mpkFractions/proteomic_fractions_log_files/Yang_log_img/226693374.jpg","show blot")</f>
        <v>show blot</v>
      </c>
      <c r="H6235" s="8" t="str">
        <f>HYPERLINK("https://esbl.nhlbi.nih.gov/Databases/mpkFractions/proteomic_fractions_linear_files/Yang_linear_img/226693374.jpg","show blot")</f>
        <v>show blot</v>
      </c>
      <c r="J6235" s="5" t="s">
        <v>12254</v>
      </c>
      <c r="L6235" s="11">
        <v>2.58807513493106</v>
      </c>
      <c r="N6235" s="12"/>
    </row>
    <row r="6236" spans="1:14" s="5" customFormat="1" ht="15" customHeight="1" x14ac:dyDescent="0.25">
      <c r="A6236" s="9" t="s">
        <v>12255</v>
      </c>
      <c r="C6236" s="9" t="str">
        <f>HYPERLINK("http://www.ncbi.nlm.nih.gov/protein/47059484","Rbbp4")</f>
        <v>Rbbp4</v>
      </c>
      <c r="D6236" s="10">
        <f t="shared" si="97"/>
        <v>6.0734784261507411</v>
      </c>
      <c r="F6236" s="8" t="str">
        <f>HYPERLINK("https://esbl.nhlbi.nih.gov/Databases/mpkFractions/proteomic_fractions_log_files/Yang_log_img/47059484.jpg","show blot")</f>
        <v>show blot</v>
      </c>
      <c r="H6236" s="8" t="str">
        <f>HYPERLINK("https://esbl.nhlbi.nih.gov/Databases/mpkFractions/proteomic_fractions_linear_files/Yang_linear_img/47059484.jpg","show blot")</f>
        <v>show blot</v>
      </c>
      <c r="J6236" s="5" t="s">
        <v>12256</v>
      </c>
      <c r="L6236" s="11">
        <v>6.0734784261507411</v>
      </c>
      <c r="N6236" s="12"/>
    </row>
    <row r="6237" spans="1:14" s="5" customFormat="1" ht="15" customHeight="1" x14ac:dyDescent="0.25">
      <c r="A6237" s="9" t="s">
        <v>12257</v>
      </c>
      <c r="C6237" s="9" t="str">
        <f>HYPERLINK("http://www.ncbi.nlm.nih.gov/protein/164450487","Rbbp5")</f>
        <v>Rbbp5</v>
      </c>
      <c r="D6237" s="10">
        <f t="shared" si="97"/>
        <v>3.9944505930004728</v>
      </c>
      <c r="F6237" s="8" t="str">
        <f>HYPERLINK("https://esbl.nhlbi.nih.gov/Databases/mpkFractions/proteomic_fractions_log_files/Yang_log_img/164450487.jpg","show blot")</f>
        <v>show blot</v>
      </c>
      <c r="H6237" s="8" t="str">
        <f>HYPERLINK("https://esbl.nhlbi.nih.gov/Databases/mpkFractions/proteomic_fractions_linear_files/Yang_linear_img/164450487.jpg","show blot")</f>
        <v>show blot</v>
      </c>
      <c r="J6237" s="5" t="s">
        <v>12258</v>
      </c>
      <c r="L6237" s="11">
        <v>3.9944505930004728</v>
      </c>
      <c r="N6237" s="12"/>
    </row>
    <row r="6238" spans="1:14" s="5" customFormat="1" ht="15" customHeight="1" x14ac:dyDescent="0.25">
      <c r="A6238" s="9" t="s">
        <v>12259</v>
      </c>
      <c r="C6238" s="9" t="str">
        <f>HYPERLINK("http://www.ncbi.nlm.nih.gov/protein/163937858","Rbbp6")</f>
        <v>Rbbp6</v>
      </c>
      <c r="D6238" s="10">
        <f t="shared" si="97"/>
        <v>2.6338619106361381</v>
      </c>
      <c r="F6238" s="8" t="str">
        <f>HYPERLINK("https://esbl.nhlbi.nih.gov/Databases/mpkFractions/proteomic_fractions_log_files/Yang_log_img/163937858.jpg","show blot")</f>
        <v>show blot</v>
      </c>
      <c r="H6238" s="8" t="str">
        <f>HYPERLINK("https://esbl.nhlbi.nih.gov/Databases/mpkFractions/proteomic_fractions_linear_files/Yang_linear_img/163937858.jpg","show blot")</f>
        <v>show blot</v>
      </c>
      <c r="J6238" s="5" t="s">
        <v>12260</v>
      </c>
      <c r="L6238" s="11">
        <v>2.6338619106361381</v>
      </c>
      <c r="N6238" s="12"/>
    </row>
    <row r="6239" spans="1:14" s="5" customFormat="1" ht="15" customHeight="1" x14ac:dyDescent="0.25">
      <c r="A6239" s="9" t="s">
        <v>12261</v>
      </c>
      <c r="C6239" s="9" t="str">
        <f>HYPERLINK("http://www.ncbi.nlm.nih.gov/protein/157909799","Rbbp7")</f>
        <v>Rbbp7</v>
      </c>
      <c r="D6239" s="10">
        <f t="shared" si="97"/>
        <v>6.0679610748583226</v>
      </c>
      <c r="F6239" s="8" t="str">
        <f>HYPERLINK("https://esbl.nhlbi.nih.gov/Databases/mpkFractions/proteomic_fractions_log_files/Yang_log_img/157909799.jpg","show blot")</f>
        <v>show blot</v>
      </c>
      <c r="H6239" s="8" t="str">
        <f>HYPERLINK("https://esbl.nhlbi.nih.gov/Databases/mpkFractions/proteomic_fractions_linear_files/Yang_linear_img/157909799.jpg","show blot")</f>
        <v>show blot</v>
      </c>
      <c r="J6239" s="5" t="s">
        <v>12262</v>
      </c>
      <c r="L6239" s="11">
        <v>6.0679610748583226</v>
      </c>
      <c r="N6239" s="12"/>
    </row>
    <row r="6240" spans="1:14" s="5" customFormat="1" ht="15" customHeight="1" x14ac:dyDescent="0.25">
      <c r="A6240" s="9" t="s">
        <v>12263</v>
      </c>
      <c r="C6240" s="9" t="str">
        <f>HYPERLINK("http://www.ncbi.nlm.nih.gov/protein/86439977","Rbbp9")</f>
        <v>Rbbp9</v>
      </c>
      <c r="D6240" s="10">
        <f t="shared" si="97"/>
        <v>5.3915207269803611</v>
      </c>
      <c r="F6240" s="8" t="str">
        <f>HYPERLINK("https://esbl.nhlbi.nih.gov/Databases/mpkFractions/proteomic_fractions_log_files/Yang_log_img/86439977.jpg","show blot")</f>
        <v>show blot</v>
      </c>
      <c r="H6240" s="8" t="str">
        <f>HYPERLINK("https://esbl.nhlbi.nih.gov/Databases/mpkFractions/proteomic_fractions_linear_files/Yang_linear_img/86439977.jpg","show blot")</f>
        <v>show blot</v>
      </c>
      <c r="J6240" s="5" t="s">
        <v>12264</v>
      </c>
      <c r="L6240" s="11">
        <v>5.3915207269803611</v>
      </c>
      <c r="N6240" s="12"/>
    </row>
    <row r="6241" spans="1:14" s="5" customFormat="1" ht="15" customHeight="1" x14ac:dyDescent="0.25">
      <c r="A6241" s="9" t="s">
        <v>12265</v>
      </c>
      <c r="C6241" s="9" t="str">
        <f>HYPERLINK("http://www.ncbi.nlm.nih.gov/protein/145046239","Rbck1")</f>
        <v>Rbck1</v>
      </c>
      <c r="D6241" s="10">
        <f t="shared" si="97"/>
        <v>3.347237743837006</v>
      </c>
      <c r="F6241" s="8" t="str">
        <f>HYPERLINK("https://esbl.nhlbi.nih.gov/Databases/mpkFractions/proteomic_fractions_log_files/Yang_log_img/145046239.jpg","show blot")</f>
        <v>show blot</v>
      </c>
      <c r="H6241" s="8" t="str">
        <f>HYPERLINK("https://esbl.nhlbi.nih.gov/Databases/mpkFractions/proteomic_fractions_linear_files/Yang_linear_img/145046239.jpg","show blot")</f>
        <v>show blot</v>
      </c>
      <c r="J6241" s="5" t="s">
        <v>12266</v>
      </c>
      <c r="L6241" s="11">
        <v>3.347237743837006</v>
      </c>
      <c r="N6241" s="12"/>
    </row>
    <row r="6242" spans="1:14" s="5" customFormat="1" ht="15" customHeight="1" x14ac:dyDescent="0.25">
      <c r="A6242" s="9" t="s">
        <v>12267</v>
      </c>
      <c r="C6242" s="9" t="str">
        <f>HYPERLINK("http://www.ncbi.nlm.nih.gov/protein/213417847","Rbl1")</f>
        <v>Rbl1</v>
      </c>
      <c r="D6242" s="10">
        <f t="shared" si="97"/>
        <v>3.9129030336692261</v>
      </c>
      <c r="F6242" s="8" t="str">
        <f>HYPERLINK("https://esbl.nhlbi.nih.gov/Databases/mpkFractions/proteomic_fractions_log_files/Yang_log_img/213417847.jpg","show blot")</f>
        <v>show blot</v>
      </c>
      <c r="H6242" s="8" t="str">
        <f>HYPERLINK("https://esbl.nhlbi.nih.gov/Databases/mpkFractions/proteomic_fractions_linear_files/Yang_linear_img/213417847.jpg","show blot")</f>
        <v>show blot</v>
      </c>
      <c r="J6242" s="5" t="s">
        <v>12268</v>
      </c>
      <c r="L6242" s="11">
        <v>3.9129030336692261</v>
      </c>
      <c r="N6242" s="12"/>
    </row>
    <row r="6243" spans="1:14" s="5" customFormat="1" ht="15" customHeight="1" x14ac:dyDescent="0.25">
      <c r="A6243" s="9" t="s">
        <v>12269</v>
      </c>
      <c r="C6243" s="9" t="str">
        <f>HYPERLINK("http://www.ncbi.nlm.nih.gov/protein/213417872","Rbl1")</f>
        <v>Rbl1</v>
      </c>
      <c r="D6243" s="10">
        <f t="shared" si="97"/>
        <v>3.9129030336692261</v>
      </c>
      <c r="F6243" s="8" t="str">
        <f>HYPERLINK("https://esbl.nhlbi.nih.gov/Databases/mpkFractions/proteomic_fractions_log_files/Yang_log_img/213417872.jpg","show blot")</f>
        <v>show blot</v>
      </c>
      <c r="H6243" s="8" t="str">
        <f>HYPERLINK("https://esbl.nhlbi.nih.gov/Databases/mpkFractions/proteomic_fractions_linear_files/Yang_linear_img/213417872.jpg","show blot")</f>
        <v>show blot</v>
      </c>
      <c r="J6243" s="5" t="s">
        <v>12270</v>
      </c>
      <c r="L6243" s="11">
        <v>3.9129030336692261</v>
      </c>
      <c r="N6243" s="12"/>
    </row>
    <row r="6244" spans="1:14" s="5" customFormat="1" ht="15" customHeight="1" x14ac:dyDescent="0.25">
      <c r="A6244" s="9" t="s">
        <v>12271</v>
      </c>
      <c r="C6244" s="9" t="str">
        <f>HYPERLINK("http://www.ncbi.nlm.nih.gov/protein/21704124","Rbm10")</f>
        <v>Rbm10</v>
      </c>
      <c r="D6244" s="10">
        <f t="shared" si="97"/>
        <v>3.0944626934399269</v>
      </c>
      <c r="F6244" s="8" t="str">
        <f>HYPERLINK("https://esbl.nhlbi.nih.gov/Databases/mpkFractions/proteomic_fractions_log_files/Yang_log_img/21704124.jpg","show blot")</f>
        <v>show blot</v>
      </c>
      <c r="H6244" s="8" t="str">
        <f>HYPERLINK("https://esbl.nhlbi.nih.gov/Databases/mpkFractions/proteomic_fractions_linear_files/Yang_linear_img/21704124.jpg","show blot")</f>
        <v>show blot</v>
      </c>
      <c r="J6244" s="5" t="s">
        <v>12272</v>
      </c>
      <c r="L6244" s="11">
        <v>3.0944626934399269</v>
      </c>
      <c r="N6244" s="12"/>
    </row>
    <row r="6245" spans="1:14" s="5" customFormat="1" ht="15" customHeight="1" x14ac:dyDescent="0.25">
      <c r="A6245" s="9" t="s">
        <v>12273</v>
      </c>
      <c r="C6245" s="9" t="str">
        <f>HYPERLINK("http://www.ncbi.nlm.nih.gov/protein/269847193","Rbm10")</f>
        <v>Rbm10</v>
      </c>
      <c r="D6245" s="10">
        <f t="shared" si="97"/>
        <v>3.0944626934399269</v>
      </c>
      <c r="F6245" s="8" t="str">
        <f>HYPERLINK("https://esbl.nhlbi.nih.gov/Databases/mpkFractions/proteomic_fractions_log_files/Yang_log_img/269847193.jpg","show blot")</f>
        <v>show blot</v>
      </c>
      <c r="H6245" s="8" t="str">
        <f>HYPERLINK("https://esbl.nhlbi.nih.gov/Databases/mpkFractions/proteomic_fractions_linear_files/Yang_linear_img/269847193.jpg","show blot")</f>
        <v>show blot</v>
      </c>
      <c r="J6245" s="5" t="s">
        <v>12274</v>
      </c>
      <c r="L6245" s="11">
        <v>3.0944626934399269</v>
      </c>
      <c r="N6245" s="12"/>
    </row>
    <row r="6246" spans="1:14" s="5" customFormat="1" ht="15" customHeight="1" x14ac:dyDescent="0.25">
      <c r="A6246" s="9" t="s">
        <v>12275</v>
      </c>
      <c r="C6246" s="9" t="str">
        <f>HYPERLINK("http://www.ncbi.nlm.nih.gov/protein/269847199","Rbm10")</f>
        <v>Rbm10</v>
      </c>
      <c r="D6246" s="10">
        <f t="shared" si="97"/>
        <v>3.0944626934399269</v>
      </c>
      <c r="F6246" s="8" t="str">
        <f>HYPERLINK("https://esbl.nhlbi.nih.gov/Databases/mpkFractions/proteomic_fractions_log_files/Yang_log_img/269847199.jpg","show blot")</f>
        <v>show blot</v>
      </c>
      <c r="H6246" s="8" t="str">
        <f>HYPERLINK("https://esbl.nhlbi.nih.gov/Databases/mpkFractions/proteomic_fractions_linear_files/Yang_linear_img/269847199.jpg","show blot")</f>
        <v>show blot</v>
      </c>
      <c r="J6246" s="5" t="s">
        <v>12276</v>
      </c>
      <c r="L6246" s="11">
        <v>3.0944626934399269</v>
      </c>
      <c r="N6246" s="12"/>
    </row>
    <row r="6247" spans="1:14" s="5" customFormat="1" ht="15" customHeight="1" x14ac:dyDescent="0.25">
      <c r="A6247" s="9" t="s">
        <v>12277</v>
      </c>
      <c r="C6247" s="9" t="str">
        <f>HYPERLINK("http://www.ncbi.nlm.nih.gov/protein/114155120","Rbm12")</f>
        <v>Rbm12</v>
      </c>
      <c r="D6247" s="10">
        <f t="shared" si="97"/>
        <v>4.4411589827255709</v>
      </c>
      <c r="F6247" s="8" t="str">
        <f>HYPERLINK("https://esbl.nhlbi.nih.gov/Databases/mpkFractions/proteomic_fractions_log_files/Yang_log_img/114155120.jpg","show blot")</f>
        <v>show blot</v>
      </c>
      <c r="H6247" s="8" t="str">
        <f>HYPERLINK("https://esbl.nhlbi.nih.gov/Databases/mpkFractions/proteomic_fractions_linear_files/Yang_linear_img/114155120.jpg","show blot")</f>
        <v>show blot</v>
      </c>
      <c r="J6247" s="5" t="s">
        <v>12278</v>
      </c>
      <c r="L6247" s="11">
        <v>4.4411589827255709</v>
      </c>
      <c r="N6247" s="12"/>
    </row>
    <row r="6248" spans="1:14" s="5" customFormat="1" ht="15" customHeight="1" x14ac:dyDescent="0.25">
      <c r="A6248" s="9" t="s">
        <v>12279</v>
      </c>
      <c r="C6248" s="9" t="str">
        <f>HYPERLINK("http://www.ncbi.nlm.nih.gov/protein/86262142","Rbm14")</f>
        <v>Rbm14</v>
      </c>
      <c r="D6248" s="10">
        <f t="shared" si="97"/>
        <v>5.5619309940135322</v>
      </c>
      <c r="F6248" s="8" t="str">
        <f>HYPERLINK("https://esbl.nhlbi.nih.gov/Databases/mpkFractions/proteomic_fractions_log_files/Yang_log_img/86262142.jpg","show blot")</f>
        <v>show blot</v>
      </c>
      <c r="H6248" s="8" t="str">
        <f>HYPERLINK("https://esbl.nhlbi.nih.gov/Databases/mpkFractions/proteomic_fractions_linear_files/Yang_linear_img/86262142.jpg","show blot")</f>
        <v>show blot</v>
      </c>
      <c r="J6248" s="5" t="s">
        <v>12280</v>
      </c>
      <c r="L6248" s="11">
        <v>5.5619309940135322</v>
      </c>
      <c r="N6248" s="12"/>
    </row>
    <row r="6249" spans="1:14" s="5" customFormat="1" ht="15" customHeight="1" x14ac:dyDescent="0.25">
      <c r="A6249" s="9" t="s">
        <v>12281</v>
      </c>
      <c r="C6249" s="9" t="str">
        <f>HYPERLINK("http://www.ncbi.nlm.nih.gov/protein/124249066","Rbm15")</f>
        <v>Rbm15</v>
      </c>
      <c r="D6249" s="10">
        <f t="shared" si="97"/>
        <v>3.7129568283041841</v>
      </c>
      <c r="F6249" s="8" t="str">
        <f>HYPERLINK("https://esbl.nhlbi.nih.gov/Databases/mpkFractions/proteomic_fractions_log_files/Yang_log_img/124249066.jpg","show blot")</f>
        <v>show blot</v>
      </c>
      <c r="H6249" s="8" t="str">
        <f>HYPERLINK("https://esbl.nhlbi.nih.gov/Databases/mpkFractions/proteomic_fractions_linear_files/Yang_linear_img/124249066.jpg","show blot")</f>
        <v>show blot</v>
      </c>
      <c r="J6249" s="5" t="s">
        <v>12282</v>
      </c>
      <c r="L6249" s="11">
        <v>3.7129568283041841</v>
      </c>
      <c r="N6249" s="12"/>
    </row>
    <row r="6250" spans="1:14" s="5" customFormat="1" ht="15" customHeight="1" x14ac:dyDescent="0.25">
      <c r="A6250" s="9" t="s">
        <v>12283</v>
      </c>
      <c r="C6250" s="9" t="str">
        <f>HYPERLINK("http://www.ncbi.nlm.nih.gov/protein/22779924","Rbm17")</f>
        <v>Rbm17</v>
      </c>
      <c r="D6250" s="10">
        <f t="shared" si="97"/>
        <v>4.034064001724901</v>
      </c>
      <c r="F6250" s="8" t="str">
        <f>HYPERLINK("https://esbl.nhlbi.nih.gov/Databases/mpkFractions/proteomic_fractions_log_files/Yang_log_img/22779924.jpg","show blot")</f>
        <v>show blot</v>
      </c>
      <c r="H6250" s="8" t="str">
        <f>HYPERLINK("https://esbl.nhlbi.nih.gov/Databases/mpkFractions/proteomic_fractions_linear_files/Yang_linear_img/22779924.jpg","show blot")</f>
        <v>show blot</v>
      </c>
      <c r="J6250" s="5" t="s">
        <v>12284</v>
      </c>
      <c r="L6250" s="11">
        <v>4.034064001724901</v>
      </c>
      <c r="N6250" s="12"/>
    </row>
    <row r="6251" spans="1:14" s="5" customFormat="1" ht="15" customHeight="1" x14ac:dyDescent="0.25">
      <c r="A6251" s="9" t="s">
        <v>12285</v>
      </c>
      <c r="C6251" s="9" t="str">
        <f>HYPERLINK("http://www.ncbi.nlm.nih.gov/protein/30794154","Rbm19")</f>
        <v>Rbm19</v>
      </c>
      <c r="D6251" s="10">
        <f t="shared" si="97"/>
        <v>3.1824254200218429</v>
      </c>
      <c r="F6251" s="8" t="str">
        <f>HYPERLINK("https://esbl.nhlbi.nih.gov/Databases/mpkFractions/proteomic_fractions_log_files/Yang_log_img/30794154.jpg","show blot")</f>
        <v>show blot</v>
      </c>
      <c r="H6251" s="8" t="str">
        <f>HYPERLINK("https://esbl.nhlbi.nih.gov/Databases/mpkFractions/proteomic_fractions_linear_files/Yang_linear_img/30794154.jpg","show blot")</f>
        <v>show blot</v>
      </c>
      <c r="J6251" s="5" t="s">
        <v>12286</v>
      </c>
      <c r="L6251" s="11">
        <v>3.1824254200218429</v>
      </c>
      <c r="N6251" s="12"/>
    </row>
    <row r="6252" spans="1:14" s="5" customFormat="1" ht="15" customHeight="1" x14ac:dyDescent="0.25">
      <c r="A6252" s="9" t="s">
        <v>12287</v>
      </c>
      <c r="C6252" s="9" t="str">
        <f>HYPERLINK("http://www.ncbi.nlm.nih.gov/protein/110625591","Rbm22")</f>
        <v>Rbm22</v>
      </c>
      <c r="D6252" s="10">
        <f t="shared" si="97"/>
        <v>3.321016390318412</v>
      </c>
      <c r="F6252" s="8" t="str">
        <f>HYPERLINK("https://esbl.nhlbi.nih.gov/Databases/mpkFractions/proteomic_fractions_log_files/Yang_log_img/110625591.jpg","show blot")</f>
        <v>show blot</v>
      </c>
      <c r="H6252" s="8" t="str">
        <f>HYPERLINK("https://esbl.nhlbi.nih.gov/Databases/mpkFractions/proteomic_fractions_linear_files/Yang_linear_img/110625591.jpg","show blot")</f>
        <v>show blot</v>
      </c>
      <c r="J6252" s="5" t="s">
        <v>12288</v>
      </c>
      <c r="L6252" s="11">
        <v>3.321016390318412</v>
      </c>
      <c r="N6252" s="12"/>
    </row>
    <row r="6253" spans="1:14" s="5" customFormat="1" ht="15" customHeight="1" x14ac:dyDescent="0.25">
      <c r="A6253" s="9" t="s">
        <v>12289</v>
      </c>
      <c r="C6253" s="9" t="str">
        <f>HYPERLINK("http://www.ncbi.nlm.nih.gov/protein/161353449","Rbm25")</f>
        <v>Rbm25</v>
      </c>
      <c r="D6253" s="10">
        <f t="shared" si="97"/>
        <v>4.7696745285373137</v>
      </c>
      <c r="F6253" s="8" t="str">
        <f>HYPERLINK("https://esbl.nhlbi.nih.gov/Databases/mpkFractions/proteomic_fractions_log_files/Yang_log_img/161353449.jpg","show blot")</f>
        <v>show blot</v>
      </c>
      <c r="H6253" s="8" t="str">
        <f>HYPERLINK("https://esbl.nhlbi.nih.gov/Databases/mpkFractions/proteomic_fractions_linear_files/Yang_linear_img/161353449.jpg","show blot")</f>
        <v>show blot</v>
      </c>
      <c r="J6253" s="5" t="s">
        <v>12290</v>
      </c>
      <c r="L6253" s="11">
        <v>4.7696745285373137</v>
      </c>
      <c r="N6253" s="12"/>
    </row>
    <row r="6254" spans="1:14" s="5" customFormat="1" ht="15" customHeight="1" x14ac:dyDescent="0.25">
      <c r="A6254" s="9" t="s">
        <v>12291</v>
      </c>
      <c r="C6254" s="9" t="str">
        <f>HYPERLINK("http://www.ncbi.nlm.nih.gov/protein/123701991","Rbm26")</f>
        <v>Rbm26</v>
      </c>
      <c r="D6254" s="10">
        <f t="shared" si="97"/>
        <v>2.7988428977013911</v>
      </c>
      <c r="F6254" s="8" t="str">
        <f>HYPERLINK("https://esbl.nhlbi.nih.gov/Databases/mpkFractions/proteomic_fractions_log_files/Yang_log_img/123701991.jpg","show blot")</f>
        <v>show blot</v>
      </c>
      <c r="H6254" s="8" t="str">
        <f>HYPERLINK("https://esbl.nhlbi.nih.gov/Databases/mpkFractions/proteomic_fractions_linear_files/Yang_linear_img/123701991.jpg","show blot")</f>
        <v>show blot</v>
      </c>
      <c r="J6254" s="5" t="s">
        <v>12292</v>
      </c>
      <c r="L6254" s="11">
        <v>2.7988428977013911</v>
      </c>
      <c r="N6254" s="12"/>
    </row>
    <row r="6255" spans="1:14" s="5" customFormat="1" ht="15" customHeight="1" x14ac:dyDescent="0.25">
      <c r="A6255" s="9" t="s">
        <v>12293</v>
      </c>
      <c r="C6255" s="9" t="str">
        <f>HYPERLINK("http://www.ncbi.nlm.nih.gov/protein/166235127","Rbm28")</f>
        <v>Rbm28</v>
      </c>
      <c r="D6255" s="10">
        <f t="shared" si="97"/>
        <v>4.034590505981086</v>
      </c>
      <c r="F6255" s="8" t="str">
        <f>HYPERLINK("https://esbl.nhlbi.nih.gov/Databases/mpkFractions/proteomic_fractions_log_files/Yang_log_img/166235127.jpg","show blot")</f>
        <v>show blot</v>
      </c>
      <c r="H6255" s="8" t="str">
        <f>HYPERLINK("https://esbl.nhlbi.nih.gov/Databases/mpkFractions/proteomic_fractions_linear_files/Yang_linear_img/166235127.jpg","show blot")</f>
        <v>show blot</v>
      </c>
      <c r="J6255" s="5" t="s">
        <v>12294</v>
      </c>
      <c r="L6255" s="11">
        <v>4.034590505981086</v>
      </c>
      <c r="N6255" s="12"/>
    </row>
    <row r="6256" spans="1:14" s="5" customFormat="1" ht="15" customHeight="1" x14ac:dyDescent="0.25">
      <c r="A6256" s="9" t="s">
        <v>12295</v>
      </c>
      <c r="C6256" s="9" t="str">
        <f>HYPERLINK("http://www.ncbi.nlm.nih.gov/protein/261862339","Rbm3")</f>
        <v>Rbm3</v>
      </c>
      <c r="D6256" s="10">
        <f t="shared" si="97"/>
        <v>5.5735186438579172</v>
      </c>
      <c r="F6256" s="8" t="str">
        <f>HYPERLINK("https://esbl.nhlbi.nih.gov/Databases/mpkFractions/proteomic_fractions_log_files/Yang_log_img/261862339.jpg","show blot")</f>
        <v>show blot</v>
      </c>
      <c r="H6256" s="8" t="str">
        <f>HYPERLINK("https://esbl.nhlbi.nih.gov/Databases/mpkFractions/proteomic_fractions_linear_files/Yang_linear_img/261862339.jpg","show blot")</f>
        <v>show blot</v>
      </c>
      <c r="J6256" s="5" t="s">
        <v>12296</v>
      </c>
      <c r="L6256" s="11">
        <v>5.5735186438579172</v>
      </c>
      <c r="N6256" s="12"/>
    </row>
    <row r="6257" spans="1:14" s="5" customFormat="1" ht="15" customHeight="1" x14ac:dyDescent="0.25">
      <c r="A6257" s="9" t="s">
        <v>12297</v>
      </c>
      <c r="C6257" s="9" t="str">
        <f>HYPERLINK("http://www.ncbi.nlm.nih.gov/protein/37497112","Rbm3")</f>
        <v>Rbm3</v>
      </c>
      <c r="D6257" s="10">
        <f t="shared" si="97"/>
        <v>5.5735186438579172</v>
      </c>
      <c r="F6257" s="8" t="str">
        <f>HYPERLINK("https://esbl.nhlbi.nih.gov/Databases/mpkFractions/proteomic_fractions_log_files/Yang_log_img/37497112.jpg","show blot")</f>
        <v>show blot</v>
      </c>
      <c r="H6257" s="8" t="str">
        <f>HYPERLINK("https://esbl.nhlbi.nih.gov/Databases/mpkFractions/proteomic_fractions_linear_files/Yang_linear_img/37497112.jpg","show blot")</f>
        <v>show blot</v>
      </c>
      <c r="J6257" s="5" t="s">
        <v>12298</v>
      </c>
      <c r="L6257" s="11">
        <v>5.5735186438579172</v>
      </c>
      <c r="N6257" s="12"/>
    </row>
    <row r="6258" spans="1:14" s="5" customFormat="1" ht="15" customHeight="1" x14ac:dyDescent="0.25">
      <c r="A6258" s="9" t="s">
        <v>12299</v>
      </c>
      <c r="C6258" s="9" t="str">
        <f>HYPERLINK("http://www.ncbi.nlm.nih.gov/protein/294610680","Rbm31y")</f>
        <v>Rbm31y</v>
      </c>
      <c r="D6258" s="10">
        <f t="shared" si="97"/>
        <v>5.5464810402828633</v>
      </c>
      <c r="F6258" s="8" t="str">
        <f>HYPERLINK("https://esbl.nhlbi.nih.gov/Databases/mpkFractions/proteomic_fractions_log_files/Yang_log_img/294610680.jpg","show blot")</f>
        <v>show blot</v>
      </c>
      <c r="H6258" s="8" t="str">
        <f>HYPERLINK("https://esbl.nhlbi.nih.gov/Databases/mpkFractions/proteomic_fractions_linear_files/Yang_linear_img/294610680.jpg","show blot")</f>
        <v>show blot</v>
      </c>
      <c r="J6258" s="5" t="s">
        <v>12300</v>
      </c>
      <c r="L6258" s="11">
        <v>5.5464810402828633</v>
      </c>
      <c r="N6258" s="12"/>
    </row>
    <row r="6259" spans="1:14" s="5" customFormat="1" ht="15" customHeight="1" x14ac:dyDescent="0.25">
      <c r="A6259" s="9" t="s">
        <v>12301</v>
      </c>
      <c r="C6259" s="9" t="str">
        <f>HYPERLINK("http://www.ncbi.nlm.nih.gov/protein/145966792","Rbm33")</f>
        <v>Rbm33</v>
      </c>
      <c r="D6259" s="10">
        <f t="shared" si="97"/>
        <v>2.5045285234182648</v>
      </c>
      <c r="F6259" s="8" t="str">
        <f>HYPERLINK("https://esbl.nhlbi.nih.gov/Databases/mpkFractions/proteomic_fractions_log_files/Yang_log_img/145966792.jpg","show blot")</f>
        <v>show blot</v>
      </c>
      <c r="H6259" s="8" t="str">
        <f>HYPERLINK("https://esbl.nhlbi.nih.gov/Databases/mpkFractions/proteomic_fractions_linear_files/Yang_linear_img/145966792.jpg","show blot")</f>
        <v>show blot</v>
      </c>
      <c r="J6259" s="5" t="s">
        <v>12302</v>
      </c>
      <c r="L6259" s="11">
        <v>2.5045285234182648</v>
      </c>
      <c r="N6259" s="12"/>
    </row>
    <row r="6260" spans="1:14" s="5" customFormat="1" ht="15" customHeight="1" x14ac:dyDescent="0.25">
      <c r="A6260" s="9" t="s">
        <v>12303</v>
      </c>
      <c r="C6260" s="9" t="str">
        <f>HYPERLINK("http://www.ncbi.nlm.nih.gov/protein/42794007","Rbm34")</f>
        <v>Rbm34</v>
      </c>
      <c r="D6260" s="10">
        <f t="shared" si="97"/>
        <v>2.5945503895492168</v>
      </c>
      <c r="F6260" s="8" t="str">
        <f>HYPERLINK("https://esbl.nhlbi.nih.gov/Databases/mpkFractions/proteomic_fractions_log_files/Yang_log_img/42794007.jpg","show blot")</f>
        <v>show blot</v>
      </c>
      <c r="H6260" s="8" t="str">
        <f>HYPERLINK("https://esbl.nhlbi.nih.gov/Databases/mpkFractions/proteomic_fractions_linear_files/Yang_linear_img/42794007.jpg","show blot")</f>
        <v>show blot</v>
      </c>
      <c r="J6260" s="5" t="s">
        <v>12304</v>
      </c>
      <c r="L6260" s="11">
        <v>2.5945503895492168</v>
      </c>
      <c r="N6260" s="12"/>
    </row>
    <row r="6261" spans="1:14" s="5" customFormat="1" ht="15" customHeight="1" x14ac:dyDescent="0.25">
      <c r="A6261" s="9" t="s">
        <v>12305</v>
      </c>
      <c r="C6261" s="9" t="str">
        <f>HYPERLINK("http://www.ncbi.nlm.nih.gov/protein/118403314","Rbm39")</f>
        <v>Rbm39</v>
      </c>
      <c r="D6261" s="10">
        <f t="shared" si="97"/>
        <v>5.2714532507444023</v>
      </c>
      <c r="F6261" s="8" t="str">
        <f>HYPERLINK("https://esbl.nhlbi.nih.gov/Databases/mpkFractions/proteomic_fractions_log_files/Yang_log_img/118403314.jpg","show blot")</f>
        <v>show blot</v>
      </c>
      <c r="H6261" s="8" t="str">
        <f>HYPERLINK("https://esbl.nhlbi.nih.gov/Databases/mpkFractions/proteomic_fractions_linear_files/Yang_linear_img/118403314.jpg","show blot")</f>
        <v>show blot</v>
      </c>
      <c r="J6261" s="5" t="s">
        <v>12306</v>
      </c>
      <c r="L6261" s="11">
        <v>5.2714532507444023</v>
      </c>
      <c r="N6261" s="12"/>
    </row>
    <row r="6262" spans="1:14" s="5" customFormat="1" ht="15" customHeight="1" x14ac:dyDescent="0.25">
      <c r="A6262" s="9" t="s">
        <v>12307</v>
      </c>
      <c r="C6262" s="9" t="str">
        <f>HYPERLINK("http://www.ncbi.nlm.nih.gov/protein/86262144","Rbm4")</f>
        <v>Rbm4</v>
      </c>
      <c r="D6262" s="10">
        <f t="shared" si="97"/>
        <v>3.26871048604393</v>
      </c>
      <c r="F6262" s="8" t="str">
        <f>HYPERLINK("https://esbl.nhlbi.nih.gov/Databases/mpkFractions/proteomic_fractions_log_files/Yang_log_img/86262144.jpg","show blot")</f>
        <v>show blot</v>
      </c>
      <c r="H6262" s="8" t="str">
        <f>HYPERLINK("https://esbl.nhlbi.nih.gov/Databases/mpkFractions/proteomic_fractions_linear_files/Yang_linear_img/86262144.jpg","show blot")</f>
        <v>show blot</v>
      </c>
      <c r="J6262" s="5" t="s">
        <v>12308</v>
      </c>
      <c r="L6262" s="11">
        <v>3.26871048604393</v>
      </c>
      <c r="N6262" s="12"/>
    </row>
    <row r="6263" spans="1:14" s="5" customFormat="1" ht="15" customHeight="1" x14ac:dyDescent="0.25">
      <c r="A6263" s="9" t="s">
        <v>12309</v>
      </c>
      <c r="C6263" s="9" t="str">
        <f>HYPERLINK("http://www.ncbi.nlm.nih.gov/protein/224922828","Rbm42")</f>
        <v>Rbm42</v>
      </c>
      <c r="D6263" s="10">
        <f t="shared" si="97"/>
        <v>3.326953480288914</v>
      </c>
      <c r="F6263" s="8" t="str">
        <f>HYPERLINK("https://esbl.nhlbi.nih.gov/Databases/mpkFractions/proteomic_fractions_log_files/Yang_log_img/224922828.jpg","show blot")</f>
        <v>show blot</v>
      </c>
      <c r="H6263" s="8" t="str">
        <f>HYPERLINK("https://esbl.nhlbi.nih.gov/Databases/mpkFractions/proteomic_fractions_linear_files/Yang_linear_img/224922828.jpg","show blot")</f>
        <v>show blot</v>
      </c>
      <c r="J6263" s="5" t="s">
        <v>12310</v>
      </c>
      <c r="L6263" s="11">
        <v>3.326953480288914</v>
      </c>
      <c r="N6263" s="12"/>
    </row>
    <row r="6264" spans="1:14" s="5" customFormat="1" ht="15" customHeight="1" x14ac:dyDescent="0.25">
      <c r="A6264" s="9" t="s">
        <v>12311</v>
      </c>
      <c r="C6264" s="9" t="str">
        <f>HYPERLINK("http://www.ncbi.nlm.nih.gov/protein/461496486","Rbm46")</f>
        <v>Rbm46</v>
      </c>
      <c r="D6264" s="10">
        <f t="shared" si="97"/>
        <v>4.150456548726468</v>
      </c>
      <c r="F6264" s="8" t="str">
        <f>HYPERLINK("https://esbl.nhlbi.nih.gov/Databases/mpkFractions/proteomic_fractions_log_files/Yang_log_img/461496486.jpg","show blot")</f>
        <v>show blot</v>
      </c>
      <c r="H6264" s="8" t="str">
        <f>HYPERLINK("https://esbl.nhlbi.nih.gov/Databases/mpkFractions/proteomic_fractions_linear_files/Yang_linear_img/461496486.jpg","show blot")</f>
        <v>show blot</v>
      </c>
      <c r="J6264" s="5" t="s">
        <v>12312</v>
      </c>
      <c r="L6264" s="11">
        <v>4.150456548726468</v>
      </c>
      <c r="N6264" s="12"/>
    </row>
    <row r="6265" spans="1:14" s="5" customFormat="1" ht="15" customHeight="1" x14ac:dyDescent="0.25">
      <c r="A6265" s="9" t="s">
        <v>12313</v>
      </c>
      <c r="C6265" s="9" t="str">
        <f>HYPERLINK("http://www.ncbi.nlm.nih.gov/protein/226423939","Rbm46")</f>
        <v>Rbm46</v>
      </c>
      <c r="D6265" s="10">
        <f t="shared" si="97"/>
        <v>4.150456548726468</v>
      </c>
      <c r="F6265" s="8" t="str">
        <f>HYPERLINK("https://esbl.nhlbi.nih.gov/Databases/mpkFractions/proteomic_fractions_log_files/Yang_log_img/226423939.jpg","show blot")</f>
        <v>show blot</v>
      </c>
      <c r="H6265" s="8" t="str">
        <f>HYPERLINK("https://esbl.nhlbi.nih.gov/Databases/mpkFractions/proteomic_fractions_linear_files/Yang_linear_img/226423939.jpg","show blot")</f>
        <v>show blot</v>
      </c>
      <c r="J6265" s="5" t="s">
        <v>12312</v>
      </c>
      <c r="L6265" s="11">
        <v>4.150456548726468</v>
      </c>
      <c r="N6265" s="12"/>
    </row>
    <row r="6266" spans="1:14" s="5" customFormat="1" ht="15" customHeight="1" x14ac:dyDescent="0.25">
      <c r="A6266" s="9" t="s">
        <v>12314</v>
      </c>
      <c r="C6266" s="9" t="str">
        <f>HYPERLINK("http://www.ncbi.nlm.nih.gov/protein/188497698","Rbm47")</f>
        <v>Rbm47</v>
      </c>
      <c r="D6266" s="10">
        <f t="shared" si="97"/>
        <v>5.3119729255752732</v>
      </c>
      <c r="F6266" s="8" t="str">
        <f>HYPERLINK("https://esbl.nhlbi.nih.gov/Databases/mpkFractions/proteomic_fractions_log_files/Yang_log_img/188497698.jpg","show blot")</f>
        <v>show blot</v>
      </c>
      <c r="H6266" s="8" t="str">
        <f>HYPERLINK("https://esbl.nhlbi.nih.gov/Databases/mpkFractions/proteomic_fractions_linear_files/Yang_linear_img/188497698.jpg","show blot")</f>
        <v>show blot</v>
      </c>
      <c r="J6266" s="5" t="s">
        <v>12315</v>
      </c>
      <c r="L6266" s="11">
        <v>5.3119729255752732</v>
      </c>
      <c r="N6266" s="12"/>
    </row>
    <row r="6267" spans="1:14" s="5" customFormat="1" ht="15" customHeight="1" x14ac:dyDescent="0.25">
      <c r="A6267" s="9" t="s">
        <v>12316</v>
      </c>
      <c r="C6267" s="9" t="str">
        <f>HYPERLINK("http://www.ncbi.nlm.nih.gov/protein/27754120","Rbm4b")</f>
        <v>Rbm4b</v>
      </c>
      <c r="D6267" s="10">
        <f t="shared" si="97"/>
        <v>3.26871048604393</v>
      </c>
      <c r="F6267" s="8" t="str">
        <f>HYPERLINK("https://esbl.nhlbi.nih.gov/Databases/mpkFractions/proteomic_fractions_log_files/Yang_log_img/27754120.jpg","show blot")</f>
        <v>show blot</v>
      </c>
      <c r="H6267" s="8" t="str">
        <f>HYPERLINK("https://esbl.nhlbi.nih.gov/Databases/mpkFractions/proteomic_fractions_linear_files/Yang_linear_img/27754120.jpg","show blot")</f>
        <v>show blot</v>
      </c>
      <c r="J6267" s="5" t="s">
        <v>12317</v>
      </c>
      <c r="L6267" s="11">
        <v>3.26871048604393</v>
      </c>
      <c r="N6267" s="12"/>
    </row>
    <row r="6268" spans="1:14" s="5" customFormat="1" ht="15" customHeight="1" x14ac:dyDescent="0.25">
      <c r="A6268" s="9" t="s">
        <v>12318</v>
      </c>
      <c r="C6268" s="9" t="str">
        <f>HYPERLINK("http://www.ncbi.nlm.nih.gov/protein/22507333","Rbm5")</f>
        <v>Rbm5</v>
      </c>
      <c r="D6268" s="10">
        <f t="shared" si="97"/>
        <v>3.688134306313982</v>
      </c>
      <c r="F6268" s="8" t="str">
        <f>HYPERLINK("https://esbl.nhlbi.nih.gov/Databases/mpkFractions/proteomic_fractions_log_files/Yang_log_img/22507333.jpg","show blot")</f>
        <v>show blot</v>
      </c>
      <c r="H6268" s="8" t="str">
        <f>HYPERLINK("https://esbl.nhlbi.nih.gov/Databases/mpkFractions/proteomic_fractions_linear_files/Yang_linear_img/22507333.jpg","show blot")</f>
        <v>show blot</v>
      </c>
      <c r="J6268" s="5" t="s">
        <v>12319</v>
      </c>
      <c r="L6268" s="11">
        <v>3.688134306313982</v>
      </c>
      <c r="N6268" s="12"/>
    </row>
    <row r="6269" spans="1:14" s="5" customFormat="1" ht="15" customHeight="1" x14ac:dyDescent="0.25">
      <c r="A6269" s="9" t="s">
        <v>12320</v>
      </c>
      <c r="C6269" s="9" t="str">
        <f>HYPERLINK("http://www.ncbi.nlm.nih.gov/protein/27753952","Rbm7")</f>
        <v>Rbm7</v>
      </c>
      <c r="D6269" s="10">
        <f t="shared" si="97"/>
        <v>4.3078630584173574</v>
      </c>
      <c r="F6269" s="8" t="str">
        <f>HYPERLINK("https://esbl.nhlbi.nih.gov/Databases/mpkFractions/proteomic_fractions_log_files/Yang_log_img/27753952.jpg","show blot")</f>
        <v>show blot</v>
      </c>
      <c r="H6269" s="8" t="str">
        <f>HYPERLINK("https://esbl.nhlbi.nih.gov/Databases/mpkFractions/proteomic_fractions_linear_files/Yang_linear_img/27753952.jpg","show blot")</f>
        <v>show blot</v>
      </c>
      <c r="J6269" s="5" t="s">
        <v>12321</v>
      </c>
      <c r="L6269" s="11">
        <v>4.3078630584173574</v>
      </c>
      <c r="N6269" s="12"/>
    </row>
    <row r="6270" spans="1:14" s="5" customFormat="1" ht="15" customHeight="1" x14ac:dyDescent="0.25">
      <c r="A6270" s="9" t="s">
        <v>12322</v>
      </c>
      <c r="C6270" s="9" t="str">
        <f>HYPERLINK("http://www.ncbi.nlm.nih.gov/protein/162287294","Rbm8a")</f>
        <v>Rbm8a</v>
      </c>
      <c r="D6270" s="10">
        <f t="shared" si="97"/>
        <v>5.6511261855347623</v>
      </c>
      <c r="F6270" s="8" t="str">
        <f>HYPERLINK("https://esbl.nhlbi.nih.gov/Databases/mpkFractions/proteomic_fractions_log_files/Yang_log_img/162287294.jpg","show blot")</f>
        <v>show blot</v>
      </c>
      <c r="H6270" s="8" t="str">
        <f>HYPERLINK("https://esbl.nhlbi.nih.gov/Databases/mpkFractions/proteomic_fractions_linear_files/Yang_linear_img/162287294.jpg","show blot")</f>
        <v>show blot</v>
      </c>
      <c r="J6270" s="5" t="s">
        <v>12323</v>
      </c>
      <c r="L6270" s="11">
        <v>5.6511261855347623</v>
      </c>
      <c r="N6270" s="12"/>
    </row>
    <row r="6271" spans="1:14" s="5" customFormat="1" ht="15" customHeight="1" x14ac:dyDescent="0.25">
      <c r="A6271" s="9" t="s">
        <v>12324</v>
      </c>
      <c r="C6271" s="9" t="str">
        <f>HYPERLINK("http://www.ncbi.nlm.nih.gov/protein/162287296","Rbm8a")</f>
        <v>Rbm8a</v>
      </c>
      <c r="D6271" s="10">
        <f t="shared" si="97"/>
        <v>5.6511261855347623</v>
      </c>
      <c r="F6271" s="8" t="str">
        <f>HYPERLINK("https://esbl.nhlbi.nih.gov/Databases/mpkFractions/proteomic_fractions_log_files/Yang_log_img/162287296.jpg","show blot")</f>
        <v>show blot</v>
      </c>
      <c r="H6271" s="8" t="str">
        <f>HYPERLINK("https://esbl.nhlbi.nih.gov/Databases/mpkFractions/proteomic_fractions_linear_files/Yang_linear_img/162287296.jpg","show blot")</f>
        <v>show blot</v>
      </c>
      <c r="J6271" s="5" t="s">
        <v>12325</v>
      </c>
      <c r="L6271" s="11">
        <v>5.6511261855347623</v>
      </c>
      <c r="N6271" s="12"/>
    </row>
    <row r="6272" spans="1:14" s="5" customFormat="1" ht="15" customHeight="1" x14ac:dyDescent="0.25">
      <c r="A6272" s="9" t="s">
        <v>12326</v>
      </c>
      <c r="C6272" s="9" t="str">
        <f>HYPERLINK("http://www.ncbi.nlm.nih.gov/protein/213513165","Rbms1")</f>
        <v>Rbms1</v>
      </c>
      <c r="D6272" s="10">
        <f t="shared" si="97"/>
        <v>4.7335920159311486</v>
      </c>
      <c r="F6272" s="8" t="str">
        <f>HYPERLINK("https://esbl.nhlbi.nih.gov/Databases/mpkFractions/proteomic_fractions_log_files/Yang_log_img/213513165.jpg","show blot")</f>
        <v>show blot</v>
      </c>
      <c r="H6272" s="8" t="str">
        <f>HYPERLINK("https://esbl.nhlbi.nih.gov/Databases/mpkFractions/proteomic_fractions_linear_files/Yang_linear_img/213513165.jpg","show blot")</f>
        <v>show blot</v>
      </c>
      <c r="J6272" s="5" t="s">
        <v>12327</v>
      </c>
      <c r="L6272" s="11">
        <v>4.7335920159311486</v>
      </c>
      <c r="N6272" s="12"/>
    </row>
    <row r="6273" spans="1:14" s="5" customFormat="1" ht="15" customHeight="1" x14ac:dyDescent="0.25">
      <c r="A6273" s="9" t="s">
        <v>12328</v>
      </c>
      <c r="C6273" s="9" t="str">
        <f>HYPERLINK("http://www.ncbi.nlm.nih.gov/protein/213513185","Rbms1")</f>
        <v>Rbms1</v>
      </c>
      <c r="D6273" s="10">
        <f t="shared" si="97"/>
        <v>4.7335920159311486</v>
      </c>
      <c r="F6273" s="8" t="str">
        <f>HYPERLINK("https://esbl.nhlbi.nih.gov/Databases/mpkFractions/proteomic_fractions_log_files/Yang_log_img/213513185.jpg","show blot")</f>
        <v>show blot</v>
      </c>
      <c r="H6273" s="8" t="str">
        <f>HYPERLINK("https://esbl.nhlbi.nih.gov/Databases/mpkFractions/proteomic_fractions_linear_files/Yang_linear_img/213513185.jpg","show blot")</f>
        <v>show blot</v>
      </c>
      <c r="J6273" s="5" t="s">
        <v>12329</v>
      </c>
      <c r="L6273" s="11">
        <v>4.7335920159311486</v>
      </c>
      <c r="N6273" s="12"/>
    </row>
    <row r="6274" spans="1:14" s="5" customFormat="1" ht="15" customHeight="1" x14ac:dyDescent="0.25">
      <c r="A6274" s="9" t="s">
        <v>12330</v>
      </c>
      <c r="C6274" s="9" t="str">
        <f>HYPERLINK("http://www.ncbi.nlm.nih.gov/protein/213513205","Rbms1")</f>
        <v>Rbms1</v>
      </c>
      <c r="D6274" s="10">
        <f t="shared" si="97"/>
        <v>4.7335920159311486</v>
      </c>
      <c r="F6274" s="8" t="str">
        <f>HYPERLINK("https://esbl.nhlbi.nih.gov/Databases/mpkFractions/proteomic_fractions_log_files/Yang_log_img/213513205.jpg","show blot")</f>
        <v>show blot</v>
      </c>
      <c r="H6274" s="8" t="str">
        <f>HYPERLINK("https://esbl.nhlbi.nih.gov/Databases/mpkFractions/proteomic_fractions_linear_files/Yang_linear_img/213513205.jpg","show blot")</f>
        <v>show blot</v>
      </c>
      <c r="J6274" s="5" t="s">
        <v>12331</v>
      </c>
      <c r="L6274" s="11">
        <v>4.7335920159311486</v>
      </c>
      <c r="N6274" s="12"/>
    </row>
    <row r="6275" spans="1:14" s="5" customFormat="1" ht="15" customHeight="1" x14ac:dyDescent="0.25">
      <c r="A6275" s="9" t="s">
        <v>12332</v>
      </c>
      <c r="C6275" s="9" t="str">
        <f>HYPERLINK("http://www.ncbi.nlm.nih.gov/protein/84872203","Rbms2")</f>
        <v>Rbms2</v>
      </c>
      <c r="D6275" s="10">
        <f t="shared" si="97"/>
        <v>4.2403508300015194</v>
      </c>
      <c r="F6275" s="8" t="str">
        <f>HYPERLINK("https://esbl.nhlbi.nih.gov/Databases/mpkFractions/proteomic_fractions_log_files/Yang_log_img/84872203.jpg","show blot")</f>
        <v>show blot</v>
      </c>
      <c r="H6275" s="8" t="str">
        <f>HYPERLINK("https://esbl.nhlbi.nih.gov/Databases/mpkFractions/proteomic_fractions_linear_files/Yang_linear_img/84872203.jpg","show blot")</f>
        <v>show blot</v>
      </c>
      <c r="J6275" s="5" t="s">
        <v>12333</v>
      </c>
      <c r="L6275" s="11">
        <v>4.2403508300015194</v>
      </c>
      <c r="N6275" s="12"/>
    </row>
    <row r="6276" spans="1:14" s="5" customFormat="1" ht="15" customHeight="1" x14ac:dyDescent="0.25">
      <c r="A6276" s="9" t="s">
        <v>12334</v>
      </c>
      <c r="C6276" s="9" t="str">
        <f>HYPERLINK("http://www.ncbi.nlm.nih.gov/protein/84872207","Rbms2")</f>
        <v>Rbms2</v>
      </c>
      <c r="D6276" s="10">
        <f t="shared" si="97"/>
        <v>4.2403508300015194</v>
      </c>
      <c r="F6276" s="8" t="str">
        <f>HYPERLINK("https://esbl.nhlbi.nih.gov/Databases/mpkFractions/proteomic_fractions_log_files/Yang_log_img/84872207.jpg","show blot")</f>
        <v>show blot</v>
      </c>
      <c r="H6276" s="8" t="str">
        <f>HYPERLINK("https://esbl.nhlbi.nih.gov/Databases/mpkFractions/proteomic_fractions_linear_files/Yang_linear_img/84872207.jpg","show blot")</f>
        <v>show blot</v>
      </c>
      <c r="J6276" s="5" t="s">
        <v>12335</v>
      </c>
      <c r="L6276" s="11">
        <v>4.2403508300015194</v>
      </c>
      <c r="N6276" s="12"/>
    </row>
    <row r="6277" spans="1:14" s="5" customFormat="1" ht="15" customHeight="1" x14ac:dyDescent="0.25">
      <c r="A6277" s="9" t="s">
        <v>12336</v>
      </c>
      <c r="C6277" s="9" t="str">
        <f>HYPERLINK("http://www.ncbi.nlm.nih.gov/protein/148747313","Rbms3")</f>
        <v>Rbms3</v>
      </c>
      <c r="D6277" s="10">
        <f t="shared" ref="D6277:D6340" si="98">L6277</f>
        <v>4.7060614051096499</v>
      </c>
      <c r="F6277" s="8" t="str">
        <f>HYPERLINK("https://esbl.nhlbi.nih.gov/Databases/mpkFractions/proteomic_fractions_log_files/Yang_log_img/148747313.jpg","show blot")</f>
        <v>show blot</v>
      </c>
      <c r="H6277" s="8" t="str">
        <f>HYPERLINK("https://esbl.nhlbi.nih.gov/Databases/mpkFractions/proteomic_fractions_linear_files/Yang_linear_img/148747313.jpg","show blot")</f>
        <v>show blot</v>
      </c>
      <c r="J6277" s="5" t="s">
        <v>12337</v>
      </c>
      <c r="L6277" s="11">
        <v>4.7060614051096499</v>
      </c>
      <c r="N6277" s="12"/>
    </row>
    <row r="6278" spans="1:14" s="5" customFormat="1" ht="15" customHeight="1" x14ac:dyDescent="0.25">
      <c r="A6278" s="9" t="s">
        <v>12338</v>
      </c>
      <c r="C6278" s="9" t="str">
        <f>HYPERLINK("http://www.ncbi.nlm.nih.gov/protein/287324565","Rbms3")</f>
        <v>Rbms3</v>
      </c>
      <c r="D6278" s="10">
        <f t="shared" si="98"/>
        <v>4.7060614051096499</v>
      </c>
      <c r="F6278" s="8" t="str">
        <f>HYPERLINK("https://esbl.nhlbi.nih.gov/Databases/mpkFractions/proteomic_fractions_log_files/Yang_log_img/287324565.jpg","show blot")</f>
        <v>show blot</v>
      </c>
      <c r="H6278" s="8" t="str">
        <f>HYPERLINK("https://esbl.nhlbi.nih.gov/Databases/mpkFractions/proteomic_fractions_linear_files/Yang_linear_img/287324565.jpg","show blot")</f>
        <v>show blot</v>
      </c>
      <c r="J6278" s="5" t="s">
        <v>12339</v>
      </c>
      <c r="L6278" s="11">
        <v>4.7060614051096499</v>
      </c>
      <c r="N6278" s="12"/>
    </row>
    <row r="6279" spans="1:14" s="5" customFormat="1" ht="15" customHeight="1" x14ac:dyDescent="0.25">
      <c r="A6279" s="9" t="s">
        <v>12340</v>
      </c>
      <c r="C6279" s="9" t="str">
        <f>HYPERLINK("http://www.ncbi.nlm.nih.gov/protein/287324670","Rbms3")</f>
        <v>Rbms3</v>
      </c>
      <c r="D6279" s="10">
        <f t="shared" si="98"/>
        <v>4.7060614051096499</v>
      </c>
      <c r="F6279" s="8" t="str">
        <f>HYPERLINK("https://esbl.nhlbi.nih.gov/Databases/mpkFractions/proteomic_fractions_log_files/Yang_log_img/287324670.jpg","show blot")</f>
        <v>show blot</v>
      </c>
      <c r="H6279" s="8" t="str">
        <f>HYPERLINK("https://esbl.nhlbi.nih.gov/Databases/mpkFractions/proteomic_fractions_linear_files/Yang_linear_img/287324670.jpg","show blot")</f>
        <v>show blot</v>
      </c>
      <c r="J6279" s="5" t="s">
        <v>12341</v>
      </c>
      <c r="L6279" s="11">
        <v>4.7060614051096499</v>
      </c>
      <c r="N6279" s="12"/>
    </row>
    <row r="6280" spans="1:14" s="5" customFormat="1" ht="15" customHeight="1" x14ac:dyDescent="0.25">
      <c r="A6280" s="9" t="s">
        <v>12342</v>
      </c>
      <c r="C6280" s="9" t="str">
        <f>HYPERLINK("http://www.ncbi.nlm.nih.gov/protein/287324761","Rbms3")</f>
        <v>Rbms3</v>
      </c>
      <c r="D6280" s="10">
        <f t="shared" si="98"/>
        <v>4.7060614051096499</v>
      </c>
      <c r="F6280" s="8" t="str">
        <f>HYPERLINK("https://esbl.nhlbi.nih.gov/Databases/mpkFractions/proteomic_fractions_log_files/Yang_log_img/287324761.jpg","show blot")</f>
        <v>show blot</v>
      </c>
      <c r="H6280" s="8" t="str">
        <f>HYPERLINK("https://esbl.nhlbi.nih.gov/Databases/mpkFractions/proteomic_fractions_linear_files/Yang_linear_img/287324761.jpg","show blot")</f>
        <v>show blot</v>
      </c>
      <c r="J6280" s="5" t="s">
        <v>12343</v>
      </c>
      <c r="L6280" s="11">
        <v>4.7060614051096499</v>
      </c>
      <c r="N6280" s="12"/>
    </row>
    <row r="6281" spans="1:14" s="5" customFormat="1" ht="15" customHeight="1" x14ac:dyDescent="0.25">
      <c r="A6281" s="9" t="s">
        <v>12344</v>
      </c>
      <c r="C6281" s="9" t="str">
        <f>HYPERLINK("http://www.ncbi.nlm.nih.gov/protein/287324845","Rbms3")</f>
        <v>Rbms3</v>
      </c>
      <c r="D6281" s="10">
        <f t="shared" si="98"/>
        <v>4.7060614051096499</v>
      </c>
      <c r="F6281" s="8" t="str">
        <f>HYPERLINK("https://esbl.nhlbi.nih.gov/Databases/mpkFractions/proteomic_fractions_log_files/Yang_log_img/287324845.jpg","show blot")</f>
        <v>show blot</v>
      </c>
      <c r="H6281" s="8" t="str">
        <f>HYPERLINK("https://esbl.nhlbi.nih.gov/Databases/mpkFractions/proteomic_fractions_linear_files/Yang_linear_img/287324845.jpg","show blot")</f>
        <v>show blot</v>
      </c>
      <c r="J6281" s="5" t="s">
        <v>12345</v>
      </c>
      <c r="L6281" s="11">
        <v>4.7060614051096499</v>
      </c>
      <c r="N6281" s="12"/>
    </row>
    <row r="6282" spans="1:14" s="5" customFormat="1" ht="15" customHeight="1" x14ac:dyDescent="0.25">
      <c r="A6282" s="9" t="s">
        <v>12346</v>
      </c>
      <c r="C6282" s="9" t="str">
        <f>HYPERLINK("http://www.ncbi.nlm.nih.gov/protein/287324984","Rbms3")</f>
        <v>Rbms3</v>
      </c>
      <c r="D6282" s="10">
        <f t="shared" si="98"/>
        <v>4.7060614051096499</v>
      </c>
      <c r="F6282" s="8" t="str">
        <f>HYPERLINK("https://esbl.nhlbi.nih.gov/Databases/mpkFractions/proteomic_fractions_log_files/Yang_log_img/287324984.jpg","show blot")</f>
        <v>show blot</v>
      </c>
      <c r="H6282" s="8" t="str">
        <f>HYPERLINK("https://esbl.nhlbi.nih.gov/Databases/mpkFractions/proteomic_fractions_linear_files/Yang_linear_img/287324984.jpg","show blot")</f>
        <v>show blot</v>
      </c>
      <c r="J6282" s="5" t="s">
        <v>12347</v>
      </c>
      <c r="L6282" s="11">
        <v>4.7060614051096499</v>
      </c>
      <c r="N6282" s="12"/>
    </row>
    <row r="6283" spans="1:14" s="5" customFormat="1" ht="15" customHeight="1" x14ac:dyDescent="0.25">
      <c r="A6283" s="9" t="s">
        <v>12348</v>
      </c>
      <c r="C6283" s="9" t="str">
        <f>HYPERLINK("http://www.ncbi.nlm.nih.gov/protein/6755296","Rbmx")</f>
        <v>Rbmx</v>
      </c>
      <c r="D6283" s="10">
        <f t="shared" si="98"/>
        <v>6.1167694961674588</v>
      </c>
      <c r="F6283" s="8" t="str">
        <f>HYPERLINK("https://esbl.nhlbi.nih.gov/Databases/mpkFractions/proteomic_fractions_log_files/Yang_log_img/6755296.jpg","show blot")</f>
        <v>show blot</v>
      </c>
      <c r="H6283" s="8" t="str">
        <f>HYPERLINK("https://esbl.nhlbi.nih.gov/Databases/mpkFractions/proteomic_fractions_linear_files/Yang_linear_img/6755296.jpg","show blot")</f>
        <v>show blot</v>
      </c>
      <c r="J6283" s="5" t="s">
        <v>12349</v>
      </c>
      <c r="L6283" s="11">
        <v>6.1167694961674588</v>
      </c>
      <c r="N6283" s="12"/>
    </row>
    <row r="6284" spans="1:14" s="5" customFormat="1" ht="15" customHeight="1" x14ac:dyDescent="0.25">
      <c r="A6284" s="9" t="s">
        <v>12350</v>
      </c>
      <c r="C6284" s="9" t="str">
        <f>HYPERLINK("http://www.ncbi.nlm.nih.gov/protein/27734072","Rbmx2")</f>
        <v>Rbmx2</v>
      </c>
      <c r="D6284" s="10">
        <f t="shared" si="98"/>
        <v>3.1765879584147458</v>
      </c>
      <c r="F6284" s="8" t="str">
        <f>HYPERLINK("https://esbl.nhlbi.nih.gov/Databases/mpkFractions/proteomic_fractions_log_files/Yang_log_img/27734072.jpg","show blot")</f>
        <v>show blot</v>
      </c>
      <c r="H6284" s="8" t="str">
        <f>HYPERLINK("https://esbl.nhlbi.nih.gov/Databases/mpkFractions/proteomic_fractions_linear_files/Yang_linear_img/27734072.jpg","show blot")</f>
        <v>show blot</v>
      </c>
      <c r="J6284" s="5" t="s">
        <v>12351</v>
      </c>
      <c r="L6284" s="11">
        <v>3.1765879584147458</v>
      </c>
      <c r="N6284" s="12"/>
    </row>
    <row r="6285" spans="1:14" s="5" customFormat="1" ht="15" customHeight="1" x14ac:dyDescent="0.25">
      <c r="A6285" s="9" t="s">
        <v>12352</v>
      </c>
      <c r="C6285" s="9" t="str">
        <f>HYPERLINK("http://www.ncbi.nlm.nih.gov/protein/83699420","Rbmxl1")</f>
        <v>Rbmxl1</v>
      </c>
      <c r="D6285" s="10">
        <f t="shared" si="98"/>
        <v>6.1042785677275209</v>
      </c>
      <c r="F6285" s="8" t="str">
        <f>HYPERLINK("https://esbl.nhlbi.nih.gov/Databases/mpkFractions/proteomic_fractions_log_files/Yang_log_img/83699420.jpg","show blot")</f>
        <v>show blot</v>
      </c>
      <c r="H6285" s="8" t="str">
        <f>HYPERLINK("https://esbl.nhlbi.nih.gov/Databases/mpkFractions/proteomic_fractions_linear_files/Yang_linear_img/83699420.jpg","show blot")</f>
        <v>show blot</v>
      </c>
      <c r="J6285" s="5" t="s">
        <v>12353</v>
      </c>
      <c r="L6285" s="11">
        <v>6.1042785677275209</v>
      </c>
      <c r="N6285" s="12"/>
    </row>
    <row r="6286" spans="1:14" s="5" customFormat="1" ht="15" customHeight="1" x14ac:dyDescent="0.25">
      <c r="A6286" s="9" t="s">
        <v>12354</v>
      </c>
      <c r="C6286" s="9" t="str">
        <f>HYPERLINK("http://www.ncbi.nlm.nih.gov/protein/83699420;355390287","Rbmxl1")</f>
        <v>Rbmxl1</v>
      </c>
      <c r="D6286" s="10">
        <f t="shared" si="98"/>
        <v>6.1042785677275209</v>
      </c>
      <c r="F6286" s="8" t="str">
        <f>HYPERLINK("https://esbl.nhlbi.nih.gov/Databases/mpkFractions/proteomic_fractions_log_files/Yang_log_img/83699420;355390287.jpg","show blot")</f>
        <v>show blot</v>
      </c>
      <c r="H6286" s="8" t="str">
        <f>HYPERLINK("https://esbl.nhlbi.nih.gov/Databases/mpkFractions/proteomic_fractions_linear_files/Yang_linear_img/83699420;355390287.jpg","show blot")</f>
        <v>show blot</v>
      </c>
      <c r="J6286" s="5" t="s">
        <v>12353</v>
      </c>
      <c r="L6286" s="11">
        <v>6.1042785677275209</v>
      </c>
      <c r="N6286" s="12"/>
    </row>
    <row r="6287" spans="1:14" s="5" customFormat="1" ht="15" customHeight="1" x14ac:dyDescent="0.25">
      <c r="A6287" s="9" t="s">
        <v>12355</v>
      </c>
      <c r="C6287" s="9" t="str">
        <f>HYPERLINK("http://www.ncbi.nlm.nih.gov/protein/355390287;83699420","Rbmxl1")</f>
        <v>Rbmxl1</v>
      </c>
      <c r="D6287" s="10">
        <f t="shared" si="98"/>
        <v>6.1042785677275209</v>
      </c>
      <c r="F6287" s="8" t="str">
        <f>HYPERLINK("https://esbl.nhlbi.nih.gov/Databases/mpkFractions/proteomic_fractions_log_files/Yang_log_img/355390287;83699420.jpg","show blot")</f>
        <v>show blot</v>
      </c>
      <c r="H6287" s="8" t="str">
        <f>HYPERLINK("https://esbl.nhlbi.nih.gov/Databases/mpkFractions/proteomic_fractions_linear_files/Yang_linear_img/355390287;83699420.jpg","show blot")</f>
        <v>show blot</v>
      </c>
      <c r="J6287" s="5" t="s">
        <v>12353</v>
      </c>
      <c r="L6287" s="11">
        <v>6.1042785677275209</v>
      </c>
      <c r="N6287" s="12"/>
    </row>
    <row r="6288" spans="1:14" s="5" customFormat="1" ht="15" customHeight="1" x14ac:dyDescent="0.25">
      <c r="A6288" s="9" t="s">
        <v>12356</v>
      </c>
      <c r="C6288" s="9" t="str">
        <f>HYPERLINK("http://www.ncbi.nlm.nih.gov/protein/6755300","Rbp1")</f>
        <v>Rbp1</v>
      </c>
      <c r="D6288" s="10">
        <f t="shared" si="98"/>
        <v>3.6473585159080248</v>
      </c>
      <c r="F6288" s="8" t="str">
        <f>HYPERLINK("https://esbl.nhlbi.nih.gov/Databases/mpkFractions/proteomic_fractions_log_files/Yang_log_img/6755300.jpg","show blot")</f>
        <v>show blot</v>
      </c>
      <c r="H6288" s="8" t="str">
        <f>HYPERLINK("https://esbl.nhlbi.nih.gov/Databases/mpkFractions/proteomic_fractions_linear_files/Yang_linear_img/6755300.jpg","show blot")</f>
        <v>show blot</v>
      </c>
      <c r="J6288" s="5" t="s">
        <v>12357</v>
      </c>
      <c r="L6288" s="11">
        <v>3.6473585159080248</v>
      </c>
      <c r="N6288" s="12"/>
    </row>
    <row r="6289" spans="1:14" s="5" customFormat="1" ht="15" customHeight="1" x14ac:dyDescent="0.25">
      <c r="A6289" s="9" t="s">
        <v>12358</v>
      </c>
      <c r="C6289" s="9" t="str">
        <f>HYPERLINK("http://www.ncbi.nlm.nih.gov/protein/555290065","Rbpms")</f>
        <v>Rbpms</v>
      </c>
      <c r="D6289" s="10">
        <f t="shared" si="98"/>
        <v>5.576177202003568</v>
      </c>
      <c r="F6289" s="8" t="str">
        <f>HYPERLINK("https://esbl.nhlbi.nih.gov/Databases/mpkFractions/proteomic_fractions_log_files/Yang_log_img/555290065.jpg","show blot")</f>
        <v>show blot</v>
      </c>
      <c r="H6289" s="8" t="str">
        <f>HYPERLINK("https://esbl.nhlbi.nih.gov/Databases/mpkFractions/proteomic_fractions_linear_files/Yang_linear_img/555290065.jpg","show blot")</f>
        <v>show blot</v>
      </c>
      <c r="J6289" s="5" t="s">
        <v>12359</v>
      </c>
      <c r="L6289" s="11">
        <v>5.576177202003568</v>
      </c>
      <c r="N6289" s="12"/>
    </row>
    <row r="6290" spans="1:14" s="5" customFormat="1" ht="15" customHeight="1" x14ac:dyDescent="0.25">
      <c r="A6290" s="9" t="s">
        <v>12360</v>
      </c>
      <c r="C6290" s="9" t="str">
        <f>HYPERLINK("http://www.ncbi.nlm.nih.gov/protein/111185961;33342267","Rbpms")</f>
        <v>Rbpms</v>
      </c>
      <c r="D6290" s="10">
        <f t="shared" si="98"/>
        <v>5.576177202003568</v>
      </c>
      <c r="F6290" s="8" t="str">
        <f>HYPERLINK("https://esbl.nhlbi.nih.gov/Databases/mpkFractions/proteomic_fractions_log_files/Yang_log_img/111185961;33342267.jpg","show blot")</f>
        <v>show blot</v>
      </c>
      <c r="H6290" s="8" t="str">
        <f>HYPERLINK("https://esbl.nhlbi.nih.gov/Databases/mpkFractions/proteomic_fractions_linear_files/Yang_linear_img/111185961;33342267.jpg","show blot")</f>
        <v>show blot</v>
      </c>
      <c r="J6290" s="5" t="s">
        <v>12361</v>
      </c>
      <c r="L6290" s="11">
        <v>5.576177202003568</v>
      </c>
      <c r="N6290" s="12"/>
    </row>
    <row r="6291" spans="1:14" s="5" customFormat="1" ht="15" customHeight="1" x14ac:dyDescent="0.25">
      <c r="A6291" s="9" t="s">
        <v>12362</v>
      </c>
      <c r="C6291" s="9" t="str">
        <f>HYPERLINK("http://www.ncbi.nlm.nih.gov/protein/33342267","Rbpms")</f>
        <v>Rbpms</v>
      </c>
      <c r="D6291" s="10">
        <f t="shared" si="98"/>
        <v>5.576177202003568</v>
      </c>
      <c r="F6291" s="8" t="str">
        <f>HYPERLINK("https://esbl.nhlbi.nih.gov/Databases/mpkFractions/proteomic_fractions_log_files/Yang_log_img/33342267.jpg","show blot")</f>
        <v>show blot</v>
      </c>
      <c r="H6291" s="8" t="str">
        <f>HYPERLINK("https://esbl.nhlbi.nih.gov/Databases/mpkFractions/proteomic_fractions_linear_files/Yang_linear_img/33342267.jpg","show blot")</f>
        <v>show blot</v>
      </c>
      <c r="J6291" s="5" t="s">
        <v>12363</v>
      </c>
      <c r="L6291" s="11">
        <v>5.576177202003568</v>
      </c>
      <c r="N6291" s="12"/>
    </row>
    <row r="6292" spans="1:14" s="5" customFormat="1" ht="15" customHeight="1" x14ac:dyDescent="0.25">
      <c r="A6292" s="9" t="s">
        <v>12364</v>
      </c>
      <c r="C6292" s="9" t="str">
        <f>HYPERLINK("http://www.ncbi.nlm.nih.gov/protein/111185959","Rbpms")</f>
        <v>Rbpms</v>
      </c>
      <c r="D6292" s="10">
        <f t="shared" si="98"/>
        <v>5.576177202003568</v>
      </c>
      <c r="F6292" s="8" t="str">
        <f>HYPERLINK("https://esbl.nhlbi.nih.gov/Databases/mpkFractions/proteomic_fractions_log_files/Yang_log_img/111185959.jpg","show blot")</f>
        <v>show blot</v>
      </c>
      <c r="H6292" s="8" t="str">
        <f>HYPERLINK("https://esbl.nhlbi.nih.gov/Databases/mpkFractions/proteomic_fractions_linear_files/Yang_linear_img/111185959.jpg","show blot")</f>
        <v>show blot</v>
      </c>
      <c r="J6292" s="5" t="s">
        <v>12365</v>
      </c>
      <c r="L6292" s="11">
        <v>5.576177202003568</v>
      </c>
      <c r="N6292" s="12"/>
    </row>
    <row r="6293" spans="1:14" s="5" customFormat="1" ht="15" customHeight="1" x14ac:dyDescent="0.25">
      <c r="A6293" s="9" t="s">
        <v>12366</v>
      </c>
      <c r="C6293" s="9" t="str">
        <f>HYPERLINK("http://www.ncbi.nlm.nih.gov/protein/155030209","Rc3h2")</f>
        <v>Rc3h2</v>
      </c>
      <c r="D6293" s="10">
        <f t="shared" si="98"/>
        <v>2.4143736434214991</v>
      </c>
      <c r="F6293" s="8" t="str">
        <f>HYPERLINK("https://esbl.nhlbi.nih.gov/Databases/mpkFractions/proteomic_fractions_log_files/Yang_log_img/155030209.jpg","show blot")</f>
        <v>show blot</v>
      </c>
      <c r="H6293" s="8" t="str">
        <f>HYPERLINK("https://esbl.nhlbi.nih.gov/Databases/mpkFractions/proteomic_fractions_linear_files/Yang_linear_img/155030209.jpg","show blot")</f>
        <v>show blot</v>
      </c>
      <c r="J6293" s="5" t="s">
        <v>12367</v>
      </c>
      <c r="L6293" s="11">
        <v>2.4143736434214991</v>
      </c>
      <c r="N6293" s="12"/>
    </row>
    <row r="6294" spans="1:14" s="5" customFormat="1" ht="15" customHeight="1" x14ac:dyDescent="0.25">
      <c r="A6294" s="9" t="s">
        <v>12368</v>
      </c>
      <c r="C6294" s="9" t="str">
        <f>HYPERLINK("http://www.ncbi.nlm.nih.gov/protein/169808411","Rcbtb1")</f>
        <v>Rcbtb1</v>
      </c>
      <c r="D6294" s="10">
        <f t="shared" si="98"/>
        <v>1.462847749040916</v>
      </c>
      <c r="F6294" s="8" t="str">
        <f>HYPERLINK("https://esbl.nhlbi.nih.gov/Databases/mpkFractions/proteomic_fractions_log_files/Yang_log_img/169808411.jpg","show blot")</f>
        <v>show blot</v>
      </c>
      <c r="H6294" s="8" t="str">
        <f>HYPERLINK("https://esbl.nhlbi.nih.gov/Databases/mpkFractions/proteomic_fractions_linear_files/Yang_linear_img/169808411.jpg","show blot")</f>
        <v>show blot</v>
      </c>
      <c r="J6294" s="5" t="s">
        <v>12369</v>
      </c>
      <c r="L6294" s="11">
        <v>1.462847749040916</v>
      </c>
      <c r="N6294" s="12"/>
    </row>
    <row r="6295" spans="1:14" s="5" customFormat="1" ht="15" customHeight="1" x14ac:dyDescent="0.25">
      <c r="A6295" s="9" t="s">
        <v>12370</v>
      </c>
      <c r="C6295" s="9" t="str">
        <f>HYPERLINK("http://www.ncbi.nlm.nih.gov/protein/33239431","Rcc2")</f>
        <v>Rcc2</v>
      </c>
      <c r="D6295" s="10">
        <f t="shared" si="98"/>
        <v>5.2610309125435952</v>
      </c>
      <c r="F6295" s="8" t="str">
        <f>HYPERLINK("https://esbl.nhlbi.nih.gov/Databases/mpkFractions/proteomic_fractions_log_files/Yang_log_img/33239431.jpg","show blot")</f>
        <v>show blot</v>
      </c>
      <c r="H6295" s="8" t="str">
        <f>HYPERLINK("https://esbl.nhlbi.nih.gov/Databases/mpkFractions/proteomic_fractions_linear_files/Yang_linear_img/33239431.jpg","show blot")</f>
        <v>show blot</v>
      </c>
      <c r="J6295" s="5" t="s">
        <v>12371</v>
      </c>
      <c r="L6295" s="11">
        <v>5.2610309125435952</v>
      </c>
      <c r="N6295" s="12"/>
    </row>
    <row r="6296" spans="1:14" s="5" customFormat="1" ht="15" customHeight="1" x14ac:dyDescent="0.25">
      <c r="A6296" s="9" t="s">
        <v>12372</v>
      </c>
      <c r="C6296" s="9" t="str">
        <f>HYPERLINK("http://www.ncbi.nlm.nih.gov/protein/12963507","Rce1")</f>
        <v>Rce1</v>
      </c>
      <c r="D6296" s="10">
        <f t="shared" si="98"/>
        <v>1.6786140745547311</v>
      </c>
      <c r="F6296" s="8" t="str">
        <f>HYPERLINK("https://esbl.nhlbi.nih.gov/Databases/mpkFractions/proteomic_fractions_log_files/Yang_log_img/12963507.jpg","show blot")</f>
        <v>show blot</v>
      </c>
      <c r="H6296" s="8" t="str">
        <f>HYPERLINK("https://esbl.nhlbi.nih.gov/Databases/mpkFractions/proteomic_fractions_linear_files/Yang_linear_img/12963507.jpg","show blot")</f>
        <v>show blot</v>
      </c>
      <c r="J6296" s="5" t="s">
        <v>12373</v>
      </c>
      <c r="L6296" s="11">
        <v>1.6786140745547311</v>
      </c>
      <c r="N6296" s="12"/>
    </row>
    <row r="6297" spans="1:14" s="5" customFormat="1" ht="15" customHeight="1" x14ac:dyDescent="0.25">
      <c r="A6297" s="9" t="s">
        <v>12374</v>
      </c>
      <c r="C6297" s="9" t="str">
        <f>HYPERLINK("http://www.ncbi.nlm.nih.gov/protein/13386058","Rchy1")</f>
        <v>Rchy1</v>
      </c>
      <c r="D6297" s="10">
        <f t="shared" si="98"/>
        <v>4.0426641495184183</v>
      </c>
      <c r="F6297" s="8" t="str">
        <f>HYPERLINK("https://esbl.nhlbi.nih.gov/Databases/mpkFractions/proteomic_fractions_log_files/Yang_log_img/13386058.jpg","show blot")</f>
        <v>show blot</v>
      </c>
      <c r="H6297" s="8" t="str">
        <f>HYPERLINK("https://esbl.nhlbi.nih.gov/Databases/mpkFractions/proteomic_fractions_linear_files/Yang_linear_img/13386058.jpg","show blot")</f>
        <v>show blot</v>
      </c>
      <c r="J6297" s="5" t="s">
        <v>12375</v>
      </c>
      <c r="L6297" s="11">
        <v>4.0426641495184183</v>
      </c>
      <c r="N6297" s="12"/>
    </row>
    <row r="6298" spans="1:14" s="5" customFormat="1" ht="15" customHeight="1" x14ac:dyDescent="0.25">
      <c r="A6298" s="9" t="s">
        <v>12376</v>
      </c>
      <c r="C6298" s="9" t="str">
        <f>HYPERLINK("http://www.ncbi.nlm.nih.gov/protein/422398909","Rchy1")</f>
        <v>Rchy1</v>
      </c>
      <c r="D6298" s="10">
        <f t="shared" si="98"/>
        <v>4.0426641495184183</v>
      </c>
      <c r="F6298" s="8" t="str">
        <f>HYPERLINK("https://esbl.nhlbi.nih.gov/Databases/mpkFractions/proteomic_fractions_log_files/Yang_log_img/422398909.jpg","show blot")</f>
        <v>show blot</v>
      </c>
      <c r="H6298" s="8" t="str">
        <f>HYPERLINK("https://esbl.nhlbi.nih.gov/Databases/mpkFractions/proteomic_fractions_linear_files/Yang_linear_img/422398909.jpg","show blot")</f>
        <v>show blot</v>
      </c>
      <c r="J6298" s="5" t="s">
        <v>12377</v>
      </c>
      <c r="L6298" s="11">
        <v>4.0426641495184183</v>
      </c>
      <c r="N6298" s="12"/>
    </row>
    <row r="6299" spans="1:14" s="5" customFormat="1" ht="15" customHeight="1" x14ac:dyDescent="0.25">
      <c r="A6299" s="9" t="s">
        <v>12378</v>
      </c>
      <c r="C6299" s="9" t="str">
        <f>HYPERLINK("http://www.ncbi.nlm.nih.gov/protein/506949339","Rcn2")</f>
        <v>Rcn2</v>
      </c>
      <c r="D6299" s="10">
        <f t="shared" si="98"/>
        <v>4.4893002509356146</v>
      </c>
      <c r="F6299" s="8" t="str">
        <f>HYPERLINK("https://esbl.nhlbi.nih.gov/Databases/mpkFractions/proteomic_fractions_log_files/Yang_log_img/506949339.jpg","show blot")</f>
        <v>show blot</v>
      </c>
      <c r="H6299" s="8" t="str">
        <f>HYPERLINK("https://esbl.nhlbi.nih.gov/Databases/mpkFractions/proteomic_fractions_linear_files/Yang_linear_img/506949339.jpg","show blot")</f>
        <v>show blot</v>
      </c>
      <c r="J6299" s="5" t="s">
        <v>12379</v>
      </c>
      <c r="L6299" s="11">
        <v>4.4893002509356146</v>
      </c>
      <c r="N6299" s="12"/>
    </row>
    <row r="6300" spans="1:14" s="5" customFormat="1" ht="15" customHeight="1" x14ac:dyDescent="0.25">
      <c r="A6300" s="9" t="s">
        <v>12380</v>
      </c>
      <c r="C6300" s="9" t="str">
        <f>HYPERLINK("http://www.ncbi.nlm.nih.gov/protein/114205428","Rcn2")</f>
        <v>Rcn2</v>
      </c>
      <c r="D6300" s="10">
        <f t="shared" si="98"/>
        <v>4.4893002509356146</v>
      </c>
      <c r="F6300" s="8" t="str">
        <f>HYPERLINK("https://esbl.nhlbi.nih.gov/Databases/mpkFractions/proteomic_fractions_log_files/Yang_log_img/114205428.jpg","show blot")</f>
        <v>show blot</v>
      </c>
      <c r="H6300" s="8" t="str">
        <f>HYPERLINK("https://esbl.nhlbi.nih.gov/Databases/mpkFractions/proteomic_fractions_linear_files/Yang_linear_img/114205428.jpg","show blot")</f>
        <v>show blot</v>
      </c>
      <c r="J6300" s="5" t="s">
        <v>12381</v>
      </c>
      <c r="L6300" s="11">
        <v>4.4893002509356146</v>
      </c>
      <c r="N6300" s="12"/>
    </row>
    <row r="6301" spans="1:14" s="5" customFormat="1" ht="15" customHeight="1" x14ac:dyDescent="0.25">
      <c r="A6301" s="9" t="s">
        <v>12382</v>
      </c>
      <c r="C6301" s="9" t="str">
        <f>HYPERLINK("http://www.ncbi.nlm.nih.gov/protein/39930559","Rcor1")</f>
        <v>Rcor1</v>
      </c>
      <c r="D6301" s="10">
        <f t="shared" si="98"/>
        <v>3.770343786954129</v>
      </c>
      <c r="F6301" s="8" t="str">
        <f>HYPERLINK("https://esbl.nhlbi.nih.gov/Databases/mpkFractions/proteomic_fractions_log_files/Yang_log_img/39930559.jpg","show blot")</f>
        <v>show blot</v>
      </c>
      <c r="H6301" s="8" t="str">
        <f>HYPERLINK("https://esbl.nhlbi.nih.gov/Databases/mpkFractions/proteomic_fractions_linear_files/Yang_linear_img/39930559.jpg","show blot")</f>
        <v>show blot</v>
      </c>
      <c r="J6301" s="5" t="s">
        <v>12383</v>
      </c>
      <c r="L6301" s="11">
        <v>3.770343786954129</v>
      </c>
      <c r="N6301" s="12"/>
    </row>
    <row r="6302" spans="1:14" s="5" customFormat="1" ht="15" customHeight="1" x14ac:dyDescent="0.25">
      <c r="A6302" s="9" t="s">
        <v>12384</v>
      </c>
      <c r="C6302" s="9" t="str">
        <f>HYPERLINK("http://www.ncbi.nlm.nih.gov/protein/57634523","Rcor3")</f>
        <v>Rcor3</v>
      </c>
      <c r="D6302" s="10">
        <f t="shared" si="98"/>
        <v>3.162606662734476</v>
      </c>
      <c r="F6302" s="8" t="str">
        <f>HYPERLINK("https://esbl.nhlbi.nih.gov/Databases/mpkFractions/proteomic_fractions_log_files/Yang_log_img/57634523.jpg","show blot")</f>
        <v>show blot</v>
      </c>
      <c r="H6302" s="8" t="str">
        <f>HYPERLINK("https://esbl.nhlbi.nih.gov/Databases/mpkFractions/proteomic_fractions_linear_files/Yang_linear_img/57634523.jpg","show blot")</f>
        <v>show blot</v>
      </c>
      <c r="J6302" s="5" t="s">
        <v>12385</v>
      </c>
      <c r="L6302" s="11">
        <v>3.162606662734476</v>
      </c>
      <c r="N6302" s="12"/>
    </row>
    <row r="6303" spans="1:14" s="5" customFormat="1" ht="15" customHeight="1" x14ac:dyDescent="0.25">
      <c r="A6303" s="9" t="s">
        <v>12386</v>
      </c>
      <c r="C6303" s="9" t="str">
        <f>HYPERLINK("http://www.ncbi.nlm.nih.gov/protein/25141231","Rdh10")</f>
        <v>Rdh10</v>
      </c>
      <c r="D6303" s="10">
        <f t="shared" si="98"/>
        <v>4.1815012079012952</v>
      </c>
      <c r="F6303" s="8" t="str">
        <f>HYPERLINK("https://esbl.nhlbi.nih.gov/Databases/mpkFractions/proteomic_fractions_log_files/Yang_log_img/25141231.jpg","show blot")</f>
        <v>show blot</v>
      </c>
      <c r="H6303" s="8" t="str">
        <f>HYPERLINK("https://esbl.nhlbi.nih.gov/Databases/mpkFractions/proteomic_fractions_linear_files/Yang_linear_img/25141231.jpg","show blot")</f>
        <v>show blot</v>
      </c>
      <c r="J6303" s="5" t="s">
        <v>12387</v>
      </c>
      <c r="L6303" s="11">
        <v>4.1815012079012952</v>
      </c>
      <c r="N6303" s="12"/>
    </row>
    <row r="6304" spans="1:14" s="5" customFormat="1" ht="15" customHeight="1" x14ac:dyDescent="0.25">
      <c r="A6304" s="9" t="s">
        <v>12388</v>
      </c>
      <c r="C6304" s="9" t="str">
        <f>HYPERLINK("http://www.ncbi.nlm.nih.gov/protein/19482172","Rdh11")</f>
        <v>Rdh11</v>
      </c>
      <c r="D6304" s="10">
        <f t="shared" si="98"/>
        <v>5.1032198014213757</v>
      </c>
      <c r="F6304" s="8" t="str">
        <f>HYPERLINK("https://esbl.nhlbi.nih.gov/Databases/mpkFractions/proteomic_fractions_log_files/Yang_log_img/19482172.jpg","show blot")</f>
        <v>show blot</v>
      </c>
      <c r="H6304" s="8" t="str">
        <f>HYPERLINK("https://esbl.nhlbi.nih.gov/Databases/mpkFractions/proteomic_fractions_linear_files/Yang_linear_img/19482172.jpg","show blot")</f>
        <v>show blot</v>
      </c>
      <c r="J6304" s="5" t="s">
        <v>12389</v>
      </c>
      <c r="L6304" s="11">
        <v>5.1032198014213757</v>
      </c>
      <c r="N6304" s="12"/>
    </row>
    <row r="6305" spans="1:14" s="5" customFormat="1" ht="15" customHeight="1" x14ac:dyDescent="0.25">
      <c r="A6305" s="9" t="s">
        <v>12390</v>
      </c>
      <c r="C6305" s="9" t="str">
        <f>HYPERLINK("http://www.ncbi.nlm.nih.gov/protein/58037513","Rdh12")</f>
        <v>Rdh12</v>
      </c>
      <c r="D6305" s="10">
        <f t="shared" si="98"/>
        <v>3.806196830963799</v>
      </c>
      <c r="F6305" s="8" t="str">
        <f>HYPERLINK("https://esbl.nhlbi.nih.gov/Databases/mpkFractions/proteomic_fractions_log_files/Yang_log_img/58037513.jpg","show blot")</f>
        <v>show blot</v>
      </c>
      <c r="H6305" s="8" t="str">
        <f>HYPERLINK("https://esbl.nhlbi.nih.gov/Databases/mpkFractions/proteomic_fractions_linear_files/Yang_linear_img/58037513.jpg","show blot")</f>
        <v>show blot</v>
      </c>
      <c r="J6305" s="5" t="s">
        <v>12391</v>
      </c>
      <c r="L6305" s="11">
        <v>3.806196830963799</v>
      </c>
      <c r="N6305" s="12"/>
    </row>
    <row r="6306" spans="1:14" s="5" customFormat="1" ht="15" customHeight="1" x14ac:dyDescent="0.25">
      <c r="A6306" s="9" t="s">
        <v>12392</v>
      </c>
      <c r="C6306" s="9" t="str">
        <f>HYPERLINK("http://www.ncbi.nlm.nih.gov/protein/30425078","Rdh13")</f>
        <v>Rdh13</v>
      </c>
      <c r="D6306" s="10">
        <f t="shared" si="98"/>
        <v>3.9825503017017239</v>
      </c>
      <c r="F6306" s="8" t="str">
        <f>HYPERLINK("https://esbl.nhlbi.nih.gov/Databases/mpkFractions/proteomic_fractions_log_files/Yang_log_img/30425078.jpg","show blot")</f>
        <v>show blot</v>
      </c>
      <c r="H6306" s="8" t="str">
        <f>HYPERLINK("https://esbl.nhlbi.nih.gov/Databases/mpkFractions/proteomic_fractions_linear_files/Yang_linear_img/30425078.jpg","show blot")</f>
        <v>show blot</v>
      </c>
      <c r="J6306" s="5" t="s">
        <v>12393</v>
      </c>
      <c r="L6306" s="11">
        <v>3.9825503017017239</v>
      </c>
      <c r="N6306" s="12"/>
    </row>
    <row r="6307" spans="1:14" s="5" customFormat="1" ht="15" customHeight="1" x14ac:dyDescent="0.25">
      <c r="A6307" s="9" t="s">
        <v>12394</v>
      </c>
      <c r="C6307" s="9" t="str">
        <f>HYPERLINK("http://www.ncbi.nlm.nih.gov/protein/12963791","Rdh14")</f>
        <v>Rdh14</v>
      </c>
      <c r="D6307" s="10">
        <f t="shared" si="98"/>
        <v>4.0445110594867986</v>
      </c>
      <c r="F6307" s="8" t="str">
        <f>HYPERLINK("https://esbl.nhlbi.nih.gov/Databases/mpkFractions/proteomic_fractions_log_files/Yang_log_img/12963791.jpg","show blot")</f>
        <v>show blot</v>
      </c>
      <c r="H6307" s="8" t="str">
        <f>HYPERLINK("https://esbl.nhlbi.nih.gov/Databases/mpkFractions/proteomic_fractions_linear_files/Yang_linear_img/12963791.jpg","show blot")</f>
        <v>show blot</v>
      </c>
      <c r="J6307" s="5" t="s">
        <v>12395</v>
      </c>
      <c r="L6307" s="11">
        <v>4.0445110594867986</v>
      </c>
      <c r="N6307" s="12"/>
    </row>
    <row r="6308" spans="1:14" s="5" customFormat="1" ht="15" customHeight="1" x14ac:dyDescent="0.25">
      <c r="A6308" s="9" t="s">
        <v>12396</v>
      </c>
      <c r="C6308" s="9" t="str">
        <f>HYPERLINK("http://www.ncbi.nlm.nih.gov/protein/157277948","Rdx")</f>
        <v>Rdx</v>
      </c>
      <c r="D6308" s="10">
        <f t="shared" si="98"/>
        <v>6.8034241780036346</v>
      </c>
      <c r="F6308" s="8" t="str">
        <f>HYPERLINK("https://esbl.nhlbi.nih.gov/Databases/mpkFractions/proteomic_fractions_log_files/Yang_log_img/157277948.jpg","show blot")</f>
        <v>show blot</v>
      </c>
      <c r="H6308" s="8" t="str">
        <f>HYPERLINK("https://esbl.nhlbi.nih.gov/Databases/mpkFractions/proteomic_fractions_linear_files/Yang_linear_img/157277948.jpg","show blot")</f>
        <v>show blot</v>
      </c>
      <c r="J6308" s="5" t="s">
        <v>12397</v>
      </c>
      <c r="L6308" s="11">
        <v>6.8034241780036346</v>
      </c>
      <c r="N6308" s="12"/>
    </row>
    <row r="6309" spans="1:14" s="5" customFormat="1" ht="15" customHeight="1" x14ac:dyDescent="0.25">
      <c r="A6309" s="9" t="s">
        <v>12398</v>
      </c>
      <c r="C6309" s="9" t="str">
        <f>HYPERLINK("http://www.ncbi.nlm.nih.gov/protein/157277952","Rdx")</f>
        <v>Rdx</v>
      </c>
      <c r="D6309" s="10">
        <f t="shared" si="98"/>
        <v>6.8034241780036346</v>
      </c>
      <c r="F6309" s="8" t="str">
        <f>HYPERLINK("https://esbl.nhlbi.nih.gov/Databases/mpkFractions/proteomic_fractions_log_files/Yang_log_img/157277952.jpg","show blot")</f>
        <v>show blot</v>
      </c>
      <c r="H6309" s="8" t="str">
        <f>HYPERLINK("https://esbl.nhlbi.nih.gov/Databases/mpkFractions/proteomic_fractions_linear_files/Yang_linear_img/157277952.jpg","show blot")</f>
        <v>show blot</v>
      </c>
      <c r="J6309" s="5" t="s">
        <v>12399</v>
      </c>
      <c r="L6309" s="11">
        <v>6.8034241780036346</v>
      </c>
      <c r="N6309" s="12"/>
    </row>
    <row r="6310" spans="1:14" s="5" customFormat="1" ht="15" customHeight="1" x14ac:dyDescent="0.25">
      <c r="A6310" s="9" t="s">
        <v>12400</v>
      </c>
      <c r="C6310" s="9" t="str">
        <f>HYPERLINK("http://www.ncbi.nlm.nih.gov/protein/110625690","Recql")</f>
        <v>Recql</v>
      </c>
      <c r="D6310" s="10">
        <f t="shared" si="98"/>
        <v>4.3167319704216398</v>
      </c>
      <c r="F6310" s="8" t="str">
        <f>HYPERLINK("https://esbl.nhlbi.nih.gov/Databases/mpkFractions/proteomic_fractions_log_files/Yang_log_img/110625690.jpg","show blot")</f>
        <v>show blot</v>
      </c>
      <c r="H6310" s="8" t="str">
        <f>HYPERLINK("https://esbl.nhlbi.nih.gov/Databases/mpkFractions/proteomic_fractions_linear_files/Yang_linear_img/110625690.jpg","show blot")</f>
        <v>show blot</v>
      </c>
      <c r="J6310" s="5" t="s">
        <v>12401</v>
      </c>
      <c r="L6310" s="11">
        <v>4.3167319704216398</v>
      </c>
      <c r="N6310" s="12"/>
    </row>
    <row r="6311" spans="1:14" s="5" customFormat="1" ht="15" customHeight="1" x14ac:dyDescent="0.25">
      <c r="A6311" s="9" t="s">
        <v>12402</v>
      </c>
      <c r="C6311" s="9" t="str">
        <f>HYPERLINK("http://www.ncbi.nlm.nih.gov/protein/326368214","Recql")</f>
        <v>Recql</v>
      </c>
      <c r="D6311" s="10">
        <f t="shared" si="98"/>
        <v>4.3167319704216398</v>
      </c>
      <c r="F6311" s="8" t="str">
        <f>HYPERLINK("https://esbl.nhlbi.nih.gov/Databases/mpkFractions/proteomic_fractions_log_files/Yang_log_img/326368214.jpg","show blot")</f>
        <v>show blot</v>
      </c>
      <c r="H6311" s="8" t="str">
        <f>HYPERLINK("https://esbl.nhlbi.nih.gov/Databases/mpkFractions/proteomic_fractions_linear_files/Yang_linear_img/326368214.jpg","show blot")</f>
        <v>show blot</v>
      </c>
      <c r="J6311" s="5" t="s">
        <v>12403</v>
      </c>
      <c r="L6311" s="11">
        <v>4.3167319704216398</v>
      </c>
      <c r="N6311" s="12"/>
    </row>
    <row r="6312" spans="1:14" s="5" customFormat="1" ht="15" customHeight="1" x14ac:dyDescent="0.25">
      <c r="A6312" s="9" t="s">
        <v>12404</v>
      </c>
      <c r="C6312" s="9" t="str">
        <f>HYPERLINK("http://www.ncbi.nlm.nih.gov/protein/326368226","Recql")</f>
        <v>Recql</v>
      </c>
      <c r="D6312" s="10">
        <f t="shared" si="98"/>
        <v>4.3167319704216398</v>
      </c>
      <c r="F6312" s="8" t="str">
        <f>HYPERLINK("https://esbl.nhlbi.nih.gov/Databases/mpkFractions/proteomic_fractions_log_files/Yang_log_img/326368226.jpg","show blot")</f>
        <v>show blot</v>
      </c>
      <c r="H6312" s="8" t="str">
        <f>HYPERLINK("https://esbl.nhlbi.nih.gov/Databases/mpkFractions/proteomic_fractions_linear_files/Yang_linear_img/326368226.jpg","show blot")</f>
        <v>show blot</v>
      </c>
      <c r="J6312" s="5" t="s">
        <v>12405</v>
      </c>
      <c r="L6312" s="11">
        <v>4.3167319704216398</v>
      </c>
      <c r="N6312" s="12"/>
    </row>
    <row r="6313" spans="1:14" s="5" customFormat="1" ht="15" customHeight="1" x14ac:dyDescent="0.25">
      <c r="A6313" s="9" t="s">
        <v>12406</v>
      </c>
      <c r="C6313" s="9" t="str">
        <f>HYPERLINK("http://www.ncbi.nlm.nih.gov/protein/30519927","Reep3")</f>
        <v>Reep3</v>
      </c>
      <c r="D6313" s="10">
        <f t="shared" si="98"/>
        <v>4.1102307191555374</v>
      </c>
      <c r="F6313" s="8" t="str">
        <f>HYPERLINK("https://esbl.nhlbi.nih.gov/Databases/mpkFractions/proteomic_fractions_log_files/Yang_log_img/30519927.jpg","show blot")</f>
        <v>show blot</v>
      </c>
      <c r="H6313" s="8" t="str">
        <f>HYPERLINK("https://esbl.nhlbi.nih.gov/Databases/mpkFractions/proteomic_fractions_linear_files/Yang_linear_img/30519927.jpg","show blot")</f>
        <v>show blot</v>
      </c>
      <c r="J6313" s="5" t="s">
        <v>12407</v>
      </c>
      <c r="L6313" s="11">
        <v>4.1102307191555374</v>
      </c>
      <c r="N6313" s="12"/>
    </row>
    <row r="6314" spans="1:14" s="5" customFormat="1" ht="15" customHeight="1" x14ac:dyDescent="0.25">
      <c r="A6314" s="9" t="s">
        <v>12408</v>
      </c>
      <c r="C6314" s="9" t="str">
        <f>HYPERLINK("http://www.ncbi.nlm.nih.gov/protein/326319958","Reep3")</f>
        <v>Reep3</v>
      </c>
      <c r="D6314" s="10">
        <f t="shared" si="98"/>
        <v>4.1102307191555374</v>
      </c>
      <c r="F6314" s="8" t="str">
        <f>HYPERLINK("https://esbl.nhlbi.nih.gov/Databases/mpkFractions/proteomic_fractions_log_files/Yang_log_img/326319958.jpg","show blot")</f>
        <v>show blot</v>
      </c>
      <c r="H6314" s="8" t="str">
        <f>HYPERLINK("https://esbl.nhlbi.nih.gov/Databases/mpkFractions/proteomic_fractions_linear_files/Yang_linear_img/326319958.jpg","show blot")</f>
        <v>show blot</v>
      </c>
      <c r="J6314" s="5" t="s">
        <v>12409</v>
      </c>
      <c r="L6314" s="11">
        <v>4.1102307191555374</v>
      </c>
      <c r="N6314" s="12"/>
    </row>
    <row r="6315" spans="1:14" s="5" customFormat="1" ht="15" customHeight="1" x14ac:dyDescent="0.25">
      <c r="A6315" s="9" t="s">
        <v>12410</v>
      </c>
      <c r="C6315" s="9" t="str">
        <f>HYPERLINK("http://www.ncbi.nlm.nih.gov/protein/161016826","Reep5")</f>
        <v>Reep5</v>
      </c>
      <c r="D6315" s="10">
        <f t="shared" si="98"/>
        <v>5.6481875585222898</v>
      </c>
      <c r="F6315" s="8" t="str">
        <f>HYPERLINK("https://esbl.nhlbi.nih.gov/Databases/mpkFractions/proteomic_fractions_log_files/Yang_log_img/161016826.jpg","show blot")</f>
        <v>show blot</v>
      </c>
      <c r="H6315" s="8" t="str">
        <f>HYPERLINK("https://esbl.nhlbi.nih.gov/Databases/mpkFractions/proteomic_fractions_linear_files/Yang_linear_img/161016826.jpg","show blot")</f>
        <v>show blot</v>
      </c>
      <c r="J6315" s="5" t="s">
        <v>12411</v>
      </c>
      <c r="L6315" s="11">
        <v>5.6481875585222898</v>
      </c>
      <c r="N6315" s="12"/>
    </row>
    <row r="6316" spans="1:14" s="5" customFormat="1" ht="15" customHeight="1" x14ac:dyDescent="0.25">
      <c r="A6316" s="9" t="s">
        <v>12412</v>
      </c>
      <c r="C6316" s="9" t="str">
        <f>HYPERLINK("http://www.ncbi.nlm.nih.gov/protein/21314830","Reep6")</f>
        <v>Reep6</v>
      </c>
      <c r="D6316" s="10">
        <f t="shared" si="98"/>
        <v>5.964898453399142</v>
      </c>
      <c r="F6316" s="8" t="str">
        <f>HYPERLINK("https://esbl.nhlbi.nih.gov/Databases/mpkFractions/proteomic_fractions_log_files/Yang_log_img/21314830.jpg","show blot")</f>
        <v>show blot</v>
      </c>
      <c r="H6316" s="8" t="str">
        <f>HYPERLINK("https://esbl.nhlbi.nih.gov/Databases/mpkFractions/proteomic_fractions_linear_files/Yang_linear_img/21314830.jpg","show blot")</f>
        <v>show blot</v>
      </c>
      <c r="J6316" s="5" t="s">
        <v>12413</v>
      </c>
      <c r="L6316" s="11">
        <v>5.964898453399142</v>
      </c>
      <c r="N6316" s="12"/>
    </row>
    <row r="6317" spans="1:14" s="5" customFormat="1" ht="15" customHeight="1" x14ac:dyDescent="0.25">
      <c r="A6317" s="9" t="s">
        <v>12414</v>
      </c>
      <c r="C6317" s="9" t="str">
        <f>HYPERLINK("http://www.ncbi.nlm.nih.gov/protein/326368217","Reep6")</f>
        <v>Reep6</v>
      </c>
      <c r="D6317" s="10">
        <f t="shared" si="98"/>
        <v>5.964898453399142</v>
      </c>
      <c r="F6317" s="8" t="str">
        <f>HYPERLINK("https://esbl.nhlbi.nih.gov/Databases/mpkFractions/proteomic_fractions_log_files/Yang_log_img/326368217.jpg","show blot")</f>
        <v>show blot</v>
      </c>
      <c r="H6317" s="8" t="str">
        <f>HYPERLINK("https://esbl.nhlbi.nih.gov/Databases/mpkFractions/proteomic_fractions_linear_files/Yang_linear_img/326368217.jpg","show blot")</f>
        <v>show blot</v>
      </c>
      <c r="J6317" s="5" t="s">
        <v>12415</v>
      </c>
      <c r="L6317" s="11">
        <v>5.964898453399142</v>
      </c>
      <c r="N6317" s="12"/>
    </row>
    <row r="6318" spans="1:14" s="5" customFormat="1" ht="15" customHeight="1" x14ac:dyDescent="0.25">
      <c r="A6318" s="9" t="s">
        <v>12416</v>
      </c>
      <c r="C6318" s="9" t="str">
        <f>HYPERLINK("http://www.ncbi.nlm.nih.gov/protein/6677709","Rela")</f>
        <v>Rela</v>
      </c>
      <c r="D6318" s="10">
        <f t="shared" si="98"/>
        <v>5.4509672280638801</v>
      </c>
      <c r="F6318" s="8" t="str">
        <f>HYPERLINK("https://esbl.nhlbi.nih.gov/Databases/mpkFractions/proteomic_fractions_log_files/Yang_log_img/6677709.jpg","show blot")</f>
        <v>show blot</v>
      </c>
      <c r="H6318" s="8" t="str">
        <f>HYPERLINK("https://esbl.nhlbi.nih.gov/Databases/mpkFractions/proteomic_fractions_linear_files/Yang_linear_img/6677709.jpg","show blot")</f>
        <v>show blot</v>
      </c>
      <c r="J6318" s="5" t="s">
        <v>12417</v>
      </c>
      <c r="L6318" s="11">
        <v>5.4509672280638801</v>
      </c>
      <c r="N6318" s="12"/>
    </row>
    <row r="6319" spans="1:14" s="5" customFormat="1" ht="15" customHeight="1" x14ac:dyDescent="0.25">
      <c r="A6319" s="9" t="s">
        <v>12418</v>
      </c>
      <c r="C6319" s="9" t="str">
        <f>HYPERLINK("http://www.ncbi.nlm.nih.gov/protein/110625912","Rell1")</f>
        <v>Rell1</v>
      </c>
      <c r="D6319" s="10">
        <f t="shared" si="98"/>
        <v>3.4871293464462578</v>
      </c>
      <c r="F6319" s="8" t="str">
        <f>HYPERLINK("https://esbl.nhlbi.nih.gov/Databases/mpkFractions/proteomic_fractions_log_files/Yang_log_img/110625912.jpg","show blot")</f>
        <v>show blot</v>
      </c>
      <c r="H6319" s="8" t="str">
        <f>HYPERLINK("https://esbl.nhlbi.nih.gov/Databases/mpkFractions/proteomic_fractions_linear_files/Yang_linear_img/110625912.jpg","show blot")</f>
        <v>show blot</v>
      </c>
      <c r="J6319" s="5" t="s">
        <v>12419</v>
      </c>
      <c r="L6319" s="11">
        <v>3.4871293464462578</v>
      </c>
      <c r="N6319" s="12"/>
    </row>
    <row r="6320" spans="1:14" s="5" customFormat="1" ht="15" customHeight="1" x14ac:dyDescent="0.25">
      <c r="A6320" s="9" t="s">
        <v>12420</v>
      </c>
      <c r="C6320" s="9" t="str">
        <f>HYPERLINK("http://www.ncbi.nlm.nih.gov/protein/257796226","Renbp")</f>
        <v>Renbp</v>
      </c>
      <c r="D6320" s="10">
        <f t="shared" si="98"/>
        <v>5.5697993651441333</v>
      </c>
      <c r="F6320" s="8" t="str">
        <f>HYPERLINK("https://esbl.nhlbi.nih.gov/Databases/mpkFractions/proteomic_fractions_log_files/Yang_log_img/257796226.jpg","show blot")</f>
        <v>show blot</v>
      </c>
      <c r="H6320" s="8" t="str">
        <f>HYPERLINK("https://esbl.nhlbi.nih.gov/Databases/mpkFractions/proteomic_fractions_linear_files/Yang_linear_img/257796226.jpg","show blot")</f>
        <v>show blot</v>
      </c>
      <c r="J6320" s="5" t="s">
        <v>12421</v>
      </c>
      <c r="L6320" s="11">
        <v>5.5697993651441333</v>
      </c>
      <c r="N6320" s="12"/>
    </row>
    <row r="6321" spans="1:14" s="5" customFormat="1" ht="15" customHeight="1" x14ac:dyDescent="0.25">
      <c r="A6321" s="9" t="s">
        <v>12422</v>
      </c>
      <c r="C6321" s="9" t="str">
        <f>HYPERLINK("http://www.ncbi.nlm.nih.gov/protein/257796315","Renbp")</f>
        <v>Renbp</v>
      </c>
      <c r="D6321" s="10">
        <f t="shared" si="98"/>
        <v>5.5697993651441333</v>
      </c>
      <c r="F6321" s="8" t="str">
        <f>HYPERLINK("https://esbl.nhlbi.nih.gov/Databases/mpkFractions/proteomic_fractions_log_files/Yang_log_img/257796315.jpg","show blot")</f>
        <v>show blot</v>
      </c>
      <c r="H6321" s="8" t="str">
        <f>HYPERLINK("https://esbl.nhlbi.nih.gov/Databases/mpkFractions/proteomic_fractions_linear_files/Yang_linear_img/257796315.jpg","show blot")</f>
        <v>show blot</v>
      </c>
      <c r="J6321" s="5" t="s">
        <v>12423</v>
      </c>
      <c r="L6321" s="11">
        <v>5.5697993651441333</v>
      </c>
      <c r="N6321" s="12"/>
    </row>
    <row r="6322" spans="1:14" s="5" customFormat="1" ht="15" customHeight="1" x14ac:dyDescent="0.25">
      <c r="A6322" s="9" t="s">
        <v>12424</v>
      </c>
      <c r="C6322" s="9" t="str">
        <f>HYPERLINK("http://www.ncbi.nlm.nih.gov/protein/161484650","Reps1")</f>
        <v>Reps1</v>
      </c>
      <c r="D6322" s="10">
        <f t="shared" si="98"/>
        <v>4.5687415415260801</v>
      </c>
      <c r="F6322" s="8" t="str">
        <f>HYPERLINK("https://esbl.nhlbi.nih.gov/Databases/mpkFractions/proteomic_fractions_log_files/Yang_log_img/161484650.jpg","show blot")</f>
        <v>show blot</v>
      </c>
      <c r="H6322" s="8" t="str">
        <f>HYPERLINK("https://esbl.nhlbi.nih.gov/Databases/mpkFractions/proteomic_fractions_linear_files/Yang_linear_img/161484650.jpg","show blot")</f>
        <v>show blot</v>
      </c>
      <c r="J6322" s="5" t="s">
        <v>12425</v>
      </c>
      <c r="L6322" s="11">
        <v>4.5687415415260801</v>
      </c>
      <c r="N6322" s="12"/>
    </row>
    <row r="6323" spans="1:14" s="5" customFormat="1" ht="15" customHeight="1" x14ac:dyDescent="0.25">
      <c r="A6323" s="9" t="s">
        <v>12426</v>
      </c>
      <c r="C6323" s="9" t="str">
        <f>HYPERLINK("http://www.ncbi.nlm.nih.gov/protein/161484652","Reps1")</f>
        <v>Reps1</v>
      </c>
      <c r="D6323" s="10">
        <f t="shared" si="98"/>
        <v>4.5687415415260801</v>
      </c>
      <c r="F6323" s="8" t="str">
        <f>HYPERLINK("https://esbl.nhlbi.nih.gov/Databases/mpkFractions/proteomic_fractions_log_files/Yang_log_img/161484652.jpg","show blot")</f>
        <v>show blot</v>
      </c>
      <c r="H6323" s="8" t="str">
        <f>HYPERLINK("https://esbl.nhlbi.nih.gov/Databases/mpkFractions/proteomic_fractions_linear_files/Yang_linear_img/161484652.jpg","show blot")</f>
        <v>show blot</v>
      </c>
      <c r="J6323" s="5" t="s">
        <v>12427</v>
      </c>
      <c r="L6323" s="11">
        <v>4.5687415415260801</v>
      </c>
      <c r="N6323" s="12"/>
    </row>
    <row r="6324" spans="1:14" s="5" customFormat="1" ht="15" customHeight="1" x14ac:dyDescent="0.25">
      <c r="A6324" s="9" t="s">
        <v>12428</v>
      </c>
      <c r="C6324" s="9" t="str">
        <f>HYPERLINK("http://www.ncbi.nlm.nih.gov/protein/84490401","Reps2")</f>
        <v>Reps2</v>
      </c>
      <c r="D6324" s="10">
        <f t="shared" si="98"/>
        <v>3.941943300500049</v>
      </c>
      <c r="F6324" s="8" t="str">
        <f>HYPERLINK("https://esbl.nhlbi.nih.gov/Databases/mpkFractions/proteomic_fractions_log_files/Yang_log_img/84490401.jpg","show blot")</f>
        <v>show blot</v>
      </c>
      <c r="H6324" s="8" t="str">
        <f>HYPERLINK("https://esbl.nhlbi.nih.gov/Databases/mpkFractions/proteomic_fractions_linear_files/Yang_linear_img/84490401.jpg","show blot")</f>
        <v>show blot</v>
      </c>
      <c r="J6324" s="5" t="s">
        <v>12429</v>
      </c>
      <c r="L6324" s="11">
        <v>3.941943300500049</v>
      </c>
      <c r="N6324" s="12"/>
    </row>
    <row r="6325" spans="1:14" s="5" customFormat="1" ht="15" customHeight="1" x14ac:dyDescent="0.25">
      <c r="A6325" s="9" t="s">
        <v>12430</v>
      </c>
      <c r="C6325" s="9" t="str">
        <f>HYPERLINK("http://www.ncbi.nlm.nih.gov/protein/13385882","Rer1")</f>
        <v>Rer1</v>
      </c>
      <c r="D6325" s="10">
        <f t="shared" si="98"/>
        <v>5.0782387719429591</v>
      </c>
      <c r="F6325" s="8" t="str">
        <f>HYPERLINK("https://esbl.nhlbi.nih.gov/Databases/mpkFractions/proteomic_fractions_log_files/Yang_log_img/13385882.jpg","show blot")</f>
        <v>show blot</v>
      </c>
      <c r="H6325" s="8" t="str">
        <f>HYPERLINK("https://esbl.nhlbi.nih.gov/Databases/mpkFractions/proteomic_fractions_linear_files/Yang_linear_img/13385882.jpg","show blot")</f>
        <v>show blot</v>
      </c>
      <c r="J6325" s="5" t="s">
        <v>12431</v>
      </c>
      <c r="L6325" s="11">
        <v>5.0782387719429591</v>
      </c>
      <c r="N6325" s="12"/>
    </row>
    <row r="6326" spans="1:14" s="5" customFormat="1" ht="15" customHeight="1" x14ac:dyDescent="0.25">
      <c r="A6326" s="9" t="s">
        <v>12432</v>
      </c>
      <c r="C6326" s="9" t="str">
        <f>HYPERLINK("http://www.ncbi.nlm.nih.gov/protein/148234285","Rere")</f>
        <v>Rere</v>
      </c>
      <c r="D6326" s="10">
        <f t="shared" si="98"/>
        <v>2.9399770103949172</v>
      </c>
      <c r="F6326" s="8" t="str">
        <f>HYPERLINK("https://esbl.nhlbi.nih.gov/Databases/mpkFractions/proteomic_fractions_log_files/Yang_log_img/148234285.jpg","show blot")</f>
        <v>show blot</v>
      </c>
      <c r="H6326" s="8" t="str">
        <f>HYPERLINK("https://esbl.nhlbi.nih.gov/Databases/mpkFractions/proteomic_fractions_linear_files/Yang_linear_img/148234285.jpg","show blot")</f>
        <v>show blot</v>
      </c>
      <c r="J6326" s="5" t="s">
        <v>12433</v>
      </c>
      <c r="L6326" s="11">
        <v>2.9399770103949172</v>
      </c>
      <c r="N6326" s="12"/>
    </row>
    <row r="6327" spans="1:14" s="5" customFormat="1" ht="15" customHeight="1" x14ac:dyDescent="0.25">
      <c r="A6327" s="9" t="s">
        <v>12434</v>
      </c>
      <c r="C6327" s="9" t="str">
        <f>HYPERLINK("http://www.ncbi.nlm.nih.gov/protein/27229283","Rexo2")</f>
        <v>Rexo2</v>
      </c>
      <c r="D6327" s="10">
        <f t="shared" si="98"/>
        <v>5.0027953453729159</v>
      </c>
      <c r="F6327" s="8" t="str">
        <f>HYPERLINK("https://esbl.nhlbi.nih.gov/Databases/mpkFractions/proteomic_fractions_log_files/Yang_log_img/27229283.jpg","show blot")</f>
        <v>show blot</v>
      </c>
      <c r="H6327" s="8" t="str">
        <f>HYPERLINK("https://esbl.nhlbi.nih.gov/Databases/mpkFractions/proteomic_fractions_linear_files/Yang_linear_img/27229283.jpg","show blot")</f>
        <v>show blot</v>
      </c>
      <c r="J6327" s="5" t="s">
        <v>12435</v>
      </c>
      <c r="L6327" s="11">
        <v>5.0027953453729159</v>
      </c>
      <c r="N6327" s="12"/>
    </row>
    <row r="6328" spans="1:14" s="5" customFormat="1" ht="15" customHeight="1" x14ac:dyDescent="0.25">
      <c r="A6328" s="9" t="s">
        <v>12436</v>
      </c>
      <c r="C6328" s="9" t="str">
        <f>HYPERLINK("http://www.ncbi.nlm.nih.gov/protein/76563952","Rexo4")</f>
        <v>Rexo4</v>
      </c>
      <c r="D6328" s="10">
        <f t="shared" si="98"/>
        <v>2.204408646330164</v>
      </c>
      <c r="F6328" s="8" t="str">
        <f>HYPERLINK("https://esbl.nhlbi.nih.gov/Databases/mpkFractions/proteomic_fractions_log_files/Yang_log_img/76563952.jpg","show blot")</f>
        <v>show blot</v>
      </c>
      <c r="H6328" s="8" t="str">
        <f>HYPERLINK("https://esbl.nhlbi.nih.gov/Databases/mpkFractions/proteomic_fractions_linear_files/Yang_linear_img/76563952.jpg","show blot")</f>
        <v>show blot</v>
      </c>
      <c r="J6328" s="5" t="s">
        <v>12437</v>
      </c>
      <c r="L6328" s="11">
        <v>2.204408646330164</v>
      </c>
      <c r="N6328" s="12"/>
    </row>
    <row r="6329" spans="1:14" s="5" customFormat="1" ht="15" customHeight="1" x14ac:dyDescent="0.25">
      <c r="A6329" s="9" t="s">
        <v>12438</v>
      </c>
      <c r="C6329" s="9" t="str">
        <f>HYPERLINK("http://www.ncbi.nlm.nih.gov/protein/188219597","Rfc1")</f>
        <v>Rfc1</v>
      </c>
      <c r="D6329" s="10">
        <f t="shared" si="98"/>
        <v>4.5575341392891948</v>
      </c>
      <c r="F6329" s="8" t="str">
        <f>HYPERLINK("https://esbl.nhlbi.nih.gov/Databases/mpkFractions/proteomic_fractions_log_files/Yang_log_img/188219597.jpg","show blot")</f>
        <v>show blot</v>
      </c>
      <c r="H6329" s="8" t="str">
        <f>HYPERLINK("https://esbl.nhlbi.nih.gov/Databases/mpkFractions/proteomic_fractions_linear_files/Yang_linear_img/188219597.jpg","show blot")</f>
        <v>show blot</v>
      </c>
      <c r="J6329" s="5" t="s">
        <v>12439</v>
      </c>
      <c r="L6329" s="11">
        <v>4.5575341392891948</v>
      </c>
      <c r="N6329" s="12"/>
    </row>
    <row r="6330" spans="1:14" s="5" customFormat="1" ht="15" customHeight="1" x14ac:dyDescent="0.25">
      <c r="A6330" s="9" t="s">
        <v>12440</v>
      </c>
      <c r="C6330" s="9" t="str">
        <f>HYPERLINK("http://www.ncbi.nlm.nih.gov/protein/11177922","Rfc2")</f>
        <v>Rfc2</v>
      </c>
      <c r="D6330" s="10">
        <f t="shared" si="98"/>
        <v>5.6438463055334296</v>
      </c>
      <c r="F6330" s="8" t="str">
        <f>HYPERLINK("https://esbl.nhlbi.nih.gov/Databases/mpkFractions/proteomic_fractions_log_files/Yang_log_img/11177922.jpg","show blot")</f>
        <v>show blot</v>
      </c>
      <c r="H6330" s="8" t="str">
        <f>HYPERLINK("https://esbl.nhlbi.nih.gov/Databases/mpkFractions/proteomic_fractions_linear_files/Yang_linear_img/11177922.jpg","show blot")</f>
        <v>show blot</v>
      </c>
      <c r="J6330" s="5" t="s">
        <v>12441</v>
      </c>
      <c r="L6330" s="11">
        <v>5.6438463055334296</v>
      </c>
      <c r="N6330" s="12"/>
    </row>
    <row r="6331" spans="1:14" s="5" customFormat="1" ht="15" customHeight="1" x14ac:dyDescent="0.25">
      <c r="A6331" s="9" t="s">
        <v>12442</v>
      </c>
      <c r="C6331" s="9" t="str">
        <f>HYPERLINK("http://www.ncbi.nlm.nih.gov/protein/124249204","Rfc3")</f>
        <v>Rfc3</v>
      </c>
      <c r="D6331" s="10">
        <f t="shared" si="98"/>
        <v>5.4556252979681688</v>
      </c>
      <c r="F6331" s="8" t="str">
        <f>HYPERLINK("https://esbl.nhlbi.nih.gov/Databases/mpkFractions/proteomic_fractions_log_files/Yang_log_img/124249204.jpg","show blot")</f>
        <v>show blot</v>
      </c>
      <c r="H6331" s="8" t="str">
        <f>HYPERLINK("https://esbl.nhlbi.nih.gov/Databases/mpkFractions/proteomic_fractions_linear_files/Yang_linear_img/124249204.jpg","show blot")</f>
        <v>show blot</v>
      </c>
      <c r="J6331" s="5" t="s">
        <v>12443</v>
      </c>
      <c r="L6331" s="11">
        <v>5.4556252979681688</v>
      </c>
      <c r="N6331" s="12"/>
    </row>
    <row r="6332" spans="1:14" s="5" customFormat="1" ht="15" customHeight="1" x14ac:dyDescent="0.25">
      <c r="A6332" s="9" t="s">
        <v>12444</v>
      </c>
      <c r="C6332" s="9" t="str">
        <f>HYPERLINK("http://www.ncbi.nlm.nih.gov/protein/21703948","Rfc4")</f>
        <v>Rfc4</v>
      </c>
      <c r="D6332" s="10">
        <f t="shared" si="98"/>
        <v>5.7211996910487652</v>
      </c>
      <c r="F6332" s="8" t="str">
        <f>HYPERLINK("https://esbl.nhlbi.nih.gov/Databases/mpkFractions/proteomic_fractions_log_files/Yang_log_img/21703948.jpg","show blot")</f>
        <v>show blot</v>
      </c>
      <c r="H6332" s="8" t="str">
        <f>HYPERLINK("https://esbl.nhlbi.nih.gov/Databases/mpkFractions/proteomic_fractions_linear_files/Yang_linear_img/21703948.jpg","show blot")</f>
        <v>show blot</v>
      </c>
      <c r="J6332" s="5" t="s">
        <v>12445</v>
      </c>
      <c r="L6332" s="11">
        <v>5.7211996910487652</v>
      </c>
      <c r="N6332" s="12"/>
    </row>
    <row r="6333" spans="1:14" s="5" customFormat="1" ht="15" customHeight="1" x14ac:dyDescent="0.25">
      <c r="A6333" s="9" t="s">
        <v>12446</v>
      </c>
      <c r="C6333" s="9" t="str">
        <f>HYPERLINK("http://www.ncbi.nlm.nih.gov/protein/110625924","Rfc5")</f>
        <v>Rfc5</v>
      </c>
      <c r="D6333" s="10">
        <f t="shared" si="98"/>
        <v>5.7054517271490202</v>
      </c>
      <c r="F6333" s="8" t="str">
        <f>HYPERLINK("https://esbl.nhlbi.nih.gov/Databases/mpkFractions/proteomic_fractions_log_files/Yang_log_img/110625924.jpg","show blot")</f>
        <v>show blot</v>
      </c>
      <c r="H6333" s="8" t="str">
        <f>HYPERLINK("https://esbl.nhlbi.nih.gov/Databases/mpkFractions/proteomic_fractions_linear_files/Yang_linear_img/110625924.jpg","show blot")</f>
        <v>show blot</v>
      </c>
      <c r="J6333" s="5" t="s">
        <v>12447</v>
      </c>
      <c r="L6333" s="11">
        <v>5.7054517271490202</v>
      </c>
      <c r="N6333" s="12"/>
    </row>
    <row r="6334" spans="1:14" s="5" customFormat="1" ht="15" customHeight="1" x14ac:dyDescent="0.25">
      <c r="A6334" s="9" t="s">
        <v>12448</v>
      </c>
      <c r="C6334" s="9" t="str">
        <f>HYPERLINK("http://www.ncbi.nlm.nih.gov/protein/14149726","Rfk")</f>
        <v>Rfk</v>
      </c>
      <c r="D6334" s="10">
        <f t="shared" si="98"/>
        <v>5.0526440100174428</v>
      </c>
      <c r="F6334" s="8" t="str">
        <f>HYPERLINK("https://esbl.nhlbi.nih.gov/Databases/mpkFractions/proteomic_fractions_log_files/Yang_log_img/14149726.jpg","show blot")</f>
        <v>show blot</v>
      </c>
      <c r="H6334" s="8" t="str">
        <f>HYPERLINK("https://esbl.nhlbi.nih.gov/Databases/mpkFractions/proteomic_fractions_linear_files/Yang_linear_img/14149726.jpg","show blot")</f>
        <v>show blot</v>
      </c>
      <c r="J6334" s="5" t="s">
        <v>12449</v>
      </c>
      <c r="L6334" s="11">
        <v>5.0526440100174428</v>
      </c>
      <c r="N6334" s="12"/>
    </row>
    <row r="6335" spans="1:14" s="5" customFormat="1" ht="15" customHeight="1" x14ac:dyDescent="0.25">
      <c r="A6335" s="9" t="s">
        <v>12450</v>
      </c>
      <c r="C6335" s="9" t="str">
        <f>HYPERLINK("http://www.ncbi.nlm.nih.gov/protein/239916007","Rfx1")</f>
        <v>Rfx1</v>
      </c>
      <c r="D6335" s="10">
        <f t="shared" si="98"/>
        <v>4.2418015748582922</v>
      </c>
      <c r="F6335" s="8" t="str">
        <f>HYPERLINK("https://esbl.nhlbi.nih.gov/Databases/mpkFractions/proteomic_fractions_log_files/Yang_log_img/239916007.jpg","show blot")</f>
        <v>show blot</v>
      </c>
      <c r="H6335" s="8" t="str">
        <f>HYPERLINK("https://esbl.nhlbi.nih.gov/Databases/mpkFractions/proteomic_fractions_linear_files/Yang_linear_img/239916007.jpg","show blot")</f>
        <v>show blot</v>
      </c>
      <c r="J6335" s="5" t="s">
        <v>12451</v>
      </c>
      <c r="L6335" s="11">
        <v>4.2418015748582922</v>
      </c>
      <c r="N6335" s="12"/>
    </row>
    <row r="6336" spans="1:14" s="5" customFormat="1" ht="15" customHeight="1" x14ac:dyDescent="0.25">
      <c r="A6336" s="9" t="s">
        <v>12452</v>
      </c>
      <c r="C6336" s="9" t="str">
        <f>HYPERLINK("http://www.ncbi.nlm.nih.gov/protein/88703055","Rfx7")</f>
        <v>Rfx7</v>
      </c>
      <c r="D6336" s="10">
        <f t="shared" si="98"/>
        <v>2.6564863656959332</v>
      </c>
      <c r="F6336" s="8" t="str">
        <f>HYPERLINK("https://esbl.nhlbi.nih.gov/Databases/mpkFractions/proteomic_fractions_log_files/Yang_log_img/88703055.jpg","show blot")</f>
        <v>show blot</v>
      </c>
      <c r="H6336" s="8" t="str">
        <f>HYPERLINK("https://esbl.nhlbi.nih.gov/Databases/mpkFractions/proteomic_fractions_linear_files/Yang_linear_img/88703055.jpg","show blot")</f>
        <v>show blot</v>
      </c>
      <c r="J6336" s="5" t="s">
        <v>12453</v>
      </c>
      <c r="L6336" s="11">
        <v>2.6564863656959332</v>
      </c>
      <c r="N6336" s="12"/>
    </row>
    <row r="6337" spans="1:14" s="5" customFormat="1" ht="15" customHeight="1" x14ac:dyDescent="0.25">
      <c r="A6337" s="9" t="s">
        <v>12454</v>
      </c>
      <c r="C6337" s="9" t="str">
        <f>HYPERLINK("http://www.ncbi.nlm.nih.gov/protein/31982627","Rgl3")</f>
        <v>Rgl3</v>
      </c>
      <c r="D6337" s="10">
        <f t="shared" si="98"/>
        <v>5.5592428402731917</v>
      </c>
      <c r="F6337" s="8" t="str">
        <f>HYPERLINK("https://esbl.nhlbi.nih.gov/Databases/mpkFractions/proteomic_fractions_log_files/Yang_log_img/31982627.jpg","show blot")</f>
        <v>show blot</v>
      </c>
      <c r="H6337" s="8" t="str">
        <f>HYPERLINK("https://esbl.nhlbi.nih.gov/Databases/mpkFractions/proteomic_fractions_linear_files/Yang_linear_img/31982627.jpg","show blot")</f>
        <v>show blot</v>
      </c>
      <c r="J6337" s="5" t="s">
        <v>12455</v>
      </c>
      <c r="L6337" s="11">
        <v>5.5592428402731917</v>
      </c>
      <c r="N6337" s="12"/>
    </row>
    <row r="6338" spans="1:14" s="5" customFormat="1" ht="15" customHeight="1" x14ac:dyDescent="0.25">
      <c r="A6338" s="9" t="s">
        <v>12456</v>
      </c>
      <c r="C6338" s="9" t="str">
        <f>HYPERLINK("http://www.ncbi.nlm.nih.gov/protein/170014730","Rhbdd1")</f>
        <v>Rhbdd1</v>
      </c>
      <c r="D6338" s="10">
        <f t="shared" si="98"/>
        <v>3.0219683806129378</v>
      </c>
      <c r="F6338" s="8" t="str">
        <f>HYPERLINK("https://esbl.nhlbi.nih.gov/Databases/mpkFractions/proteomic_fractions_log_files/Yang_log_img/170014730.jpg","show blot")</f>
        <v>show blot</v>
      </c>
      <c r="H6338" s="8" t="str">
        <f>HYPERLINK("https://esbl.nhlbi.nih.gov/Databases/mpkFractions/proteomic_fractions_linear_files/Yang_linear_img/170014730.jpg","show blot")</f>
        <v>show blot</v>
      </c>
      <c r="J6338" s="5" t="s">
        <v>12457</v>
      </c>
      <c r="L6338" s="11">
        <v>3.0219683806129378</v>
      </c>
      <c r="N6338" s="12"/>
    </row>
    <row r="6339" spans="1:14" s="5" customFormat="1" ht="15" customHeight="1" x14ac:dyDescent="0.25">
      <c r="A6339" s="9" t="s">
        <v>12458</v>
      </c>
      <c r="C6339" s="9" t="str">
        <f>HYPERLINK("http://www.ncbi.nlm.nih.gov/protein/22122463","Rhbdd2")</f>
        <v>Rhbdd2</v>
      </c>
      <c r="D6339" s="10">
        <f t="shared" si="98"/>
        <v>2.6950044907429009</v>
      </c>
      <c r="F6339" s="8" t="str">
        <f>HYPERLINK("https://esbl.nhlbi.nih.gov/Databases/mpkFractions/proteomic_fractions_log_files/Yang_log_img/22122463.jpg","show blot")</f>
        <v>show blot</v>
      </c>
      <c r="H6339" s="8" t="str">
        <f>HYPERLINK("https://esbl.nhlbi.nih.gov/Databases/mpkFractions/proteomic_fractions_linear_files/Yang_linear_img/22122463.jpg","show blot")</f>
        <v>show blot</v>
      </c>
      <c r="J6339" s="5" t="s">
        <v>12459</v>
      </c>
      <c r="L6339" s="11">
        <v>2.6950044907429009</v>
      </c>
      <c r="N6339" s="12"/>
    </row>
    <row r="6340" spans="1:14" s="5" customFormat="1" ht="15" customHeight="1" x14ac:dyDescent="0.25">
      <c r="A6340" s="9" t="s">
        <v>12460</v>
      </c>
      <c r="C6340" s="9" t="str">
        <f>HYPERLINK("http://www.ncbi.nlm.nih.gov/protein/28626508","Rheb")</f>
        <v>Rheb</v>
      </c>
      <c r="D6340" s="10">
        <f t="shared" si="98"/>
        <v>5.3567489932884857</v>
      </c>
      <c r="F6340" s="8" t="str">
        <f>HYPERLINK("https://esbl.nhlbi.nih.gov/Databases/mpkFractions/proteomic_fractions_log_files/Yang_log_img/28626508.jpg","show blot")</f>
        <v>show blot</v>
      </c>
      <c r="H6340" s="8" t="str">
        <f>HYPERLINK("https://esbl.nhlbi.nih.gov/Databases/mpkFractions/proteomic_fractions_linear_files/Yang_linear_img/28626508.jpg","show blot")</f>
        <v>show blot</v>
      </c>
      <c r="J6340" s="5" t="s">
        <v>12461</v>
      </c>
      <c r="L6340" s="11">
        <v>5.3567489932884857</v>
      </c>
      <c r="N6340" s="12"/>
    </row>
    <row r="6341" spans="1:14" s="5" customFormat="1" ht="15" customHeight="1" x14ac:dyDescent="0.25">
      <c r="A6341" s="9" t="s">
        <v>12462</v>
      </c>
      <c r="C6341" s="9" t="str">
        <f>HYPERLINK("http://www.ncbi.nlm.nih.gov/protein/31542143","Rhoa")</f>
        <v>Rhoa</v>
      </c>
      <c r="D6341" s="10">
        <f t="shared" ref="D6341:D6404" si="99">L6341</f>
        <v>6.7336723507007319</v>
      </c>
      <c r="F6341" s="8" t="str">
        <f>HYPERLINK("https://esbl.nhlbi.nih.gov/Databases/mpkFractions/proteomic_fractions_log_files/Yang_log_img/31542143.jpg","show blot")</f>
        <v>show blot</v>
      </c>
      <c r="H6341" s="8" t="str">
        <f>HYPERLINK("https://esbl.nhlbi.nih.gov/Databases/mpkFractions/proteomic_fractions_linear_files/Yang_linear_img/31542143.jpg","show blot")</f>
        <v>show blot</v>
      </c>
      <c r="J6341" s="5" t="s">
        <v>12463</v>
      </c>
      <c r="L6341" s="11">
        <v>6.7336723507007319</v>
      </c>
      <c r="N6341" s="12"/>
    </row>
    <row r="6342" spans="1:14" s="5" customFormat="1" ht="15" customHeight="1" x14ac:dyDescent="0.25">
      <c r="A6342" s="9" t="s">
        <v>12464</v>
      </c>
      <c r="C6342" s="9" t="str">
        <f>HYPERLINK("http://www.ncbi.nlm.nih.gov/protein/6680726","Rhob")</f>
        <v>Rhob</v>
      </c>
      <c r="D6342" s="10">
        <f t="shared" si="99"/>
        <v>5.2878973650834462</v>
      </c>
      <c r="F6342" s="8" t="str">
        <f>HYPERLINK("https://esbl.nhlbi.nih.gov/Databases/mpkFractions/proteomic_fractions_log_files/Yang_log_img/6680726.jpg","show blot")</f>
        <v>show blot</v>
      </c>
      <c r="H6342" s="8" t="str">
        <f>HYPERLINK("https://esbl.nhlbi.nih.gov/Databases/mpkFractions/proteomic_fractions_linear_files/Yang_linear_img/6680726.jpg","show blot")</f>
        <v>show blot</v>
      </c>
      <c r="J6342" s="5" t="s">
        <v>12465</v>
      </c>
      <c r="L6342" s="11">
        <v>5.2878973650834462</v>
      </c>
      <c r="N6342" s="12"/>
    </row>
    <row r="6343" spans="1:14" s="5" customFormat="1" ht="15" customHeight="1" x14ac:dyDescent="0.25">
      <c r="A6343" s="9" t="s">
        <v>12466</v>
      </c>
      <c r="C6343" s="9" t="str">
        <f>HYPERLINK("http://www.ncbi.nlm.nih.gov/protein/160415213","Rhoc")</f>
        <v>Rhoc</v>
      </c>
      <c r="D6343" s="10">
        <f t="shared" si="99"/>
        <v>6.7036869270811934</v>
      </c>
      <c r="F6343" s="8" t="str">
        <f>HYPERLINK("https://esbl.nhlbi.nih.gov/Databases/mpkFractions/proteomic_fractions_log_files/Yang_log_img/160415213.jpg","show blot")</f>
        <v>show blot</v>
      </c>
      <c r="H6343" s="8" t="str">
        <f>HYPERLINK("https://esbl.nhlbi.nih.gov/Databases/mpkFractions/proteomic_fractions_linear_files/Yang_linear_img/160415213.jpg","show blot")</f>
        <v>show blot</v>
      </c>
      <c r="J6343" s="5" t="s">
        <v>12467</v>
      </c>
      <c r="L6343" s="11">
        <v>6.7036869270811934</v>
      </c>
      <c r="N6343" s="12"/>
    </row>
    <row r="6344" spans="1:14" s="5" customFormat="1" ht="15" customHeight="1" x14ac:dyDescent="0.25">
      <c r="A6344" s="9" t="s">
        <v>12468</v>
      </c>
      <c r="C6344" s="9" t="str">
        <f>HYPERLINK("http://www.ncbi.nlm.nih.gov/protein/6671573","Rhod")</f>
        <v>Rhod</v>
      </c>
      <c r="D6344" s="10">
        <f t="shared" si="99"/>
        <v>3.7676209908853808</v>
      </c>
      <c r="F6344" s="8" t="str">
        <f>HYPERLINK("https://esbl.nhlbi.nih.gov/Databases/mpkFractions/proteomic_fractions_log_files/Yang_log_img/6671573.jpg","show blot")</f>
        <v>show blot</v>
      </c>
      <c r="H6344" s="8" t="str">
        <f>HYPERLINK("https://esbl.nhlbi.nih.gov/Databases/mpkFractions/proteomic_fractions_linear_files/Yang_linear_img/6671573.jpg","show blot")</f>
        <v>show blot</v>
      </c>
      <c r="J6344" s="5" t="s">
        <v>12469</v>
      </c>
      <c r="L6344" s="11">
        <v>3.7676209908853808</v>
      </c>
      <c r="N6344" s="12"/>
    </row>
    <row r="6345" spans="1:14" s="5" customFormat="1" ht="15" customHeight="1" x14ac:dyDescent="0.25">
      <c r="A6345" s="9" t="s">
        <v>12470</v>
      </c>
      <c r="C6345" s="9" t="str">
        <f>HYPERLINK("http://www.ncbi.nlm.nih.gov/protein/28201958","Rhof")</f>
        <v>Rhof</v>
      </c>
      <c r="D6345" s="10">
        <f t="shared" si="99"/>
        <v>3.285989058833962</v>
      </c>
      <c r="F6345" s="8" t="str">
        <f>HYPERLINK("https://esbl.nhlbi.nih.gov/Databases/mpkFractions/proteomic_fractions_log_files/Yang_log_img/28201958.jpg","show blot")</f>
        <v>show blot</v>
      </c>
      <c r="H6345" s="8" t="str">
        <f>HYPERLINK("https://esbl.nhlbi.nih.gov/Databases/mpkFractions/proteomic_fractions_linear_files/Yang_linear_img/28201958.jpg","show blot")</f>
        <v>show blot</v>
      </c>
      <c r="J6345" s="5" t="s">
        <v>12471</v>
      </c>
      <c r="L6345" s="11">
        <v>3.285989058833962</v>
      </c>
      <c r="N6345" s="12"/>
    </row>
    <row r="6346" spans="1:14" s="5" customFormat="1" ht="15" customHeight="1" x14ac:dyDescent="0.25">
      <c r="A6346" s="9" t="s">
        <v>12472</v>
      </c>
      <c r="C6346" s="9" t="str">
        <f>HYPERLINK("http://www.ncbi.nlm.nih.gov/protein/9625037","Rhog")</f>
        <v>Rhog</v>
      </c>
      <c r="D6346" s="10">
        <f t="shared" si="99"/>
        <v>5.9207801789250496</v>
      </c>
      <c r="F6346" s="8" t="str">
        <f>HYPERLINK("https://esbl.nhlbi.nih.gov/Databases/mpkFractions/proteomic_fractions_log_files/Yang_log_img/9625037.jpg","show blot")</f>
        <v>show blot</v>
      </c>
      <c r="H6346" s="8" t="str">
        <f>HYPERLINK("https://esbl.nhlbi.nih.gov/Databases/mpkFractions/proteomic_fractions_linear_files/Yang_linear_img/9625037.jpg","show blot")</f>
        <v>show blot</v>
      </c>
      <c r="J6346" s="5" t="s">
        <v>12473</v>
      </c>
      <c r="L6346" s="11">
        <v>5.9207801789250496</v>
      </c>
      <c r="N6346" s="12"/>
    </row>
    <row r="6347" spans="1:14" s="5" customFormat="1" ht="15" customHeight="1" x14ac:dyDescent="0.25">
      <c r="A6347" s="9" t="s">
        <v>12474</v>
      </c>
      <c r="C6347" s="9" t="str">
        <f>HYPERLINK("http://www.ncbi.nlm.nih.gov/protein/13489097","Rhoj")</f>
        <v>Rhoj</v>
      </c>
      <c r="D6347" s="10">
        <f t="shared" si="99"/>
        <v>5.6874303935634432</v>
      </c>
      <c r="F6347" s="8" t="str">
        <f>HYPERLINK("https://esbl.nhlbi.nih.gov/Databases/mpkFractions/proteomic_fractions_log_files/Yang_log_img/13489097.jpg","show blot")</f>
        <v>show blot</v>
      </c>
      <c r="H6347" s="8" t="str">
        <f>HYPERLINK("https://esbl.nhlbi.nih.gov/Databases/mpkFractions/proteomic_fractions_linear_files/Yang_linear_img/13489097.jpg","show blot")</f>
        <v>show blot</v>
      </c>
      <c r="J6347" s="5" t="s">
        <v>12475</v>
      </c>
      <c r="L6347" s="11">
        <v>5.6874303935634432</v>
      </c>
      <c r="N6347" s="12"/>
    </row>
    <row r="6348" spans="1:14" s="5" customFormat="1" ht="15" customHeight="1" x14ac:dyDescent="0.25">
      <c r="A6348" s="9" t="s">
        <v>12476</v>
      </c>
      <c r="C6348" s="9" t="str">
        <f>HYPERLINK("http://www.ncbi.nlm.nih.gov/protein/34328361","Rhoq")</f>
        <v>Rhoq</v>
      </c>
      <c r="D6348" s="10">
        <f t="shared" si="99"/>
        <v>5.7059137992574556</v>
      </c>
      <c r="F6348" s="8" t="str">
        <f>HYPERLINK("https://esbl.nhlbi.nih.gov/Databases/mpkFractions/proteomic_fractions_log_files/Yang_log_img/34328361.jpg","show blot")</f>
        <v>show blot</v>
      </c>
      <c r="H6348" s="8" t="str">
        <f>HYPERLINK("https://esbl.nhlbi.nih.gov/Databases/mpkFractions/proteomic_fractions_linear_files/Yang_linear_img/34328361.jpg","show blot")</f>
        <v>show blot</v>
      </c>
      <c r="J6348" s="5" t="s">
        <v>12477</v>
      </c>
      <c r="L6348" s="11">
        <v>5.7059137992574556</v>
      </c>
      <c r="N6348" s="12"/>
    </row>
    <row r="6349" spans="1:14" s="5" customFormat="1" ht="15" customHeight="1" x14ac:dyDescent="0.25">
      <c r="A6349" s="9" t="s">
        <v>12478</v>
      </c>
      <c r="C6349" s="9" t="str">
        <f>HYPERLINK("http://www.ncbi.nlm.nih.gov/protein/254039727","Rhot1")</f>
        <v>Rhot1</v>
      </c>
      <c r="D6349" s="10">
        <f t="shared" si="99"/>
        <v>4.5566960905413056</v>
      </c>
      <c r="F6349" s="8" t="str">
        <f>HYPERLINK("https://esbl.nhlbi.nih.gov/Databases/mpkFractions/proteomic_fractions_log_files/Yang_log_img/254039727.jpg","show blot")</f>
        <v>show blot</v>
      </c>
      <c r="H6349" s="8" t="str">
        <f>HYPERLINK("https://esbl.nhlbi.nih.gov/Databases/mpkFractions/proteomic_fractions_linear_files/Yang_linear_img/254039727.jpg","show blot")</f>
        <v>show blot</v>
      </c>
      <c r="J6349" s="5" t="s">
        <v>12479</v>
      </c>
      <c r="L6349" s="11">
        <v>4.5566960905413056</v>
      </c>
      <c r="N6349" s="12"/>
    </row>
    <row r="6350" spans="1:14" s="5" customFormat="1" ht="15" customHeight="1" x14ac:dyDescent="0.25">
      <c r="A6350" s="9" t="s">
        <v>12480</v>
      </c>
      <c r="C6350" s="9" t="str">
        <f>HYPERLINK("http://www.ncbi.nlm.nih.gov/protein/254039729","Rhot1")</f>
        <v>Rhot1</v>
      </c>
      <c r="D6350" s="10">
        <f t="shared" si="99"/>
        <v>4.5566960905413056</v>
      </c>
      <c r="F6350" s="8" t="str">
        <f>HYPERLINK("https://esbl.nhlbi.nih.gov/Databases/mpkFractions/proteomic_fractions_log_files/Yang_log_img/254039729.jpg","show blot")</f>
        <v>show blot</v>
      </c>
      <c r="H6350" s="8" t="str">
        <f>HYPERLINK("https://esbl.nhlbi.nih.gov/Databases/mpkFractions/proteomic_fractions_linear_files/Yang_linear_img/254039729.jpg","show blot")</f>
        <v>show blot</v>
      </c>
      <c r="J6350" s="5" t="s">
        <v>12481</v>
      </c>
      <c r="L6350" s="11">
        <v>4.5566960905413056</v>
      </c>
      <c r="N6350" s="12"/>
    </row>
    <row r="6351" spans="1:14" s="5" customFormat="1" ht="15" customHeight="1" x14ac:dyDescent="0.25">
      <c r="A6351" s="9" t="s">
        <v>12482</v>
      </c>
      <c r="C6351" s="9" t="str">
        <f>HYPERLINK("http://www.ncbi.nlm.nih.gov/protein/31559891","Rhot1")</f>
        <v>Rhot1</v>
      </c>
      <c r="D6351" s="10">
        <f t="shared" si="99"/>
        <v>4.5566960905413056</v>
      </c>
      <c r="F6351" s="8" t="str">
        <f>HYPERLINK("https://esbl.nhlbi.nih.gov/Databases/mpkFractions/proteomic_fractions_log_files/Yang_log_img/31559891.jpg","show blot")</f>
        <v>show blot</v>
      </c>
      <c r="H6351" s="8" t="str">
        <f>HYPERLINK("https://esbl.nhlbi.nih.gov/Databases/mpkFractions/proteomic_fractions_linear_files/Yang_linear_img/31559891.jpg","show blot")</f>
        <v>show blot</v>
      </c>
      <c r="J6351" s="5" t="s">
        <v>12483</v>
      </c>
      <c r="L6351" s="11">
        <v>4.5566960905413056</v>
      </c>
      <c r="N6351" s="12"/>
    </row>
    <row r="6352" spans="1:14" s="5" customFormat="1" ht="15" customHeight="1" x14ac:dyDescent="0.25">
      <c r="A6352" s="9" t="s">
        <v>12484</v>
      </c>
      <c r="C6352" s="9" t="str">
        <f>HYPERLINK("http://www.ncbi.nlm.nih.gov/protein/22122457","Rhot2")</f>
        <v>Rhot2</v>
      </c>
      <c r="D6352" s="10">
        <f t="shared" si="99"/>
        <v>4.5383201233728148</v>
      </c>
      <c r="F6352" s="8" t="str">
        <f>HYPERLINK("https://esbl.nhlbi.nih.gov/Databases/mpkFractions/proteomic_fractions_log_files/Yang_log_img/22122457.jpg","show blot")</f>
        <v>show blot</v>
      </c>
      <c r="H6352" s="8" t="str">
        <f>HYPERLINK("https://esbl.nhlbi.nih.gov/Databases/mpkFractions/proteomic_fractions_linear_files/Yang_linear_img/22122457.jpg","show blot")</f>
        <v>show blot</v>
      </c>
      <c r="J6352" s="5" t="s">
        <v>12485</v>
      </c>
      <c r="L6352" s="11">
        <v>4.5383201233728148</v>
      </c>
      <c r="N6352" s="12"/>
    </row>
    <row r="6353" spans="1:14" s="5" customFormat="1" ht="15" customHeight="1" x14ac:dyDescent="0.25">
      <c r="A6353" s="9" t="s">
        <v>12486</v>
      </c>
      <c r="C6353" s="9" t="str">
        <f>HYPERLINK("http://www.ncbi.nlm.nih.gov/protein/229092577","Rhpn2")</f>
        <v>Rhpn2</v>
      </c>
      <c r="D6353" s="10">
        <f t="shared" si="99"/>
        <v>5.2288458061750216</v>
      </c>
      <c r="F6353" s="8" t="str">
        <f>HYPERLINK("https://esbl.nhlbi.nih.gov/Databases/mpkFractions/proteomic_fractions_log_files/Yang_log_img/229092577.jpg","show blot")</f>
        <v>show blot</v>
      </c>
      <c r="H6353" s="8" t="str">
        <f>HYPERLINK("https://esbl.nhlbi.nih.gov/Databases/mpkFractions/proteomic_fractions_linear_files/Yang_linear_img/229092577.jpg","show blot")</f>
        <v>show blot</v>
      </c>
      <c r="J6353" s="5" t="s">
        <v>12487</v>
      </c>
      <c r="L6353" s="11">
        <v>5.2288458061750216</v>
      </c>
      <c r="N6353" s="12"/>
    </row>
    <row r="6354" spans="1:14" s="5" customFormat="1" ht="15" customHeight="1" x14ac:dyDescent="0.25">
      <c r="A6354" s="9" t="s">
        <v>12488</v>
      </c>
      <c r="C6354" s="9" t="str">
        <f>HYPERLINK("http://www.ncbi.nlm.nih.gov/protein/13385124","Ribc1")</f>
        <v>Ribc1</v>
      </c>
      <c r="D6354" s="10">
        <f t="shared" si="99"/>
        <v>4.5233209851372962</v>
      </c>
      <c r="F6354" s="8" t="str">
        <f>HYPERLINK("https://esbl.nhlbi.nih.gov/Databases/mpkFractions/proteomic_fractions_log_files/Yang_log_img/13385124.jpg","show blot")</f>
        <v>show blot</v>
      </c>
      <c r="H6354" s="8" t="str">
        <f>HYPERLINK("https://esbl.nhlbi.nih.gov/Databases/mpkFractions/proteomic_fractions_linear_files/Yang_linear_img/13385124.jpg","show blot")</f>
        <v>show blot</v>
      </c>
      <c r="J6354" s="5" t="s">
        <v>12489</v>
      </c>
      <c r="L6354" s="11">
        <v>4.5233209851372962</v>
      </c>
      <c r="N6354" s="12"/>
    </row>
    <row r="6355" spans="1:14" s="5" customFormat="1" ht="15" customHeight="1" x14ac:dyDescent="0.25">
      <c r="A6355" s="9" t="s">
        <v>12490</v>
      </c>
      <c r="C6355" s="9" t="str">
        <f>HYPERLINK("http://www.ncbi.nlm.nih.gov/protein/16716495","Ric8")</f>
        <v>Ric8</v>
      </c>
      <c r="D6355" s="10">
        <f t="shared" si="99"/>
        <v>4.7689823041202821</v>
      </c>
      <c r="F6355" s="8" t="str">
        <f>HYPERLINK("https://esbl.nhlbi.nih.gov/Databases/mpkFractions/proteomic_fractions_log_files/Yang_log_img/16716495.jpg","show blot")</f>
        <v>show blot</v>
      </c>
      <c r="H6355" s="8" t="str">
        <f>HYPERLINK("https://esbl.nhlbi.nih.gov/Databases/mpkFractions/proteomic_fractions_linear_files/Yang_linear_img/16716495.jpg","show blot")</f>
        <v>show blot</v>
      </c>
      <c r="J6355" s="5" t="s">
        <v>12491</v>
      </c>
      <c r="L6355" s="11">
        <v>4.7689823041202821</v>
      </c>
      <c r="N6355" s="12"/>
    </row>
    <row r="6356" spans="1:14" s="5" customFormat="1" ht="15" customHeight="1" x14ac:dyDescent="0.25">
      <c r="A6356" s="9" t="s">
        <v>12492</v>
      </c>
      <c r="C6356" s="9" t="str">
        <f>HYPERLINK("http://www.ncbi.nlm.nih.gov/protein/34147209","Ric8b")</f>
        <v>Ric8b</v>
      </c>
      <c r="D6356" s="10">
        <f t="shared" si="99"/>
        <v>3.2262757426038542</v>
      </c>
      <c r="F6356" s="8" t="str">
        <f>HYPERLINK("https://esbl.nhlbi.nih.gov/Databases/mpkFractions/proteomic_fractions_log_files/Yang_log_img/34147209.jpg","show blot")</f>
        <v>show blot</v>
      </c>
      <c r="H6356" s="8" t="str">
        <f>HYPERLINK("https://esbl.nhlbi.nih.gov/Databases/mpkFractions/proteomic_fractions_linear_files/Yang_linear_img/34147209.jpg","show blot")</f>
        <v>show blot</v>
      </c>
      <c r="J6356" s="5" t="s">
        <v>12493</v>
      </c>
      <c r="L6356" s="11">
        <v>3.2262757426038542</v>
      </c>
      <c r="N6356" s="12"/>
    </row>
    <row r="6357" spans="1:14" s="5" customFormat="1" ht="15" customHeight="1" x14ac:dyDescent="0.25">
      <c r="A6357" s="9" t="s">
        <v>12494</v>
      </c>
      <c r="C6357" s="9" t="str">
        <f>HYPERLINK("http://www.ncbi.nlm.nih.gov/protein/61806725","Ric8b")</f>
        <v>Ric8b</v>
      </c>
      <c r="D6357" s="10">
        <f t="shared" si="99"/>
        <v>3.2262757426038542</v>
      </c>
      <c r="F6357" s="8" t="str">
        <f>HYPERLINK("https://esbl.nhlbi.nih.gov/Databases/mpkFractions/proteomic_fractions_log_files/Yang_log_img/61806725.jpg","show blot")</f>
        <v>show blot</v>
      </c>
      <c r="H6357" s="8" t="str">
        <f>HYPERLINK("https://esbl.nhlbi.nih.gov/Databases/mpkFractions/proteomic_fractions_linear_files/Yang_linear_img/61806725.jpg","show blot")</f>
        <v>show blot</v>
      </c>
      <c r="J6357" s="5" t="s">
        <v>12495</v>
      </c>
      <c r="L6357" s="11">
        <v>3.2262757426038542</v>
      </c>
      <c r="N6357" s="12"/>
    </row>
    <row r="6358" spans="1:14" s="5" customFormat="1" ht="15" customHeight="1" x14ac:dyDescent="0.25">
      <c r="A6358" s="9" t="s">
        <v>12496</v>
      </c>
      <c r="C6358" s="9" t="str">
        <f>HYPERLINK("http://www.ncbi.nlm.nih.gov/protein/168480120","Rictor")</f>
        <v>Rictor</v>
      </c>
      <c r="D6358" s="10">
        <f t="shared" si="99"/>
        <v>2.8804464908432061</v>
      </c>
      <c r="F6358" s="8" t="str">
        <f>HYPERLINK("https://esbl.nhlbi.nih.gov/Databases/mpkFractions/proteomic_fractions_log_files/Yang_log_img/168480120.jpg","show blot")</f>
        <v>show blot</v>
      </c>
      <c r="H6358" s="8" t="str">
        <f>HYPERLINK("https://esbl.nhlbi.nih.gov/Databases/mpkFractions/proteomic_fractions_linear_files/Yang_linear_img/168480120.jpg","show blot")</f>
        <v>show blot</v>
      </c>
      <c r="J6358" s="5" t="s">
        <v>12497</v>
      </c>
      <c r="L6358" s="11">
        <v>2.8804464908432061</v>
      </c>
      <c r="N6358" s="12"/>
    </row>
    <row r="6359" spans="1:14" s="5" customFormat="1" ht="15" customHeight="1" x14ac:dyDescent="0.25">
      <c r="A6359" s="9" t="s">
        <v>12498</v>
      </c>
      <c r="C6359" s="9" t="str">
        <f>HYPERLINK("http://www.ncbi.nlm.nih.gov/protein/71480154","Rilp")</f>
        <v>Rilp</v>
      </c>
      <c r="D6359" s="10">
        <f t="shared" si="99"/>
        <v>3.986991721268585</v>
      </c>
      <c r="F6359" s="8" t="str">
        <f>HYPERLINK("https://esbl.nhlbi.nih.gov/Databases/mpkFractions/proteomic_fractions_log_files/Yang_log_img/71480154.jpg","show blot")</f>
        <v>show blot</v>
      </c>
      <c r="H6359" s="8" t="str">
        <f>HYPERLINK("https://esbl.nhlbi.nih.gov/Databases/mpkFractions/proteomic_fractions_linear_files/Yang_linear_img/71480154.jpg","show blot")</f>
        <v>show blot</v>
      </c>
      <c r="J6359" s="5" t="s">
        <v>12499</v>
      </c>
      <c r="L6359" s="11">
        <v>3.986991721268585</v>
      </c>
      <c r="N6359" s="12"/>
    </row>
    <row r="6360" spans="1:14" s="5" customFormat="1" ht="15" customHeight="1" x14ac:dyDescent="0.25">
      <c r="A6360" s="9" t="s">
        <v>12500</v>
      </c>
      <c r="C6360" s="9" t="str">
        <f>HYPERLINK("http://www.ncbi.nlm.nih.gov/protein/10946796","Rilpl1")</f>
        <v>Rilpl1</v>
      </c>
      <c r="D6360" s="10">
        <f t="shared" si="99"/>
        <v>4.1462535716309272</v>
      </c>
      <c r="F6360" s="8" t="str">
        <f>HYPERLINK("https://esbl.nhlbi.nih.gov/Databases/mpkFractions/proteomic_fractions_log_files/Yang_log_img/10946796.jpg","show blot")</f>
        <v>show blot</v>
      </c>
      <c r="H6360" s="8" t="str">
        <f>HYPERLINK("https://esbl.nhlbi.nih.gov/Databases/mpkFractions/proteomic_fractions_linear_files/Yang_linear_img/10946796.jpg","show blot")</f>
        <v>show blot</v>
      </c>
      <c r="J6360" s="5" t="s">
        <v>12501</v>
      </c>
      <c r="L6360" s="11">
        <v>4.1462535716309272</v>
      </c>
      <c r="N6360" s="12"/>
    </row>
    <row r="6361" spans="1:14" s="5" customFormat="1" ht="15" customHeight="1" x14ac:dyDescent="0.25">
      <c r="A6361" s="9" t="s">
        <v>12502</v>
      </c>
      <c r="C6361" s="9" t="str">
        <f>HYPERLINK("http://www.ncbi.nlm.nih.gov/protein/21703974","Rin1")</f>
        <v>Rin1</v>
      </c>
      <c r="D6361" s="10">
        <f t="shared" si="99"/>
        <v>3.6051963904026669</v>
      </c>
      <c r="F6361" s="8" t="str">
        <f>HYPERLINK("https://esbl.nhlbi.nih.gov/Databases/mpkFractions/proteomic_fractions_log_files/Yang_log_img/21703974.jpg","show blot")</f>
        <v>show blot</v>
      </c>
      <c r="H6361" s="8" t="str">
        <f>HYPERLINK("https://esbl.nhlbi.nih.gov/Databases/mpkFractions/proteomic_fractions_linear_files/Yang_linear_img/21703974.jpg","show blot")</f>
        <v>show blot</v>
      </c>
      <c r="J6361" s="5" t="s">
        <v>12503</v>
      </c>
      <c r="L6361" s="11">
        <v>3.6051963904026669</v>
      </c>
      <c r="N6361" s="12"/>
    </row>
    <row r="6362" spans="1:14" s="5" customFormat="1" ht="15" customHeight="1" x14ac:dyDescent="0.25">
      <c r="A6362" s="9" t="s">
        <v>12504</v>
      </c>
      <c r="C6362" s="9" t="str">
        <f>HYPERLINK("http://www.ncbi.nlm.nih.gov/protein/224967114","Rin2")</f>
        <v>Rin2</v>
      </c>
      <c r="D6362" s="10">
        <f t="shared" si="99"/>
        <v>2.0983552538822372</v>
      </c>
      <c r="F6362" s="8" t="str">
        <f>HYPERLINK("https://esbl.nhlbi.nih.gov/Databases/mpkFractions/proteomic_fractions_log_files/Yang_log_img/224967114.jpg","show blot")</f>
        <v>show blot</v>
      </c>
      <c r="H6362" s="8" t="str">
        <f>HYPERLINK("https://esbl.nhlbi.nih.gov/Databases/mpkFractions/proteomic_fractions_linear_files/Yang_linear_img/224967114.jpg","show blot")</f>
        <v>show blot</v>
      </c>
      <c r="J6362" s="5" t="s">
        <v>12505</v>
      </c>
      <c r="L6362" s="11">
        <v>2.0983552538822372</v>
      </c>
      <c r="N6362" s="12"/>
    </row>
    <row r="6363" spans="1:14" s="5" customFormat="1" ht="15" customHeight="1" x14ac:dyDescent="0.25">
      <c r="A6363" s="9" t="s">
        <v>12506</v>
      </c>
      <c r="C6363" s="9" t="str">
        <f>HYPERLINK("http://www.ncbi.nlm.nih.gov/protein/238624151","Rin3")</f>
        <v>Rin3</v>
      </c>
      <c r="D6363" s="10">
        <f t="shared" si="99"/>
        <v>3.1461216796172562</v>
      </c>
      <c r="F6363" s="8" t="str">
        <f>HYPERLINK("https://esbl.nhlbi.nih.gov/Databases/mpkFractions/proteomic_fractions_log_files/Yang_log_img/238624151.jpg","show blot")</f>
        <v>show blot</v>
      </c>
      <c r="H6363" s="8" t="str">
        <f>HYPERLINK("https://esbl.nhlbi.nih.gov/Databases/mpkFractions/proteomic_fractions_linear_files/Yang_linear_img/238624151.jpg","show blot")</f>
        <v>show blot</v>
      </c>
      <c r="J6363" s="5" t="s">
        <v>12507</v>
      </c>
      <c r="L6363" s="11">
        <v>3.1461216796172562</v>
      </c>
      <c r="N6363" s="12"/>
    </row>
    <row r="6364" spans="1:14" s="5" customFormat="1" ht="15" customHeight="1" x14ac:dyDescent="0.25">
      <c r="A6364" s="9" t="s">
        <v>12508</v>
      </c>
      <c r="C6364" s="9" t="str">
        <f>HYPERLINK("http://www.ncbi.nlm.nih.gov/protein/238624153","Rin3")</f>
        <v>Rin3</v>
      </c>
      <c r="D6364" s="10">
        <f t="shared" si="99"/>
        <v>3.1461216796172562</v>
      </c>
      <c r="F6364" s="8" t="str">
        <f>HYPERLINK("https://esbl.nhlbi.nih.gov/Databases/mpkFractions/proteomic_fractions_log_files/Yang_log_img/238624153.jpg","show blot")</f>
        <v>show blot</v>
      </c>
      <c r="H6364" s="8" t="str">
        <f>HYPERLINK("https://esbl.nhlbi.nih.gov/Databases/mpkFractions/proteomic_fractions_linear_files/Yang_linear_img/238624153.jpg","show blot")</f>
        <v>show blot</v>
      </c>
      <c r="J6364" s="5" t="s">
        <v>12509</v>
      </c>
      <c r="L6364" s="11">
        <v>3.1461216796172562</v>
      </c>
      <c r="N6364" s="12"/>
    </row>
    <row r="6365" spans="1:14" s="5" customFormat="1" ht="15" customHeight="1" x14ac:dyDescent="0.25">
      <c r="A6365" s="9" t="s">
        <v>12510</v>
      </c>
      <c r="C6365" s="9" t="str">
        <f>HYPERLINK("http://www.ncbi.nlm.nih.gov/protein/226958428","Ring1")</f>
        <v>Ring1</v>
      </c>
      <c r="D6365" s="10">
        <f t="shared" si="99"/>
        <v>3.1277290084209408</v>
      </c>
      <c r="F6365" s="8" t="str">
        <f>HYPERLINK("https://esbl.nhlbi.nih.gov/Databases/mpkFractions/proteomic_fractions_log_files/Yang_log_img/226958428.jpg","show blot")</f>
        <v>show blot</v>
      </c>
      <c r="H6365" s="8" t="str">
        <f>HYPERLINK("https://esbl.nhlbi.nih.gov/Databases/mpkFractions/proteomic_fractions_linear_files/Yang_linear_img/226958428.jpg","show blot")</f>
        <v>show blot</v>
      </c>
      <c r="J6365" s="5" t="s">
        <v>12511</v>
      </c>
      <c r="L6365" s="11">
        <v>3.1277290084209408</v>
      </c>
      <c r="N6365" s="12"/>
    </row>
    <row r="6366" spans="1:14" s="5" customFormat="1" ht="15" customHeight="1" x14ac:dyDescent="0.25">
      <c r="A6366" s="9" t="s">
        <v>12512</v>
      </c>
      <c r="C6366" s="9" t="str">
        <f>HYPERLINK("http://www.ncbi.nlm.nih.gov/protein/62899067","Rint1")</f>
        <v>Rint1</v>
      </c>
      <c r="D6366" s="10">
        <f t="shared" si="99"/>
        <v>2.9897068376029372</v>
      </c>
      <c r="F6366" s="8" t="str">
        <f>HYPERLINK("https://esbl.nhlbi.nih.gov/Databases/mpkFractions/proteomic_fractions_log_files/Yang_log_img/62899067.jpg","show blot")</f>
        <v>show blot</v>
      </c>
      <c r="H6366" s="8" t="str">
        <f>HYPERLINK("https://esbl.nhlbi.nih.gov/Databases/mpkFractions/proteomic_fractions_linear_files/Yang_linear_img/62899067.jpg","show blot")</f>
        <v>show blot</v>
      </c>
      <c r="J6366" s="5" t="s">
        <v>12513</v>
      </c>
      <c r="L6366" s="11">
        <v>2.9897068376029372</v>
      </c>
      <c r="N6366" s="12"/>
    </row>
    <row r="6367" spans="1:14" s="5" customFormat="1" ht="15" customHeight="1" x14ac:dyDescent="0.25">
      <c r="A6367" s="9" t="s">
        <v>12514</v>
      </c>
      <c r="C6367" s="9" t="str">
        <f>HYPERLINK("http://www.ncbi.nlm.nih.gov/protein/22208995","Riok1")</f>
        <v>Riok1</v>
      </c>
      <c r="D6367" s="10">
        <f t="shared" si="99"/>
        <v>3.6255499903649562</v>
      </c>
      <c r="F6367" s="8" t="str">
        <f>HYPERLINK("https://esbl.nhlbi.nih.gov/Databases/mpkFractions/proteomic_fractions_log_files/Yang_log_img/22208995.jpg","show blot")</f>
        <v>show blot</v>
      </c>
      <c r="H6367" s="8" t="str">
        <f>HYPERLINK("https://esbl.nhlbi.nih.gov/Databases/mpkFractions/proteomic_fractions_linear_files/Yang_linear_img/22208995.jpg","show blot")</f>
        <v>show blot</v>
      </c>
      <c r="J6367" s="5" t="s">
        <v>12515</v>
      </c>
      <c r="L6367" s="11">
        <v>3.6255499903649562</v>
      </c>
      <c r="N6367" s="12"/>
    </row>
    <row r="6368" spans="1:14" s="5" customFormat="1" ht="15" customHeight="1" x14ac:dyDescent="0.25">
      <c r="A6368" s="9" t="s">
        <v>12516</v>
      </c>
      <c r="C6368" s="9" t="str">
        <f>HYPERLINK("http://www.ncbi.nlm.nih.gov/protein/34328467","Ripk1")</f>
        <v>Ripk1</v>
      </c>
      <c r="D6368" s="10">
        <f t="shared" si="99"/>
        <v>3.166905285540548</v>
      </c>
      <c r="F6368" s="8" t="str">
        <f>HYPERLINK("https://esbl.nhlbi.nih.gov/Databases/mpkFractions/proteomic_fractions_log_files/Yang_log_img/34328467.jpg","show blot")</f>
        <v>show blot</v>
      </c>
      <c r="H6368" s="8" t="str">
        <f>HYPERLINK("https://esbl.nhlbi.nih.gov/Databases/mpkFractions/proteomic_fractions_linear_files/Yang_linear_img/34328467.jpg","show blot")</f>
        <v>show blot</v>
      </c>
      <c r="J6368" s="5" t="s">
        <v>12517</v>
      </c>
      <c r="L6368" s="11">
        <v>3.166905285540548</v>
      </c>
      <c r="N6368" s="12"/>
    </row>
    <row r="6369" spans="1:14" s="5" customFormat="1" ht="15" customHeight="1" x14ac:dyDescent="0.25">
      <c r="A6369" s="9" t="s">
        <v>12518</v>
      </c>
      <c r="C6369" s="9" t="str">
        <f>HYPERLINK("http://www.ncbi.nlm.nih.gov/protein/31560255","Rmdn1")</f>
        <v>Rmdn1</v>
      </c>
      <c r="D6369" s="10">
        <f t="shared" si="99"/>
        <v>3.69409358578489</v>
      </c>
      <c r="F6369" s="8" t="str">
        <f>HYPERLINK("https://esbl.nhlbi.nih.gov/Databases/mpkFractions/proteomic_fractions_log_files/Yang_log_img/31560255.jpg","show blot")</f>
        <v>show blot</v>
      </c>
      <c r="H6369" s="8" t="str">
        <f>HYPERLINK("https://esbl.nhlbi.nih.gov/Databases/mpkFractions/proteomic_fractions_linear_files/Yang_linear_img/31560255.jpg","show blot")</f>
        <v>show blot</v>
      </c>
      <c r="J6369" s="5" t="s">
        <v>12519</v>
      </c>
      <c r="L6369" s="11">
        <v>3.69409358578489</v>
      </c>
      <c r="N6369" s="12"/>
    </row>
    <row r="6370" spans="1:14" s="5" customFormat="1" ht="15" customHeight="1" x14ac:dyDescent="0.25">
      <c r="A6370" s="9" t="s">
        <v>12520</v>
      </c>
      <c r="C6370" s="9" t="str">
        <f>HYPERLINK("http://www.ncbi.nlm.nih.gov/protein/41235741","Rmdn2")</f>
        <v>Rmdn2</v>
      </c>
      <c r="D6370" s="10">
        <f t="shared" si="99"/>
        <v>2.698563240348606</v>
      </c>
      <c r="F6370" s="8" t="str">
        <f>HYPERLINK("https://esbl.nhlbi.nih.gov/Databases/mpkFractions/proteomic_fractions_log_files/Yang_log_img/41235741.jpg","show blot")</f>
        <v>show blot</v>
      </c>
      <c r="H6370" s="8" t="str">
        <f>HYPERLINK("https://esbl.nhlbi.nih.gov/Databases/mpkFractions/proteomic_fractions_linear_files/Yang_linear_img/41235741.jpg","show blot")</f>
        <v>show blot</v>
      </c>
      <c r="J6370" s="5" t="s">
        <v>12521</v>
      </c>
      <c r="L6370" s="11">
        <v>2.698563240348606</v>
      </c>
      <c r="N6370" s="12"/>
    </row>
    <row r="6371" spans="1:14" s="5" customFormat="1" ht="15" customHeight="1" x14ac:dyDescent="0.25">
      <c r="A6371" s="9" t="s">
        <v>12522</v>
      </c>
      <c r="C6371" s="9" t="str">
        <f>HYPERLINK("http://www.ncbi.nlm.nih.gov/protein/85701644","Rmdn3")</f>
        <v>Rmdn3</v>
      </c>
      <c r="D6371" s="10">
        <f t="shared" si="99"/>
        <v>3.652452140057437</v>
      </c>
      <c r="F6371" s="8" t="str">
        <f>HYPERLINK("https://esbl.nhlbi.nih.gov/Databases/mpkFractions/proteomic_fractions_log_files/Yang_log_img/85701644.jpg","show blot")</f>
        <v>show blot</v>
      </c>
      <c r="H6371" s="8" t="str">
        <f>HYPERLINK("https://esbl.nhlbi.nih.gov/Databases/mpkFractions/proteomic_fractions_linear_files/Yang_linear_img/85701644.jpg","show blot")</f>
        <v>show blot</v>
      </c>
      <c r="J6371" s="5" t="s">
        <v>12523</v>
      </c>
      <c r="L6371" s="11">
        <v>3.652452140057437</v>
      </c>
      <c r="N6371" s="12"/>
    </row>
    <row r="6372" spans="1:14" s="5" customFormat="1" ht="15" customHeight="1" x14ac:dyDescent="0.25">
      <c r="A6372" s="9" t="s">
        <v>12524</v>
      </c>
      <c r="C6372" s="9" t="str">
        <f>HYPERLINK("http://www.ncbi.nlm.nih.gov/protein/267844815","Rmnd5a")</f>
        <v>Rmnd5a</v>
      </c>
      <c r="D6372" s="10">
        <f t="shared" si="99"/>
        <v>4.5722728837843576</v>
      </c>
      <c r="F6372" s="8" t="str">
        <f>HYPERLINK("https://esbl.nhlbi.nih.gov/Databases/mpkFractions/proteomic_fractions_log_files/Yang_log_img/267844815.jpg","show blot")</f>
        <v>show blot</v>
      </c>
      <c r="H6372" s="8" t="str">
        <f>HYPERLINK("https://esbl.nhlbi.nih.gov/Databases/mpkFractions/proteomic_fractions_linear_files/Yang_linear_img/267844815.jpg","show blot")</f>
        <v>show blot</v>
      </c>
      <c r="J6372" s="5" t="s">
        <v>12525</v>
      </c>
      <c r="L6372" s="11">
        <v>4.5722728837843576</v>
      </c>
      <c r="N6372" s="12"/>
    </row>
    <row r="6373" spans="1:14" s="5" customFormat="1" ht="15" customHeight="1" x14ac:dyDescent="0.25">
      <c r="A6373" s="9" t="s">
        <v>12526</v>
      </c>
      <c r="C6373" s="9" t="str">
        <f>HYPERLINK("http://www.ncbi.nlm.nih.gov/protein/226246542","Rnaseh1")</f>
        <v>Rnaseh1</v>
      </c>
      <c r="D6373" s="10">
        <f t="shared" si="99"/>
        <v>4.0595754939904429</v>
      </c>
      <c r="F6373" s="8" t="str">
        <f>HYPERLINK("https://esbl.nhlbi.nih.gov/Databases/mpkFractions/proteomic_fractions_log_files/Yang_log_img/226246542.jpg","show blot")</f>
        <v>show blot</v>
      </c>
      <c r="H6373" s="8" t="str">
        <f>HYPERLINK("https://esbl.nhlbi.nih.gov/Databases/mpkFractions/proteomic_fractions_linear_files/Yang_linear_img/226246542.jpg","show blot")</f>
        <v>show blot</v>
      </c>
      <c r="J6373" s="5" t="s">
        <v>12527</v>
      </c>
      <c r="L6373" s="11">
        <v>4.0595754939904429</v>
      </c>
      <c r="N6373" s="12"/>
    </row>
    <row r="6374" spans="1:14" s="5" customFormat="1" ht="15" customHeight="1" x14ac:dyDescent="0.25">
      <c r="A6374" s="9" t="s">
        <v>12528</v>
      </c>
      <c r="C6374" s="9" t="str">
        <f>HYPERLINK("http://www.ncbi.nlm.nih.gov/protein/58037175","Rnaseh2a")</f>
        <v>Rnaseh2a</v>
      </c>
      <c r="D6374" s="10">
        <f t="shared" si="99"/>
        <v>3.8066443996380488</v>
      </c>
      <c r="F6374" s="8" t="str">
        <f>HYPERLINK("https://esbl.nhlbi.nih.gov/Databases/mpkFractions/proteomic_fractions_log_files/Yang_log_img/58037175.jpg","show blot")</f>
        <v>show blot</v>
      </c>
      <c r="H6374" s="8" t="str">
        <f>HYPERLINK("https://esbl.nhlbi.nih.gov/Databases/mpkFractions/proteomic_fractions_linear_files/Yang_linear_img/58037175.jpg","show blot")</f>
        <v>show blot</v>
      </c>
      <c r="J6374" s="5" t="s">
        <v>12529</v>
      </c>
      <c r="L6374" s="11">
        <v>3.8066443996380488</v>
      </c>
      <c r="N6374" s="12"/>
    </row>
    <row r="6375" spans="1:14" s="5" customFormat="1" ht="15" customHeight="1" x14ac:dyDescent="0.25">
      <c r="A6375" s="9" t="s">
        <v>12530</v>
      </c>
      <c r="C6375" s="9" t="str">
        <f>HYPERLINK("http://www.ncbi.nlm.nih.gov/protein/58037097","Rnaseh2b")</f>
        <v>Rnaseh2b</v>
      </c>
      <c r="D6375" s="10">
        <f t="shared" si="99"/>
        <v>5.2795910674483197</v>
      </c>
      <c r="F6375" s="8" t="str">
        <f>HYPERLINK("https://esbl.nhlbi.nih.gov/Databases/mpkFractions/proteomic_fractions_log_files/Yang_log_img/58037097.jpg","show blot")</f>
        <v>show blot</v>
      </c>
      <c r="H6375" s="8" t="str">
        <f>HYPERLINK("https://esbl.nhlbi.nih.gov/Databases/mpkFractions/proteomic_fractions_linear_files/Yang_linear_img/58037097.jpg","show blot")</f>
        <v>show blot</v>
      </c>
      <c r="J6375" s="5" t="s">
        <v>12531</v>
      </c>
      <c r="L6375" s="11">
        <v>5.2795910674483197</v>
      </c>
      <c r="N6375" s="12"/>
    </row>
    <row r="6376" spans="1:14" s="5" customFormat="1" ht="15" customHeight="1" x14ac:dyDescent="0.25">
      <c r="A6376" s="9" t="s">
        <v>12532</v>
      </c>
      <c r="C6376" s="9" t="str">
        <f>HYPERLINK("http://www.ncbi.nlm.nih.gov/protein/13386102","Rnaseh2c")</f>
        <v>Rnaseh2c</v>
      </c>
      <c r="D6376" s="10">
        <f t="shared" si="99"/>
        <v>4.6813228423895783</v>
      </c>
      <c r="F6376" s="8" t="str">
        <f>HYPERLINK("https://esbl.nhlbi.nih.gov/Databases/mpkFractions/proteomic_fractions_log_files/Yang_log_img/13386102.jpg","show blot")</f>
        <v>show blot</v>
      </c>
      <c r="H6376" s="8" t="str">
        <f>HYPERLINK("https://esbl.nhlbi.nih.gov/Databases/mpkFractions/proteomic_fractions_linear_files/Yang_linear_img/13386102.jpg","show blot")</f>
        <v>show blot</v>
      </c>
      <c r="J6376" s="5" t="s">
        <v>12533</v>
      </c>
      <c r="L6376" s="11">
        <v>4.6813228423895783</v>
      </c>
      <c r="N6376" s="12"/>
    </row>
    <row r="6377" spans="1:14" s="5" customFormat="1" ht="15" customHeight="1" x14ac:dyDescent="0.25">
      <c r="A6377" s="9" t="s">
        <v>12534</v>
      </c>
      <c r="C6377" s="9" t="str">
        <f>HYPERLINK("http://www.ncbi.nlm.nih.gov/protein/33239393","Rnasek")</f>
        <v>Rnasek</v>
      </c>
      <c r="D6377" s="10">
        <f t="shared" si="99"/>
        <v>4.418728140999769</v>
      </c>
      <c r="F6377" s="8" t="str">
        <f>HYPERLINK("https://esbl.nhlbi.nih.gov/Databases/mpkFractions/proteomic_fractions_log_files/Yang_log_img/33239393.jpg","show blot")</f>
        <v>show blot</v>
      </c>
      <c r="H6377" s="8" t="str">
        <f>HYPERLINK("https://esbl.nhlbi.nih.gov/Databases/mpkFractions/proteomic_fractions_linear_files/Yang_linear_img/33239393.jpg","show blot")</f>
        <v>show blot</v>
      </c>
      <c r="J6377" s="5" t="s">
        <v>12535</v>
      </c>
      <c r="L6377" s="11">
        <v>4.418728140999769</v>
      </c>
      <c r="N6377" s="12"/>
    </row>
    <row r="6378" spans="1:14" s="5" customFormat="1" ht="15" customHeight="1" x14ac:dyDescent="0.25">
      <c r="A6378" s="9" t="s">
        <v>12536</v>
      </c>
      <c r="C6378" s="9" t="str">
        <f>HYPERLINK("http://www.ncbi.nlm.nih.gov/protein/21311883","Rnaset2b")</f>
        <v>Rnaset2b</v>
      </c>
      <c r="D6378" s="10">
        <f t="shared" si="99"/>
        <v>4.847454877216629</v>
      </c>
      <c r="F6378" s="8" t="str">
        <f>HYPERLINK("https://esbl.nhlbi.nih.gov/Databases/mpkFractions/proteomic_fractions_log_files/Yang_log_img/21311883.jpg","show blot")</f>
        <v>show blot</v>
      </c>
      <c r="H6378" s="8" t="str">
        <f>HYPERLINK("https://esbl.nhlbi.nih.gov/Databases/mpkFractions/proteomic_fractions_linear_files/Yang_linear_img/21311883.jpg","show blot")</f>
        <v>show blot</v>
      </c>
      <c r="J6378" s="5" t="s">
        <v>12537</v>
      </c>
      <c r="L6378" s="11">
        <v>4.847454877216629</v>
      </c>
      <c r="N6378" s="12"/>
    </row>
    <row r="6379" spans="1:14" s="5" customFormat="1" ht="15" customHeight="1" x14ac:dyDescent="0.25">
      <c r="A6379" s="9" t="s">
        <v>12538</v>
      </c>
      <c r="C6379" s="9" t="str">
        <f>HYPERLINK("http://www.ncbi.nlm.nih.gov/protein/7305435","Rnf11")</f>
        <v>Rnf11</v>
      </c>
      <c r="D6379" s="10">
        <f t="shared" si="99"/>
        <v>3.05600099779552</v>
      </c>
      <c r="F6379" s="8" t="str">
        <f>HYPERLINK("https://esbl.nhlbi.nih.gov/Databases/mpkFractions/proteomic_fractions_log_files/Yang_log_img/7305435.jpg","show blot")</f>
        <v>show blot</v>
      </c>
      <c r="H6379" s="8" t="str">
        <f>HYPERLINK("https://esbl.nhlbi.nih.gov/Databases/mpkFractions/proteomic_fractions_linear_files/Yang_linear_img/7305435.jpg","show blot")</f>
        <v>show blot</v>
      </c>
      <c r="J6379" s="5" t="s">
        <v>12539</v>
      </c>
      <c r="L6379" s="11">
        <v>3.05600099779552</v>
      </c>
      <c r="N6379" s="12"/>
    </row>
    <row r="6380" spans="1:14" s="5" customFormat="1" ht="15" customHeight="1" x14ac:dyDescent="0.25">
      <c r="A6380" s="9" t="s">
        <v>12540</v>
      </c>
      <c r="C6380" s="9" t="str">
        <f>HYPERLINK("http://www.ncbi.nlm.nih.gov/protein/20127402","Rnf112")</f>
        <v>Rnf112</v>
      </c>
      <c r="D6380" s="10">
        <f t="shared" si="99"/>
        <v>3.2379683099646481</v>
      </c>
      <c r="F6380" s="8" t="str">
        <f>HYPERLINK("https://esbl.nhlbi.nih.gov/Databases/mpkFractions/proteomic_fractions_log_files/Yang_log_img/20127402.jpg","show blot")</f>
        <v>show blot</v>
      </c>
      <c r="H6380" s="8" t="str">
        <f>HYPERLINK("https://esbl.nhlbi.nih.gov/Databases/mpkFractions/proteomic_fractions_linear_files/Yang_linear_img/20127402.jpg","show blot")</f>
        <v>show blot</v>
      </c>
      <c r="J6380" s="5" t="s">
        <v>12541</v>
      </c>
      <c r="L6380" s="11">
        <v>3.2379683099646481</v>
      </c>
      <c r="N6380" s="12"/>
    </row>
    <row r="6381" spans="1:14" s="5" customFormat="1" ht="15" customHeight="1" x14ac:dyDescent="0.25">
      <c r="A6381" s="9" t="s">
        <v>12542</v>
      </c>
      <c r="C6381" s="9" t="str">
        <f>HYPERLINK("http://www.ncbi.nlm.nih.gov/protein/23943840","Rnf113a1")</f>
        <v>Rnf113a1</v>
      </c>
      <c r="D6381" s="10">
        <f t="shared" si="99"/>
        <v>3.4792162916142182</v>
      </c>
      <c r="F6381" s="8" t="str">
        <f>HYPERLINK("https://esbl.nhlbi.nih.gov/Databases/mpkFractions/proteomic_fractions_log_files/Yang_log_img/23943840.jpg","show blot")</f>
        <v>show blot</v>
      </c>
      <c r="H6381" s="8" t="str">
        <f>HYPERLINK("https://esbl.nhlbi.nih.gov/Databases/mpkFractions/proteomic_fractions_linear_files/Yang_linear_img/23943840.jpg","show blot")</f>
        <v>show blot</v>
      </c>
      <c r="J6381" s="5" t="s">
        <v>12543</v>
      </c>
      <c r="L6381" s="11">
        <v>3.4792162916142182</v>
      </c>
      <c r="N6381" s="12"/>
    </row>
    <row r="6382" spans="1:14" s="5" customFormat="1" ht="15" customHeight="1" x14ac:dyDescent="0.25">
      <c r="A6382" s="9" t="s">
        <v>12544</v>
      </c>
      <c r="C6382" s="9" t="str">
        <f>HYPERLINK("http://www.ncbi.nlm.nih.gov/protein/88759341","Rnf113a2")</f>
        <v>Rnf113a2</v>
      </c>
      <c r="D6382" s="10">
        <f t="shared" si="99"/>
        <v>4.9194591383767641</v>
      </c>
      <c r="F6382" s="8" t="str">
        <f>HYPERLINK("https://esbl.nhlbi.nih.gov/Databases/mpkFractions/proteomic_fractions_log_files/Yang_log_img/88759341.jpg","show blot")</f>
        <v>show blot</v>
      </c>
      <c r="H6382" s="8" t="str">
        <f>HYPERLINK("https://esbl.nhlbi.nih.gov/Databases/mpkFractions/proteomic_fractions_linear_files/Yang_linear_img/88759341.jpg","show blot")</f>
        <v>show blot</v>
      </c>
      <c r="J6382" s="5" t="s">
        <v>12545</v>
      </c>
      <c r="L6382" s="11">
        <v>4.9194591383767641</v>
      </c>
      <c r="N6382" s="12"/>
    </row>
    <row r="6383" spans="1:14" s="5" customFormat="1" ht="15" customHeight="1" x14ac:dyDescent="0.25">
      <c r="A6383" s="9" t="s">
        <v>12546</v>
      </c>
      <c r="C6383" s="9" t="str">
        <f>HYPERLINK("http://www.ncbi.nlm.nih.gov/protein/27229275","Rnf114")</f>
        <v>Rnf114</v>
      </c>
      <c r="D6383" s="10">
        <f t="shared" si="99"/>
        <v>5.3789087919806962</v>
      </c>
      <c r="F6383" s="8" t="str">
        <f>HYPERLINK("https://esbl.nhlbi.nih.gov/Databases/mpkFractions/proteomic_fractions_log_files/Yang_log_img/27229275.jpg","show blot")</f>
        <v>show blot</v>
      </c>
      <c r="H6383" s="8" t="str">
        <f>HYPERLINK("https://esbl.nhlbi.nih.gov/Databases/mpkFractions/proteomic_fractions_linear_files/Yang_linear_img/27229275.jpg","show blot")</f>
        <v>show blot</v>
      </c>
      <c r="J6383" s="5" t="s">
        <v>12547</v>
      </c>
      <c r="L6383" s="11">
        <v>5.3789087919806962</v>
      </c>
      <c r="N6383" s="12"/>
    </row>
    <row r="6384" spans="1:14" s="5" customFormat="1" ht="15" customHeight="1" x14ac:dyDescent="0.25">
      <c r="A6384" s="9" t="s">
        <v>12548</v>
      </c>
      <c r="C6384" s="9" t="str">
        <f>HYPERLINK("http://www.ncbi.nlm.nih.gov/protein/70778932","Rnf121")</f>
        <v>Rnf121</v>
      </c>
      <c r="D6384" s="10">
        <f t="shared" si="99"/>
        <v>2.571586927255133</v>
      </c>
      <c r="F6384" s="8" t="str">
        <f>HYPERLINK("https://esbl.nhlbi.nih.gov/Databases/mpkFractions/proteomic_fractions_log_files/Yang_log_img/70778932.jpg","show blot")</f>
        <v>show blot</v>
      </c>
      <c r="H6384" s="8" t="str">
        <f>HYPERLINK("https://esbl.nhlbi.nih.gov/Databases/mpkFractions/proteomic_fractions_linear_files/Yang_linear_img/70778932.jpg","show blot")</f>
        <v>show blot</v>
      </c>
      <c r="J6384" s="5" t="s">
        <v>12549</v>
      </c>
      <c r="L6384" s="11">
        <v>2.571586927255133</v>
      </c>
      <c r="N6384" s="12"/>
    </row>
    <row r="6385" spans="1:14" s="5" customFormat="1" ht="15" customHeight="1" x14ac:dyDescent="0.25">
      <c r="A6385" s="9" t="s">
        <v>12550</v>
      </c>
      <c r="C6385" s="9" t="str">
        <f>HYPERLINK("http://www.ncbi.nlm.nih.gov/protein/21362321","Rnf126")</f>
        <v>Rnf126</v>
      </c>
      <c r="D6385" s="10">
        <f t="shared" si="99"/>
        <v>3.7200026464326239</v>
      </c>
      <c r="F6385" s="8" t="str">
        <f>HYPERLINK("https://esbl.nhlbi.nih.gov/Databases/mpkFractions/proteomic_fractions_log_files/Yang_log_img/21362321.jpg","show blot")</f>
        <v>show blot</v>
      </c>
      <c r="H6385" s="8" t="str">
        <f>HYPERLINK("https://esbl.nhlbi.nih.gov/Databases/mpkFractions/proteomic_fractions_linear_files/Yang_linear_img/21362321.jpg","show blot")</f>
        <v>show blot</v>
      </c>
      <c r="J6385" s="5" t="s">
        <v>12551</v>
      </c>
      <c r="L6385" s="11">
        <v>3.7200026464326239</v>
      </c>
      <c r="N6385" s="12"/>
    </row>
    <row r="6386" spans="1:14" s="5" customFormat="1" ht="15" customHeight="1" x14ac:dyDescent="0.25">
      <c r="A6386" s="9" t="s">
        <v>12552</v>
      </c>
      <c r="C6386" s="9" t="str">
        <f>HYPERLINK("http://www.ncbi.nlm.nih.gov/protein/31981195","Rnf130")</f>
        <v>Rnf130</v>
      </c>
      <c r="D6386" s="10">
        <f t="shared" si="99"/>
        <v>5.0294201695286036</v>
      </c>
      <c r="F6386" s="8" t="str">
        <f>HYPERLINK("https://esbl.nhlbi.nih.gov/Databases/mpkFractions/proteomic_fractions_log_files/Yang_log_img/31981195.jpg","show blot")</f>
        <v>show blot</v>
      </c>
      <c r="H6386" s="8" t="str">
        <f>HYPERLINK("https://esbl.nhlbi.nih.gov/Databases/mpkFractions/proteomic_fractions_linear_files/Yang_linear_img/31981195.jpg","show blot")</f>
        <v>show blot</v>
      </c>
      <c r="J6386" s="5" t="s">
        <v>12553</v>
      </c>
      <c r="L6386" s="11">
        <v>5.0294201695286036</v>
      </c>
      <c r="N6386" s="12"/>
    </row>
    <row r="6387" spans="1:14" s="5" customFormat="1" ht="15" customHeight="1" x14ac:dyDescent="0.25">
      <c r="A6387" s="9" t="s">
        <v>12554</v>
      </c>
      <c r="C6387" s="9" t="str">
        <f>HYPERLINK("http://www.ncbi.nlm.nih.gov/protein/46488939","Rnf138")</f>
        <v>Rnf138</v>
      </c>
      <c r="D6387" s="10">
        <f t="shared" si="99"/>
        <v>3.041966548932248</v>
      </c>
      <c r="F6387" s="8" t="str">
        <f>HYPERLINK("https://esbl.nhlbi.nih.gov/Databases/mpkFractions/proteomic_fractions_log_files/Yang_log_img/46488939.jpg","show blot")</f>
        <v>show blot</v>
      </c>
      <c r="H6387" s="8" t="str">
        <f>HYPERLINK("https://esbl.nhlbi.nih.gov/Databases/mpkFractions/proteomic_fractions_linear_files/Yang_linear_img/46488939.jpg","show blot")</f>
        <v>show blot</v>
      </c>
      <c r="J6387" s="5" t="s">
        <v>12555</v>
      </c>
      <c r="L6387" s="11">
        <v>3.041966548932248</v>
      </c>
      <c r="N6387" s="12"/>
    </row>
    <row r="6388" spans="1:14" s="5" customFormat="1" ht="15" customHeight="1" x14ac:dyDescent="0.25">
      <c r="A6388" s="9" t="s">
        <v>12556</v>
      </c>
      <c r="C6388" s="9" t="str">
        <f>HYPERLINK("http://www.ncbi.nlm.nih.gov/protein/46488941","Rnf138")</f>
        <v>Rnf138</v>
      </c>
      <c r="D6388" s="10">
        <f t="shared" si="99"/>
        <v>3.041966548932248</v>
      </c>
      <c r="F6388" s="8" t="str">
        <f>HYPERLINK("https://esbl.nhlbi.nih.gov/Databases/mpkFractions/proteomic_fractions_log_files/Yang_log_img/46488941.jpg","show blot")</f>
        <v>show blot</v>
      </c>
      <c r="H6388" s="8" t="str">
        <f>HYPERLINK("https://esbl.nhlbi.nih.gov/Databases/mpkFractions/proteomic_fractions_linear_files/Yang_linear_img/46488941.jpg","show blot")</f>
        <v>show blot</v>
      </c>
      <c r="J6388" s="5" t="s">
        <v>12557</v>
      </c>
      <c r="L6388" s="11">
        <v>3.041966548932248</v>
      </c>
      <c r="N6388" s="12"/>
    </row>
    <row r="6389" spans="1:14" s="5" customFormat="1" ht="15" customHeight="1" x14ac:dyDescent="0.25">
      <c r="A6389" s="9" t="s">
        <v>12558</v>
      </c>
      <c r="C6389" s="9" t="str">
        <f>HYPERLINK("http://www.ncbi.nlm.nih.gov/protein/257471032","Rnf14")</f>
        <v>Rnf14</v>
      </c>
      <c r="D6389" s="10">
        <f t="shared" si="99"/>
        <v>3.4122949825306019</v>
      </c>
      <c r="F6389" s="8" t="str">
        <f>HYPERLINK("https://esbl.nhlbi.nih.gov/Databases/mpkFractions/proteomic_fractions_log_files/Yang_log_img/257471032.jpg","show blot")</f>
        <v>show blot</v>
      </c>
      <c r="H6389" s="8" t="str">
        <f>HYPERLINK("https://esbl.nhlbi.nih.gov/Databases/mpkFractions/proteomic_fractions_linear_files/Yang_linear_img/257471032.jpg","show blot")</f>
        <v>show blot</v>
      </c>
      <c r="J6389" s="5" t="s">
        <v>12559</v>
      </c>
      <c r="L6389" s="11">
        <v>3.4122949825306019</v>
      </c>
      <c r="N6389" s="12"/>
    </row>
    <row r="6390" spans="1:14" s="5" customFormat="1" ht="15" customHeight="1" x14ac:dyDescent="0.25">
      <c r="A6390" s="9" t="s">
        <v>12560</v>
      </c>
      <c r="C6390" s="9" t="str">
        <f>HYPERLINK("http://www.ncbi.nlm.nih.gov/protein/255003680","Rnf157")</f>
        <v>Rnf157</v>
      </c>
      <c r="D6390" s="10">
        <f t="shared" si="99"/>
        <v>3.7578707161125662</v>
      </c>
      <c r="F6390" s="8" t="str">
        <f>HYPERLINK("https://esbl.nhlbi.nih.gov/Databases/mpkFractions/proteomic_fractions_log_files/Yang_log_img/255003680.jpg","show blot")</f>
        <v>show blot</v>
      </c>
      <c r="H6390" s="8" t="str">
        <f>HYPERLINK("https://esbl.nhlbi.nih.gov/Databases/mpkFractions/proteomic_fractions_linear_files/Yang_linear_img/255003680.jpg","show blot")</f>
        <v>show blot</v>
      </c>
      <c r="J6390" s="5" t="s">
        <v>12561</v>
      </c>
      <c r="L6390" s="11">
        <v>3.7578707161125662</v>
      </c>
      <c r="N6390" s="12"/>
    </row>
    <row r="6391" spans="1:14" s="5" customFormat="1" ht="15" customHeight="1" x14ac:dyDescent="0.25">
      <c r="A6391" s="9" t="s">
        <v>12562</v>
      </c>
      <c r="C6391" s="9" t="str">
        <f>HYPERLINK("http://www.ncbi.nlm.nih.gov/protein/47059206","Rnf181")</f>
        <v>Rnf181</v>
      </c>
      <c r="D6391" s="10">
        <f t="shared" si="99"/>
        <v>4.0323377846735342</v>
      </c>
      <c r="F6391" s="8" t="str">
        <f>HYPERLINK("https://esbl.nhlbi.nih.gov/Databases/mpkFractions/proteomic_fractions_log_files/Yang_log_img/47059206.jpg","show blot")</f>
        <v>show blot</v>
      </c>
      <c r="H6391" s="8" t="str">
        <f>HYPERLINK("https://esbl.nhlbi.nih.gov/Databases/mpkFractions/proteomic_fractions_linear_files/Yang_linear_img/47059206.jpg","show blot")</f>
        <v>show blot</v>
      </c>
      <c r="J6391" s="5" t="s">
        <v>12563</v>
      </c>
      <c r="L6391" s="11">
        <v>4.0323377846735342</v>
      </c>
      <c r="N6391" s="12"/>
    </row>
    <row r="6392" spans="1:14" s="5" customFormat="1" ht="15" customHeight="1" x14ac:dyDescent="0.25">
      <c r="A6392" s="9" t="s">
        <v>12564</v>
      </c>
      <c r="C6392" s="9" t="str">
        <f>HYPERLINK("http://www.ncbi.nlm.nih.gov/protein/33563274","Rnf2")</f>
        <v>Rnf2</v>
      </c>
      <c r="D6392" s="10">
        <f t="shared" si="99"/>
        <v>3.4700172749348051</v>
      </c>
      <c r="F6392" s="8" t="str">
        <f>HYPERLINK("https://esbl.nhlbi.nih.gov/Databases/mpkFractions/proteomic_fractions_log_files/Yang_log_img/33563274.jpg","show blot")</f>
        <v>show blot</v>
      </c>
      <c r="H6392" s="8" t="str">
        <f>HYPERLINK("https://esbl.nhlbi.nih.gov/Databases/mpkFractions/proteomic_fractions_linear_files/Yang_linear_img/33563274.jpg","show blot")</f>
        <v>show blot</v>
      </c>
      <c r="J6392" s="5" t="s">
        <v>12565</v>
      </c>
      <c r="L6392" s="11">
        <v>3.4700172749348051</v>
      </c>
      <c r="N6392" s="12"/>
    </row>
    <row r="6393" spans="1:14" s="5" customFormat="1" ht="15" customHeight="1" x14ac:dyDescent="0.25">
      <c r="A6393" s="9" t="s">
        <v>12566</v>
      </c>
      <c r="C6393" s="9" t="str">
        <f>HYPERLINK("http://www.ncbi.nlm.nih.gov/protein/33859829","Rnf20")</f>
        <v>Rnf20</v>
      </c>
      <c r="D6393" s="10">
        <f t="shared" si="99"/>
        <v>4.1678107134099367</v>
      </c>
      <c r="F6393" s="8" t="str">
        <f>HYPERLINK("https://esbl.nhlbi.nih.gov/Databases/mpkFractions/proteomic_fractions_log_files/Yang_log_img/33859829.jpg","show blot")</f>
        <v>show blot</v>
      </c>
      <c r="H6393" s="8" t="str">
        <f>HYPERLINK("https://esbl.nhlbi.nih.gov/Databases/mpkFractions/proteomic_fractions_linear_files/Yang_linear_img/33859829.jpg","show blot")</f>
        <v>show blot</v>
      </c>
      <c r="J6393" s="5" t="s">
        <v>12567</v>
      </c>
      <c r="L6393" s="11">
        <v>4.1678107134099367</v>
      </c>
      <c r="N6393" s="12"/>
    </row>
    <row r="6394" spans="1:14" s="5" customFormat="1" ht="15" customHeight="1" x14ac:dyDescent="0.25">
      <c r="A6394" s="9" t="s">
        <v>12568</v>
      </c>
      <c r="C6394" s="9" t="str">
        <f>HYPERLINK("http://www.ncbi.nlm.nih.gov/protein/309262466","Rnf213")</f>
        <v>Rnf213</v>
      </c>
      <c r="D6394" s="10">
        <f t="shared" si="99"/>
        <v>5.0252551756059756</v>
      </c>
      <c r="F6394" s="8" t="str">
        <f>HYPERLINK("https://esbl.nhlbi.nih.gov/Databases/mpkFractions/proteomic_fractions_log_files/Yang_log_img/309262466.jpg","show blot")</f>
        <v>show blot</v>
      </c>
      <c r="H6394" s="8" t="str">
        <f>HYPERLINK("https://esbl.nhlbi.nih.gov/Databases/mpkFractions/proteomic_fractions_linear_files/Yang_linear_img/309262466.jpg","show blot")</f>
        <v>show blot</v>
      </c>
      <c r="J6394" s="5" t="s">
        <v>12569</v>
      </c>
      <c r="L6394" s="11">
        <v>5.0252551756059756</v>
      </c>
      <c r="N6394" s="12"/>
    </row>
    <row r="6395" spans="1:14" s="5" customFormat="1" ht="15" customHeight="1" x14ac:dyDescent="0.25">
      <c r="A6395" s="9" t="s">
        <v>12570</v>
      </c>
      <c r="C6395" s="9" t="str">
        <f>HYPERLINK("http://www.ncbi.nlm.nih.gov/protein/30520119","Rnf214")</f>
        <v>Rnf214</v>
      </c>
      <c r="D6395" s="10">
        <f t="shared" si="99"/>
        <v>4.0037796343882102</v>
      </c>
      <c r="F6395" s="8" t="str">
        <f>HYPERLINK("https://esbl.nhlbi.nih.gov/Databases/mpkFractions/proteomic_fractions_log_files/Yang_log_img/30520119.jpg","show blot")</f>
        <v>show blot</v>
      </c>
      <c r="H6395" s="8" t="str">
        <f>HYPERLINK("https://esbl.nhlbi.nih.gov/Databases/mpkFractions/proteomic_fractions_linear_files/Yang_linear_img/30520119.jpg","show blot")</f>
        <v>show blot</v>
      </c>
      <c r="J6395" s="5" t="s">
        <v>12571</v>
      </c>
      <c r="L6395" s="11">
        <v>4.0037796343882102</v>
      </c>
      <c r="N6395" s="12"/>
    </row>
    <row r="6396" spans="1:14" s="5" customFormat="1" ht="15" customHeight="1" x14ac:dyDescent="0.25">
      <c r="A6396" s="9" t="s">
        <v>12572</v>
      </c>
      <c r="C6396" s="9" t="str">
        <f>HYPERLINK("http://www.ncbi.nlm.nih.gov/protein/40254409","Rnf31")</f>
        <v>Rnf31</v>
      </c>
      <c r="D6396" s="10">
        <f t="shared" si="99"/>
        <v>3.0456008335873421</v>
      </c>
      <c r="F6396" s="8" t="str">
        <f>HYPERLINK("https://esbl.nhlbi.nih.gov/Databases/mpkFractions/proteomic_fractions_log_files/Yang_log_img/40254409.jpg","show blot")</f>
        <v>show blot</v>
      </c>
      <c r="H6396" s="8" t="str">
        <f>HYPERLINK("https://esbl.nhlbi.nih.gov/Databases/mpkFractions/proteomic_fractions_linear_files/Yang_linear_img/40254409.jpg","show blot")</f>
        <v>show blot</v>
      </c>
      <c r="J6396" s="5" t="s">
        <v>12573</v>
      </c>
      <c r="L6396" s="11">
        <v>3.0456008335873421</v>
      </c>
      <c r="N6396" s="12"/>
    </row>
    <row r="6397" spans="1:14" s="5" customFormat="1" ht="15" customHeight="1" x14ac:dyDescent="0.25">
      <c r="A6397" s="9" t="s">
        <v>12574</v>
      </c>
      <c r="C6397" s="9" t="str">
        <f>HYPERLINK("http://www.ncbi.nlm.nih.gov/protein/229093990","Rnf40")</f>
        <v>Rnf40</v>
      </c>
      <c r="D6397" s="10">
        <f t="shared" si="99"/>
        <v>3.8483845577162321</v>
      </c>
      <c r="F6397" s="8" t="str">
        <f>HYPERLINK("https://esbl.nhlbi.nih.gov/Databases/mpkFractions/proteomic_fractions_log_files/Yang_log_img/229093990.jpg","show blot")</f>
        <v>show blot</v>
      </c>
      <c r="H6397" s="8" t="str">
        <f>HYPERLINK("https://esbl.nhlbi.nih.gov/Databases/mpkFractions/proteomic_fractions_linear_files/Yang_linear_img/229093990.jpg","show blot")</f>
        <v>show blot</v>
      </c>
      <c r="J6397" s="5" t="s">
        <v>12575</v>
      </c>
      <c r="L6397" s="11">
        <v>3.8483845577162321</v>
      </c>
      <c r="N6397" s="12"/>
    </row>
    <row r="6398" spans="1:14" s="5" customFormat="1" ht="15" customHeight="1" x14ac:dyDescent="0.25">
      <c r="A6398" s="9" t="s">
        <v>12576</v>
      </c>
      <c r="C6398" s="9" t="str">
        <f>HYPERLINK("http://www.ncbi.nlm.nih.gov/protein/110625597","Rnf7")</f>
        <v>Rnf7</v>
      </c>
      <c r="D6398" s="10">
        <f t="shared" si="99"/>
        <v>4.6672974326365742</v>
      </c>
      <c r="F6398" s="8" t="str">
        <f>HYPERLINK("https://esbl.nhlbi.nih.gov/Databases/mpkFractions/proteomic_fractions_log_files/Yang_log_img/110625597.jpg","show blot")</f>
        <v>show blot</v>
      </c>
      <c r="H6398" s="8" t="str">
        <f>HYPERLINK("https://esbl.nhlbi.nih.gov/Databases/mpkFractions/proteomic_fractions_linear_files/Yang_linear_img/110625597.jpg","show blot")</f>
        <v>show blot</v>
      </c>
      <c r="J6398" s="5" t="s">
        <v>12577</v>
      </c>
      <c r="L6398" s="11">
        <v>4.6672974326365742</v>
      </c>
      <c r="N6398" s="12"/>
    </row>
    <row r="6399" spans="1:14" s="5" customFormat="1" ht="15" customHeight="1" x14ac:dyDescent="0.25">
      <c r="A6399" s="9" t="s">
        <v>12578</v>
      </c>
      <c r="C6399" s="9" t="str">
        <f>HYPERLINK("http://www.ncbi.nlm.nih.gov/protein/158186608","Rnft2")</f>
        <v>Rnft2</v>
      </c>
      <c r="D6399" s="10">
        <f t="shared" si="99"/>
        <v>4.8609729912348376</v>
      </c>
      <c r="F6399" s="8" t="str">
        <f>HYPERLINK("https://esbl.nhlbi.nih.gov/Databases/mpkFractions/proteomic_fractions_log_files/Yang_log_img/158186608.jpg","show blot")</f>
        <v>show blot</v>
      </c>
      <c r="H6399" s="8" t="str">
        <f>HYPERLINK("https://esbl.nhlbi.nih.gov/Databases/mpkFractions/proteomic_fractions_linear_files/Yang_linear_img/158186608.jpg","show blot")</f>
        <v>show blot</v>
      </c>
      <c r="J6399" s="5" t="s">
        <v>12579</v>
      </c>
      <c r="L6399" s="11">
        <v>4.8609729912348376</v>
      </c>
      <c r="N6399" s="12"/>
    </row>
    <row r="6400" spans="1:14" s="5" customFormat="1" ht="15" customHeight="1" x14ac:dyDescent="0.25">
      <c r="A6400" s="9" t="s">
        <v>12580</v>
      </c>
      <c r="C6400" s="9" t="str">
        <f>HYPERLINK("http://www.ncbi.nlm.nih.gov/protein/158186791","Rnft2")</f>
        <v>Rnft2</v>
      </c>
      <c r="D6400" s="10">
        <f t="shared" si="99"/>
        <v>4.8609729912348376</v>
      </c>
      <c r="F6400" s="8" t="str">
        <f>HYPERLINK("https://esbl.nhlbi.nih.gov/Databases/mpkFractions/proteomic_fractions_log_files/Yang_log_img/158186791.jpg","show blot")</f>
        <v>show blot</v>
      </c>
      <c r="H6400" s="8" t="str">
        <f>HYPERLINK("https://esbl.nhlbi.nih.gov/Databases/mpkFractions/proteomic_fractions_linear_files/Yang_linear_img/158186791.jpg","show blot")</f>
        <v>show blot</v>
      </c>
      <c r="J6400" s="5" t="s">
        <v>12581</v>
      </c>
      <c r="L6400" s="11">
        <v>4.8609729912348376</v>
      </c>
      <c r="N6400" s="12"/>
    </row>
    <row r="6401" spans="1:14" s="5" customFormat="1" ht="15" customHeight="1" x14ac:dyDescent="0.25">
      <c r="A6401" s="9" t="s">
        <v>12582</v>
      </c>
      <c r="C6401" s="9" t="str">
        <f>HYPERLINK("http://www.ncbi.nlm.nih.gov/protein/6755342","Rngtt")</f>
        <v>Rngtt</v>
      </c>
      <c r="D6401" s="10">
        <f t="shared" si="99"/>
        <v>1.5428073918485321</v>
      </c>
      <c r="F6401" s="8" t="str">
        <f>HYPERLINK("https://esbl.nhlbi.nih.gov/Databases/mpkFractions/proteomic_fractions_log_files/Yang_log_img/6755342.jpg","show blot")</f>
        <v>show blot</v>
      </c>
      <c r="H6401" s="8" t="str">
        <f>HYPERLINK("https://esbl.nhlbi.nih.gov/Databases/mpkFractions/proteomic_fractions_linear_files/Yang_linear_img/6755342.jpg","show blot")</f>
        <v>show blot</v>
      </c>
      <c r="J6401" s="5" t="s">
        <v>12583</v>
      </c>
      <c r="L6401" s="11">
        <v>1.5428073918485321</v>
      </c>
      <c r="N6401" s="12"/>
    </row>
    <row r="6402" spans="1:14" s="5" customFormat="1" ht="15" customHeight="1" x14ac:dyDescent="0.25">
      <c r="A6402" s="9" t="s">
        <v>12584</v>
      </c>
      <c r="C6402" s="9" t="str">
        <f>HYPERLINK("http://www.ncbi.nlm.nih.gov/protein/285402659","Rnh1")</f>
        <v>Rnh1</v>
      </c>
      <c r="D6402" s="10">
        <f t="shared" si="99"/>
        <v>6.1223243113172634</v>
      </c>
      <c r="F6402" s="8" t="str">
        <f>HYPERLINK("https://esbl.nhlbi.nih.gov/Databases/mpkFractions/proteomic_fractions_log_files/Yang_log_img/285402659.jpg","show blot")</f>
        <v>show blot</v>
      </c>
      <c r="H6402" s="8" t="str">
        <f>HYPERLINK("https://esbl.nhlbi.nih.gov/Databases/mpkFractions/proteomic_fractions_linear_files/Yang_linear_img/285402659.jpg","show blot")</f>
        <v>show blot</v>
      </c>
      <c r="J6402" s="5" t="s">
        <v>12585</v>
      </c>
      <c r="L6402" s="11">
        <v>6.1223243113172634</v>
      </c>
      <c r="N6402" s="12"/>
    </row>
    <row r="6403" spans="1:14" s="5" customFormat="1" ht="15" customHeight="1" x14ac:dyDescent="0.25">
      <c r="A6403" s="9" t="s">
        <v>12586</v>
      </c>
      <c r="C6403" s="9" t="str">
        <f>HYPERLINK("http://www.ncbi.nlm.nih.gov/protein/31981748","Rnh1")</f>
        <v>Rnh1</v>
      </c>
      <c r="D6403" s="10">
        <f t="shared" si="99"/>
        <v>6.1223243113172634</v>
      </c>
      <c r="F6403" s="8" t="str">
        <f>HYPERLINK("https://esbl.nhlbi.nih.gov/Databases/mpkFractions/proteomic_fractions_log_files/Yang_log_img/31981748.jpg","show blot")</f>
        <v>show blot</v>
      </c>
      <c r="H6403" s="8" t="str">
        <f>HYPERLINK("https://esbl.nhlbi.nih.gov/Databases/mpkFractions/proteomic_fractions_linear_files/Yang_linear_img/31981748.jpg","show blot")</f>
        <v>show blot</v>
      </c>
      <c r="J6403" s="5" t="s">
        <v>12587</v>
      </c>
      <c r="L6403" s="11">
        <v>6.1223243113172634</v>
      </c>
      <c r="N6403" s="12"/>
    </row>
    <row r="6404" spans="1:14" s="5" customFormat="1" ht="15" customHeight="1" x14ac:dyDescent="0.25">
      <c r="A6404" s="9" t="s">
        <v>12588</v>
      </c>
      <c r="C6404" s="9" t="str">
        <f>HYPERLINK("http://www.ncbi.nlm.nih.gov/protein/13385938","Rnmt")</f>
        <v>Rnmt</v>
      </c>
      <c r="D6404" s="10">
        <f t="shared" si="99"/>
        <v>5.0993868365810391</v>
      </c>
      <c r="F6404" s="8" t="str">
        <f>HYPERLINK("https://esbl.nhlbi.nih.gov/Databases/mpkFractions/proteomic_fractions_log_files/Yang_log_img/13385938.jpg","show blot")</f>
        <v>show blot</v>
      </c>
      <c r="H6404" s="8" t="str">
        <f>HYPERLINK("https://esbl.nhlbi.nih.gov/Databases/mpkFractions/proteomic_fractions_linear_files/Yang_linear_img/13385938.jpg","show blot")</f>
        <v>show blot</v>
      </c>
      <c r="J6404" s="5" t="s">
        <v>12589</v>
      </c>
      <c r="L6404" s="11">
        <v>5.0993868365810391</v>
      </c>
      <c r="N6404" s="12"/>
    </row>
    <row r="6405" spans="1:14" s="5" customFormat="1" ht="15" customHeight="1" x14ac:dyDescent="0.25">
      <c r="A6405" s="9" t="s">
        <v>12590</v>
      </c>
      <c r="C6405" s="9" t="str">
        <f>HYPERLINK("http://www.ncbi.nlm.nih.gov/protein/283945577","Rnmt")</f>
        <v>Rnmt</v>
      </c>
      <c r="D6405" s="10">
        <f t="shared" ref="D6405:D6468" si="100">L6405</f>
        <v>5.0993868365810391</v>
      </c>
      <c r="F6405" s="8" t="str">
        <f>HYPERLINK("https://esbl.nhlbi.nih.gov/Databases/mpkFractions/proteomic_fractions_log_files/Yang_log_img/283945577.jpg","show blot")</f>
        <v>show blot</v>
      </c>
      <c r="H6405" s="8" t="str">
        <f>HYPERLINK("https://esbl.nhlbi.nih.gov/Databases/mpkFractions/proteomic_fractions_linear_files/Yang_linear_img/283945577.jpg","show blot")</f>
        <v>show blot</v>
      </c>
      <c r="J6405" s="5" t="s">
        <v>12591</v>
      </c>
      <c r="L6405" s="11">
        <v>5.0993868365810391</v>
      </c>
      <c r="N6405" s="12"/>
    </row>
    <row r="6406" spans="1:14" s="5" customFormat="1" ht="15" customHeight="1" x14ac:dyDescent="0.25">
      <c r="A6406" s="9" t="s">
        <v>12592</v>
      </c>
      <c r="C6406" s="9" t="str">
        <f>HYPERLINK("http://www.ncbi.nlm.nih.gov/protein/166197675","Rnmtl1")</f>
        <v>Rnmtl1</v>
      </c>
      <c r="D6406" s="10">
        <f t="shared" si="100"/>
        <v>2.7736720827011938</v>
      </c>
      <c r="F6406" s="8" t="str">
        <f>HYPERLINK("https://esbl.nhlbi.nih.gov/Databases/mpkFractions/proteomic_fractions_log_files/Yang_log_img/166197675.jpg","show blot")</f>
        <v>show blot</v>
      </c>
      <c r="H6406" s="8" t="str">
        <f>HYPERLINK("https://esbl.nhlbi.nih.gov/Databases/mpkFractions/proteomic_fractions_linear_files/Yang_linear_img/166197675.jpg","show blot")</f>
        <v>show blot</v>
      </c>
      <c r="J6406" s="5" t="s">
        <v>12593</v>
      </c>
      <c r="L6406" s="11">
        <v>2.7736720827011938</v>
      </c>
      <c r="N6406" s="12"/>
    </row>
    <row r="6407" spans="1:14" s="5" customFormat="1" ht="15" customHeight="1" x14ac:dyDescent="0.25">
      <c r="A6407" s="9" t="s">
        <v>12594</v>
      </c>
      <c r="C6407" s="9" t="str">
        <f>HYPERLINK("http://www.ncbi.nlm.nih.gov/protein/227499234","Rnpep")</f>
        <v>Rnpep</v>
      </c>
      <c r="D6407" s="10">
        <f t="shared" si="100"/>
        <v>5.3283825499555428</v>
      </c>
      <c r="F6407" s="8" t="str">
        <f>HYPERLINK("https://esbl.nhlbi.nih.gov/Databases/mpkFractions/proteomic_fractions_log_files/Yang_log_img/227499234.jpg","show blot")</f>
        <v>show blot</v>
      </c>
      <c r="H6407" s="8" t="str">
        <f>HYPERLINK("https://esbl.nhlbi.nih.gov/Databases/mpkFractions/proteomic_fractions_linear_files/Yang_linear_img/227499234.jpg","show blot")</f>
        <v>show blot</v>
      </c>
      <c r="J6407" s="5" t="s">
        <v>12595</v>
      </c>
      <c r="L6407" s="11">
        <v>5.3283825499555428</v>
      </c>
      <c r="N6407" s="12"/>
    </row>
    <row r="6408" spans="1:14" s="5" customFormat="1" ht="15" customHeight="1" x14ac:dyDescent="0.25">
      <c r="A6408" s="9" t="s">
        <v>12596</v>
      </c>
      <c r="C6408" s="9" t="str">
        <f>HYPERLINK("http://www.ncbi.nlm.nih.gov/protein/227499103","Rnpep")</f>
        <v>Rnpep</v>
      </c>
      <c r="D6408" s="10">
        <f t="shared" si="100"/>
        <v>5.3283825499555428</v>
      </c>
      <c r="F6408" s="8" t="str">
        <f>HYPERLINK("https://esbl.nhlbi.nih.gov/Databases/mpkFractions/proteomic_fractions_log_files/Yang_log_img/227499103.jpg","show blot")</f>
        <v>show blot</v>
      </c>
      <c r="H6408" s="8" t="str">
        <f>HYPERLINK("https://esbl.nhlbi.nih.gov/Databases/mpkFractions/proteomic_fractions_linear_files/Yang_linear_img/227499103.jpg","show blot")</f>
        <v>show blot</v>
      </c>
      <c r="J6408" s="5" t="s">
        <v>12597</v>
      </c>
      <c r="L6408" s="11">
        <v>5.3283825499555428</v>
      </c>
      <c r="N6408" s="12"/>
    </row>
    <row r="6409" spans="1:14" s="5" customFormat="1" ht="15" customHeight="1" x14ac:dyDescent="0.25">
      <c r="A6409" s="9" t="s">
        <v>12598</v>
      </c>
      <c r="C6409" s="9" t="str">
        <f>HYPERLINK("http://www.ncbi.nlm.nih.gov/protein/318065085","Rnpepl1")</f>
        <v>Rnpepl1</v>
      </c>
      <c r="D6409" s="10">
        <f t="shared" si="100"/>
        <v>2.641637244657014</v>
      </c>
      <c r="F6409" s="8" t="str">
        <f>HYPERLINK("https://esbl.nhlbi.nih.gov/Databases/mpkFractions/proteomic_fractions_log_files/Yang_log_img/318065085.jpg","show blot")</f>
        <v>show blot</v>
      </c>
      <c r="H6409" s="8" t="str">
        <f>HYPERLINK("https://esbl.nhlbi.nih.gov/Databases/mpkFractions/proteomic_fractions_linear_files/Yang_linear_img/318065085.jpg","show blot")</f>
        <v>show blot</v>
      </c>
      <c r="J6409" s="5" t="s">
        <v>12599</v>
      </c>
      <c r="L6409" s="11">
        <v>2.641637244657014</v>
      </c>
      <c r="N6409" s="12"/>
    </row>
    <row r="6410" spans="1:14" s="5" customFormat="1" ht="15" customHeight="1" x14ac:dyDescent="0.25">
      <c r="A6410" s="9" t="s">
        <v>12600</v>
      </c>
      <c r="C6410" s="9" t="str">
        <f>HYPERLINK("http://www.ncbi.nlm.nih.gov/protein/121674793","Rnps1")</f>
        <v>Rnps1</v>
      </c>
      <c r="D6410" s="10">
        <f t="shared" si="100"/>
        <v>4.6245065170333453</v>
      </c>
      <c r="F6410" s="8" t="str">
        <f>HYPERLINK("https://esbl.nhlbi.nih.gov/Databases/mpkFractions/proteomic_fractions_log_files/Yang_log_img/121674793.jpg","show blot")</f>
        <v>show blot</v>
      </c>
      <c r="H6410" s="8" t="str">
        <f>HYPERLINK("https://esbl.nhlbi.nih.gov/Databases/mpkFractions/proteomic_fractions_linear_files/Yang_linear_img/121674793.jpg","show blot")</f>
        <v>show blot</v>
      </c>
      <c r="J6410" s="5" t="s">
        <v>12601</v>
      </c>
      <c r="L6410" s="11">
        <v>4.6245065170333453</v>
      </c>
      <c r="N6410" s="12"/>
    </row>
    <row r="6411" spans="1:14" s="5" customFormat="1" ht="15" customHeight="1" x14ac:dyDescent="0.25">
      <c r="A6411" s="9" t="s">
        <v>12602</v>
      </c>
      <c r="C6411" s="9" t="str">
        <f>HYPERLINK("http://www.ncbi.nlm.nih.gov/protein/121674799","Rnps1")</f>
        <v>Rnps1</v>
      </c>
      <c r="D6411" s="10">
        <f t="shared" si="100"/>
        <v>4.6245065170333453</v>
      </c>
      <c r="F6411" s="8" t="str">
        <f>HYPERLINK("https://esbl.nhlbi.nih.gov/Databases/mpkFractions/proteomic_fractions_log_files/Yang_log_img/121674799.jpg","show blot")</f>
        <v>show blot</v>
      </c>
      <c r="H6411" s="8" t="str">
        <f>HYPERLINK("https://esbl.nhlbi.nih.gov/Databases/mpkFractions/proteomic_fractions_linear_files/Yang_linear_img/121674799.jpg","show blot")</f>
        <v>show blot</v>
      </c>
      <c r="J6411" s="5" t="s">
        <v>12603</v>
      </c>
      <c r="L6411" s="11">
        <v>4.6245065170333453</v>
      </c>
      <c r="N6411" s="12"/>
    </row>
    <row r="6412" spans="1:14" s="5" customFormat="1" ht="15" customHeight="1" x14ac:dyDescent="0.25">
      <c r="A6412" s="9" t="s">
        <v>12604</v>
      </c>
      <c r="C6412" s="9" t="str">
        <f>HYPERLINK("http://www.ncbi.nlm.nih.gov/protein/6677759","Rock1")</f>
        <v>Rock1</v>
      </c>
      <c r="D6412" s="10">
        <f t="shared" si="100"/>
        <v>4.6408901822239521</v>
      </c>
      <c r="F6412" s="8" t="str">
        <f>HYPERLINK("https://esbl.nhlbi.nih.gov/Databases/mpkFractions/proteomic_fractions_log_files/Yang_log_img/6677759.jpg","show blot")</f>
        <v>show blot</v>
      </c>
      <c r="H6412" s="8" t="str">
        <f>HYPERLINK("https://esbl.nhlbi.nih.gov/Databases/mpkFractions/proteomic_fractions_linear_files/Yang_linear_img/6677759.jpg","show blot")</f>
        <v>show blot</v>
      </c>
      <c r="J6412" s="5" t="s">
        <v>12605</v>
      </c>
      <c r="L6412" s="11">
        <v>4.6408901822239521</v>
      </c>
      <c r="N6412" s="12"/>
    </row>
    <row r="6413" spans="1:14" s="5" customFormat="1" ht="15" customHeight="1" x14ac:dyDescent="0.25">
      <c r="A6413" s="9" t="s">
        <v>12606</v>
      </c>
      <c r="C6413" s="9" t="str">
        <f>HYPERLINK("http://www.ncbi.nlm.nih.gov/protein/134949013","Rock2")</f>
        <v>Rock2</v>
      </c>
      <c r="D6413" s="10">
        <f t="shared" si="100"/>
        <v>5.2571770038029833</v>
      </c>
      <c r="F6413" s="8" t="str">
        <f>HYPERLINK("https://esbl.nhlbi.nih.gov/Databases/mpkFractions/proteomic_fractions_log_files/Yang_log_img/134949013.jpg","show blot")</f>
        <v>show blot</v>
      </c>
      <c r="H6413" s="8" t="str">
        <f>HYPERLINK("https://esbl.nhlbi.nih.gov/Databases/mpkFractions/proteomic_fractions_linear_files/Yang_linear_img/134949013.jpg","show blot")</f>
        <v>show blot</v>
      </c>
      <c r="J6413" s="5" t="s">
        <v>12607</v>
      </c>
      <c r="L6413" s="11">
        <v>5.2571770038029833</v>
      </c>
      <c r="N6413" s="12"/>
    </row>
    <row r="6414" spans="1:14" s="5" customFormat="1" ht="15" customHeight="1" x14ac:dyDescent="0.25">
      <c r="A6414" s="9" t="s">
        <v>12608</v>
      </c>
      <c r="C6414" s="9" t="str">
        <f>HYPERLINK("http://www.ncbi.nlm.nih.gov/protein/119508431","Rogdi")</f>
        <v>Rogdi</v>
      </c>
      <c r="D6414" s="10">
        <f t="shared" si="100"/>
        <v>3.4454016338847371</v>
      </c>
      <c r="F6414" s="8" t="str">
        <f>HYPERLINK("https://esbl.nhlbi.nih.gov/Databases/mpkFractions/proteomic_fractions_log_files/Yang_log_img/119508431.jpg","show blot")</f>
        <v>show blot</v>
      </c>
      <c r="H6414" s="8" t="str">
        <f>HYPERLINK("https://esbl.nhlbi.nih.gov/Databases/mpkFractions/proteomic_fractions_linear_files/Yang_linear_img/119508431.jpg","show blot")</f>
        <v>show blot</v>
      </c>
      <c r="J6414" s="5" t="s">
        <v>12609</v>
      </c>
      <c r="L6414" s="11">
        <v>3.4454016338847371</v>
      </c>
      <c r="N6414" s="12"/>
    </row>
    <row r="6415" spans="1:14" s="5" customFormat="1" ht="15" customHeight="1" x14ac:dyDescent="0.25">
      <c r="A6415" s="9" t="s">
        <v>12610</v>
      </c>
      <c r="C6415" s="9" t="str">
        <f>HYPERLINK("http://www.ncbi.nlm.nih.gov/protein/255958213","Romo1")</f>
        <v>Romo1</v>
      </c>
      <c r="D6415" s="10">
        <f t="shared" si="100"/>
        <v>4.5584264935374321</v>
      </c>
      <c r="F6415" s="8" t="str">
        <f>HYPERLINK("https://esbl.nhlbi.nih.gov/Databases/mpkFractions/proteomic_fractions_log_files/Yang_log_img/255958213.jpg","show blot")</f>
        <v>show blot</v>
      </c>
      <c r="H6415" s="8" t="str">
        <f>HYPERLINK("https://esbl.nhlbi.nih.gov/Databases/mpkFractions/proteomic_fractions_linear_files/Yang_linear_img/255958213.jpg","show blot")</f>
        <v>show blot</v>
      </c>
      <c r="J6415" s="5" t="s">
        <v>12611</v>
      </c>
      <c r="L6415" s="11">
        <v>4.5584264935374321</v>
      </c>
      <c r="N6415" s="12"/>
    </row>
    <row r="6416" spans="1:14" s="5" customFormat="1" ht="15" customHeight="1" x14ac:dyDescent="0.25">
      <c r="A6416" s="9" t="s">
        <v>12612</v>
      </c>
      <c r="C6416" s="9" t="str">
        <f>HYPERLINK("http://www.ncbi.nlm.nih.gov/protein/255958215","Romo1")</f>
        <v>Romo1</v>
      </c>
      <c r="D6416" s="10">
        <f t="shared" si="100"/>
        <v>4.5584264935374321</v>
      </c>
      <c r="F6416" s="8" t="str">
        <f>HYPERLINK("https://esbl.nhlbi.nih.gov/Databases/mpkFractions/proteomic_fractions_log_files/Yang_log_img/255958215.jpg","show blot")</f>
        <v>show blot</v>
      </c>
      <c r="H6416" s="8" t="str">
        <f>HYPERLINK("https://esbl.nhlbi.nih.gov/Databases/mpkFractions/proteomic_fractions_linear_files/Yang_linear_img/255958215.jpg","show blot")</f>
        <v>show blot</v>
      </c>
      <c r="J6416" s="5" t="s">
        <v>12611</v>
      </c>
      <c r="L6416" s="11">
        <v>4.5584264935374321</v>
      </c>
      <c r="N6416" s="12"/>
    </row>
    <row r="6417" spans="1:14" s="5" customFormat="1" ht="15" customHeight="1" x14ac:dyDescent="0.25">
      <c r="A6417" s="9" t="s">
        <v>12613</v>
      </c>
      <c r="C6417" s="9" t="str">
        <f>HYPERLINK("http://www.ncbi.nlm.nih.gov/protein/255958213;255958215","Romo1")</f>
        <v>Romo1</v>
      </c>
      <c r="D6417" s="10">
        <f t="shared" si="100"/>
        <v>4.5584264935374321</v>
      </c>
      <c r="F6417" s="8" t="str">
        <f>HYPERLINK("https://esbl.nhlbi.nih.gov/Databases/mpkFractions/proteomic_fractions_log_files/Yang_log_img/255958213;255958215.jpg","show blot")</f>
        <v>show blot</v>
      </c>
      <c r="H6417" s="8" t="str">
        <f>HYPERLINK("https://esbl.nhlbi.nih.gov/Databases/mpkFractions/proteomic_fractions_linear_files/Yang_linear_img/255958213;255958215.jpg","show blot")</f>
        <v>show blot</v>
      </c>
      <c r="J6417" s="5" t="s">
        <v>12611</v>
      </c>
      <c r="L6417" s="11">
        <v>4.5584264935374321</v>
      </c>
      <c r="N6417" s="12"/>
    </row>
    <row r="6418" spans="1:14" s="5" customFormat="1" ht="15" customHeight="1" x14ac:dyDescent="0.25">
      <c r="A6418" s="9" t="s">
        <v>12614</v>
      </c>
      <c r="C6418" s="9" t="str">
        <f>HYPERLINK("http://www.ncbi.nlm.nih.gov/protein/19526820","Rp2h")</f>
        <v>Rp2h</v>
      </c>
      <c r="D6418" s="10">
        <f t="shared" si="100"/>
        <v>4.3012949730590408</v>
      </c>
      <c r="F6418" s="8" t="str">
        <f>HYPERLINK("https://esbl.nhlbi.nih.gov/Databases/mpkFractions/proteomic_fractions_log_files/Yang_log_img/19526820.jpg","show blot")</f>
        <v>show blot</v>
      </c>
      <c r="H6418" s="8" t="str">
        <f>HYPERLINK("https://esbl.nhlbi.nih.gov/Databases/mpkFractions/proteomic_fractions_linear_files/Yang_linear_img/19526820.jpg","show blot")</f>
        <v>show blot</v>
      </c>
      <c r="J6418" s="5" t="s">
        <v>12615</v>
      </c>
      <c r="L6418" s="11">
        <v>4.3012949730590408</v>
      </c>
      <c r="N6418" s="12"/>
    </row>
    <row r="6419" spans="1:14" s="5" customFormat="1" ht="15" customHeight="1" x14ac:dyDescent="0.25">
      <c r="A6419" s="9" t="s">
        <v>12616</v>
      </c>
      <c r="C6419" s="9" t="str">
        <f>HYPERLINK("http://www.ncbi.nlm.nih.gov/protein/9055300","Rp9")</f>
        <v>Rp9</v>
      </c>
      <c r="D6419" s="10">
        <f t="shared" si="100"/>
        <v>2.7789846196722938</v>
      </c>
      <c r="F6419" s="8" t="str">
        <f>HYPERLINK("https://esbl.nhlbi.nih.gov/Databases/mpkFractions/proteomic_fractions_log_files/Yang_log_img/9055300.jpg","show blot")</f>
        <v>show blot</v>
      </c>
      <c r="H6419" s="8" t="str">
        <f>HYPERLINK("https://esbl.nhlbi.nih.gov/Databases/mpkFractions/proteomic_fractions_linear_files/Yang_linear_img/9055300.jpg","show blot")</f>
        <v>show blot</v>
      </c>
      <c r="J6419" s="5" t="s">
        <v>12617</v>
      </c>
      <c r="L6419" s="11">
        <v>2.7789846196722938</v>
      </c>
      <c r="N6419" s="12"/>
    </row>
    <row r="6420" spans="1:14" s="5" customFormat="1" ht="15" customHeight="1" x14ac:dyDescent="0.25">
      <c r="A6420" s="9" t="s">
        <v>12618</v>
      </c>
      <c r="C6420" s="9" t="str">
        <f>HYPERLINK("http://www.ncbi.nlm.nih.gov/protein/18390321","Rpa1")</f>
        <v>Rpa1</v>
      </c>
      <c r="D6420" s="10">
        <f t="shared" si="100"/>
        <v>5.6060154764304286</v>
      </c>
      <c r="F6420" s="8" t="str">
        <f>HYPERLINK("https://esbl.nhlbi.nih.gov/Databases/mpkFractions/proteomic_fractions_log_files/Yang_log_img/18390321.jpg","show blot")</f>
        <v>show blot</v>
      </c>
      <c r="H6420" s="8" t="str">
        <f>HYPERLINK("https://esbl.nhlbi.nih.gov/Databases/mpkFractions/proteomic_fractions_linear_files/Yang_linear_img/18390321.jpg","show blot")</f>
        <v>show blot</v>
      </c>
      <c r="J6420" s="5" t="s">
        <v>12619</v>
      </c>
      <c r="L6420" s="11">
        <v>5.6060154764304286</v>
      </c>
      <c r="N6420" s="12"/>
    </row>
    <row r="6421" spans="1:14" s="5" customFormat="1" ht="15" customHeight="1" x14ac:dyDescent="0.25">
      <c r="A6421" s="9" t="s">
        <v>12620</v>
      </c>
      <c r="C6421" s="9" t="str">
        <f>HYPERLINK("http://www.ncbi.nlm.nih.gov/protein/255982530","Rpa1")</f>
        <v>Rpa1</v>
      </c>
      <c r="D6421" s="10">
        <f t="shared" si="100"/>
        <v>5.6060154764304286</v>
      </c>
      <c r="F6421" s="8" t="str">
        <f>HYPERLINK("https://esbl.nhlbi.nih.gov/Databases/mpkFractions/proteomic_fractions_log_files/Yang_log_img/255982530.jpg","show blot")</f>
        <v>show blot</v>
      </c>
      <c r="H6421" s="8" t="str">
        <f>HYPERLINK("https://esbl.nhlbi.nih.gov/Databases/mpkFractions/proteomic_fractions_linear_files/Yang_linear_img/255982530.jpg","show blot")</f>
        <v>show blot</v>
      </c>
      <c r="J6421" s="5" t="s">
        <v>12621</v>
      </c>
      <c r="L6421" s="11">
        <v>5.6060154764304286</v>
      </c>
      <c r="N6421" s="12"/>
    </row>
    <row r="6422" spans="1:14" s="5" customFormat="1" ht="15" customHeight="1" x14ac:dyDescent="0.25">
      <c r="A6422" s="9" t="s">
        <v>12622</v>
      </c>
      <c r="C6422" s="9" t="str">
        <f>HYPERLINK("http://www.ncbi.nlm.nih.gov/protein/110625961","Rpa2")</f>
        <v>Rpa2</v>
      </c>
      <c r="D6422" s="10">
        <f t="shared" si="100"/>
        <v>5.4812922831270861</v>
      </c>
      <c r="F6422" s="8" t="str">
        <f>HYPERLINK("https://esbl.nhlbi.nih.gov/Databases/mpkFractions/proteomic_fractions_log_files/Yang_log_img/110625961.jpg","show blot")</f>
        <v>show blot</v>
      </c>
      <c r="H6422" s="8" t="str">
        <f>HYPERLINK("https://esbl.nhlbi.nih.gov/Databases/mpkFractions/proteomic_fractions_linear_files/Yang_linear_img/110625961.jpg","show blot")</f>
        <v>show blot</v>
      </c>
      <c r="J6422" s="5" t="s">
        <v>12623</v>
      </c>
      <c r="L6422" s="11">
        <v>5.4812922831270861</v>
      </c>
      <c r="N6422" s="12"/>
    </row>
    <row r="6423" spans="1:14" s="5" customFormat="1" ht="15" customHeight="1" x14ac:dyDescent="0.25">
      <c r="A6423" s="9" t="s">
        <v>12624</v>
      </c>
      <c r="C6423" s="9" t="str">
        <f>HYPERLINK("http://www.ncbi.nlm.nih.gov/protein/13386122","Rpa3")</f>
        <v>Rpa3</v>
      </c>
      <c r="D6423" s="10">
        <f t="shared" si="100"/>
        <v>5.4133328624979198</v>
      </c>
      <c r="F6423" s="8" t="str">
        <f>HYPERLINK("https://esbl.nhlbi.nih.gov/Databases/mpkFractions/proteomic_fractions_log_files/Yang_log_img/13386122.jpg","show blot")</f>
        <v>show blot</v>
      </c>
      <c r="H6423" s="8" t="str">
        <f>HYPERLINK("https://esbl.nhlbi.nih.gov/Databases/mpkFractions/proteomic_fractions_linear_files/Yang_linear_img/13386122.jpg","show blot")</f>
        <v>show blot</v>
      </c>
      <c r="J6423" s="5" t="s">
        <v>12625</v>
      </c>
      <c r="L6423" s="11">
        <v>5.4133328624979198</v>
      </c>
      <c r="N6423" s="12"/>
    </row>
    <row r="6424" spans="1:14" s="5" customFormat="1" ht="15" customHeight="1" x14ac:dyDescent="0.25">
      <c r="A6424" s="9" t="s">
        <v>12626</v>
      </c>
      <c r="C6424" s="9" t="str">
        <f>HYPERLINK("http://www.ncbi.nlm.nih.gov/protein/254540043","Rpap2")</f>
        <v>Rpap2</v>
      </c>
      <c r="D6424" s="10">
        <f t="shared" si="100"/>
        <v>3.6248792981195601</v>
      </c>
      <c r="F6424" s="8" t="str">
        <f>HYPERLINK("https://esbl.nhlbi.nih.gov/Databases/mpkFractions/proteomic_fractions_log_files/Yang_log_img/254540043.jpg","show blot")</f>
        <v>show blot</v>
      </c>
      <c r="H6424" s="8" t="str">
        <f>HYPERLINK("https://esbl.nhlbi.nih.gov/Databases/mpkFractions/proteomic_fractions_linear_files/Yang_linear_img/254540043.jpg","show blot")</f>
        <v>show blot</v>
      </c>
      <c r="J6424" s="5" t="s">
        <v>12627</v>
      </c>
      <c r="L6424" s="11">
        <v>3.6248792981195601</v>
      </c>
      <c r="N6424" s="12"/>
    </row>
    <row r="6425" spans="1:14" s="5" customFormat="1" ht="15" customHeight="1" x14ac:dyDescent="0.25">
      <c r="A6425" s="9" t="s">
        <v>12628</v>
      </c>
      <c r="C6425" s="9" t="str">
        <f>HYPERLINK("http://www.ncbi.nlm.nih.gov/protein/254540045","Rpap2")</f>
        <v>Rpap2</v>
      </c>
      <c r="D6425" s="10">
        <f t="shared" si="100"/>
        <v>3.6248792981195601</v>
      </c>
      <c r="F6425" s="8" t="str">
        <f>HYPERLINK("https://esbl.nhlbi.nih.gov/Databases/mpkFractions/proteomic_fractions_log_files/Yang_log_img/254540045.jpg","show blot")</f>
        <v>show blot</v>
      </c>
      <c r="H6425" s="8" t="str">
        <f>HYPERLINK("https://esbl.nhlbi.nih.gov/Databases/mpkFractions/proteomic_fractions_linear_files/Yang_linear_img/254540045.jpg","show blot")</f>
        <v>show blot</v>
      </c>
      <c r="J6425" s="5" t="s">
        <v>12629</v>
      </c>
      <c r="L6425" s="11">
        <v>3.6248792981195601</v>
      </c>
      <c r="N6425" s="12"/>
    </row>
    <row r="6426" spans="1:14" s="5" customFormat="1" ht="15" customHeight="1" x14ac:dyDescent="0.25">
      <c r="A6426" s="9" t="s">
        <v>12630</v>
      </c>
      <c r="C6426" s="9" t="str">
        <f>HYPERLINK("http://www.ncbi.nlm.nih.gov/protein/13386276","Rpap3")</f>
        <v>Rpap3</v>
      </c>
      <c r="D6426" s="10">
        <f t="shared" si="100"/>
        <v>4.724492443188403</v>
      </c>
      <c r="F6426" s="8" t="str">
        <f>HYPERLINK("https://esbl.nhlbi.nih.gov/Databases/mpkFractions/proteomic_fractions_log_files/Yang_log_img/13386276.jpg","show blot")</f>
        <v>show blot</v>
      </c>
      <c r="H6426" s="8" t="str">
        <f>HYPERLINK("https://esbl.nhlbi.nih.gov/Databases/mpkFractions/proteomic_fractions_linear_files/Yang_linear_img/13386276.jpg","show blot")</f>
        <v>show blot</v>
      </c>
      <c r="J6426" s="5" t="s">
        <v>12631</v>
      </c>
      <c r="L6426" s="11">
        <v>4.724492443188403</v>
      </c>
      <c r="N6426" s="12"/>
    </row>
    <row r="6427" spans="1:14" s="5" customFormat="1" ht="15" customHeight="1" x14ac:dyDescent="0.25">
      <c r="A6427" s="9" t="s">
        <v>12632</v>
      </c>
      <c r="C6427" s="9" t="str">
        <f>HYPERLINK("http://www.ncbi.nlm.nih.gov/protein/27532955","Rpe")</f>
        <v>Rpe</v>
      </c>
      <c r="D6427" s="10">
        <f t="shared" si="100"/>
        <v>5.3842288777201937</v>
      </c>
      <c r="F6427" s="8" t="str">
        <f>HYPERLINK("https://esbl.nhlbi.nih.gov/Databases/mpkFractions/proteomic_fractions_log_files/Yang_log_img/27532955.jpg","show blot")</f>
        <v>show blot</v>
      </c>
      <c r="H6427" s="8" t="str">
        <f>HYPERLINK("https://esbl.nhlbi.nih.gov/Databases/mpkFractions/proteomic_fractions_linear_files/Yang_linear_img/27532955.jpg","show blot")</f>
        <v>show blot</v>
      </c>
      <c r="J6427" s="5" t="s">
        <v>12633</v>
      </c>
      <c r="L6427" s="11">
        <v>5.3842288777201937</v>
      </c>
      <c r="N6427" s="12"/>
    </row>
    <row r="6428" spans="1:14" s="5" customFormat="1" ht="15" customHeight="1" x14ac:dyDescent="0.25">
      <c r="A6428" s="9" t="s">
        <v>12634</v>
      </c>
      <c r="C6428" s="9" t="str">
        <f>HYPERLINK("http://www.ncbi.nlm.nih.gov/protein/94536844","Rpia")</f>
        <v>Rpia</v>
      </c>
      <c r="D6428" s="10">
        <f t="shared" si="100"/>
        <v>4.9700869244545798</v>
      </c>
      <c r="F6428" s="8" t="str">
        <f>HYPERLINK("https://esbl.nhlbi.nih.gov/Databases/mpkFractions/proteomic_fractions_log_files/Yang_log_img/94536844.jpg","show blot")</f>
        <v>show blot</v>
      </c>
      <c r="H6428" s="8" t="str">
        <f>HYPERLINK("https://esbl.nhlbi.nih.gov/Databases/mpkFractions/proteomic_fractions_linear_files/Yang_linear_img/94536844.jpg","show blot")</f>
        <v>show blot</v>
      </c>
      <c r="J6428" s="5" t="s">
        <v>12635</v>
      </c>
      <c r="L6428" s="11">
        <v>4.9700869244545798</v>
      </c>
      <c r="N6428" s="12"/>
    </row>
    <row r="6429" spans="1:14" s="5" customFormat="1" ht="15" customHeight="1" x14ac:dyDescent="0.25">
      <c r="A6429" s="9" t="s">
        <v>12636</v>
      </c>
      <c r="C6429" s="9" t="str">
        <f>HYPERLINK("http://www.ncbi.nlm.nih.gov/protein/16418339","Rpl10")</f>
        <v>Rpl10</v>
      </c>
      <c r="D6429" s="10">
        <f t="shared" si="100"/>
        <v>6.446107018423147</v>
      </c>
      <c r="F6429" s="8" t="str">
        <f>HYPERLINK("https://esbl.nhlbi.nih.gov/Databases/mpkFractions/proteomic_fractions_log_files/Yang_log_img/16418339.jpg","show blot")</f>
        <v>show blot</v>
      </c>
      <c r="H6429" s="8" t="str">
        <f>HYPERLINK("https://esbl.nhlbi.nih.gov/Databases/mpkFractions/proteomic_fractions_linear_files/Yang_linear_img/16418339.jpg","show blot")</f>
        <v>show blot</v>
      </c>
      <c r="J6429" s="5" t="s">
        <v>12637</v>
      </c>
      <c r="L6429" s="11">
        <v>6.446107018423147</v>
      </c>
      <c r="N6429" s="12"/>
    </row>
    <row r="6430" spans="1:14" s="5" customFormat="1" ht="15" customHeight="1" x14ac:dyDescent="0.25">
      <c r="A6430" s="9" t="s">
        <v>12638</v>
      </c>
      <c r="C6430" s="9" t="str">
        <f>HYPERLINK("http://www.ncbi.nlm.nih.gov/protein/255003735","Rpl10a")</f>
        <v>Rpl10a</v>
      </c>
      <c r="D6430" s="10">
        <f t="shared" si="100"/>
        <v>6.7551380568430108</v>
      </c>
      <c r="F6430" s="8" t="str">
        <f>HYPERLINK("https://esbl.nhlbi.nih.gov/Databases/mpkFractions/proteomic_fractions_log_files/Yang_log_img/255003735.jpg","show blot")</f>
        <v>show blot</v>
      </c>
      <c r="H6430" s="8" t="str">
        <f>HYPERLINK("https://esbl.nhlbi.nih.gov/Databases/mpkFractions/proteomic_fractions_linear_files/Yang_linear_img/255003735.jpg","show blot")</f>
        <v>show blot</v>
      </c>
      <c r="J6430" s="5" t="s">
        <v>12639</v>
      </c>
      <c r="L6430" s="11">
        <v>6.7551380568430108</v>
      </c>
      <c r="N6430" s="12"/>
    </row>
    <row r="6431" spans="1:14" s="5" customFormat="1" ht="15" customHeight="1" x14ac:dyDescent="0.25">
      <c r="A6431" s="9" t="s">
        <v>12640</v>
      </c>
      <c r="C6431" s="9" t="str">
        <f>HYPERLINK("http://www.ncbi.nlm.nih.gov/protein/242397462","Rpl10l")</f>
        <v>Rpl10l</v>
      </c>
      <c r="D6431" s="10">
        <f t="shared" si="100"/>
        <v>6.3041697467257896</v>
      </c>
      <c r="F6431" s="8" t="str">
        <f>HYPERLINK("https://esbl.nhlbi.nih.gov/Databases/mpkFractions/proteomic_fractions_log_files/Yang_log_img/242397462.jpg","show blot")</f>
        <v>show blot</v>
      </c>
      <c r="H6431" s="8" t="str">
        <f>HYPERLINK("https://esbl.nhlbi.nih.gov/Databases/mpkFractions/proteomic_fractions_linear_files/Yang_linear_img/242397462.jpg","show blot")</f>
        <v>show blot</v>
      </c>
      <c r="J6431" s="5" t="s">
        <v>12641</v>
      </c>
      <c r="L6431" s="11">
        <v>6.3041697467257896</v>
      </c>
      <c r="N6431" s="12"/>
    </row>
    <row r="6432" spans="1:14" s="5" customFormat="1" ht="15" customHeight="1" x14ac:dyDescent="0.25">
      <c r="A6432" s="9" t="s">
        <v>12642</v>
      </c>
      <c r="C6432" s="9" t="str">
        <f>HYPERLINK("http://www.ncbi.nlm.nih.gov/protein/13385408","Rpl11")</f>
        <v>Rpl11</v>
      </c>
      <c r="D6432" s="10">
        <f t="shared" si="100"/>
        <v>6.4898837676911576</v>
      </c>
      <c r="F6432" s="8" t="str">
        <f>HYPERLINK("https://esbl.nhlbi.nih.gov/Databases/mpkFractions/proteomic_fractions_log_files/Yang_log_img/13385408.jpg","show blot")</f>
        <v>show blot</v>
      </c>
      <c r="H6432" s="8" t="str">
        <f>HYPERLINK("https://esbl.nhlbi.nih.gov/Databases/mpkFractions/proteomic_fractions_linear_files/Yang_linear_img/13385408.jpg","show blot")</f>
        <v>show blot</v>
      </c>
      <c r="J6432" s="5" t="s">
        <v>12643</v>
      </c>
      <c r="L6432" s="11">
        <v>6.4898837676911576</v>
      </c>
      <c r="N6432" s="12"/>
    </row>
    <row r="6433" spans="1:14" s="5" customFormat="1" ht="15" customHeight="1" x14ac:dyDescent="0.25">
      <c r="A6433" s="9" t="s">
        <v>12644</v>
      </c>
      <c r="C6433" s="9" t="str">
        <f>HYPERLINK("http://www.ncbi.nlm.nih.gov/protein/160333553","Rpl12")</f>
        <v>Rpl12</v>
      </c>
      <c r="D6433" s="10">
        <f t="shared" si="100"/>
        <v>6.9065992365670974</v>
      </c>
      <c r="F6433" s="8" t="str">
        <f>HYPERLINK("https://esbl.nhlbi.nih.gov/Databases/mpkFractions/proteomic_fractions_log_files/Yang_log_img/160333553.jpg","show blot")</f>
        <v>show blot</v>
      </c>
      <c r="H6433" s="8" t="str">
        <f>HYPERLINK("https://esbl.nhlbi.nih.gov/Databases/mpkFractions/proteomic_fractions_linear_files/Yang_linear_img/160333553.jpg","show blot")</f>
        <v>show blot</v>
      </c>
      <c r="J6433" s="5" t="s">
        <v>12645</v>
      </c>
      <c r="L6433" s="11">
        <v>6.9065992365670974</v>
      </c>
      <c r="N6433" s="12"/>
    </row>
    <row r="6434" spans="1:14" s="5" customFormat="1" ht="15" customHeight="1" x14ac:dyDescent="0.25">
      <c r="A6434" s="9" t="s">
        <v>12646</v>
      </c>
      <c r="C6434" s="9" t="str">
        <f>HYPERLINK("http://www.ncbi.nlm.nih.gov/protein/33186863","Rpl13")</f>
        <v>Rpl13</v>
      </c>
      <c r="D6434" s="10">
        <f t="shared" si="100"/>
        <v>6.998748731252685</v>
      </c>
      <c r="F6434" s="8" t="str">
        <f>HYPERLINK("https://esbl.nhlbi.nih.gov/Databases/mpkFractions/proteomic_fractions_log_files/Yang_log_img/33186863.jpg","show blot")</f>
        <v>show blot</v>
      </c>
      <c r="H6434" s="8" t="str">
        <f>HYPERLINK("https://esbl.nhlbi.nih.gov/Databases/mpkFractions/proteomic_fractions_linear_files/Yang_linear_img/33186863.jpg","show blot")</f>
        <v>show blot</v>
      </c>
      <c r="J6434" s="5" t="s">
        <v>12647</v>
      </c>
      <c r="L6434" s="11">
        <v>6.998748731252685</v>
      </c>
      <c r="N6434" s="12"/>
    </row>
    <row r="6435" spans="1:14" s="5" customFormat="1" ht="15" customHeight="1" x14ac:dyDescent="0.25">
      <c r="A6435" s="9" t="s">
        <v>12648</v>
      </c>
      <c r="C6435" s="9" t="str">
        <f>HYPERLINK("http://www.ncbi.nlm.nih.gov/protein/31981945","Rpl13a")</f>
        <v>Rpl13a</v>
      </c>
      <c r="D6435" s="10">
        <f t="shared" si="100"/>
        <v>6.8007764030866662</v>
      </c>
      <c r="F6435" s="8" t="str">
        <f>HYPERLINK("https://esbl.nhlbi.nih.gov/Databases/mpkFractions/proteomic_fractions_log_files/Yang_log_img/31981945.jpg","show blot")</f>
        <v>show blot</v>
      </c>
      <c r="H6435" s="8" t="str">
        <f>HYPERLINK("https://esbl.nhlbi.nih.gov/Databases/mpkFractions/proteomic_fractions_linear_files/Yang_linear_img/31981945.jpg","show blot")</f>
        <v>show blot</v>
      </c>
      <c r="J6435" s="5" t="s">
        <v>12649</v>
      </c>
      <c r="L6435" s="11">
        <v>6.8007764030866662</v>
      </c>
      <c r="N6435" s="12"/>
    </row>
    <row r="6436" spans="1:14" s="5" customFormat="1" ht="15" customHeight="1" x14ac:dyDescent="0.25">
      <c r="A6436" s="9" t="s">
        <v>12650</v>
      </c>
      <c r="C6436" s="9" t="str">
        <f>HYPERLINK("http://www.ncbi.nlm.nih.gov/protein/13385472","Rpl14")</f>
        <v>Rpl14</v>
      </c>
      <c r="D6436" s="10">
        <f t="shared" si="100"/>
        <v>6.8537917091008982</v>
      </c>
      <c r="F6436" s="8" t="str">
        <f>HYPERLINK("https://esbl.nhlbi.nih.gov/Databases/mpkFractions/proteomic_fractions_log_files/Yang_log_img/13385472.jpg","show blot")</f>
        <v>show blot</v>
      </c>
      <c r="H6436" s="8" t="str">
        <f>HYPERLINK("https://esbl.nhlbi.nih.gov/Databases/mpkFractions/proteomic_fractions_linear_files/Yang_linear_img/13385472.jpg","show blot")</f>
        <v>show blot</v>
      </c>
      <c r="J6436" s="5" t="s">
        <v>12651</v>
      </c>
      <c r="L6436" s="11">
        <v>6.8537917091008982</v>
      </c>
      <c r="N6436" s="12"/>
    </row>
    <row r="6437" spans="1:14" s="5" customFormat="1" ht="15" customHeight="1" x14ac:dyDescent="0.25">
      <c r="A6437" s="9" t="s">
        <v>12652</v>
      </c>
      <c r="C6437" s="9" t="str">
        <f>HYPERLINK("http://www.ncbi.nlm.nih.gov/protein/13385036","Rpl15")</f>
        <v>Rpl15</v>
      </c>
      <c r="D6437" s="10">
        <f t="shared" si="100"/>
        <v>6.5715283599684113</v>
      </c>
      <c r="F6437" s="8" t="str">
        <f>HYPERLINK("https://esbl.nhlbi.nih.gov/Databases/mpkFractions/proteomic_fractions_log_files/Yang_log_img/13385036.jpg","show blot")</f>
        <v>show blot</v>
      </c>
      <c r="H6437" s="8" t="str">
        <f>HYPERLINK("https://esbl.nhlbi.nih.gov/Databases/mpkFractions/proteomic_fractions_linear_files/Yang_linear_img/13385036.jpg","show blot")</f>
        <v>show blot</v>
      </c>
      <c r="J6437" s="5" t="s">
        <v>12653</v>
      </c>
      <c r="L6437" s="11">
        <v>6.5715283599684113</v>
      </c>
      <c r="N6437" s="12"/>
    </row>
    <row r="6438" spans="1:14" s="5" customFormat="1" ht="15" customHeight="1" x14ac:dyDescent="0.25">
      <c r="A6438" s="9" t="s">
        <v>12654</v>
      </c>
      <c r="C6438" s="9" t="str">
        <f>HYPERLINK("http://www.ncbi.nlm.nih.gov/protein/161484662","Rpl17")</f>
        <v>Rpl17</v>
      </c>
      <c r="D6438" s="10">
        <f t="shared" si="100"/>
        <v>6.7522221249882568</v>
      </c>
      <c r="F6438" s="8" t="str">
        <f>HYPERLINK("https://esbl.nhlbi.nih.gov/Databases/mpkFractions/proteomic_fractions_log_files/Yang_log_img/161484662.jpg","show blot")</f>
        <v>show blot</v>
      </c>
      <c r="H6438" s="8" t="str">
        <f>HYPERLINK("https://esbl.nhlbi.nih.gov/Databases/mpkFractions/proteomic_fractions_linear_files/Yang_linear_img/161484662.jpg","show blot")</f>
        <v>show blot</v>
      </c>
      <c r="J6438" s="5" t="s">
        <v>12655</v>
      </c>
      <c r="L6438" s="11">
        <v>6.7522221249882568</v>
      </c>
      <c r="N6438" s="12"/>
    </row>
    <row r="6439" spans="1:14" s="5" customFormat="1" ht="15" customHeight="1" x14ac:dyDescent="0.25">
      <c r="A6439" s="9" t="s">
        <v>12656</v>
      </c>
      <c r="C6439" s="9" t="str">
        <f>HYPERLINK("http://www.ncbi.nlm.nih.gov/protein/83699424","Rpl18")</f>
        <v>Rpl18</v>
      </c>
      <c r="D6439" s="10">
        <f t="shared" si="100"/>
        <v>6.9406609595276887</v>
      </c>
      <c r="F6439" s="8" t="str">
        <f>HYPERLINK("https://esbl.nhlbi.nih.gov/Databases/mpkFractions/proteomic_fractions_log_files/Yang_log_img/83699424.jpg","show blot")</f>
        <v>show blot</v>
      </c>
      <c r="H6439" s="8" t="str">
        <f>HYPERLINK("https://esbl.nhlbi.nih.gov/Databases/mpkFractions/proteomic_fractions_linear_files/Yang_linear_img/83699424.jpg","show blot")</f>
        <v>show blot</v>
      </c>
      <c r="J6439" s="5" t="s">
        <v>12657</v>
      </c>
      <c r="L6439" s="11">
        <v>6.9406609595276887</v>
      </c>
      <c r="N6439" s="12"/>
    </row>
    <row r="6440" spans="1:14" s="5" customFormat="1" ht="15" customHeight="1" x14ac:dyDescent="0.25">
      <c r="A6440" s="9" t="s">
        <v>12658</v>
      </c>
      <c r="C6440" s="9" t="str">
        <f>HYPERLINK("http://www.ncbi.nlm.nih.gov/protein/58037465","Rpl18a")</f>
        <v>Rpl18a</v>
      </c>
      <c r="D6440" s="10">
        <f t="shared" si="100"/>
        <v>6.7138981449282502</v>
      </c>
      <c r="F6440" s="8" t="str">
        <f>HYPERLINK("https://esbl.nhlbi.nih.gov/Databases/mpkFractions/proteomic_fractions_log_files/Yang_log_img/58037465.jpg","show blot")</f>
        <v>show blot</v>
      </c>
      <c r="H6440" s="8" t="str">
        <f>HYPERLINK("https://esbl.nhlbi.nih.gov/Databases/mpkFractions/proteomic_fractions_linear_files/Yang_linear_img/58037465.jpg","show blot")</f>
        <v>show blot</v>
      </c>
      <c r="J6440" s="5" t="s">
        <v>12659</v>
      </c>
      <c r="L6440" s="11">
        <v>6.7138981449282502</v>
      </c>
      <c r="N6440" s="12"/>
    </row>
    <row r="6441" spans="1:14" s="5" customFormat="1" ht="15" customHeight="1" x14ac:dyDescent="0.25">
      <c r="A6441" s="9" t="s">
        <v>12660</v>
      </c>
      <c r="C6441" s="9" t="str">
        <f>HYPERLINK("http://www.ncbi.nlm.nih.gov/protein/226958653","Rpl19")</f>
        <v>Rpl19</v>
      </c>
      <c r="D6441" s="10">
        <f t="shared" si="100"/>
        <v>6.5976614039612764</v>
      </c>
      <c r="F6441" s="8" t="str">
        <f>HYPERLINK("https://esbl.nhlbi.nih.gov/Databases/mpkFractions/proteomic_fractions_log_files/Yang_log_img/226958653.jpg","show blot")</f>
        <v>show blot</v>
      </c>
      <c r="H6441" s="8" t="str">
        <f>HYPERLINK("https://esbl.nhlbi.nih.gov/Databases/mpkFractions/proteomic_fractions_linear_files/Yang_linear_img/226958653.jpg","show blot")</f>
        <v>show blot</v>
      </c>
      <c r="J6441" s="5" t="s">
        <v>12661</v>
      </c>
      <c r="L6441" s="11">
        <v>6.5976614039612764</v>
      </c>
      <c r="N6441" s="12"/>
    </row>
    <row r="6442" spans="1:14" s="5" customFormat="1" ht="15" customHeight="1" x14ac:dyDescent="0.25">
      <c r="A6442" s="9" t="s">
        <v>12662</v>
      </c>
      <c r="C6442" s="9" t="str">
        <f>HYPERLINK("http://www.ncbi.nlm.nih.gov/protein/226958657","Rpl19")</f>
        <v>Rpl19</v>
      </c>
      <c r="D6442" s="10">
        <f t="shared" si="100"/>
        <v>6.5976614039612764</v>
      </c>
      <c r="F6442" s="8" t="str">
        <f>HYPERLINK("https://esbl.nhlbi.nih.gov/Databases/mpkFractions/proteomic_fractions_log_files/Yang_log_img/226958657.jpg","show blot")</f>
        <v>show blot</v>
      </c>
      <c r="H6442" s="8" t="str">
        <f>HYPERLINK("https://esbl.nhlbi.nih.gov/Databases/mpkFractions/proteomic_fractions_linear_files/Yang_linear_img/226958657.jpg","show blot")</f>
        <v>show blot</v>
      </c>
      <c r="J6442" s="5" t="s">
        <v>12663</v>
      </c>
      <c r="L6442" s="11">
        <v>6.5976614039612764</v>
      </c>
      <c r="N6442" s="12"/>
    </row>
    <row r="6443" spans="1:14" s="5" customFormat="1" ht="15" customHeight="1" x14ac:dyDescent="0.25">
      <c r="A6443" s="9" t="s">
        <v>12664</v>
      </c>
      <c r="C6443" s="9" t="str">
        <f>HYPERLINK("http://www.ncbi.nlm.nih.gov/protein/31560385","Rpl21")</f>
        <v>Rpl21</v>
      </c>
      <c r="D6443" s="10">
        <f t="shared" si="100"/>
        <v>6.7503744217694903</v>
      </c>
      <c r="F6443" s="8" t="str">
        <f>HYPERLINK("https://esbl.nhlbi.nih.gov/Databases/mpkFractions/proteomic_fractions_log_files/Yang_log_img/31560385.jpg","show blot")</f>
        <v>show blot</v>
      </c>
      <c r="H6443" s="8" t="str">
        <f>HYPERLINK("https://esbl.nhlbi.nih.gov/Databases/mpkFractions/proteomic_fractions_linear_files/Yang_linear_img/31560385.jpg","show blot")</f>
        <v>show blot</v>
      </c>
      <c r="J6443" s="5" t="s">
        <v>12665</v>
      </c>
      <c r="L6443" s="11">
        <v>6.7503744217694903</v>
      </c>
      <c r="N6443" s="12"/>
    </row>
    <row r="6444" spans="1:14" s="5" customFormat="1" ht="15" customHeight="1" x14ac:dyDescent="0.25">
      <c r="A6444" s="9" t="s">
        <v>12666</v>
      </c>
      <c r="C6444" s="9" t="str">
        <f>HYPERLINK("http://www.ncbi.nlm.nih.gov/protein/459683845","Rpl22")</f>
        <v>Rpl22</v>
      </c>
      <c r="D6444" s="10">
        <f t="shared" si="100"/>
        <v>6.4407040037740106</v>
      </c>
      <c r="F6444" s="8" t="str">
        <f>HYPERLINK("https://esbl.nhlbi.nih.gov/Databases/mpkFractions/proteomic_fractions_log_files/Yang_log_img/459683845.jpg","show blot")</f>
        <v>show blot</v>
      </c>
      <c r="H6444" s="8" t="str">
        <f>HYPERLINK("https://esbl.nhlbi.nih.gov/Databases/mpkFractions/proteomic_fractions_linear_files/Yang_linear_img/459683845.jpg","show blot")</f>
        <v>show blot</v>
      </c>
      <c r="J6444" s="5" t="s">
        <v>12667</v>
      </c>
      <c r="L6444" s="11">
        <v>6.4407040037740106</v>
      </c>
      <c r="N6444" s="12"/>
    </row>
    <row r="6445" spans="1:14" s="5" customFormat="1" ht="15" customHeight="1" x14ac:dyDescent="0.25">
      <c r="A6445" s="9" t="s">
        <v>12668</v>
      </c>
      <c r="C6445" s="9" t="str">
        <f>HYPERLINK("http://www.ncbi.nlm.nih.gov/protein/459683847","Rpl22")</f>
        <v>Rpl22</v>
      </c>
      <c r="D6445" s="10">
        <f t="shared" si="100"/>
        <v>6.4407040037740106</v>
      </c>
      <c r="F6445" s="8" t="str">
        <f>HYPERLINK("https://esbl.nhlbi.nih.gov/Databases/mpkFractions/proteomic_fractions_log_files/Yang_log_img/459683847.jpg","show blot")</f>
        <v>show blot</v>
      </c>
      <c r="H6445" s="8" t="str">
        <f>HYPERLINK("https://esbl.nhlbi.nih.gov/Databases/mpkFractions/proteomic_fractions_linear_files/Yang_linear_img/459683847.jpg","show blot")</f>
        <v>show blot</v>
      </c>
      <c r="J6445" s="5" t="s">
        <v>12669</v>
      </c>
      <c r="L6445" s="11">
        <v>6.4407040037740106</v>
      </c>
      <c r="N6445" s="12"/>
    </row>
    <row r="6446" spans="1:14" s="5" customFormat="1" ht="15" customHeight="1" x14ac:dyDescent="0.25">
      <c r="A6446" s="9" t="s">
        <v>12670</v>
      </c>
      <c r="C6446" s="9" t="str">
        <f>HYPERLINK("http://www.ncbi.nlm.nih.gov/protein/13386010","Rpl22l1")</f>
        <v>Rpl22l1</v>
      </c>
      <c r="D6446" s="10">
        <f t="shared" si="100"/>
        <v>6.2921273066065133</v>
      </c>
      <c r="F6446" s="8" t="str">
        <f>HYPERLINK("https://esbl.nhlbi.nih.gov/Databases/mpkFractions/proteomic_fractions_log_files/Yang_log_img/13386010.jpg","show blot")</f>
        <v>show blot</v>
      </c>
      <c r="H6446" s="8" t="str">
        <f>HYPERLINK("https://esbl.nhlbi.nih.gov/Databases/mpkFractions/proteomic_fractions_linear_files/Yang_linear_img/13386010.jpg","show blot")</f>
        <v>show blot</v>
      </c>
      <c r="J6446" s="5" t="s">
        <v>12671</v>
      </c>
      <c r="L6446" s="11">
        <v>6.2921273066065133</v>
      </c>
      <c r="N6446" s="12"/>
    </row>
    <row r="6447" spans="1:14" s="5" customFormat="1" ht="15" customHeight="1" x14ac:dyDescent="0.25">
      <c r="A6447" s="9" t="s">
        <v>12672</v>
      </c>
      <c r="C6447" s="9" t="str">
        <f>HYPERLINK("http://www.ncbi.nlm.nih.gov/protein/46430508","Rpl23a")</f>
        <v>Rpl23a</v>
      </c>
      <c r="D6447" s="10">
        <f t="shared" si="100"/>
        <v>7.0202043073274636</v>
      </c>
      <c r="F6447" s="8" t="str">
        <f>HYPERLINK("https://esbl.nhlbi.nih.gov/Databases/mpkFractions/proteomic_fractions_log_files/Yang_log_img/46430508.jpg","show blot")</f>
        <v>show blot</v>
      </c>
      <c r="H6447" s="8" t="str">
        <f>HYPERLINK("https://esbl.nhlbi.nih.gov/Databases/mpkFractions/proteomic_fractions_linear_files/Yang_linear_img/46430508.jpg","show blot")</f>
        <v>show blot</v>
      </c>
      <c r="J6447" s="5" t="s">
        <v>12673</v>
      </c>
      <c r="L6447" s="11">
        <v>7.0202043073274636</v>
      </c>
      <c r="N6447" s="12"/>
    </row>
    <row r="6448" spans="1:14" s="5" customFormat="1" ht="15" customHeight="1" x14ac:dyDescent="0.25">
      <c r="A6448" s="9" t="s">
        <v>12674</v>
      </c>
      <c r="C6448" s="9" t="str">
        <f>HYPERLINK("http://www.ncbi.nlm.nih.gov/protein/18250296","Rpl24")</f>
        <v>Rpl24</v>
      </c>
      <c r="D6448" s="10">
        <f t="shared" si="100"/>
        <v>6.8261526041682679</v>
      </c>
      <c r="F6448" s="8" t="str">
        <f>HYPERLINK("https://esbl.nhlbi.nih.gov/Databases/mpkFractions/proteomic_fractions_log_files/Yang_log_img/18250296.jpg","show blot")</f>
        <v>show blot</v>
      </c>
      <c r="H6448" s="8" t="str">
        <f>HYPERLINK("https://esbl.nhlbi.nih.gov/Databases/mpkFractions/proteomic_fractions_linear_files/Yang_linear_img/18250296.jpg","show blot")</f>
        <v>show blot</v>
      </c>
      <c r="J6448" s="5" t="s">
        <v>12675</v>
      </c>
      <c r="L6448" s="11">
        <v>6.8261526041682679</v>
      </c>
      <c r="N6448" s="12"/>
    </row>
    <row r="6449" spans="1:14" s="5" customFormat="1" ht="15" customHeight="1" x14ac:dyDescent="0.25">
      <c r="A6449" s="9" t="s">
        <v>12676</v>
      </c>
      <c r="C6449" s="9" t="str">
        <f>HYPERLINK("http://www.ncbi.nlm.nih.gov/protein/6677777","Rpl26")</f>
        <v>Rpl26</v>
      </c>
      <c r="D6449" s="10">
        <f t="shared" si="100"/>
        <v>6.8575038052306114</v>
      </c>
      <c r="F6449" s="8" t="str">
        <f>HYPERLINK("https://esbl.nhlbi.nih.gov/Databases/mpkFractions/proteomic_fractions_log_files/Yang_log_img/6677777.jpg","show blot")</f>
        <v>show blot</v>
      </c>
      <c r="H6449" s="8" t="str">
        <f>HYPERLINK("https://esbl.nhlbi.nih.gov/Databases/mpkFractions/proteomic_fractions_linear_files/Yang_linear_img/6677777.jpg","show blot")</f>
        <v>show blot</v>
      </c>
      <c r="J6449" s="5" t="s">
        <v>12677</v>
      </c>
      <c r="L6449" s="11">
        <v>6.8575038052306114</v>
      </c>
      <c r="N6449" s="12"/>
    </row>
    <row r="6450" spans="1:14" s="5" customFormat="1" ht="15" customHeight="1" x14ac:dyDescent="0.25">
      <c r="A6450" s="9" t="s">
        <v>12678</v>
      </c>
      <c r="C6450" s="9" t="str">
        <f>HYPERLINK("http://www.ncbi.nlm.nih.gov/protein/8567400","Rpl27")</f>
        <v>Rpl27</v>
      </c>
      <c r="D6450" s="10">
        <f t="shared" si="100"/>
        <v>6.8571646036461642</v>
      </c>
      <c r="F6450" s="8" t="str">
        <f>HYPERLINK("https://esbl.nhlbi.nih.gov/Databases/mpkFractions/proteomic_fractions_log_files/Yang_log_img/8567400.jpg","show blot")</f>
        <v>show blot</v>
      </c>
      <c r="H6450" s="8" t="str">
        <f>HYPERLINK("https://esbl.nhlbi.nih.gov/Databases/mpkFractions/proteomic_fractions_linear_files/Yang_linear_img/8567400.jpg","show blot")</f>
        <v>show blot</v>
      </c>
      <c r="J6450" s="5" t="s">
        <v>12679</v>
      </c>
      <c r="L6450" s="11">
        <v>6.8571646036461642</v>
      </c>
      <c r="N6450" s="12"/>
    </row>
    <row r="6451" spans="1:14" s="5" customFormat="1" ht="15" customHeight="1" x14ac:dyDescent="0.25">
      <c r="A6451" s="9" t="s">
        <v>12680</v>
      </c>
      <c r="C6451" s="9" t="str">
        <f>HYPERLINK("http://www.ncbi.nlm.nih.gov/protein/31560517","Rpl27a")</f>
        <v>Rpl27a</v>
      </c>
      <c r="D6451" s="10">
        <f t="shared" si="100"/>
        <v>6.8462574478940974</v>
      </c>
      <c r="F6451" s="8" t="str">
        <f>HYPERLINK("https://esbl.nhlbi.nih.gov/Databases/mpkFractions/proteomic_fractions_log_files/Yang_log_img/31560517.jpg","show blot")</f>
        <v>show blot</v>
      </c>
      <c r="H6451" s="8" t="str">
        <f>HYPERLINK("https://esbl.nhlbi.nih.gov/Databases/mpkFractions/proteomic_fractions_linear_files/Yang_linear_img/31560517.jpg","show blot")</f>
        <v>show blot</v>
      </c>
      <c r="J6451" s="5" t="s">
        <v>12681</v>
      </c>
      <c r="L6451" s="11">
        <v>6.8462574478940974</v>
      </c>
      <c r="N6451" s="12"/>
    </row>
    <row r="6452" spans="1:14" s="5" customFormat="1" ht="15" customHeight="1" x14ac:dyDescent="0.25">
      <c r="A6452" s="9" t="s">
        <v>12682</v>
      </c>
      <c r="C6452" s="9" t="str">
        <f>HYPERLINK("http://www.ncbi.nlm.nih.gov/protein/6677779","Rpl28")</f>
        <v>Rpl28</v>
      </c>
      <c r="D6452" s="10">
        <f t="shared" si="100"/>
        <v>6.5058370645775829</v>
      </c>
      <c r="F6452" s="8" t="str">
        <f>HYPERLINK("https://esbl.nhlbi.nih.gov/Databases/mpkFractions/proteomic_fractions_log_files/Yang_log_img/6677779.jpg","show blot")</f>
        <v>show blot</v>
      </c>
      <c r="H6452" s="8" t="str">
        <f>HYPERLINK("https://esbl.nhlbi.nih.gov/Databases/mpkFractions/proteomic_fractions_linear_files/Yang_linear_img/6677779.jpg","show blot")</f>
        <v>show blot</v>
      </c>
      <c r="J6452" s="5" t="s">
        <v>12683</v>
      </c>
      <c r="L6452" s="11">
        <v>6.5058370645775829</v>
      </c>
      <c r="N6452" s="12"/>
    </row>
    <row r="6453" spans="1:14" s="5" customFormat="1" ht="15" customHeight="1" x14ac:dyDescent="0.25">
      <c r="A6453" s="9" t="s">
        <v>12684</v>
      </c>
      <c r="C6453" s="9" t="str">
        <f>HYPERLINK("http://www.ncbi.nlm.nih.gov/protein/255308899","Rpl3")</f>
        <v>Rpl3</v>
      </c>
      <c r="D6453" s="10">
        <f t="shared" si="100"/>
        <v>6.696226661987521</v>
      </c>
      <c r="F6453" s="8" t="str">
        <f>HYPERLINK("https://esbl.nhlbi.nih.gov/Databases/mpkFractions/proteomic_fractions_log_files/Yang_log_img/255308899.jpg","show blot")</f>
        <v>show blot</v>
      </c>
      <c r="H6453" s="8" t="str">
        <f>HYPERLINK("https://esbl.nhlbi.nih.gov/Databases/mpkFractions/proteomic_fractions_linear_files/Yang_linear_img/255308899.jpg","show blot")</f>
        <v>show blot</v>
      </c>
      <c r="J6453" s="5" t="s">
        <v>12685</v>
      </c>
      <c r="L6453" s="11">
        <v>6.696226661987521</v>
      </c>
      <c r="N6453" s="12"/>
    </row>
    <row r="6454" spans="1:14" s="5" customFormat="1" ht="15" customHeight="1" x14ac:dyDescent="0.25">
      <c r="A6454" s="9" t="s">
        <v>12686</v>
      </c>
      <c r="C6454" s="9" t="str">
        <f>HYPERLINK("http://www.ncbi.nlm.nih.gov/protein/6677783","Rpl30")</f>
        <v>Rpl30</v>
      </c>
      <c r="D6454" s="10">
        <f t="shared" si="100"/>
        <v>7.1219700228660567</v>
      </c>
      <c r="F6454" s="8" t="str">
        <f>HYPERLINK("https://esbl.nhlbi.nih.gov/Databases/mpkFractions/proteomic_fractions_log_files/Yang_log_img/6677783.jpg","show blot")</f>
        <v>show blot</v>
      </c>
      <c r="H6454" s="8" t="str">
        <f>HYPERLINK("https://esbl.nhlbi.nih.gov/Databases/mpkFractions/proteomic_fractions_linear_files/Yang_linear_img/6677783.jpg","show blot")</f>
        <v>show blot</v>
      </c>
      <c r="J6454" s="5" t="s">
        <v>12687</v>
      </c>
      <c r="L6454" s="11">
        <v>7.1219700228660567</v>
      </c>
      <c r="N6454" s="12"/>
    </row>
    <row r="6455" spans="1:14" s="5" customFormat="1" ht="15" customHeight="1" x14ac:dyDescent="0.25">
      <c r="A6455" s="9" t="s">
        <v>12688</v>
      </c>
      <c r="C6455" s="9" t="str">
        <f>HYPERLINK("http://www.ncbi.nlm.nih.gov/protein/16716589;356582309","Rpl31")</f>
        <v>Rpl31</v>
      </c>
      <c r="D6455" s="10">
        <f t="shared" si="100"/>
        <v>6.5492898780072464</v>
      </c>
      <c r="F6455" s="8" t="str">
        <f>HYPERLINK("https://esbl.nhlbi.nih.gov/Databases/mpkFractions/proteomic_fractions_log_files/Yang_log_img/16716589;356582309.jpg","show blot")</f>
        <v>show blot</v>
      </c>
      <c r="H6455" s="8" t="str">
        <f>HYPERLINK("https://esbl.nhlbi.nih.gov/Databases/mpkFractions/proteomic_fractions_linear_files/Yang_linear_img/16716589;356582309.jpg","show blot")</f>
        <v>show blot</v>
      </c>
      <c r="J6455" s="5" t="s">
        <v>12689</v>
      </c>
      <c r="L6455" s="11">
        <v>6.5492898780072464</v>
      </c>
      <c r="N6455" s="12"/>
    </row>
    <row r="6456" spans="1:14" s="5" customFormat="1" ht="15" customHeight="1" x14ac:dyDescent="0.25">
      <c r="A6456" s="9" t="s">
        <v>12690</v>
      </c>
      <c r="C6456" s="9" t="str">
        <f>HYPERLINK("http://www.ncbi.nlm.nih.gov/protein/356582309","Rpl31")</f>
        <v>Rpl31</v>
      </c>
      <c r="D6456" s="10">
        <f t="shared" si="100"/>
        <v>6.5492898780072464</v>
      </c>
      <c r="F6456" s="8" t="str">
        <f>HYPERLINK("https://esbl.nhlbi.nih.gov/Databases/mpkFractions/proteomic_fractions_log_files/Yang_log_img/356582309.jpg","show blot")</f>
        <v>show blot</v>
      </c>
      <c r="H6456" s="8" t="str">
        <f>HYPERLINK("https://esbl.nhlbi.nih.gov/Databases/mpkFractions/proteomic_fractions_linear_files/Yang_linear_img/356582309.jpg","show blot")</f>
        <v>show blot</v>
      </c>
      <c r="J6456" s="5" t="s">
        <v>12689</v>
      </c>
      <c r="L6456" s="11">
        <v>6.5492898780072464</v>
      </c>
      <c r="N6456" s="12"/>
    </row>
    <row r="6457" spans="1:14" s="5" customFormat="1" ht="15" customHeight="1" x14ac:dyDescent="0.25">
      <c r="A6457" s="9" t="s">
        <v>12691</v>
      </c>
      <c r="C6457" s="9" t="str">
        <f>HYPERLINK("http://www.ncbi.nlm.nih.gov/protein/386365497","Rpl31-ps12")</f>
        <v>Rpl31-ps12</v>
      </c>
      <c r="D6457" s="10">
        <f t="shared" si="100"/>
        <v>6.0194483924968436</v>
      </c>
      <c r="F6457" s="8" t="str">
        <f>HYPERLINK("https://esbl.nhlbi.nih.gov/Databases/mpkFractions/proteomic_fractions_log_files/Yang_log_img/386365497.jpg","show blot")</f>
        <v>show blot</v>
      </c>
      <c r="H6457" s="8" t="str">
        <f>HYPERLINK("https://esbl.nhlbi.nih.gov/Databases/mpkFractions/proteomic_fractions_linear_files/Yang_linear_img/386365497.jpg","show blot")</f>
        <v>show blot</v>
      </c>
      <c r="J6457" s="5" t="s">
        <v>12692</v>
      </c>
      <c r="L6457" s="11">
        <v>6.0194483924968436</v>
      </c>
      <c r="N6457" s="12"/>
    </row>
    <row r="6458" spans="1:14" s="5" customFormat="1" ht="15" customHeight="1" x14ac:dyDescent="0.25">
      <c r="A6458" s="9" t="s">
        <v>12693</v>
      </c>
      <c r="C6458" s="9" t="str">
        <f>HYPERLINK("http://www.ncbi.nlm.nih.gov/protein/25742730","Rpl32")</f>
        <v>Rpl32</v>
      </c>
      <c r="D6458" s="10">
        <f t="shared" si="100"/>
        <v>6.590959736403657</v>
      </c>
      <c r="F6458" s="8" t="str">
        <f>HYPERLINK("https://esbl.nhlbi.nih.gov/Databases/mpkFractions/proteomic_fractions_log_files/Yang_log_img/25742730.jpg","show blot")</f>
        <v>show blot</v>
      </c>
      <c r="H6458" s="8" t="str">
        <f>HYPERLINK("https://esbl.nhlbi.nih.gov/Databases/mpkFractions/proteomic_fractions_linear_files/Yang_linear_img/25742730.jpg","show blot")</f>
        <v>show blot</v>
      </c>
      <c r="J6458" s="5" t="s">
        <v>12694</v>
      </c>
      <c r="L6458" s="11">
        <v>6.590959736403657</v>
      </c>
      <c r="N6458" s="12"/>
    </row>
    <row r="6459" spans="1:14" s="5" customFormat="1" ht="15" customHeight="1" x14ac:dyDescent="0.25">
      <c r="A6459" s="9" t="s">
        <v>12695</v>
      </c>
      <c r="C6459" s="9" t="str">
        <f>HYPERLINK("http://www.ncbi.nlm.nih.gov/protein/55741555","Rpl34")</f>
        <v>Rpl34</v>
      </c>
      <c r="D6459" s="10">
        <f t="shared" si="100"/>
        <v>6.9141470068085678</v>
      </c>
      <c r="F6459" s="8" t="str">
        <f>HYPERLINK("https://esbl.nhlbi.nih.gov/Databases/mpkFractions/proteomic_fractions_log_files/Yang_log_img/55741555.jpg","show blot")</f>
        <v>show blot</v>
      </c>
      <c r="H6459" s="8" t="str">
        <f>HYPERLINK("https://esbl.nhlbi.nih.gov/Databases/mpkFractions/proteomic_fractions_linear_files/Yang_linear_img/55741555.jpg","show blot")</f>
        <v>show blot</v>
      </c>
      <c r="J6459" s="5" t="s">
        <v>12696</v>
      </c>
      <c r="L6459" s="11">
        <v>6.9141470068085678</v>
      </c>
      <c r="N6459" s="12"/>
    </row>
    <row r="6460" spans="1:14" s="5" customFormat="1" ht="15" customHeight="1" x14ac:dyDescent="0.25">
      <c r="A6460" s="9" t="s">
        <v>12697</v>
      </c>
      <c r="C6460" s="9" t="str">
        <f>HYPERLINK("http://www.ncbi.nlm.nih.gov/protein/13385044","Rpl35")</f>
        <v>Rpl35</v>
      </c>
      <c r="D6460" s="10">
        <f t="shared" si="100"/>
        <v>6.555144319536911</v>
      </c>
      <c r="F6460" s="8" t="str">
        <f>HYPERLINK("https://esbl.nhlbi.nih.gov/Databases/mpkFractions/proteomic_fractions_log_files/Yang_log_img/13385044.jpg","show blot")</f>
        <v>show blot</v>
      </c>
      <c r="H6460" s="8" t="str">
        <f>HYPERLINK("https://esbl.nhlbi.nih.gov/Databases/mpkFractions/proteomic_fractions_linear_files/Yang_linear_img/13385044.jpg","show blot")</f>
        <v>show blot</v>
      </c>
      <c r="J6460" s="5" t="s">
        <v>12698</v>
      </c>
      <c r="L6460" s="11">
        <v>6.555144319536911</v>
      </c>
      <c r="N6460" s="12"/>
    </row>
    <row r="6461" spans="1:14" s="5" customFormat="1" ht="15" customHeight="1" x14ac:dyDescent="0.25">
      <c r="A6461" s="9" t="s">
        <v>12699</v>
      </c>
      <c r="C6461" s="9" t="str">
        <f>HYPERLINK("http://www.ncbi.nlm.nih.gov/protein/160333837","Rpl36")</f>
        <v>Rpl36</v>
      </c>
      <c r="D6461" s="10">
        <f t="shared" si="100"/>
        <v>7.0349552216437843</v>
      </c>
      <c r="F6461" s="8" t="str">
        <f>HYPERLINK("https://esbl.nhlbi.nih.gov/Databases/mpkFractions/proteomic_fractions_log_files/Yang_log_img/160333837.jpg","show blot")</f>
        <v>show blot</v>
      </c>
      <c r="H6461" s="8" t="str">
        <f>HYPERLINK("https://esbl.nhlbi.nih.gov/Databases/mpkFractions/proteomic_fractions_linear_files/Yang_linear_img/160333837.jpg","show blot")</f>
        <v>show blot</v>
      </c>
      <c r="J6461" s="5" t="s">
        <v>12700</v>
      </c>
      <c r="L6461" s="11">
        <v>7.0349552216437843</v>
      </c>
      <c r="N6461" s="12"/>
    </row>
    <row r="6462" spans="1:14" s="5" customFormat="1" ht="15" customHeight="1" x14ac:dyDescent="0.25">
      <c r="A6462" s="9" t="s">
        <v>12701</v>
      </c>
      <c r="C6462" s="9" t="str">
        <f>HYPERLINK("http://www.ncbi.nlm.nih.gov/protein/9845295;13385038","Rpl36a")</f>
        <v>Rpl36a</v>
      </c>
      <c r="D6462" s="10">
        <f t="shared" si="100"/>
        <v>6.1572056248881317</v>
      </c>
      <c r="F6462" s="8" t="str">
        <f>HYPERLINK("https://esbl.nhlbi.nih.gov/Databases/mpkFractions/proteomic_fractions_log_files/Yang_log_img/9845295;13385038.jpg","show blot")</f>
        <v>show blot</v>
      </c>
      <c r="H6462" s="8" t="str">
        <f>HYPERLINK("https://esbl.nhlbi.nih.gov/Databases/mpkFractions/proteomic_fractions_linear_files/Yang_linear_img/9845295;13385038.jpg","show blot")</f>
        <v>show blot</v>
      </c>
      <c r="J6462" s="5" t="s">
        <v>12702</v>
      </c>
      <c r="L6462" s="11">
        <v>6.1572056248881317</v>
      </c>
      <c r="N6462" s="12"/>
    </row>
    <row r="6463" spans="1:14" s="5" customFormat="1" ht="15" customHeight="1" x14ac:dyDescent="0.25">
      <c r="A6463" s="9" t="s">
        <v>12703</v>
      </c>
      <c r="C6463" s="9" t="str">
        <f>HYPERLINK("http://www.ncbi.nlm.nih.gov/protein/13385038","Rpl36al")</f>
        <v>Rpl36al</v>
      </c>
      <c r="D6463" s="10">
        <f t="shared" si="100"/>
        <v>5.7474615452186848</v>
      </c>
      <c r="F6463" s="8" t="str">
        <f>HYPERLINK("https://esbl.nhlbi.nih.gov/Databases/mpkFractions/proteomic_fractions_log_files/Yang_log_img/13385038.jpg","show blot")</f>
        <v>show blot</v>
      </c>
      <c r="H6463" s="8" t="str">
        <f>HYPERLINK("https://esbl.nhlbi.nih.gov/Databases/mpkFractions/proteomic_fractions_linear_files/Yang_linear_img/13385038.jpg","show blot")</f>
        <v>show blot</v>
      </c>
      <c r="J6463" s="5" t="s">
        <v>12704</v>
      </c>
      <c r="L6463" s="11">
        <v>5.7474615452186848</v>
      </c>
      <c r="N6463" s="12"/>
    </row>
    <row r="6464" spans="1:14" s="5" customFormat="1" ht="15" customHeight="1" x14ac:dyDescent="0.25">
      <c r="A6464" s="9" t="s">
        <v>12705</v>
      </c>
      <c r="C6464" s="9" t="str">
        <f>HYPERLINK("http://www.ncbi.nlm.nih.gov/protein/6677785","Rpl37a")</f>
        <v>Rpl37a</v>
      </c>
      <c r="D6464" s="10">
        <f t="shared" si="100"/>
        <v>6.0042533042692279</v>
      </c>
      <c r="F6464" s="8" t="str">
        <f>HYPERLINK("https://esbl.nhlbi.nih.gov/Databases/mpkFractions/proteomic_fractions_log_files/Yang_log_img/6677785.jpg","show blot")</f>
        <v>show blot</v>
      </c>
      <c r="H6464" s="8" t="str">
        <f>HYPERLINK("https://esbl.nhlbi.nih.gov/Databases/mpkFractions/proteomic_fractions_linear_files/Yang_linear_img/6677785.jpg","show blot")</f>
        <v>show blot</v>
      </c>
      <c r="J6464" s="5" t="s">
        <v>12706</v>
      </c>
      <c r="L6464" s="11">
        <v>6.0042533042692279</v>
      </c>
      <c r="N6464" s="12"/>
    </row>
    <row r="6465" spans="1:14" s="5" customFormat="1" ht="15" customHeight="1" x14ac:dyDescent="0.25">
      <c r="A6465" s="9" t="s">
        <v>12707</v>
      </c>
      <c r="C6465" s="9" t="str">
        <f>HYPERLINK("http://www.ncbi.nlm.nih.gov/protein/12963655","Rpl38")</f>
        <v>Rpl38</v>
      </c>
      <c r="D6465" s="10">
        <f t="shared" si="100"/>
        <v>6.6572615023403996</v>
      </c>
      <c r="F6465" s="8" t="str">
        <f>HYPERLINK("https://esbl.nhlbi.nih.gov/Databases/mpkFractions/proteomic_fractions_log_files/Yang_log_img/12963655.jpg","show blot")</f>
        <v>show blot</v>
      </c>
      <c r="H6465" s="8" t="str">
        <f>HYPERLINK("https://esbl.nhlbi.nih.gov/Databases/mpkFractions/proteomic_fractions_linear_files/Yang_linear_img/12963655.jpg","show blot")</f>
        <v>show blot</v>
      </c>
      <c r="J6465" s="5" t="s">
        <v>12708</v>
      </c>
      <c r="L6465" s="11">
        <v>6.6572615023403996</v>
      </c>
      <c r="N6465" s="12"/>
    </row>
    <row r="6466" spans="1:14" s="5" customFormat="1" ht="15" customHeight="1" x14ac:dyDescent="0.25">
      <c r="A6466" s="9" t="s">
        <v>12709</v>
      </c>
      <c r="C6466" s="9" t="str">
        <f>HYPERLINK("http://www.ncbi.nlm.nih.gov/protein/13384820","Rpl3l")</f>
        <v>Rpl3l</v>
      </c>
      <c r="D6466" s="10">
        <f t="shared" si="100"/>
        <v>5.3809655182484732</v>
      </c>
      <c r="F6466" s="8" t="str">
        <f>HYPERLINK("https://esbl.nhlbi.nih.gov/Databases/mpkFractions/proteomic_fractions_log_files/Yang_log_img/13384820.jpg","show blot")</f>
        <v>show blot</v>
      </c>
      <c r="H6466" s="8" t="str">
        <f>HYPERLINK("https://esbl.nhlbi.nih.gov/Databases/mpkFractions/proteomic_fractions_linear_files/Yang_linear_img/13384820.jpg","show blot")</f>
        <v>show blot</v>
      </c>
      <c r="J6466" s="5" t="s">
        <v>12710</v>
      </c>
      <c r="L6466" s="11">
        <v>5.3809655182484732</v>
      </c>
      <c r="N6466" s="12"/>
    </row>
    <row r="6467" spans="1:14" s="5" customFormat="1" ht="15" customHeight="1" x14ac:dyDescent="0.25">
      <c r="A6467" s="9" t="s">
        <v>12711</v>
      </c>
      <c r="C6467" s="9" t="str">
        <f>HYPERLINK("http://www.ncbi.nlm.nih.gov/protein/255653009","Rpl3l")</f>
        <v>Rpl3l</v>
      </c>
      <c r="D6467" s="10">
        <f t="shared" si="100"/>
        <v>5.3809655182484732</v>
      </c>
      <c r="F6467" s="8" t="str">
        <f>HYPERLINK("https://esbl.nhlbi.nih.gov/Databases/mpkFractions/proteomic_fractions_log_files/Yang_log_img/255653009.jpg","show blot")</f>
        <v>show blot</v>
      </c>
      <c r="H6467" s="8" t="str">
        <f>HYPERLINK("https://esbl.nhlbi.nih.gov/Databases/mpkFractions/proteomic_fractions_linear_files/Yang_linear_img/255653009.jpg","show blot")</f>
        <v>show blot</v>
      </c>
      <c r="J6467" s="5" t="s">
        <v>12712</v>
      </c>
      <c r="L6467" s="11">
        <v>5.3809655182484732</v>
      </c>
      <c r="N6467" s="12"/>
    </row>
    <row r="6468" spans="1:14" s="5" customFormat="1" ht="15" customHeight="1" x14ac:dyDescent="0.25">
      <c r="A6468" s="9" t="s">
        <v>12713</v>
      </c>
      <c r="C6468" s="9" t="str">
        <f>HYPERLINK("http://www.ncbi.nlm.nih.gov/protein/30794450","Rpl4")</f>
        <v>Rpl4</v>
      </c>
      <c r="D6468" s="10">
        <f t="shared" si="100"/>
        <v>6.9581723714425516</v>
      </c>
      <c r="F6468" s="8" t="str">
        <f>HYPERLINK("https://esbl.nhlbi.nih.gov/Databases/mpkFractions/proteomic_fractions_log_files/Yang_log_img/30794450.jpg","show blot")</f>
        <v>show blot</v>
      </c>
      <c r="H6468" s="8" t="str">
        <f>HYPERLINK("https://esbl.nhlbi.nih.gov/Databases/mpkFractions/proteomic_fractions_linear_files/Yang_linear_img/30794450.jpg","show blot")</f>
        <v>show blot</v>
      </c>
      <c r="J6468" s="5" t="s">
        <v>12714</v>
      </c>
      <c r="L6468" s="11">
        <v>6.9581723714425516</v>
      </c>
      <c r="N6468" s="12"/>
    </row>
    <row r="6469" spans="1:14" s="5" customFormat="1" ht="15" customHeight="1" x14ac:dyDescent="0.25">
      <c r="A6469" s="9" t="s">
        <v>12715</v>
      </c>
      <c r="C6469" s="9" t="str">
        <f>HYPERLINK("http://www.ncbi.nlm.nih.gov/protein/23956082","Rpl5")</f>
        <v>Rpl5</v>
      </c>
      <c r="D6469" s="10">
        <f t="shared" ref="D6469:D6532" si="101">L6469</f>
        <v>6.7847982041605226</v>
      </c>
      <c r="F6469" s="8" t="str">
        <f>HYPERLINK("https://esbl.nhlbi.nih.gov/Databases/mpkFractions/proteomic_fractions_log_files/Yang_log_img/23956082.jpg","show blot")</f>
        <v>show blot</v>
      </c>
      <c r="H6469" s="8" t="str">
        <f>HYPERLINK("https://esbl.nhlbi.nih.gov/Databases/mpkFractions/proteomic_fractions_linear_files/Yang_linear_img/23956082.jpg","show blot")</f>
        <v>show blot</v>
      </c>
      <c r="J6469" s="5" t="s">
        <v>12716</v>
      </c>
      <c r="L6469" s="11">
        <v>6.7847982041605226</v>
      </c>
      <c r="N6469" s="12"/>
    </row>
    <row r="6470" spans="1:14" s="5" customFormat="1" ht="15" customHeight="1" x14ac:dyDescent="0.25">
      <c r="A6470" s="9" t="s">
        <v>12717</v>
      </c>
      <c r="C6470" s="9" t="str">
        <f>HYPERLINK("http://www.ncbi.nlm.nih.gov/protein/84662736","Rpl6")</f>
        <v>Rpl6</v>
      </c>
      <c r="D6470" s="10">
        <f t="shared" si="101"/>
        <v>7.0236814914742816</v>
      </c>
      <c r="F6470" s="8" t="str">
        <f>HYPERLINK("https://esbl.nhlbi.nih.gov/Databases/mpkFractions/proteomic_fractions_log_files/Yang_log_img/84662736.jpg","show blot")</f>
        <v>show blot</v>
      </c>
      <c r="H6470" s="8" t="str">
        <f>HYPERLINK("https://esbl.nhlbi.nih.gov/Databases/mpkFractions/proteomic_fractions_linear_files/Yang_linear_img/84662736.jpg","show blot")</f>
        <v>show blot</v>
      </c>
      <c r="J6470" s="5" t="s">
        <v>12718</v>
      </c>
      <c r="L6470" s="11">
        <v>7.0236814914742816</v>
      </c>
      <c r="N6470" s="12"/>
    </row>
    <row r="6471" spans="1:14" s="5" customFormat="1" ht="15" customHeight="1" x14ac:dyDescent="0.25">
      <c r="A6471" s="9" t="s">
        <v>12719</v>
      </c>
      <c r="C6471" s="9" t="str">
        <f>HYPERLINK("http://www.ncbi.nlm.nih.gov/protein/31981515","Rpl7")</f>
        <v>Rpl7</v>
      </c>
      <c r="D6471" s="10">
        <f t="shared" si="101"/>
        <v>7.088337595156454</v>
      </c>
      <c r="F6471" s="8" t="str">
        <f>HYPERLINK("https://esbl.nhlbi.nih.gov/Databases/mpkFractions/proteomic_fractions_log_files/Yang_log_img/31981515.jpg","show blot")</f>
        <v>show blot</v>
      </c>
      <c r="H6471" s="8" t="str">
        <f>HYPERLINK("https://esbl.nhlbi.nih.gov/Databases/mpkFractions/proteomic_fractions_linear_files/Yang_linear_img/31981515.jpg","show blot")</f>
        <v>show blot</v>
      </c>
      <c r="J6471" s="5" t="s">
        <v>12720</v>
      </c>
      <c r="L6471" s="11">
        <v>7.088337595156454</v>
      </c>
      <c r="N6471" s="12"/>
    </row>
    <row r="6472" spans="1:14" s="5" customFormat="1" ht="15" customHeight="1" x14ac:dyDescent="0.25">
      <c r="A6472" s="9" t="s">
        <v>12721</v>
      </c>
      <c r="C6472" s="9" t="str">
        <f>HYPERLINK("http://www.ncbi.nlm.nih.gov/protein/7305443","Rpl7a")</f>
        <v>Rpl7a</v>
      </c>
      <c r="D6472" s="10">
        <f t="shared" si="101"/>
        <v>6.9921953378829684</v>
      </c>
      <c r="F6472" s="8" t="str">
        <f>HYPERLINK("https://esbl.nhlbi.nih.gov/Databases/mpkFractions/proteomic_fractions_log_files/Yang_log_img/7305443.jpg","show blot")</f>
        <v>show blot</v>
      </c>
      <c r="H6472" s="8" t="str">
        <f>HYPERLINK("https://esbl.nhlbi.nih.gov/Databases/mpkFractions/proteomic_fractions_linear_files/Yang_linear_img/7305443.jpg","show blot")</f>
        <v>show blot</v>
      </c>
      <c r="J6472" s="5" t="s">
        <v>12722</v>
      </c>
      <c r="L6472" s="11">
        <v>6.9921953378829684</v>
      </c>
      <c r="N6472" s="12"/>
    </row>
    <row r="6473" spans="1:14" s="5" customFormat="1" ht="15" customHeight="1" x14ac:dyDescent="0.25">
      <c r="A6473" s="9" t="s">
        <v>12723</v>
      </c>
      <c r="C6473" s="9" t="str">
        <f>HYPERLINK("http://www.ncbi.nlm.nih.gov/protein/27754134","Rpl7l1")</f>
        <v>Rpl7l1</v>
      </c>
      <c r="D6473" s="10">
        <f t="shared" si="101"/>
        <v>3.9523039796739079</v>
      </c>
      <c r="F6473" s="8" t="str">
        <f>HYPERLINK("https://esbl.nhlbi.nih.gov/Databases/mpkFractions/proteomic_fractions_log_files/Yang_log_img/27754134.jpg","show blot")</f>
        <v>show blot</v>
      </c>
      <c r="H6473" s="8" t="str">
        <f>HYPERLINK("https://esbl.nhlbi.nih.gov/Databases/mpkFractions/proteomic_fractions_linear_files/Yang_linear_img/27754134.jpg","show blot")</f>
        <v>show blot</v>
      </c>
      <c r="J6473" s="5" t="s">
        <v>12724</v>
      </c>
      <c r="L6473" s="11">
        <v>3.9523039796739079</v>
      </c>
      <c r="N6473" s="12"/>
    </row>
    <row r="6474" spans="1:14" s="5" customFormat="1" ht="15" customHeight="1" x14ac:dyDescent="0.25">
      <c r="A6474" s="9" t="s">
        <v>12725</v>
      </c>
      <c r="C6474" s="9" t="str">
        <f>HYPERLINK("http://www.ncbi.nlm.nih.gov/protein/6755358","Rpl8")</f>
        <v>Rpl8</v>
      </c>
      <c r="D6474" s="10">
        <f t="shared" si="101"/>
        <v>6.5840755341930164</v>
      </c>
      <c r="F6474" s="8" t="str">
        <f>HYPERLINK("https://esbl.nhlbi.nih.gov/Databases/mpkFractions/proteomic_fractions_log_files/Yang_log_img/6755358.jpg","show blot")</f>
        <v>show blot</v>
      </c>
      <c r="H6474" s="8" t="str">
        <f>HYPERLINK("https://esbl.nhlbi.nih.gov/Databases/mpkFractions/proteomic_fractions_linear_files/Yang_linear_img/6755358.jpg","show blot")</f>
        <v>show blot</v>
      </c>
      <c r="J6474" s="5" t="s">
        <v>12726</v>
      </c>
      <c r="L6474" s="11">
        <v>6.5840755341930164</v>
      </c>
      <c r="N6474" s="12"/>
    </row>
    <row r="6475" spans="1:14" s="5" customFormat="1" ht="15" customHeight="1" x14ac:dyDescent="0.25">
      <c r="A6475" s="9" t="s">
        <v>12727</v>
      </c>
      <c r="C6475" s="9" t="str">
        <f>HYPERLINK("http://www.ncbi.nlm.nih.gov/protein/14149647","Rpl9")</f>
        <v>Rpl9</v>
      </c>
      <c r="D6475" s="10">
        <f t="shared" si="101"/>
        <v>6.7212442555566527</v>
      </c>
      <c r="F6475" s="8" t="str">
        <f>HYPERLINK("https://esbl.nhlbi.nih.gov/Databases/mpkFractions/proteomic_fractions_log_files/Yang_log_img/14149647.jpg","show blot")</f>
        <v>show blot</v>
      </c>
      <c r="H6475" s="8" t="str">
        <f>HYPERLINK("https://esbl.nhlbi.nih.gov/Databases/mpkFractions/proteomic_fractions_linear_files/Yang_linear_img/14149647.jpg","show blot")</f>
        <v>show blot</v>
      </c>
      <c r="J6475" s="5" t="s">
        <v>12728</v>
      </c>
      <c r="L6475" s="11">
        <v>6.7212442555566527</v>
      </c>
      <c r="N6475" s="12"/>
    </row>
    <row r="6476" spans="1:14" s="5" customFormat="1" ht="15" customHeight="1" x14ac:dyDescent="0.25">
      <c r="A6476" s="9" t="s">
        <v>12729</v>
      </c>
      <c r="C6476" s="9" t="str">
        <f>HYPERLINK("http://www.ncbi.nlm.nih.gov/protein/6671569","Rplp0")</f>
        <v>Rplp0</v>
      </c>
      <c r="D6476" s="10">
        <f t="shared" si="101"/>
        <v>6.8506689895536406</v>
      </c>
      <c r="F6476" s="8" t="str">
        <f>HYPERLINK("https://esbl.nhlbi.nih.gov/Databases/mpkFractions/proteomic_fractions_log_files/Yang_log_img/6671569.jpg","show blot")</f>
        <v>show blot</v>
      </c>
      <c r="H6476" s="8" t="str">
        <f>HYPERLINK("https://esbl.nhlbi.nih.gov/Databases/mpkFractions/proteomic_fractions_linear_files/Yang_linear_img/6671569.jpg","show blot")</f>
        <v>show blot</v>
      </c>
      <c r="J6476" s="5" t="s">
        <v>12730</v>
      </c>
      <c r="L6476" s="11">
        <v>6.8506689895536406</v>
      </c>
      <c r="N6476" s="12"/>
    </row>
    <row r="6477" spans="1:14" s="5" customFormat="1" ht="15" customHeight="1" x14ac:dyDescent="0.25">
      <c r="A6477" s="9" t="s">
        <v>12731</v>
      </c>
      <c r="C6477" s="9" t="str">
        <f>HYPERLINK("http://www.ncbi.nlm.nih.gov/protein/9256519","Rplp1")</f>
        <v>Rplp1</v>
      </c>
      <c r="D6477" s="10">
        <f t="shared" si="101"/>
        <v>6.17245464148567</v>
      </c>
      <c r="F6477" s="8" t="str">
        <f>HYPERLINK("https://esbl.nhlbi.nih.gov/Databases/mpkFractions/proteomic_fractions_log_files/Yang_log_img/9256519.jpg","show blot")</f>
        <v>show blot</v>
      </c>
      <c r="H6477" s="8" t="str">
        <f>HYPERLINK("https://esbl.nhlbi.nih.gov/Databases/mpkFractions/proteomic_fractions_linear_files/Yang_linear_img/9256519.jpg","show blot")</f>
        <v>show blot</v>
      </c>
      <c r="J6477" s="5" t="s">
        <v>12732</v>
      </c>
      <c r="L6477" s="11">
        <v>6.17245464148567</v>
      </c>
      <c r="N6477" s="12"/>
    </row>
    <row r="6478" spans="1:14" s="5" customFormat="1" ht="15" customHeight="1" x14ac:dyDescent="0.25">
      <c r="A6478" s="9" t="s">
        <v>12733</v>
      </c>
      <c r="C6478" s="9" t="str">
        <f>HYPERLINK("http://www.ncbi.nlm.nih.gov/protein/83745120","Rplp2")</f>
        <v>Rplp2</v>
      </c>
      <c r="D6478" s="10">
        <f t="shared" si="101"/>
        <v>6.8098996309669841</v>
      </c>
      <c r="F6478" s="8" t="str">
        <f>HYPERLINK("https://esbl.nhlbi.nih.gov/Databases/mpkFractions/proteomic_fractions_log_files/Yang_log_img/83745120.jpg","show blot")</f>
        <v>show blot</v>
      </c>
      <c r="H6478" s="8" t="str">
        <f>HYPERLINK("https://esbl.nhlbi.nih.gov/Databases/mpkFractions/proteomic_fractions_linear_files/Yang_linear_img/83745120.jpg","show blot")</f>
        <v>show blot</v>
      </c>
      <c r="J6478" s="5" t="s">
        <v>12734</v>
      </c>
      <c r="L6478" s="11">
        <v>6.8098996309669841</v>
      </c>
      <c r="N6478" s="12"/>
    </row>
    <row r="6479" spans="1:14" s="5" customFormat="1" ht="15" customHeight="1" x14ac:dyDescent="0.25">
      <c r="A6479" s="9" t="s">
        <v>12735</v>
      </c>
      <c r="C6479" s="9" t="str">
        <f>HYPERLINK("http://www.ncbi.nlm.nih.gov/protein/282398108","Rpn1")</f>
        <v>Rpn1</v>
      </c>
      <c r="D6479" s="10">
        <f t="shared" si="101"/>
        <v>6.1606360262083877</v>
      </c>
      <c r="F6479" s="8" t="str">
        <f>HYPERLINK("https://esbl.nhlbi.nih.gov/Databases/mpkFractions/proteomic_fractions_log_files/Yang_log_img/282398108.jpg","show blot")</f>
        <v>show blot</v>
      </c>
      <c r="H6479" s="8" t="str">
        <f>HYPERLINK("https://esbl.nhlbi.nih.gov/Databases/mpkFractions/proteomic_fractions_linear_files/Yang_linear_img/282398108.jpg","show blot")</f>
        <v>show blot</v>
      </c>
      <c r="J6479" s="5" t="s">
        <v>12736</v>
      </c>
      <c r="L6479" s="11">
        <v>6.1606360262083877</v>
      </c>
      <c r="N6479" s="12"/>
    </row>
    <row r="6480" spans="1:14" s="5" customFormat="1" ht="15" customHeight="1" x14ac:dyDescent="0.25">
      <c r="A6480" s="9" t="s">
        <v>12737</v>
      </c>
      <c r="C6480" s="9" t="str">
        <f>HYPERLINK("http://www.ncbi.nlm.nih.gov/protein/34996495","Rpn2")</f>
        <v>Rpn2</v>
      </c>
      <c r="D6480" s="10">
        <f t="shared" si="101"/>
        <v>6.0515154148753227</v>
      </c>
      <c r="F6480" s="8" t="str">
        <f>HYPERLINK("https://esbl.nhlbi.nih.gov/Databases/mpkFractions/proteomic_fractions_log_files/Yang_log_img/34996495.jpg","show blot")</f>
        <v>show blot</v>
      </c>
      <c r="H6480" s="8" t="str">
        <f>HYPERLINK("https://esbl.nhlbi.nih.gov/Databases/mpkFractions/proteomic_fractions_linear_files/Yang_linear_img/34996495.jpg","show blot")</f>
        <v>show blot</v>
      </c>
      <c r="J6480" s="5" t="s">
        <v>12738</v>
      </c>
      <c r="L6480" s="11">
        <v>6.0515154148753227</v>
      </c>
      <c r="N6480" s="12"/>
    </row>
    <row r="6481" spans="1:14" s="5" customFormat="1" ht="15" customHeight="1" x14ac:dyDescent="0.25">
      <c r="A6481" s="9" t="s">
        <v>12739</v>
      </c>
      <c r="C6481" s="9" t="str">
        <f>HYPERLINK("http://www.ncbi.nlm.nih.gov/protein/13385432","Rpp14")</f>
        <v>Rpp14</v>
      </c>
      <c r="D6481" s="10">
        <f t="shared" si="101"/>
        <v>3.4345516850309359</v>
      </c>
      <c r="F6481" s="8" t="str">
        <f>HYPERLINK("https://esbl.nhlbi.nih.gov/Databases/mpkFractions/proteomic_fractions_log_files/Yang_log_img/13385432.jpg","show blot")</f>
        <v>show blot</v>
      </c>
      <c r="H6481" s="8" t="str">
        <f>HYPERLINK("https://esbl.nhlbi.nih.gov/Databases/mpkFractions/proteomic_fractions_linear_files/Yang_linear_img/13385432.jpg","show blot")</f>
        <v>show blot</v>
      </c>
      <c r="J6481" s="5" t="s">
        <v>12740</v>
      </c>
      <c r="L6481" s="11">
        <v>3.4345516850309359</v>
      </c>
      <c r="N6481" s="12"/>
    </row>
    <row r="6482" spans="1:14" s="5" customFormat="1" ht="15" customHeight="1" x14ac:dyDescent="0.25">
      <c r="A6482" s="9" t="s">
        <v>12741</v>
      </c>
      <c r="C6482" s="9" t="str">
        <f>HYPERLINK("http://www.ncbi.nlm.nih.gov/protein/13385804","Rpp21")</f>
        <v>Rpp21</v>
      </c>
      <c r="D6482" s="10">
        <f t="shared" si="101"/>
        <v>3.6086106779453151</v>
      </c>
      <c r="F6482" s="8" t="str">
        <f>HYPERLINK("https://esbl.nhlbi.nih.gov/Databases/mpkFractions/proteomic_fractions_log_files/Yang_log_img/13385804.jpg","show blot")</f>
        <v>show blot</v>
      </c>
      <c r="H6482" s="8" t="str">
        <f>HYPERLINK("https://esbl.nhlbi.nih.gov/Databases/mpkFractions/proteomic_fractions_linear_files/Yang_linear_img/13385804.jpg","show blot")</f>
        <v>show blot</v>
      </c>
      <c r="J6482" s="5" t="s">
        <v>12742</v>
      </c>
      <c r="L6482" s="11">
        <v>3.6086106779453151</v>
      </c>
      <c r="N6482" s="12"/>
    </row>
    <row r="6483" spans="1:14" s="5" customFormat="1" ht="15" customHeight="1" x14ac:dyDescent="0.25">
      <c r="A6483" s="9" t="s">
        <v>12743</v>
      </c>
      <c r="C6483" s="9" t="str">
        <f>HYPERLINK("http://www.ncbi.nlm.nih.gov/protein/227430284","Rpp25l")</f>
        <v>Rpp25l</v>
      </c>
      <c r="D6483" s="10">
        <f t="shared" si="101"/>
        <v>4.0289358855368027</v>
      </c>
      <c r="F6483" s="8" t="str">
        <f>HYPERLINK("https://esbl.nhlbi.nih.gov/Databases/mpkFractions/proteomic_fractions_log_files/Yang_log_img/227430284.jpg","show blot")</f>
        <v>show blot</v>
      </c>
      <c r="H6483" s="8" t="str">
        <f>HYPERLINK("https://esbl.nhlbi.nih.gov/Databases/mpkFractions/proteomic_fractions_linear_files/Yang_linear_img/227430284.jpg","show blot")</f>
        <v>show blot</v>
      </c>
      <c r="J6483" s="5" t="s">
        <v>12744</v>
      </c>
      <c r="L6483" s="11">
        <v>4.0289358855368027</v>
      </c>
      <c r="N6483" s="12"/>
    </row>
    <row r="6484" spans="1:14" s="5" customFormat="1" ht="15" customHeight="1" x14ac:dyDescent="0.25">
      <c r="A6484" s="9" t="s">
        <v>12745</v>
      </c>
      <c r="C6484" s="9" t="str">
        <f>HYPERLINK("http://www.ncbi.nlm.nih.gov/protein/257196209","Rpp30")</f>
        <v>Rpp30</v>
      </c>
      <c r="D6484" s="10">
        <f t="shared" si="101"/>
        <v>5.0087324631824259</v>
      </c>
      <c r="F6484" s="8" t="str">
        <f>HYPERLINK("https://esbl.nhlbi.nih.gov/Databases/mpkFractions/proteomic_fractions_log_files/Yang_log_img/257196209.jpg","show blot")</f>
        <v>show blot</v>
      </c>
      <c r="H6484" s="8" t="str">
        <f>HYPERLINK("https://esbl.nhlbi.nih.gov/Databases/mpkFractions/proteomic_fractions_linear_files/Yang_linear_img/257196209.jpg","show blot")</f>
        <v>show blot</v>
      </c>
      <c r="J6484" s="5" t="s">
        <v>12746</v>
      </c>
      <c r="L6484" s="11">
        <v>5.0087324631824259</v>
      </c>
      <c r="N6484" s="12"/>
    </row>
    <row r="6485" spans="1:14" s="5" customFormat="1" ht="15" customHeight="1" x14ac:dyDescent="0.25">
      <c r="A6485" s="9" t="s">
        <v>12747</v>
      </c>
      <c r="C6485" s="9" t="str">
        <f>HYPERLINK("http://www.ncbi.nlm.nih.gov/protein/247300905","Rpp38")</f>
        <v>Rpp38</v>
      </c>
      <c r="D6485" s="10">
        <f t="shared" si="101"/>
        <v>4.9918935188693681</v>
      </c>
      <c r="F6485" s="8" t="str">
        <f>HYPERLINK("https://esbl.nhlbi.nih.gov/Databases/mpkFractions/proteomic_fractions_log_files/Yang_log_img/247300905.jpg","show blot")</f>
        <v>show blot</v>
      </c>
      <c r="H6485" s="8" t="str">
        <f>HYPERLINK("https://esbl.nhlbi.nih.gov/Databases/mpkFractions/proteomic_fractions_linear_files/Yang_linear_img/247300905.jpg","show blot")</f>
        <v>show blot</v>
      </c>
      <c r="J6485" s="5" t="s">
        <v>12748</v>
      </c>
      <c r="L6485" s="11">
        <v>4.9918935188693681</v>
      </c>
      <c r="N6485" s="12"/>
    </row>
    <row r="6486" spans="1:14" s="5" customFormat="1" ht="15" customHeight="1" x14ac:dyDescent="0.25">
      <c r="A6486" s="9" t="s">
        <v>12749</v>
      </c>
      <c r="C6486" s="9" t="str">
        <f>HYPERLINK("http://www.ncbi.nlm.nih.gov/protein/172072663","Rpp40")</f>
        <v>Rpp40</v>
      </c>
      <c r="D6486" s="10">
        <f t="shared" si="101"/>
        <v>3.9918999131136541</v>
      </c>
      <c r="F6486" s="8" t="str">
        <f>HYPERLINK("https://esbl.nhlbi.nih.gov/Databases/mpkFractions/proteomic_fractions_log_files/Yang_log_img/172072663.jpg","show blot")</f>
        <v>show blot</v>
      </c>
      <c r="H6486" s="8" t="str">
        <f>HYPERLINK("https://esbl.nhlbi.nih.gov/Databases/mpkFractions/proteomic_fractions_linear_files/Yang_linear_img/172072663.jpg","show blot")</f>
        <v>show blot</v>
      </c>
      <c r="J6486" s="5" t="s">
        <v>12750</v>
      </c>
      <c r="L6486" s="11">
        <v>3.9918999131136541</v>
      </c>
      <c r="N6486" s="12"/>
    </row>
    <row r="6487" spans="1:14" s="5" customFormat="1" ht="15" customHeight="1" x14ac:dyDescent="0.25">
      <c r="A6487" s="9" t="s">
        <v>12751</v>
      </c>
      <c r="C6487" s="9" t="str">
        <f>HYPERLINK("http://www.ncbi.nlm.nih.gov/protein/21450083","Rprd1a")</f>
        <v>Rprd1a</v>
      </c>
      <c r="D6487" s="10">
        <f t="shared" si="101"/>
        <v>4.1149246656879557</v>
      </c>
      <c r="F6487" s="8" t="str">
        <f>HYPERLINK("https://esbl.nhlbi.nih.gov/Databases/mpkFractions/proteomic_fractions_log_files/Yang_log_img/21450083.jpg","show blot")</f>
        <v>show blot</v>
      </c>
      <c r="H6487" s="8" t="str">
        <f>HYPERLINK("https://esbl.nhlbi.nih.gov/Databases/mpkFractions/proteomic_fractions_linear_files/Yang_linear_img/21450083.jpg","show blot")</f>
        <v>show blot</v>
      </c>
      <c r="J6487" s="5" t="s">
        <v>12752</v>
      </c>
      <c r="L6487" s="11">
        <v>4.1149246656879557</v>
      </c>
      <c r="N6487" s="12"/>
    </row>
    <row r="6488" spans="1:14" s="5" customFormat="1" ht="15" customHeight="1" x14ac:dyDescent="0.25">
      <c r="A6488" s="9" t="s">
        <v>12753</v>
      </c>
      <c r="C6488" s="9" t="str">
        <f>HYPERLINK("http://www.ncbi.nlm.nih.gov/protein/34328077","Rprd1b")</f>
        <v>Rprd1b</v>
      </c>
      <c r="D6488" s="10">
        <f t="shared" si="101"/>
        <v>5.8154983699942644</v>
      </c>
      <c r="F6488" s="8" t="str">
        <f>HYPERLINK("https://esbl.nhlbi.nih.gov/Databases/mpkFractions/proteomic_fractions_log_files/Yang_log_img/34328077.jpg","show blot")</f>
        <v>show blot</v>
      </c>
      <c r="H6488" s="8" t="str">
        <f>HYPERLINK("https://esbl.nhlbi.nih.gov/Databases/mpkFractions/proteomic_fractions_linear_files/Yang_linear_img/34328077.jpg","show blot")</f>
        <v>show blot</v>
      </c>
      <c r="J6488" s="5" t="s">
        <v>12754</v>
      </c>
      <c r="L6488" s="11">
        <v>5.8154983699942644</v>
      </c>
      <c r="N6488" s="12"/>
    </row>
    <row r="6489" spans="1:14" s="5" customFormat="1" ht="15" customHeight="1" x14ac:dyDescent="0.25">
      <c r="A6489" s="9" t="s">
        <v>12755</v>
      </c>
      <c r="C6489" s="9" t="str">
        <f>HYPERLINK("http://www.ncbi.nlm.nih.gov/protein/124486841","Rprd2")</f>
        <v>Rprd2</v>
      </c>
      <c r="D6489" s="10">
        <f t="shared" si="101"/>
        <v>3.0261490792345711</v>
      </c>
      <c r="F6489" s="8" t="str">
        <f>HYPERLINK("https://esbl.nhlbi.nih.gov/Databases/mpkFractions/proteomic_fractions_log_files/Yang_log_img/124486841.jpg","show blot")</f>
        <v>show blot</v>
      </c>
      <c r="H6489" s="8" t="str">
        <f>HYPERLINK("https://esbl.nhlbi.nih.gov/Databases/mpkFractions/proteomic_fractions_linear_files/Yang_linear_img/124486841.jpg","show blot")</f>
        <v>show blot</v>
      </c>
      <c r="J6489" s="5" t="s">
        <v>12756</v>
      </c>
      <c r="L6489" s="11">
        <v>3.0261490792345711</v>
      </c>
      <c r="N6489" s="12"/>
    </row>
    <row r="6490" spans="1:14" s="5" customFormat="1" ht="15" customHeight="1" x14ac:dyDescent="0.25">
      <c r="A6490" s="9" t="s">
        <v>12757</v>
      </c>
      <c r="C6490" s="9" t="str">
        <f>HYPERLINK("http://www.ncbi.nlm.nih.gov/protein/13399310","Rps10")</f>
        <v>Rps10</v>
      </c>
      <c r="D6490" s="10">
        <f t="shared" si="101"/>
        <v>6.559689431456766</v>
      </c>
      <c r="F6490" s="8" t="str">
        <f>HYPERLINK("https://esbl.nhlbi.nih.gov/Databases/mpkFractions/proteomic_fractions_log_files/Yang_log_img/13399310.jpg","show blot")</f>
        <v>show blot</v>
      </c>
      <c r="H6490" s="8" t="str">
        <f>HYPERLINK("https://esbl.nhlbi.nih.gov/Databases/mpkFractions/proteomic_fractions_linear_files/Yang_linear_img/13399310.jpg","show blot")</f>
        <v>show blot</v>
      </c>
      <c r="J6490" s="5" t="s">
        <v>12758</v>
      </c>
      <c r="L6490" s="11">
        <v>6.559689431456766</v>
      </c>
      <c r="N6490" s="12"/>
    </row>
    <row r="6491" spans="1:14" s="5" customFormat="1" ht="15" customHeight="1" x14ac:dyDescent="0.25">
      <c r="A6491" s="9" t="s">
        <v>12759</v>
      </c>
      <c r="C6491" s="9" t="str">
        <f>HYPERLINK("http://www.ncbi.nlm.nih.gov/protein/21426889","Rps11")</f>
        <v>Rps11</v>
      </c>
      <c r="D6491" s="10">
        <f t="shared" si="101"/>
        <v>6.8922886986715337</v>
      </c>
      <c r="F6491" s="8" t="str">
        <f>HYPERLINK("https://esbl.nhlbi.nih.gov/Databases/mpkFractions/proteomic_fractions_log_files/Yang_log_img/21426889.jpg","show blot")</f>
        <v>show blot</v>
      </c>
      <c r="H6491" s="8" t="str">
        <f>HYPERLINK("https://esbl.nhlbi.nih.gov/Databases/mpkFractions/proteomic_fractions_linear_files/Yang_linear_img/21426889.jpg","show blot")</f>
        <v>show blot</v>
      </c>
      <c r="J6491" s="5" t="s">
        <v>12760</v>
      </c>
      <c r="L6491" s="11">
        <v>6.8922886986715337</v>
      </c>
      <c r="N6491" s="12"/>
    </row>
    <row r="6492" spans="1:14" s="5" customFormat="1" ht="15" customHeight="1" x14ac:dyDescent="0.25">
      <c r="A6492" s="9" t="s">
        <v>12761</v>
      </c>
      <c r="C6492" s="9" t="str">
        <f>HYPERLINK("http://www.ncbi.nlm.nih.gov/protein/40254577","Rps12")</f>
        <v>Rps12</v>
      </c>
      <c r="D6492" s="10">
        <f t="shared" si="101"/>
        <v>6.8596824340950997</v>
      </c>
      <c r="F6492" s="8" t="str">
        <f>HYPERLINK("https://esbl.nhlbi.nih.gov/Databases/mpkFractions/proteomic_fractions_log_files/Yang_log_img/40254577.jpg","show blot")</f>
        <v>show blot</v>
      </c>
      <c r="H6492" s="8" t="str">
        <f>HYPERLINK("https://esbl.nhlbi.nih.gov/Databases/mpkFractions/proteomic_fractions_linear_files/Yang_linear_img/40254577.jpg","show blot")</f>
        <v>show blot</v>
      </c>
      <c r="J6492" s="5" t="s">
        <v>12762</v>
      </c>
      <c r="L6492" s="11">
        <v>6.8596824340950997</v>
      </c>
      <c r="N6492" s="12"/>
    </row>
    <row r="6493" spans="1:14" s="5" customFormat="1" ht="15" customHeight="1" x14ac:dyDescent="0.25">
      <c r="A6493" s="9" t="s">
        <v>12763</v>
      </c>
      <c r="C6493" s="9" t="str">
        <f>HYPERLINK("http://www.ncbi.nlm.nih.gov/protein/149258592","Rps12l2")</f>
        <v>Rps12l2</v>
      </c>
      <c r="D6493" s="10">
        <f t="shared" si="101"/>
        <v>6.6099749177263014</v>
      </c>
      <c r="F6493" s="8" t="str">
        <f>HYPERLINK("https://esbl.nhlbi.nih.gov/Databases/mpkFractions/proteomic_fractions_log_files/Yang_log_img/149258592.jpg","show blot")</f>
        <v>show blot</v>
      </c>
      <c r="H6493" s="8" t="str">
        <f>HYPERLINK("https://esbl.nhlbi.nih.gov/Databases/mpkFractions/proteomic_fractions_linear_files/Yang_linear_img/149258592.jpg","show blot")</f>
        <v>show blot</v>
      </c>
      <c r="J6493" s="5" t="s">
        <v>5461</v>
      </c>
      <c r="L6493" s="11">
        <v>6.6099749177263014</v>
      </c>
      <c r="N6493" s="12"/>
    </row>
    <row r="6494" spans="1:14" s="5" customFormat="1" ht="15" customHeight="1" x14ac:dyDescent="0.25">
      <c r="A6494" s="9" t="s">
        <v>12764</v>
      </c>
      <c r="C6494" s="9" t="str">
        <f>HYPERLINK("http://www.ncbi.nlm.nih.gov/protein/149250091","Rps12-ps10")</f>
        <v>Rps12-ps10</v>
      </c>
      <c r="D6494" s="10">
        <f t="shared" si="101"/>
        <v>6.8596824340950997</v>
      </c>
      <c r="F6494" s="8" t="str">
        <f>HYPERLINK("https://esbl.nhlbi.nih.gov/Databases/mpkFractions/proteomic_fractions_log_files/Yang_log_img/149250091.jpg","show blot")</f>
        <v>show blot</v>
      </c>
      <c r="H6494" s="8" t="str">
        <f>HYPERLINK("https://esbl.nhlbi.nih.gov/Databases/mpkFractions/proteomic_fractions_linear_files/Yang_linear_img/149250091.jpg","show blot")</f>
        <v>show blot</v>
      </c>
      <c r="J6494" s="5" t="s">
        <v>5461</v>
      </c>
      <c r="L6494" s="11">
        <v>6.8596824340950997</v>
      </c>
      <c r="N6494" s="12"/>
    </row>
    <row r="6495" spans="1:14" s="5" customFormat="1" ht="15" customHeight="1" x14ac:dyDescent="0.25">
      <c r="A6495" s="9" t="s">
        <v>12765</v>
      </c>
      <c r="C6495" s="9" t="str">
        <f>HYPERLINK("http://www.ncbi.nlm.nih.gov/protein/51772387","Rps12-ps11")</f>
        <v>Rps12-ps11</v>
      </c>
      <c r="D6495" s="10">
        <f t="shared" si="101"/>
        <v>6.78195425651304</v>
      </c>
      <c r="F6495" s="8" t="str">
        <f>HYPERLINK("https://esbl.nhlbi.nih.gov/Databases/mpkFractions/proteomic_fractions_log_files/Yang_log_img/51772387.jpg","show blot")</f>
        <v>show blot</v>
      </c>
      <c r="H6495" s="8" t="str">
        <f>HYPERLINK("https://esbl.nhlbi.nih.gov/Databases/mpkFractions/proteomic_fractions_linear_files/Yang_linear_img/51772387.jpg","show blot")</f>
        <v>show blot</v>
      </c>
      <c r="J6495" s="5" t="s">
        <v>5461</v>
      </c>
      <c r="L6495" s="11">
        <v>6.78195425651304</v>
      </c>
      <c r="N6495" s="12"/>
    </row>
    <row r="6496" spans="1:14" s="5" customFormat="1" ht="15" customHeight="1" x14ac:dyDescent="0.25">
      <c r="A6496" s="9" t="s">
        <v>12766</v>
      </c>
      <c r="C6496" s="9" t="str">
        <f>HYPERLINK("http://www.ncbi.nlm.nih.gov/protein/149272239","Rps12-ps16")</f>
        <v>Rps12-ps16</v>
      </c>
      <c r="D6496" s="10">
        <f t="shared" si="101"/>
        <v>6.804084515396398</v>
      </c>
      <c r="F6496" s="8" t="str">
        <f>HYPERLINK("https://esbl.nhlbi.nih.gov/Databases/mpkFractions/proteomic_fractions_log_files/Yang_log_img/149272239.jpg","show blot")</f>
        <v>show blot</v>
      </c>
      <c r="H6496" s="8" t="str">
        <f>HYPERLINK("https://esbl.nhlbi.nih.gov/Databases/mpkFractions/proteomic_fractions_linear_files/Yang_linear_img/149272239.jpg","show blot")</f>
        <v>show blot</v>
      </c>
      <c r="J6496" s="5" t="s">
        <v>12767</v>
      </c>
      <c r="L6496" s="11">
        <v>6.804084515396398</v>
      </c>
      <c r="N6496" s="12"/>
    </row>
    <row r="6497" spans="1:14" s="5" customFormat="1" ht="15" customHeight="1" x14ac:dyDescent="0.25">
      <c r="A6497" s="9" t="s">
        <v>12768</v>
      </c>
      <c r="C6497" s="9" t="str">
        <f>HYPERLINK("http://www.ncbi.nlm.nih.gov/protein/13386034","Rps13")</f>
        <v>Rps13</v>
      </c>
      <c r="D6497" s="10">
        <f t="shared" si="101"/>
        <v>6.8331455056369803</v>
      </c>
      <c r="F6497" s="8" t="str">
        <f>HYPERLINK("https://esbl.nhlbi.nih.gov/Databases/mpkFractions/proteomic_fractions_log_files/Yang_log_img/13386034.jpg","show blot")</f>
        <v>show blot</v>
      </c>
      <c r="H6497" s="8" t="str">
        <f>HYPERLINK("https://esbl.nhlbi.nih.gov/Databases/mpkFractions/proteomic_fractions_linear_files/Yang_linear_img/13386034.jpg","show blot")</f>
        <v>show blot</v>
      </c>
      <c r="J6497" s="5" t="s">
        <v>12769</v>
      </c>
      <c r="L6497" s="11">
        <v>6.8331455056369803</v>
      </c>
      <c r="N6497" s="12"/>
    </row>
    <row r="6498" spans="1:14" s="5" customFormat="1" ht="15" customHeight="1" x14ac:dyDescent="0.25">
      <c r="A6498" s="9" t="s">
        <v>12770</v>
      </c>
      <c r="C6498" s="9" t="str">
        <f>HYPERLINK("http://www.ncbi.nlm.nih.gov/protein/31981100","Rps14")</f>
        <v>Rps14</v>
      </c>
      <c r="D6498" s="10">
        <f t="shared" si="101"/>
        <v>6.9400343681504486</v>
      </c>
      <c r="F6498" s="8" t="str">
        <f>HYPERLINK("https://esbl.nhlbi.nih.gov/Databases/mpkFractions/proteomic_fractions_log_files/Yang_log_img/31981100.jpg","show blot")</f>
        <v>show blot</v>
      </c>
      <c r="H6498" s="8" t="str">
        <f>HYPERLINK("https://esbl.nhlbi.nih.gov/Databases/mpkFractions/proteomic_fractions_linear_files/Yang_linear_img/31981100.jpg","show blot")</f>
        <v>show blot</v>
      </c>
      <c r="J6498" s="5" t="s">
        <v>12771</v>
      </c>
      <c r="L6498" s="11">
        <v>6.9400343681504486</v>
      </c>
      <c r="N6498" s="12"/>
    </row>
    <row r="6499" spans="1:14" s="5" customFormat="1" ht="15" customHeight="1" x14ac:dyDescent="0.25">
      <c r="A6499" s="9" t="s">
        <v>12772</v>
      </c>
      <c r="C6499" s="9" t="str">
        <f>HYPERLINK("http://www.ncbi.nlm.nih.gov/protein/6677799","Rps15")</f>
        <v>Rps15</v>
      </c>
      <c r="D6499" s="10">
        <f t="shared" si="101"/>
        <v>6.1245400623858686</v>
      </c>
      <c r="F6499" s="8" t="str">
        <f>HYPERLINK("https://esbl.nhlbi.nih.gov/Databases/mpkFractions/proteomic_fractions_log_files/Yang_log_img/6677799.jpg","show blot")</f>
        <v>show blot</v>
      </c>
      <c r="H6499" s="8" t="str">
        <f>HYPERLINK("https://esbl.nhlbi.nih.gov/Databases/mpkFractions/proteomic_fractions_linear_files/Yang_linear_img/6677799.jpg","show blot")</f>
        <v>show blot</v>
      </c>
      <c r="J6499" s="5" t="s">
        <v>12773</v>
      </c>
      <c r="L6499" s="11">
        <v>6.1245400623858686</v>
      </c>
      <c r="N6499" s="12"/>
    </row>
    <row r="6500" spans="1:14" s="5" customFormat="1" ht="15" customHeight="1" x14ac:dyDescent="0.25">
      <c r="A6500" s="9" t="s">
        <v>12774</v>
      </c>
      <c r="C6500" s="9" t="str">
        <f>HYPERLINK("http://www.ncbi.nlm.nih.gov/protein/24762230","Rps15a")</f>
        <v>Rps15a</v>
      </c>
      <c r="D6500" s="10">
        <f t="shared" si="101"/>
        <v>6.9738281059205303</v>
      </c>
      <c r="F6500" s="8" t="str">
        <f>HYPERLINK("https://esbl.nhlbi.nih.gov/Databases/mpkFractions/proteomic_fractions_log_files/Yang_log_img/24762230.jpg","show blot")</f>
        <v>show blot</v>
      </c>
      <c r="H6500" s="8" t="str">
        <f>HYPERLINK("https://esbl.nhlbi.nih.gov/Databases/mpkFractions/proteomic_fractions_linear_files/Yang_linear_img/24762230.jpg","show blot")</f>
        <v>show blot</v>
      </c>
      <c r="J6500" s="5" t="s">
        <v>12775</v>
      </c>
      <c r="L6500" s="11">
        <v>6.9738281059205303</v>
      </c>
      <c r="N6500" s="12"/>
    </row>
    <row r="6501" spans="1:14" s="5" customFormat="1" ht="15" customHeight="1" x14ac:dyDescent="0.25">
      <c r="A6501" s="9" t="s">
        <v>12776</v>
      </c>
      <c r="C6501" s="9" t="str">
        <f>HYPERLINK("http://www.ncbi.nlm.nih.gov/protein/309265366","Rps15a-ps5")</f>
        <v>Rps15a-ps5</v>
      </c>
      <c r="D6501" s="10">
        <f t="shared" si="101"/>
        <v>6.7780710224112273</v>
      </c>
      <c r="F6501" s="8" t="str">
        <f>HYPERLINK("https://esbl.nhlbi.nih.gov/Databases/mpkFractions/proteomic_fractions_log_files/Yang_log_img/309265366.jpg","show blot")</f>
        <v>show blot</v>
      </c>
      <c r="H6501" s="8" t="str">
        <f>HYPERLINK("https://esbl.nhlbi.nih.gov/Databases/mpkFractions/proteomic_fractions_linear_files/Yang_linear_img/309265366.jpg","show blot")</f>
        <v>show blot</v>
      </c>
      <c r="J6501" s="5" t="s">
        <v>12777</v>
      </c>
      <c r="L6501" s="11">
        <v>6.7780710224112273</v>
      </c>
      <c r="N6501" s="12"/>
    </row>
    <row r="6502" spans="1:14" s="5" customFormat="1" ht="15" customHeight="1" x14ac:dyDescent="0.25">
      <c r="A6502" s="9" t="s">
        <v>12778</v>
      </c>
      <c r="C6502" s="9" t="str">
        <f>HYPERLINK("http://www.ncbi.nlm.nih.gov/protein/158966704","Rps16")</f>
        <v>Rps16</v>
      </c>
      <c r="D6502" s="10">
        <f t="shared" si="101"/>
        <v>7.2214877642390007</v>
      </c>
      <c r="F6502" s="8" t="str">
        <f>HYPERLINK("https://esbl.nhlbi.nih.gov/Databases/mpkFractions/proteomic_fractions_log_files/Yang_log_img/158966704.jpg","show blot")</f>
        <v>show blot</v>
      </c>
      <c r="H6502" s="8" t="str">
        <f>HYPERLINK("https://esbl.nhlbi.nih.gov/Databases/mpkFractions/proteomic_fractions_linear_files/Yang_linear_img/158966704.jpg","show blot")</f>
        <v>show blot</v>
      </c>
      <c r="J6502" s="5" t="s">
        <v>12779</v>
      </c>
      <c r="L6502" s="11">
        <v>7.2214877642390007</v>
      </c>
      <c r="N6502" s="12"/>
    </row>
    <row r="6503" spans="1:14" s="5" customFormat="1" ht="15" customHeight="1" x14ac:dyDescent="0.25">
      <c r="A6503" s="9" t="s">
        <v>12780</v>
      </c>
      <c r="C6503" s="9" t="str">
        <f>HYPERLINK("http://www.ncbi.nlm.nih.gov/protein/6677801","Rps17")</f>
        <v>Rps17</v>
      </c>
      <c r="D6503" s="10">
        <f t="shared" si="101"/>
        <v>6.9735036980499778</v>
      </c>
      <c r="F6503" s="8" t="str">
        <f>HYPERLINK("https://esbl.nhlbi.nih.gov/Databases/mpkFractions/proteomic_fractions_log_files/Yang_log_img/6677801.jpg","show blot")</f>
        <v>show blot</v>
      </c>
      <c r="H6503" s="8" t="str">
        <f>HYPERLINK("https://esbl.nhlbi.nih.gov/Databases/mpkFractions/proteomic_fractions_linear_files/Yang_linear_img/6677801.jpg","show blot")</f>
        <v>show blot</v>
      </c>
      <c r="J6503" s="5" t="s">
        <v>12781</v>
      </c>
      <c r="L6503" s="11">
        <v>6.9735036980499778</v>
      </c>
      <c r="N6503" s="12"/>
    </row>
    <row r="6504" spans="1:14" s="5" customFormat="1" ht="15" customHeight="1" x14ac:dyDescent="0.25">
      <c r="A6504" s="9" t="s">
        <v>12782</v>
      </c>
      <c r="C6504" s="9" t="str">
        <f>HYPERLINK("http://www.ncbi.nlm.nih.gov/protein/6755368","Rps18")</f>
        <v>Rps18</v>
      </c>
      <c r="D6504" s="10">
        <f t="shared" si="101"/>
        <v>7.1820347953493382</v>
      </c>
      <c r="F6504" s="8" t="str">
        <f>HYPERLINK("https://esbl.nhlbi.nih.gov/Databases/mpkFractions/proteomic_fractions_log_files/Yang_log_img/6755368.jpg","show blot")</f>
        <v>show blot</v>
      </c>
      <c r="H6504" s="8" t="str">
        <f>HYPERLINK("https://esbl.nhlbi.nih.gov/Databases/mpkFractions/proteomic_fractions_linear_files/Yang_linear_img/6755368.jpg","show blot")</f>
        <v>show blot</v>
      </c>
      <c r="J6504" s="5" t="s">
        <v>12783</v>
      </c>
      <c r="L6504" s="11">
        <v>7.1820347953493382</v>
      </c>
      <c r="N6504" s="12"/>
    </row>
    <row r="6505" spans="1:14" s="5" customFormat="1" ht="15" customHeight="1" x14ac:dyDescent="0.25">
      <c r="A6505" s="9" t="s">
        <v>12784</v>
      </c>
      <c r="C6505" s="9" t="str">
        <f>HYPERLINK("http://www.ncbi.nlm.nih.gov/protein/12963511","Rps19")</f>
        <v>Rps19</v>
      </c>
      <c r="D6505" s="10">
        <f t="shared" si="101"/>
        <v>7.0176811372822856</v>
      </c>
      <c r="F6505" s="8" t="str">
        <f>HYPERLINK("https://esbl.nhlbi.nih.gov/Databases/mpkFractions/proteomic_fractions_log_files/Yang_log_img/12963511.jpg","show blot")</f>
        <v>show blot</v>
      </c>
      <c r="H6505" s="8" t="str">
        <f>HYPERLINK("https://esbl.nhlbi.nih.gov/Databases/mpkFractions/proteomic_fractions_linear_files/Yang_linear_img/12963511.jpg","show blot")</f>
        <v>show blot</v>
      </c>
      <c r="J6505" s="5" t="s">
        <v>12785</v>
      </c>
      <c r="L6505" s="11">
        <v>7.0176811372822856</v>
      </c>
      <c r="N6505" s="12"/>
    </row>
    <row r="6506" spans="1:14" s="5" customFormat="1" ht="15" customHeight="1" x14ac:dyDescent="0.25">
      <c r="A6506" s="9" t="s">
        <v>12786</v>
      </c>
      <c r="C6506" s="9" t="str">
        <f>HYPERLINK("http://www.ncbi.nlm.nih.gov/protein/30424711","Rps19bp1")</f>
        <v>Rps19bp1</v>
      </c>
      <c r="D6506" s="10">
        <f t="shared" si="101"/>
        <v>4.2192592130359117</v>
      </c>
      <c r="F6506" s="8" t="str">
        <f>HYPERLINK("https://esbl.nhlbi.nih.gov/Databases/mpkFractions/proteomic_fractions_log_files/Yang_log_img/30424711.jpg","show blot")</f>
        <v>show blot</v>
      </c>
      <c r="H6506" s="8" t="str">
        <f>HYPERLINK("https://esbl.nhlbi.nih.gov/Databases/mpkFractions/proteomic_fractions_linear_files/Yang_linear_img/30424711.jpg","show blot")</f>
        <v>show blot</v>
      </c>
      <c r="J6506" s="5" t="s">
        <v>12787</v>
      </c>
      <c r="L6506" s="11">
        <v>4.2192592130359117</v>
      </c>
      <c r="N6506" s="12"/>
    </row>
    <row r="6507" spans="1:14" s="5" customFormat="1" ht="15" customHeight="1" x14ac:dyDescent="0.25">
      <c r="A6507" s="9" t="s">
        <v>12788</v>
      </c>
      <c r="C6507" s="9" t="str">
        <f>HYPERLINK("http://www.ncbi.nlm.nih.gov/protein/18087805","Rps2")</f>
        <v>Rps2</v>
      </c>
      <c r="D6507" s="10">
        <f t="shared" si="101"/>
        <v>6.8531743441171322</v>
      </c>
      <c r="F6507" s="8" t="str">
        <f>HYPERLINK("https://esbl.nhlbi.nih.gov/Databases/mpkFractions/proteomic_fractions_log_files/Yang_log_img/18087805.jpg","show blot")</f>
        <v>show blot</v>
      </c>
      <c r="H6507" s="8" t="str">
        <f>HYPERLINK("https://esbl.nhlbi.nih.gov/Databases/mpkFractions/proteomic_fractions_linear_files/Yang_linear_img/18087805.jpg","show blot")</f>
        <v>show blot</v>
      </c>
      <c r="J6507" s="5" t="s">
        <v>12789</v>
      </c>
      <c r="L6507" s="11">
        <v>6.8531743441171322</v>
      </c>
      <c r="N6507" s="12"/>
    </row>
    <row r="6508" spans="1:14" s="5" customFormat="1" ht="15" customHeight="1" x14ac:dyDescent="0.25">
      <c r="A6508" s="9" t="s">
        <v>12790</v>
      </c>
      <c r="C6508" s="9" t="str">
        <f>HYPERLINK("http://www.ncbi.nlm.nih.gov/protein/13385652","Rps20")</f>
        <v>Rps20</v>
      </c>
      <c r="D6508" s="10">
        <f t="shared" si="101"/>
        <v>6.93461010169578</v>
      </c>
      <c r="F6508" s="8" t="str">
        <f>HYPERLINK("https://esbl.nhlbi.nih.gov/Databases/mpkFractions/proteomic_fractions_log_files/Yang_log_img/13385652.jpg","show blot")</f>
        <v>show blot</v>
      </c>
      <c r="H6508" s="8" t="str">
        <f>HYPERLINK("https://esbl.nhlbi.nih.gov/Databases/mpkFractions/proteomic_fractions_linear_files/Yang_linear_img/13385652.jpg","show blot")</f>
        <v>show blot</v>
      </c>
      <c r="J6508" s="5" t="s">
        <v>12791</v>
      </c>
      <c r="L6508" s="11">
        <v>6.93461010169578</v>
      </c>
      <c r="N6508" s="12"/>
    </row>
    <row r="6509" spans="1:14" s="5" customFormat="1" ht="15" customHeight="1" x14ac:dyDescent="0.25">
      <c r="A6509" s="9" t="s">
        <v>12792</v>
      </c>
      <c r="C6509" s="9" t="str">
        <f>HYPERLINK("http://www.ncbi.nlm.nih.gov/protein/21536222","Rps21")</f>
        <v>Rps21</v>
      </c>
      <c r="D6509" s="10">
        <f t="shared" si="101"/>
        <v>6.2865022862997542</v>
      </c>
      <c r="F6509" s="8" t="str">
        <f>HYPERLINK("https://esbl.nhlbi.nih.gov/Databases/mpkFractions/proteomic_fractions_log_files/Yang_log_img/21536222.jpg","show blot")</f>
        <v>show blot</v>
      </c>
      <c r="H6509" s="8" t="str">
        <f>HYPERLINK("https://esbl.nhlbi.nih.gov/Databases/mpkFractions/proteomic_fractions_linear_files/Yang_linear_img/21536222.jpg","show blot")</f>
        <v>show blot</v>
      </c>
      <c r="J6509" s="5" t="s">
        <v>12793</v>
      </c>
      <c r="L6509" s="11">
        <v>6.2865022862997542</v>
      </c>
      <c r="N6509" s="12"/>
    </row>
    <row r="6510" spans="1:14" s="5" customFormat="1" ht="15" customHeight="1" x14ac:dyDescent="0.25">
      <c r="A6510" s="9" t="s">
        <v>12794</v>
      </c>
      <c r="C6510" s="9" t="str">
        <f>HYPERLINK("http://www.ncbi.nlm.nih.gov/protein/13195604","Rps23")</f>
        <v>Rps23</v>
      </c>
      <c r="D6510" s="10">
        <f t="shared" si="101"/>
        <v>6.537601685338128</v>
      </c>
      <c r="F6510" s="8" t="str">
        <f>HYPERLINK("https://esbl.nhlbi.nih.gov/Databases/mpkFractions/proteomic_fractions_log_files/Yang_log_img/13195604.jpg","show blot")</f>
        <v>show blot</v>
      </c>
      <c r="H6510" s="8" t="str">
        <f>HYPERLINK("https://esbl.nhlbi.nih.gov/Databases/mpkFractions/proteomic_fractions_linear_files/Yang_linear_img/13195604.jpg","show blot")</f>
        <v>show blot</v>
      </c>
      <c r="J6510" s="5" t="s">
        <v>12795</v>
      </c>
      <c r="L6510" s="11">
        <v>6.537601685338128</v>
      </c>
      <c r="N6510" s="12"/>
    </row>
    <row r="6511" spans="1:14" s="5" customFormat="1" ht="15" customHeight="1" x14ac:dyDescent="0.25">
      <c r="A6511" s="9" t="s">
        <v>12796</v>
      </c>
      <c r="C6511" s="9" t="str">
        <f>HYPERLINK("http://www.ncbi.nlm.nih.gov/protein/46519156","Rps24")</f>
        <v>Rps24</v>
      </c>
      <c r="D6511" s="10">
        <f t="shared" si="101"/>
        <v>6.4644530272338514</v>
      </c>
      <c r="F6511" s="8" t="str">
        <f>HYPERLINK("https://esbl.nhlbi.nih.gov/Databases/mpkFractions/proteomic_fractions_log_files/Yang_log_img/46519156.jpg","show blot")</f>
        <v>show blot</v>
      </c>
      <c r="H6511" s="8" t="str">
        <f>HYPERLINK("https://esbl.nhlbi.nih.gov/Databases/mpkFractions/proteomic_fractions_linear_files/Yang_linear_img/46519156.jpg","show blot")</f>
        <v>show blot</v>
      </c>
      <c r="J6511" s="5" t="s">
        <v>12797</v>
      </c>
      <c r="L6511" s="11">
        <v>6.4644530272338514</v>
      </c>
      <c r="N6511" s="12"/>
    </row>
    <row r="6512" spans="1:14" s="5" customFormat="1" ht="15" customHeight="1" x14ac:dyDescent="0.25">
      <c r="A6512" s="9" t="s">
        <v>12798</v>
      </c>
      <c r="C6512" s="9" t="str">
        <f>HYPERLINK("http://www.ncbi.nlm.nih.gov/protein/46519160","Rps24")</f>
        <v>Rps24</v>
      </c>
      <c r="D6512" s="10">
        <f t="shared" si="101"/>
        <v>6.4644530272338514</v>
      </c>
      <c r="F6512" s="8" t="str">
        <f>HYPERLINK("https://esbl.nhlbi.nih.gov/Databases/mpkFractions/proteomic_fractions_log_files/Yang_log_img/46519160.jpg","show blot")</f>
        <v>show blot</v>
      </c>
      <c r="H6512" s="8" t="str">
        <f>HYPERLINK("https://esbl.nhlbi.nih.gov/Databases/mpkFractions/proteomic_fractions_linear_files/Yang_linear_img/46519160.jpg","show blot")</f>
        <v>show blot</v>
      </c>
      <c r="J6512" s="5" t="s">
        <v>12799</v>
      </c>
      <c r="L6512" s="11">
        <v>6.4644530272338514</v>
      </c>
      <c r="N6512" s="12"/>
    </row>
    <row r="6513" spans="1:14" s="5" customFormat="1" ht="15" customHeight="1" x14ac:dyDescent="0.25">
      <c r="A6513" s="9" t="s">
        <v>12800</v>
      </c>
      <c r="C6513" s="9" t="str">
        <f>HYPERLINK("http://www.ncbi.nlm.nih.gov/protein/28372479","Rps25")</f>
        <v>Rps25</v>
      </c>
      <c r="D6513" s="10">
        <f t="shared" si="101"/>
        <v>6.9461092378902096</v>
      </c>
      <c r="F6513" s="8" t="str">
        <f>HYPERLINK("https://esbl.nhlbi.nih.gov/Databases/mpkFractions/proteomic_fractions_log_files/Yang_log_img/28372479.jpg","show blot")</f>
        <v>show blot</v>
      </c>
      <c r="H6513" s="8" t="str">
        <f>HYPERLINK("https://esbl.nhlbi.nih.gov/Databases/mpkFractions/proteomic_fractions_linear_files/Yang_linear_img/28372479.jpg","show blot")</f>
        <v>show blot</v>
      </c>
      <c r="J6513" s="5" t="s">
        <v>12801</v>
      </c>
      <c r="L6513" s="11">
        <v>6.9461092378902096</v>
      </c>
      <c r="N6513" s="12"/>
    </row>
    <row r="6514" spans="1:14" s="5" customFormat="1" ht="15" customHeight="1" x14ac:dyDescent="0.25">
      <c r="A6514" s="9" t="s">
        <v>12802</v>
      </c>
      <c r="C6514" s="9" t="str">
        <f>HYPERLINK("http://www.ncbi.nlm.nih.gov/protein/255003793","Rps26")</f>
        <v>Rps26</v>
      </c>
      <c r="D6514" s="10">
        <f t="shared" si="101"/>
        <v>6.9559996556971671</v>
      </c>
      <c r="F6514" s="8" t="str">
        <f>HYPERLINK("https://esbl.nhlbi.nih.gov/Databases/mpkFractions/proteomic_fractions_log_files/Yang_log_img/255003793.jpg","show blot")</f>
        <v>show blot</v>
      </c>
      <c r="H6514" s="8" t="str">
        <f>HYPERLINK("https://esbl.nhlbi.nih.gov/Databases/mpkFractions/proteomic_fractions_linear_files/Yang_linear_img/255003793.jpg","show blot")</f>
        <v>show blot</v>
      </c>
      <c r="J6514" s="5" t="s">
        <v>12803</v>
      </c>
      <c r="L6514" s="11">
        <v>6.9559996556971671</v>
      </c>
      <c r="N6514" s="12"/>
    </row>
    <row r="6515" spans="1:14" s="5" customFormat="1" ht="15" customHeight="1" x14ac:dyDescent="0.25">
      <c r="A6515" s="9" t="s">
        <v>12804</v>
      </c>
      <c r="C6515" s="9" t="str">
        <f>HYPERLINK("http://www.ncbi.nlm.nih.gov/protein/26024336;298231238","Rps27")</f>
        <v>Rps27</v>
      </c>
      <c r="D6515" s="10">
        <f t="shared" si="101"/>
        <v>6.1970128215339084</v>
      </c>
      <c r="F6515" s="8" t="str">
        <f>HYPERLINK("https://esbl.nhlbi.nih.gov/Databases/mpkFractions/proteomic_fractions_log_files/Yang_log_img/26024336;298231238.jpg","show blot")</f>
        <v>show blot</v>
      </c>
      <c r="H6515" s="8" t="str">
        <f>HYPERLINK("https://esbl.nhlbi.nih.gov/Databases/mpkFractions/proteomic_fractions_linear_files/Yang_linear_img/26024336;298231238.jpg","show blot")</f>
        <v>show blot</v>
      </c>
      <c r="J6515" s="5" t="s">
        <v>12805</v>
      </c>
      <c r="L6515" s="11">
        <v>6.1970128215339084</v>
      </c>
      <c r="N6515" s="12"/>
    </row>
    <row r="6516" spans="1:14" s="5" customFormat="1" ht="15" customHeight="1" x14ac:dyDescent="0.25">
      <c r="A6516" s="9" t="s">
        <v>12806</v>
      </c>
      <c r="C6516" s="9" t="str">
        <f>HYPERLINK("http://www.ncbi.nlm.nih.gov/protein/13195690","Rps27a")</f>
        <v>Rps27a</v>
      </c>
      <c r="D6516" s="10">
        <f t="shared" si="101"/>
        <v>7.4741054341259181</v>
      </c>
      <c r="F6516" s="8" t="str">
        <f>HYPERLINK("https://esbl.nhlbi.nih.gov/Databases/mpkFractions/proteomic_fractions_log_files/Yang_log_img/13195690.jpg","show blot")</f>
        <v>show blot</v>
      </c>
      <c r="H6516" s="8" t="str">
        <f>HYPERLINK("https://esbl.nhlbi.nih.gov/Databases/mpkFractions/proteomic_fractions_linear_files/Yang_linear_img/13195690.jpg","show blot")</f>
        <v>show blot</v>
      </c>
      <c r="J6516" s="5" t="s">
        <v>12807</v>
      </c>
      <c r="L6516" s="11">
        <v>7.4741054341259181</v>
      </c>
      <c r="N6516" s="12"/>
    </row>
    <row r="6517" spans="1:14" s="5" customFormat="1" ht="15" customHeight="1" x14ac:dyDescent="0.25">
      <c r="A6517" s="9" t="s">
        <v>12808</v>
      </c>
      <c r="C6517" s="9" t="str">
        <f>HYPERLINK("http://www.ncbi.nlm.nih.gov/protein/13385958","Rps27l")</f>
        <v>Rps27l</v>
      </c>
      <c r="D6517" s="10">
        <f t="shared" si="101"/>
        <v>6.5712614105977396</v>
      </c>
      <c r="F6517" s="8" t="str">
        <f>HYPERLINK("https://esbl.nhlbi.nih.gov/Databases/mpkFractions/proteomic_fractions_log_files/Yang_log_img/13385958.jpg","show blot")</f>
        <v>show blot</v>
      </c>
      <c r="H6517" s="8" t="str">
        <f>HYPERLINK("https://esbl.nhlbi.nih.gov/Databases/mpkFractions/proteomic_fractions_linear_files/Yang_linear_img/13385958.jpg","show blot")</f>
        <v>show blot</v>
      </c>
      <c r="J6517" s="5" t="s">
        <v>12809</v>
      </c>
      <c r="L6517" s="11">
        <v>6.5712614105977396</v>
      </c>
      <c r="N6517" s="12"/>
    </row>
    <row r="6518" spans="1:14" s="5" customFormat="1" ht="15" customHeight="1" x14ac:dyDescent="0.25">
      <c r="A6518" s="9" t="s">
        <v>12810</v>
      </c>
      <c r="C6518" s="9" t="str">
        <f>HYPERLINK("http://www.ncbi.nlm.nih.gov/protein/298231238","Rps27rt")</f>
        <v>Rps27rt</v>
      </c>
      <c r="D6518" s="10">
        <f t="shared" si="101"/>
        <v>6.4490441838525809</v>
      </c>
      <c r="F6518" s="8" t="str">
        <f>HYPERLINK("https://esbl.nhlbi.nih.gov/Databases/mpkFractions/proteomic_fractions_log_files/Yang_log_img/298231238.jpg","show blot")</f>
        <v>show blot</v>
      </c>
      <c r="H6518" s="8" t="str">
        <f>HYPERLINK("https://esbl.nhlbi.nih.gov/Databases/mpkFractions/proteomic_fractions_linear_files/Yang_linear_img/298231238.jpg","show blot")</f>
        <v>show blot</v>
      </c>
      <c r="J6518" s="5" t="s">
        <v>12811</v>
      </c>
      <c r="L6518" s="11">
        <v>6.4490441838525809</v>
      </c>
      <c r="N6518" s="12"/>
    </row>
    <row r="6519" spans="1:14" s="5" customFormat="1" ht="15" customHeight="1" x14ac:dyDescent="0.25">
      <c r="A6519" s="9" t="s">
        <v>12812</v>
      </c>
      <c r="C6519" s="9" t="str">
        <f>HYPERLINK("http://www.ncbi.nlm.nih.gov/protein/21426821","Rps28")</f>
        <v>Rps28</v>
      </c>
      <c r="D6519" s="10">
        <f t="shared" si="101"/>
        <v>6.2722436495472849</v>
      </c>
      <c r="F6519" s="8" t="str">
        <f>HYPERLINK("https://esbl.nhlbi.nih.gov/Databases/mpkFractions/proteomic_fractions_log_files/Yang_log_img/21426821.jpg","show blot")</f>
        <v>show blot</v>
      </c>
      <c r="H6519" s="8" t="str">
        <f>HYPERLINK("https://esbl.nhlbi.nih.gov/Databases/mpkFractions/proteomic_fractions_linear_files/Yang_linear_img/21426821.jpg","show blot")</f>
        <v>show blot</v>
      </c>
      <c r="J6519" s="5" t="s">
        <v>12813</v>
      </c>
      <c r="L6519" s="11">
        <v>6.2722436495472849</v>
      </c>
      <c r="N6519" s="12"/>
    </row>
    <row r="6520" spans="1:14" s="5" customFormat="1" ht="15" customHeight="1" x14ac:dyDescent="0.25">
      <c r="A6520" s="9" t="s">
        <v>12814</v>
      </c>
      <c r="C6520" s="9" t="str">
        <f>HYPERLINK("http://www.ncbi.nlm.nih.gov/protein/6677803","Rps29")</f>
        <v>Rps29</v>
      </c>
      <c r="D6520" s="10">
        <f t="shared" si="101"/>
        <v>6.1540285243000126</v>
      </c>
      <c r="F6520" s="8" t="str">
        <f>HYPERLINK("https://esbl.nhlbi.nih.gov/Databases/mpkFractions/proteomic_fractions_log_files/Yang_log_img/6677803.jpg","show blot")</f>
        <v>show blot</v>
      </c>
      <c r="H6520" s="8" t="str">
        <f>HYPERLINK("https://esbl.nhlbi.nih.gov/Databases/mpkFractions/proteomic_fractions_linear_files/Yang_linear_img/6677803.jpg","show blot")</f>
        <v>show blot</v>
      </c>
      <c r="J6520" s="5" t="s">
        <v>12815</v>
      </c>
      <c r="L6520" s="11">
        <v>6.1540285243000126</v>
      </c>
      <c r="N6520" s="12"/>
    </row>
    <row r="6521" spans="1:14" s="5" customFormat="1" ht="15" customHeight="1" x14ac:dyDescent="0.25">
      <c r="A6521" s="9" t="s">
        <v>12816</v>
      </c>
      <c r="C6521" s="9" t="str">
        <f>HYPERLINK("http://www.ncbi.nlm.nih.gov/protein/6755372","Rps3")</f>
        <v>Rps3</v>
      </c>
      <c r="D6521" s="10">
        <f t="shared" si="101"/>
        <v>7.178950650559889</v>
      </c>
      <c r="F6521" s="8" t="str">
        <f>HYPERLINK("https://esbl.nhlbi.nih.gov/Databases/mpkFractions/proteomic_fractions_log_files/Yang_log_img/6755372.jpg","show blot")</f>
        <v>show blot</v>
      </c>
      <c r="H6521" s="8" t="str">
        <f>HYPERLINK("https://esbl.nhlbi.nih.gov/Databases/mpkFractions/proteomic_fractions_linear_files/Yang_linear_img/6755372.jpg","show blot")</f>
        <v>show blot</v>
      </c>
      <c r="J6521" s="5" t="s">
        <v>12817</v>
      </c>
      <c r="L6521" s="11">
        <v>7.178950650559889</v>
      </c>
      <c r="N6521" s="12"/>
    </row>
    <row r="6522" spans="1:14" s="5" customFormat="1" ht="15" customHeight="1" x14ac:dyDescent="0.25">
      <c r="A6522" s="9" t="s">
        <v>12818</v>
      </c>
      <c r="C6522" s="9" t="str">
        <f>HYPERLINK("http://www.ncbi.nlm.nih.gov/protein/254553321","Rps3a1")</f>
        <v>Rps3a1</v>
      </c>
      <c r="D6522" s="10">
        <f t="shared" si="101"/>
        <v>6.8966822522568778</v>
      </c>
      <c r="F6522" s="8" t="str">
        <f>HYPERLINK("https://esbl.nhlbi.nih.gov/Databases/mpkFractions/proteomic_fractions_log_files/Yang_log_img/254553321.jpg","show blot")</f>
        <v>show blot</v>
      </c>
      <c r="H6522" s="8" t="str">
        <f>HYPERLINK("https://esbl.nhlbi.nih.gov/Databases/mpkFractions/proteomic_fractions_linear_files/Yang_linear_img/254553321.jpg","show blot")</f>
        <v>show blot</v>
      </c>
      <c r="J6522" s="5" t="s">
        <v>12819</v>
      </c>
      <c r="L6522" s="11">
        <v>6.8966822522568778</v>
      </c>
      <c r="N6522" s="12"/>
    </row>
    <row r="6523" spans="1:14" s="5" customFormat="1" ht="15" customHeight="1" x14ac:dyDescent="0.25">
      <c r="A6523" s="9" t="s">
        <v>12820</v>
      </c>
      <c r="C6523" s="9" t="str">
        <f>HYPERLINK("http://www.ncbi.nlm.nih.gov/protein/6677805","Rps4x")</f>
        <v>Rps4x</v>
      </c>
      <c r="D6523" s="10">
        <f t="shared" si="101"/>
        <v>6.8552480230946902</v>
      </c>
      <c r="F6523" s="8" t="str">
        <f>HYPERLINK("https://esbl.nhlbi.nih.gov/Databases/mpkFractions/proteomic_fractions_log_files/Yang_log_img/6677805.jpg","show blot")</f>
        <v>show blot</v>
      </c>
      <c r="H6523" s="8" t="str">
        <f>HYPERLINK("https://esbl.nhlbi.nih.gov/Databases/mpkFractions/proteomic_fractions_linear_files/Yang_linear_img/6677805.jpg","show blot")</f>
        <v>show blot</v>
      </c>
      <c r="J6523" s="5" t="s">
        <v>12821</v>
      </c>
      <c r="L6523" s="11">
        <v>6.8552480230946902</v>
      </c>
      <c r="N6523" s="12"/>
    </row>
    <row r="6524" spans="1:14" s="5" customFormat="1" ht="15" customHeight="1" x14ac:dyDescent="0.25">
      <c r="A6524" s="9" t="s">
        <v>12822</v>
      </c>
      <c r="C6524" s="9" t="str">
        <f>HYPERLINK("http://www.ncbi.nlm.nih.gov/protein/254675270","Rps5")</f>
        <v>Rps5</v>
      </c>
      <c r="D6524" s="10">
        <f t="shared" si="101"/>
        <v>6.6199564074794379</v>
      </c>
      <c r="F6524" s="8" t="str">
        <f>HYPERLINK("https://esbl.nhlbi.nih.gov/Databases/mpkFractions/proteomic_fractions_log_files/Yang_log_img/254675270.jpg","show blot")</f>
        <v>show blot</v>
      </c>
      <c r="H6524" s="8" t="str">
        <f>HYPERLINK("https://esbl.nhlbi.nih.gov/Databases/mpkFractions/proteomic_fractions_linear_files/Yang_linear_img/254675270.jpg","show blot")</f>
        <v>show blot</v>
      </c>
      <c r="J6524" s="5" t="s">
        <v>12823</v>
      </c>
      <c r="L6524" s="11">
        <v>6.6199564074794379</v>
      </c>
      <c r="N6524" s="12"/>
    </row>
    <row r="6525" spans="1:14" s="5" customFormat="1" ht="15" customHeight="1" x14ac:dyDescent="0.25">
      <c r="A6525" s="9" t="s">
        <v>12824</v>
      </c>
      <c r="C6525" s="9" t="str">
        <f>HYPERLINK("http://www.ncbi.nlm.nih.gov/protein/158636007","Rps6ka1")</f>
        <v>Rps6ka1</v>
      </c>
      <c r="D6525" s="10">
        <f t="shared" si="101"/>
        <v>4.9138481683990651</v>
      </c>
      <c r="F6525" s="8" t="str">
        <f>HYPERLINK("https://esbl.nhlbi.nih.gov/Databases/mpkFractions/proteomic_fractions_log_files/Yang_log_img/158636007.jpg","show blot")</f>
        <v>show blot</v>
      </c>
      <c r="H6525" s="8" t="str">
        <f>HYPERLINK("https://esbl.nhlbi.nih.gov/Databases/mpkFractions/proteomic_fractions_linear_files/Yang_linear_img/158636007.jpg","show blot")</f>
        <v>show blot</v>
      </c>
      <c r="J6525" s="5" t="s">
        <v>12825</v>
      </c>
      <c r="L6525" s="11">
        <v>4.9138481683990651</v>
      </c>
      <c r="N6525" s="12"/>
    </row>
    <row r="6526" spans="1:14" s="5" customFormat="1" ht="15" customHeight="1" x14ac:dyDescent="0.25">
      <c r="A6526" s="9" t="s">
        <v>12826</v>
      </c>
      <c r="C6526" s="9" t="str">
        <f>HYPERLINK("http://www.ncbi.nlm.nih.gov/protein/6755374","Rps6ka2")</f>
        <v>Rps6ka2</v>
      </c>
      <c r="D6526" s="10">
        <f t="shared" si="101"/>
        <v>4.7075013429458794</v>
      </c>
      <c r="F6526" s="8" t="str">
        <f>HYPERLINK("https://esbl.nhlbi.nih.gov/Databases/mpkFractions/proteomic_fractions_log_files/Yang_log_img/6755374.jpg","show blot")</f>
        <v>show blot</v>
      </c>
      <c r="H6526" s="8" t="str">
        <f>HYPERLINK("https://esbl.nhlbi.nih.gov/Databases/mpkFractions/proteomic_fractions_linear_files/Yang_linear_img/6755374.jpg","show blot")</f>
        <v>show blot</v>
      </c>
      <c r="J6526" s="5" t="s">
        <v>12827</v>
      </c>
      <c r="L6526" s="11">
        <v>4.7075013429458794</v>
      </c>
      <c r="N6526" s="12"/>
    </row>
    <row r="6527" spans="1:14" s="5" customFormat="1" ht="15" customHeight="1" x14ac:dyDescent="0.25">
      <c r="A6527" s="9" t="s">
        <v>12828</v>
      </c>
      <c r="C6527" s="9" t="str">
        <f>HYPERLINK("http://www.ncbi.nlm.nih.gov/protein/22507357","Rps6ka3")</f>
        <v>Rps6ka3</v>
      </c>
      <c r="D6527" s="10">
        <f t="shared" si="101"/>
        <v>5.0717709588416886</v>
      </c>
      <c r="F6527" s="8" t="str">
        <f>HYPERLINK("https://esbl.nhlbi.nih.gov/Databases/mpkFractions/proteomic_fractions_log_files/Yang_log_img/22507357.jpg","show blot")</f>
        <v>show blot</v>
      </c>
      <c r="H6527" s="8" t="str">
        <f>HYPERLINK("https://esbl.nhlbi.nih.gov/Databases/mpkFractions/proteomic_fractions_linear_files/Yang_linear_img/22507357.jpg","show blot")</f>
        <v>show blot</v>
      </c>
      <c r="J6527" s="5" t="s">
        <v>12829</v>
      </c>
      <c r="L6527" s="11">
        <v>5.0717709588416886</v>
      </c>
      <c r="N6527" s="12"/>
    </row>
    <row r="6528" spans="1:14" s="5" customFormat="1" ht="15" customHeight="1" x14ac:dyDescent="0.25">
      <c r="A6528" s="9" t="s">
        <v>12830</v>
      </c>
      <c r="C6528" s="9" t="str">
        <f>HYPERLINK("http://www.ncbi.nlm.nih.gov/protein/9910454","Rps6ka4")</f>
        <v>Rps6ka4</v>
      </c>
      <c r="D6528" s="10">
        <f t="shared" si="101"/>
        <v>4.4173606353551786</v>
      </c>
      <c r="F6528" s="8" t="str">
        <f>HYPERLINK("https://esbl.nhlbi.nih.gov/Databases/mpkFractions/proteomic_fractions_log_files/Yang_log_img/9910454.jpg","show blot")</f>
        <v>show blot</v>
      </c>
      <c r="H6528" s="8" t="str">
        <f>HYPERLINK("https://esbl.nhlbi.nih.gov/Databases/mpkFractions/proteomic_fractions_linear_files/Yang_linear_img/9910454.jpg","show blot")</f>
        <v>show blot</v>
      </c>
      <c r="J6528" s="5" t="s">
        <v>12831</v>
      </c>
      <c r="L6528" s="11">
        <v>4.4173606353551786</v>
      </c>
      <c r="N6528" s="12"/>
    </row>
    <row r="6529" spans="1:14" s="5" customFormat="1" ht="15" customHeight="1" x14ac:dyDescent="0.25">
      <c r="A6529" s="9" t="s">
        <v>12832</v>
      </c>
      <c r="C6529" s="9" t="str">
        <f>HYPERLINK("http://www.ncbi.nlm.nih.gov/protein/23956386","Rps6ka5")</f>
        <v>Rps6ka5</v>
      </c>
      <c r="D6529" s="10">
        <f t="shared" si="101"/>
        <v>4.2826250415962734</v>
      </c>
      <c r="F6529" s="8" t="str">
        <f>HYPERLINK("https://esbl.nhlbi.nih.gov/Databases/mpkFractions/proteomic_fractions_log_files/Yang_log_img/23956386.jpg","show blot")</f>
        <v>show blot</v>
      </c>
      <c r="H6529" s="8" t="str">
        <f>HYPERLINK("https://esbl.nhlbi.nih.gov/Databases/mpkFractions/proteomic_fractions_linear_files/Yang_linear_img/23956386.jpg","show blot")</f>
        <v>show blot</v>
      </c>
      <c r="J6529" s="5" t="s">
        <v>12833</v>
      </c>
      <c r="L6529" s="11">
        <v>4.2826250415962734</v>
      </c>
      <c r="N6529" s="12"/>
    </row>
    <row r="6530" spans="1:14" s="5" customFormat="1" ht="15" customHeight="1" x14ac:dyDescent="0.25">
      <c r="A6530" s="9" t="s">
        <v>12834</v>
      </c>
      <c r="C6530" s="9" t="str">
        <f>HYPERLINK("http://www.ncbi.nlm.nih.gov/protein/67625733","Rps6ka6")</f>
        <v>Rps6ka6</v>
      </c>
      <c r="D6530" s="10">
        <f t="shared" si="101"/>
        <v>3.7291368133000908</v>
      </c>
      <c r="F6530" s="8" t="str">
        <f>HYPERLINK("https://esbl.nhlbi.nih.gov/Databases/mpkFractions/proteomic_fractions_log_files/Yang_log_img/67625733.jpg","show blot")</f>
        <v>show blot</v>
      </c>
      <c r="H6530" s="8" t="str">
        <f>HYPERLINK("https://esbl.nhlbi.nih.gov/Databases/mpkFractions/proteomic_fractions_linear_files/Yang_linear_img/67625733.jpg","show blot")</f>
        <v>show blot</v>
      </c>
      <c r="J6530" s="5" t="s">
        <v>12835</v>
      </c>
      <c r="L6530" s="11">
        <v>3.7291368133000908</v>
      </c>
      <c r="N6530" s="12"/>
    </row>
    <row r="6531" spans="1:14" s="5" customFormat="1" ht="15" customHeight="1" x14ac:dyDescent="0.25">
      <c r="A6531" s="9" t="s">
        <v>12836</v>
      </c>
      <c r="C6531" s="9" t="str">
        <f>HYPERLINK("http://www.ncbi.nlm.nih.gov/protein/166999987","Rps6kb1")</f>
        <v>Rps6kb1</v>
      </c>
      <c r="D6531" s="10">
        <f t="shared" si="101"/>
        <v>3.8393162613570988</v>
      </c>
      <c r="F6531" s="8" t="str">
        <f>HYPERLINK("https://esbl.nhlbi.nih.gov/Databases/mpkFractions/proteomic_fractions_log_files/Yang_log_img/166999987.jpg","show blot")</f>
        <v>show blot</v>
      </c>
      <c r="H6531" s="8" t="str">
        <f>HYPERLINK("https://esbl.nhlbi.nih.gov/Databases/mpkFractions/proteomic_fractions_linear_files/Yang_linear_img/166999987.jpg","show blot")</f>
        <v>show blot</v>
      </c>
      <c r="J6531" s="5" t="s">
        <v>12837</v>
      </c>
      <c r="L6531" s="11">
        <v>3.8393162613570988</v>
      </c>
      <c r="N6531" s="12"/>
    </row>
    <row r="6532" spans="1:14" s="5" customFormat="1" ht="15" customHeight="1" x14ac:dyDescent="0.25">
      <c r="A6532" s="9" t="s">
        <v>12838</v>
      </c>
      <c r="C6532" s="9" t="str">
        <f>HYPERLINK("http://www.ncbi.nlm.nih.gov/protein/29789225","Rps6kb1")</f>
        <v>Rps6kb1</v>
      </c>
      <c r="D6532" s="10">
        <f t="shared" si="101"/>
        <v>3.8393162613570988</v>
      </c>
      <c r="F6532" s="8" t="str">
        <f>HYPERLINK("https://esbl.nhlbi.nih.gov/Databases/mpkFractions/proteomic_fractions_log_files/Yang_log_img/29789225.jpg","show blot")</f>
        <v>show blot</v>
      </c>
      <c r="H6532" s="8" t="str">
        <f>HYPERLINK("https://esbl.nhlbi.nih.gov/Databases/mpkFractions/proteomic_fractions_linear_files/Yang_linear_img/29789225.jpg","show blot")</f>
        <v>show blot</v>
      </c>
      <c r="J6532" s="5" t="s">
        <v>12839</v>
      </c>
      <c r="L6532" s="11">
        <v>3.8393162613570988</v>
      </c>
      <c r="N6532" s="12"/>
    </row>
    <row r="6533" spans="1:14" s="5" customFormat="1" ht="15" customHeight="1" x14ac:dyDescent="0.25">
      <c r="A6533" s="9" t="s">
        <v>12840</v>
      </c>
      <c r="C6533" s="9" t="str">
        <f>HYPERLINK("http://www.ncbi.nlm.nih.gov/protein/10946894","Rps6kb2")</f>
        <v>Rps6kb2</v>
      </c>
      <c r="D6533" s="10">
        <f t="shared" ref="D6533:D6596" si="102">L6533</f>
        <v>4.604132226307037</v>
      </c>
      <c r="F6533" s="8" t="str">
        <f>HYPERLINK("https://esbl.nhlbi.nih.gov/Databases/mpkFractions/proteomic_fractions_log_files/Yang_log_img/10946894.jpg","show blot")</f>
        <v>show blot</v>
      </c>
      <c r="H6533" s="8" t="str">
        <f>HYPERLINK("https://esbl.nhlbi.nih.gov/Databases/mpkFractions/proteomic_fractions_linear_files/Yang_linear_img/10946894.jpg","show blot")</f>
        <v>show blot</v>
      </c>
      <c r="J6533" s="5" t="s">
        <v>12841</v>
      </c>
      <c r="L6533" s="11">
        <v>4.604132226307037</v>
      </c>
      <c r="N6533" s="12"/>
    </row>
    <row r="6534" spans="1:14" s="5" customFormat="1" ht="15" customHeight="1" x14ac:dyDescent="0.25">
      <c r="A6534" s="9" t="s">
        <v>12842</v>
      </c>
      <c r="C6534" s="9" t="str">
        <f>HYPERLINK("http://www.ncbi.nlm.nih.gov/protein/94367038","Rps6-ps4")</f>
        <v>Rps6-ps4</v>
      </c>
      <c r="D6534" s="10">
        <f t="shared" si="102"/>
        <v>6.6573239776406981</v>
      </c>
      <c r="F6534" s="8" t="str">
        <f>HYPERLINK("https://esbl.nhlbi.nih.gov/Databases/mpkFractions/proteomic_fractions_log_files/Yang_log_img/94367038.jpg","show blot")</f>
        <v>show blot</v>
      </c>
      <c r="H6534" s="8" t="str">
        <f>HYPERLINK("https://esbl.nhlbi.nih.gov/Databases/mpkFractions/proteomic_fractions_linear_files/Yang_linear_img/94367038.jpg","show blot")</f>
        <v>show blot</v>
      </c>
      <c r="J6534" s="5" t="s">
        <v>12843</v>
      </c>
      <c r="L6534" s="11">
        <v>6.6573239776406981</v>
      </c>
      <c r="N6534" s="12"/>
    </row>
    <row r="6535" spans="1:14" s="5" customFormat="1" ht="15" customHeight="1" x14ac:dyDescent="0.25">
      <c r="A6535" s="9" t="s">
        <v>12844</v>
      </c>
      <c r="C6535" s="9" t="str">
        <f>HYPERLINK("http://www.ncbi.nlm.nih.gov/protein/6755376","Rps7")</f>
        <v>Rps7</v>
      </c>
      <c r="D6535" s="10">
        <f t="shared" si="102"/>
        <v>6.6314821352665847</v>
      </c>
      <c r="F6535" s="8" t="str">
        <f>HYPERLINK("https://esbl.nhlbi.nih.gov/Databases/mpkFractions/proteomic_fractions_log_files/Yang_log_img/6755376.jpg","show blot")</f>
        <v>show blot</v>
      </c>
      <c r="H6535" s="8" t="str">
        <f>HYPERLINK("https://esbl.nhlbi.nih.gov/Databases/mpkFractions/proteomic_fractions_linear_files/Yang_linear_img/6755376.jpg","show blot")</f>
        <v>show blot</v>
      </c>
      <c r="J6535" s="5" t="s">
        <v>12845</v>
      </c>
      <c r="L6535" s="11">
        <v>6.6314821352665847</v>
      </c>
      <c r="N6535" s="12"/>
    </row>
    <row r="6536" spans="1:14" s="5" customFormat="1" ht="15" customHeight="1" x14ac:dyDescent="0.25">
      <c r="A6536" s="9" t="s">
        <v>12846</v>
      </c>
      <c r="C6536" s="9" t="str">
        <f>HYPERLINK("http://www.ncbi.nlm.nih.gov/protein/33504483","Rps9")</f>
        <v>Rps9</v>
      </c>
      <c r="D6536" s="10">
        <f t="shared" si="102"/>
        <v>7.3489359455597834</v>
      </c>
      <c r="F6536" s="8" t="str">
        <f>HYPERLINK("https://esbl.nhlbi.nih.gov/Databases/mpkFractions/proteomic_fractions_log_files/Yang_log_img/33504483.jpg","show blot")</f>
        <v>show blot</v>
      </c>
      <c r="H6536" s="8" t="str">
        <f>HYPERLINK("https://esbl.nhlbi.nih.gov/Databases/mpkFractions/proteomic_fractions_linear_files/Yang_linear_img/33504483.jpg","show blot")</f>
        <v>show blot</v>
      </c>
      <c r="J6536" s="5" t="s">
        <v>12847</v>
      </c>
      <c r="L6536" s="11">
        <v>7.3489359455597834</v>
      </c>
      <c r="N6536" s="12"/>
    </row>
    <row r="6537" spans="1:14" s="5" customFormat="1" ht="15" customHeight="1" x14ac:dyDescent="0.25">
      <c r="A6537" s="9" t="s">
        <v>12848</v>
      </c>
      <c r="C6537" s="9" t="str">
        <f>HYPERLINK("http://www.ncbi.nlm.nih.gov/protein/154146249","Rptor")</f>
        <v>Rptor</v>
      </c>
      <c r="D6537" s="10">
        <f t="shared" si="102"/>
        <v>3.291021350803812</v>
      </c>
      <c r="F6537" s="8" t="str">
        <f>HYPERLINK("https://esbl.nhlbi.nih.gov/Databases/mpkFractions/proteomic_fractions_log_files/Yang_log_img/154146249.jpg","show blot")</f>
        <v>show blot</v>
      </c>
      <c r="H6537" s="8" t="str">
        <f>HYPERLINK("https://esbl.nhlbi.nih.gov/Databases/mpkFractions/proteomic_fractions_linear_files/Yang_linear_img/154146249.jpg","show blot")</f>
        <v>show blot</v>
      </c>
      <c r="J6537" s="5" t="s">
        <v>12849</v>
      </c>
      <c r="L6537" s="11">
        <v>3.291021350803812</v>
      </c>
      <c r="N6537" s="12"/>
    </row>
    <row r="6538" spans="1:14" s="5" customFormat="1" ht="15" customHeight="1" x14ac:dyDescent="0.25">
      <c r="A6538" s="9" t="s">
        <v>12850</v>
      </c>
      <c r="C6538" s="9" t="str">
        <f>HYPERLINK("http://www.ncbi.nlm.nih.gov/protein/27734094","Rpusd2")</f>
        <v>Rpusd2</v>
      </c>
      <c r="D6538" s="10">
        <f t="shared" si="102"/>
        <v>3.9156015565859161</v>
      </c>
      <c r="F6538" s="8" t="str">
        <f>HYPERLINK("https://esbl.nhlbi.nih.gov/Databases/mpkFractions/proteomic_fractions_log_files/Yang_log_img/27734094.jpg","show blot")</f>
        <v>show blot</v>
      </c>
      <c r="H6538" s="8" t="str">
        <f>HYPERLINK("https://esbl.nhlbi.nih.gov/Databases/mpkFractions/proteomic_fractions_linear_files/Yang_linear_img/27734094.jpg","show blot")</f>
        <v>show blot</v>
      </c>
      <c r="J6538" s="5" t="s">
        <v>12851</v>
      </c>
      <c r="L6538" s="11">
        <v>3.9156015565859161</v>
      </c>
      <c r="N6538" s="12"/>
    </row>
    <row r="6539" spans="1:14" s="5" customFormat="1" ht="15" customHeight="1" x14ac:dyDescent="0.25">
      <c r="A6539" s="9" t="s">
        <v>12852</v>
      </c>
      <c r="C6539" s="9" t="str">
        <f>HYPERLINK("http://www.ncbi.nlm.nih.gov/protein/10946722","Rqcd1")</f>
        <v>Rqcd1</v>
      </c>
      <c r="D6539" s="10">
        <f t="shared" si="102"/>
        <v>5.0568836964957056</v>
      </c>
      <c r="F6539" s="8" t="str">
        <f>HYPERLINK("https://esbl.nhlbi.nih.gov/Databases/mpkFractions/proteomic_fractions_log_files/Yang_log_img/10946722.jpg","show blot")</f>
        <v>show blot</v>
      </c>
      <c r="H6539" s="8" t="str">
        <f>HYPERLINK("https://esbl.nhlbi.nih.gov/Databases/mpkFractions/proteomic_fractions_linear_files/Yang_linear_img/10946722.jpg","show blot")</f>
        <v>show blot</v>
      </c>
      <c r="J6539" s="5" t="s">
        <v>12853</v>
      </c>
      <c r="L6539" s="11">
        <v>5.0568836964957056</v>
      </c>
      <c r="N6539" s="12"/>
    </row>
    <row r="6540" spans="1:14" s="5" customFormat="1" ht="15" customHeight="1" x14ac:dyDescent="0.25">
      <c r="A6540" s="9" t="s">
        <v>12854</v>
      </c>
      <c r="C6540" s="9" t="str">
        <f>HYPERLINK("http://www.ncbi.nlm.nih.gov/protein/31541819","Rraga")</f>
        <v>Rraga</v>
      </c>
      <c r="D6540" s="10">
        <f t="shared" si="102"/>
        <v>5.0333974489498763</v>
      </c>
      <c r="F6540" s="8" t="str">
        <f>HYPERLINK("https://esbl.nhlbi.nih.gov/Databases/mpkFractions/proteomic_fractions_log_files/Yang_log_img/31541819.jpg","show blot")</f>
        <v>show blot</v>
      </c>
      <c r="H6540" s="8" t="str">
        <f>HYPERLINK("https://esbl.nhlbi.nih.gov/Databases/mpkFractions/proteomic_fractions_linear_files/Yang_linear_img/31541819.jpg","show blot")</f>
        <v>show blot</v>
      </c>
      <c r="J6540" s="5" t="s">
        <v>12855</v>
      </c>
      <c r="L6540" s="11">
        <v>5.0333974489498763</v>
      </c>
      <c r="N6540" s="12"/>
    </row>
    <row r="6541" spans="1:14" s="5" customFormat="1" ht="15" customHeight="1" x14ac:dyDescent="0.25">
      <c r="A6541" s="9" t="s">
        <v>12856</v>
      </c>
      <c r="C6541" s="9" t="str">
        <f>HYPERLINK("http://www.ncbi.nlm.nih.gov/protein/51921311","Rragb")</f>
        <v>Rragb</v>
      </c>
      <c r="D6541" s="10">
        <f t="shared" si="102"/>
        <v>4.9504855991178189</v>
      </c>
      <c r="F6541" s="8" t="str">
        <f>HYPERLINK("https://esbl.nhlbi.nih.gov/Databases/mpkFractions/proteomic_fractions_log_files/Yang_log_img/51921311.jpg","show blot")</f>
        <v>show blot</v>
      </c>
      <c r="H6541" s="8" t="str">
        <f>HYPERLINK("https://esbl.nhlbi.nih.gov/Databases/mpkFractions/proteomic_fractions_linear_files/Yang_linear_img/51921311.jpg","show blot")</f>
        <v>show blot</v>
      </c>
      <c r="J6541" s="5" t="s">
        <v>12857</v>
      </c>
      <c r="L6541" s="11">
        <v>4.9504855991178189</v>
      </c>
      <c r="N6541" s="12"/>
    </row>
    <row r="6542" spans="1:14" s="5" customFormat="1" ht="15" customHeight="1" x14ac:dyDescent="0.25">
      <c r="A6542" s="9" t="s">
        <v>12858</v>
      </c>
      <c r="C6542" s="9" t="str">
        <f>HYPERLINK("http://www.ncbi.nlm.nih.gov/protein/114145487","Rragc")</f>
        <v>Rragc</v>
      </c>
      <c r="D6542" s="10">
        <f t="shared" si="102"/>
        <v>5.4079641214001768</v>
      </c>
      <c r="F6542" s="8" t="str">
        <f>HYPERLINK("https://esbl.nhlbi.nih.gov/Databases/mpkFractions/proteomic_fractions_log_files/Yang_log_img/114145487.jpg","show blot")</f>
        <v>show blot</v>
      </c>
      <c r="H6542" s="8" t="str">
        <f>HYPERLINK("https://esbl.nhlbi.nih.gov/Databases/mpkFractions/proteomic_fractions_linear_files/Yang_linear_img/114145487.jpg","show blot")</f>
        <v>show blot</v>
      </c>
      <c r="J6542" s="5" t="s">
        <v>12859</v>
      </c>
      <c r="L6542" s="11">
        <v>5.4079641214001768</v>
      </c>
      <c r="N6542" s="12"/>
    </row>
    <row r="6543" spans="1:14" s="5" customFormat="1" ht="15" customHeight="1" x14ac:dyDescent="0.25">
      <c r="A6543" s="9" t="s">
        <v>12860</v>
      </c>
      <c r="C6543" s="9" t="str">
        <f>HYPERLINK("http://www.ncbi.nlm.nih.gov/protein/120444910","Rragd")</f>
        <v>Rragd</v>
      </c>
      <c r="D6543" s="10">
        <f t="shared" si="102"/>
        <v>5.2745855259250698</v>
      </c>
      <c r="F6543" s="8" t="str">
        <f>HYPERLINK("https://esbl.nhlbi.nih.gov/Databases/mpkFractions/proteomic_fractions_log_files/Yang_log_img/120444910.jpg","show blot")</f>
        <v>show blot</v>
      </c>
      <c r="H6543" s="8" t="str">
        <f>HYPERLINK("https://esbl.nhlbi.nih.gov/Databases/mpkFractions/proteomic_fractions_linear_files/Yang_linear_img/120444910.jpg","show blot")</f>
        <v>show blot</v>
      </c>
      <c r="J6543" s="5" t="s">
        <v>12861</v>
      </c>
      <c r="L6543" s="11">
        <v>5.2745855259250698</v>
      </c>
      <c r="N6543" s="12"/>
    </row>
    <row r="6544" spans="1:14" s="5" customFormat="1" ht="15" customHeight="1" x14ac:dyDescent="0.25">
      <c r="A6544" s="9" t="s">
        <v>12862</v>
      </c>
      <c r="C6544" s="9" t="str">
        <f>HYPERLINK("http://www.ncbi.nlm.nih.gov/protein/6677819","Rras")</f>
        <v>Rras</v>
      </c>
      <c r="D6544" s="10">
        <f t="shared" si="102"/>
        <v>5.0022472590818614</v>
      </c>
      <c r="F6544" s="8" t="str">
        <f>HYPERLINK("https://esbl.nhlbi.nih.gov/Databases/mpkFractions/proteomic_fractions_log_files/Yang_log_img/6677819.jpg","show blot")</f>
        <v>show blot</v>
      </c>
      <c r="H6544" s="8" t="str">
        <f>HYPERLINK("https://esbl.nhlbi.nih.gov/Databases/mpkFractions/proteomic_fractions_linear_files/Yang_linear_img/6677819.jpg","show blot")</f>
        <v>show blot</v>
      </c>
      <c r="J6544" s="5" t="s">
        <v>12863</v>
      </c>
      <c r="L6544" s="11">
        <v>5.0022472590818614</v>
      </c>
      <c r="N6544" s="12"/>
    </row>
    <row r="6545" spans="1:14" s="5" customFormat="1" ht="15" customHeight="1" x14ac:dyDescent="0.25">
      <c r="A6545" s="9" t="s">
        <v>12864</v>
      </c>
      <c r="C6545" s="9" t="str">
        <f>HYPERLINK("http://www.ncbi.nlm.nih.gov/protein/165972315","Rras2")</f>
        <v>Rras2</v>
      </c>
      <c r="D6545" s="10">
        <f t="shared" si="102"/>
        <v>5.6245907712092142</v>
      </c>
      <c r="F6545" s="8" t="str">
        <f>HYPERLINK("https://esbl.nhlbi.nih.gov/Databases/mpkFractions/proteomic_fractions_log_files/Yang_log_img/165972315.jpg","show blot")</f>
        <v>show blot</v>
      </c>
      <c r="H6545" s="8" t="str">
        <f>HYPERLINK("https://esbl.nhlbi.nih.gov/Databases/mpkFractions/proteomic_fractions_linear_files/Yang_linear_img/165972315.jpg","show blot")</f>
        <v>show blot</v>
      </c>
      <c r="J6545" s="5" t="s">
        <v>12865</v>
      </c>
      <c r="L6545" s="11">
        <v>5.6245907712092142</v>
      </c>
      <c r="N6545" s="12"/>
    </row>
    <row r="6546" spans="1:14" s="5" customFormat="1" ht="15" customHeight="1" x14ac:dyDescent="0.25">
      <c r="A6546" s="9" t="s">
        <v>12866</v>
      </c>
      <c r="C6546" s="9" t="str">
        <f>HYPERLINK("http://www.ncbi.nlm.nih.gov/protein/19482168","Rrbp1")</f>
        <v>Rrbp1</v>
      </c>
      <c r="D6546" s="10">
        <f t="shared" si="102"/>
        <v>4.9565983027222833</v>
      </c>
      <c r="F6546" s="8" t="str">
        <f>HYPERLINK("https://esbl.nhlbi.nih.gov/Databases/mpkFractions/proteomic_fractions_log_files/Yang_log_img/19482168.jpg","show blot")</f>
        <v>show blot</v>
      </c>
      <c r="H6546" s="8" t="str">
        <f>HYPERLINK("https://esbl.nhlbi.nih.gov/Databases/mpkFractions/proteomic_fractions_linear_files/Yang_linear_img/19482168.jpg","show blot")</f>
        <v>show blot</v>
      </c>
      <c r="J6546" s="5" t="s">
        <v>12867</v>
      </c>
      <c r="L6546" s="11">
        <v>4.9565983027222833</v>
      </c>
      <c r="N6546" s="12"/>
    </row>
    <row r="6547" spans="1:14" s="5" customFormat="1" ht="15" customHeight="1" x14ac:dyDescent="0.25">
      <c r="A6547" s="9" t="s">
        <v>12868</v>
      </c>
      <c r="C6547" s="9" t="str">
        <f>HYPERLINK("http://www.ncbi.nlm.nih.gov/protein/124486712","Rrbp1")</f>
        <v>Rrbp1</v>
      </c>
      <c r="D6547" s="10">
        <f t="shared" si="102"/>
        <v>4.9565983027222833</v>
      </c>
      <c r="F6547" s="8" t="str">
        <f>HYPERLINK("https://esbl.nhlbi.nih.gov/Databases/mpkFractions/proteomic_fractions_log_files/Yang_log_img/124486712.jpg","show blot")</f>
        <v>show blot</v>
      </c>
      <c r="H6547" s="8" t="str">
        <f>HYPERLINK("https://esbl.nhlbi.nih.gov/Databases/mpkFractions/proteomic_fractions_linear_files/Yang_linear_img/124486712.jpg","show blot")</f>
        <v>show blot</v>
      </c>
      <c r="J6547" s="5" t="s">
        <v>12869</v>
      </c>
      <c r="L6547" s="11">
        <v>4.9565983027222833</v>
      </c>
      <c r="N6547" s="12"/>
    </row>
    <row r="6548" spans="1:14" s="5" customFormat="1" ht="15" customHeight="1" x14ac:dyDescent="0.25">
      <c r="A6548" s="9" t="s">
        <v>12870</v>
      </c>
      <c r="C6548" s="9" t="str">
        <f>HYPERLINK("http://www.ncbi.nlm.nih.gov/protein/295424113","Rreb1")</f>
        <v>Rreb1</v>
      </c>
      <c r="D6548" s="10">
        <f t="shared" si="102"/>
        <v>2.4497097555713698</v>
      </c>
      <c r="F6548" s="8" t="str">
        <f>HYPERLINK("https://esbl.nhlbi.nih.gov/Databases/mpkFractions/proteomic_fractions_log_files/Yang_log_img/295424113.jpg","show blot")</f>
        <v>show blot</v>
      </c>
      <c r="H6548" s="8" t="str">
        <f>HYPERLINK("https://esbl.nhlbi.nih.gov/Databases/mpkFractions/proteomic_fractions_linear_files/Yang_linear_img/295424113.jpg","show blot")</f>
        <v>show blot</v>
      </c>
      <c r="J6548" s="5" t="s">
        <v>12871</v>
      </c>
      <c r="L6548" s="11">
        <v>2.4497097555713698</v>
      </c>
      <c r="N6548" s="12"/>
    </row>
    <row r="6549" spans="1:14" s="5" customFormat="1" ht="15" customHeight="1" x14ac:dyDescent="0.25">
      <c r="A6549" s="9" t="s">
        <v>12872</v>
      </c>
      <c r="C6549" s="9" t="str">
        <f>HYPERLINK("http://www.ncbi.nlm.nih.gov/protein/295424118","Rreb1")</f>
        <v>Rreb1</v>
      </c>
      <c r="D6549" s="10">
        <f t="shared" si="102"/>
        <v>2.4497097555713698</v>
      </c>
      <c r="F6549" s="8" t="str">
        <f>HYPERLINK("https://esbl.nhlbi.nih.gov/Databases/mpkFractions/proteomic_fractions_log_files/Yang_log_img/295424118.jpg","show blot")</f>
        <v>show blot</v>
      </c>
      <c r="H6549" s="8" t="str">
        <f>HYPERLINK("https://esbl.nhlbi.nih.gov/Databases/mpkFractions/proteomic_fractions_linear_files/Yang_linear_img/295424118.jpg","show blot")</f>
        <v>show blot</v>
      </c>
      <c r="J6549" s="5" t="s">
        <v>12873</v>
      </c>
      <c r="L6549" s="11">
        <v>2.4497097555713698</v>
      </c>
      <c r="N6549" s="12"/>
    </row>
    <row r="6550" spans="1:14" s="5" customFormat="1" ht="15" customHeight="1" x14ac:dyDescent="0.25">
      <c r="A6550" s="9" t="s">
        <v>12874</v>
      </c>
      <c r="C6550" s="9" t="str">
        <f>HYPERLINK("http://www.ncbi.nlm.nih.gov/protein/31982026","Rrm1")</f>
        <v>Rrm1</v>
      </c>
      <c r="D6550" s="10">
        <f t="shared" si="102"/>
        <v>5.4177869208547174</v>
      </c>
      <c r="F6550" s="8" t="str">
        <f>HYPERLINK("https://esbl.nhlbi.nih.gov/Databases/mpkFractions/proteomic_fractions_log_files/Yang_log_img/31982026.jpg","show blot")</f>
        <v>show blot</v>
      </c>
      <c r="H6550" s="8" t="str">
        <f>HYPERLINK("https://esbl.nhlbi.nih.gov/Databases/mpkFractions/proteomic_fractions_linear_files/Yang_linear_img/31982026.jpg","show blot")</f>
        <v>show blot</v>
      </c>
      <c r="J6550" s="5" t="s">
        <v>12875</v>
      </c>
      <c r="L6550" s="11">
        <v>5.4177869208547174</v>
      </c>
      <c r="N6550" s="12"/>
    </row>
    <row r="6551" spans="1:14" s="5" customFormat="1" ht="15" customHeight="1" x14ac:dyDescent="0.25">
      <c r="A6551" s="9" t="s">
        <v>12876</v>
      </c>
      <c r="C6551" s="9" t="str">
        <f>HYPERLINK("http://www.ncbi.nlm.nih.gov/protein/7106399","Rrm2")</f>
        <v>Rrm2</v>
      </c>
      <c r="D6551" s="10">
        <f t="shared" si="102"/>
        <v>5.4412629695452326</v>
      </c>
      <c r="F6551" s="8" t="str">
        <f>HYPERLINK("https://esbl.nhlbi.nih.gov/Databases/mpkFractions/proteomic_fractions_log_files/Yang_log_img/7106399.jpg","show blot")</f>
        <v>show blot</v>
      </c>
      <c r="H6551" s="8" t="str">
        <f>HYPERLINK("https://esbl.nhlbi.nih.gov/Databases/mpkFractions/proteomic_fractions_linear_files/Yang_linear_img/7106399.jpg","show blot")</f>
        <v>show blot</v>
      </c>
      <c r="J6551" s="5" t="s">
        <v>12877</v>
      </c>
      <c r="L6551" s="11">
        <v>5.4412629695452326</v>
      </c>
      <c r="N6551" s="12"/>
    </row>
    <row r="6552" spans="1:14" s="5" customFormat="1" ht="15" customHeight="1" x14ac:dyDescent="0.25">
      <c r="A6552" s="9" t="s">
        <v>12878</v>
      </c>
      <c r="C6552" s="9" t="str">
        <f>HYPERLINK("http://www.ncbi.nlm.nih.gov/protein/41054952","Rrm2b")</f>
        <v>Rrm2b</v>
      </c>
      <c r="D6552" s="10">
        <f t="shared" si="102"/>
        <v>4.131613228658038</v>
      </c>
      <c r="F6552" s="8" t="str">
        <f>HYPERLINK("https://esbl.nhlbi.nih.gov/Databases/mpkFractions/proteomic_fractions_log_files/Yang_log_img/41054952.jpg","show blot")</f>
        <v>show blot</v>
      </c>
      <c r="H6552" s="8" t="str">
        <f>HYPERLINK("https://esbl.nhlbi.nih.gov/Databases/mpkFractions/proteomic_fractions_linear_files/Yang_linear_img/41054952.jpg","show blot")</f>
        <v>show blot</v>
      </c>
      <c r="J6552" s="5" t="s">
        <v>12879</v>
      </c>
      <c r="L6552" s="11">
        <v>4.131613228658038</v>
      </c>
      <c r="N6552" s="12"/>
    </row>
    <row r="6553" spans="1:14" s="5" customFormat="1" ht="15" customHeight="1" x14ac:dyDescent="0.25">
      <c r="A6553" s="9" t="s">
        <v>12880</v>
      </c>
      <c r="C6553" s="9" t="str">
        <f>HYPERLINK("http://www.ncbi.nlm.nih.gov/protein/117676367","Rrp1")</f>
        <v>Rrp1</v>
      </c>
      <c r="D6553" s="10">
        <f t="shared" si="102"/>
        <v>2.349129236185056</v>
      </c>
      <c r="F6553" s="8" t="str">
        <f>HYPERLINK("https://esbl.nhlbi.nih.gov/Databases/mpkFractions/proteomic_fractions_log_files/Yang_log_img/117676367.jpg","show blot")</f>
        <v>show blot</v>
      </c>
      <c r="H6553" s="8" t="str">
        <f>HYPERLINK("https://esbl.nhlbi.nih.gov/Databases/mpkFractions/proteomic_fractions_linear_files/Yang_linear_img/117676367.jpg","show blot")</f>
        <v>show blot</v>
      </c>
      <c r="J6553" s="5" t="s">
        <v>12881</v>
      </c>
      <c r="L6553" s="11">
        <v>2.349129236185056</v>
      </c>
      <c r="N6553" s="12"/>
    </row>
    <row r="6554" spans="1:14" s="5" customFormat="1" ht="15" customHeight="1" x14ac:dyDescent="0.25">
      <c r="A6554" s="9" t="s">
        <v>12882</v>
      </c>
      <c r="C6554" s="9" t="str">
        <f>HYPERLINK("http://www.ncbi.nlm.nih.gov/protein/40789092","Rrp12")</f>
        <v>Rrp12</v>
      </c>
      <c r="D6554" s="10">
        <f t="shared" si="102"/>
        <v>3.269596792093215</v>
      </c>
      <c r="F6554" s="8" t="str">
        <f>HYPERLINK("https://esbl.nhlbi.nih.gov/Databases/mpkFractions/proteomic_fractions_log_files/Yang_log_img/40789092.jpg","show blot")</f>
        <v>show blot</v>
      </c>
      <c r="H6554" s="8" t="str">
        <f>HYPERLINK("https://esbl.nhlbi.nih.gov/Databases/mpkFractions/proteomic_fractions_linear_files/Yang_linear_img/40789092.jpg","show blot")</f>
        <v>show blot</v>
      </c>
      <c r="J6554" s="5" t="s">
        <v>12883</v>
      </c>
      <c r="L6554" s="11">
        <v>3.269596792093215</v>
      </c>
      <c r="N6554" s="12"/>
    </row>
    <row r="6555" spans="1:14" s="5" customFormat="1" ht="15" customHeight="1" x14ac:dyDescent="0.25">
      <c r="A6555" s="9" t="s">
        <v>12884</v>
      </c>
      <c r="C6555" s="9" t="str">
        <f>HYPERLINK("http://www.ncbi.nlm.nih.gov/protein/21704248","Rrp9")</f>
        <v>Rrp9</v>
      </c>
      <c r="D6555" s="10">
        <f t="shared" si="102"/>
        <v>3.1847184053410529</v>
      </c>
      <c r="F6555" s="8" t="str">
        <f>HYPERLINK("https://esbl.nhlbi.nih.gov/Databases/mpkFractions/proteomic_fractions_log_files/Yang_log_img/21704248.jpg","show blot")</f>
        <v>show blot</v>
      </c>
      <c r="H6555" s="8" t="str">
        <f>HYPERLINK("https://esbl.nhlbi.nih.gov/Databases/mpkFractions/proteomic_fractions_linear_files/Yang_linear_img/21704248.jpg","show blot")</f>
        <v>show blot</v>
      </c>
      <c r="J6555" s="5" t="s">
        <v>12885</v>
      </c>
      <c r="L6555" s="11">
        <v>3.1847184053410529</v>
      </c>
      <c r="N6555" s="12"/>
    </row>
    <row r="6556" spans="1:14" s="5" customFormat="1" ht="15" customHeight="1" x14ac:dyDescent="0.25">
      <c r="A6556" s="9" t="s">
        <v>12886</v>
      </c>
      <c r="C6556" s="9" t="str">
        <f>HYPERLINK("http://www.ncbi.nlm.nih.gov/protein/227908779","Rrs1")</f>
        <v>Rrs1</v>
      </c>
      <c r="D6556" s="10">
        <f t="shared" si="102"/>
        <v>3.5193396451503962</v>
      </c>
      <c r="F6556" s="8" t="str">
        <f>HYPERLINK("https://esbl.nhlbi.nih.gov/Databases/mpkFractions/proteomic_fractions_log_files/Yang_log_img/227908779.jpg","show blot")</f>
        <v>show blot</v>
      </c>
      <c r="H6556" s="8" t="str">
        <f>HYPERLINK("https://esbl.nhlbi.nih.gov/Databases/mpkFractions/proteomic_fractions_linear_files/Yang_linear_img/227908779.jpg","show blot")</f>
        <v>show blot</v>
      </c>
      <c r="J6556" s="5" t="s">
        <v>12887</v>
      </c>
      <c r="L6556" s="11">
        <v>3.5193396451503962</v>
      </c>
      <c r="N6556" s="12"/>
    </row>
    <row r="6557" spans="1:14" s="5" customFormat="1" ht="15" customHeight="1" x14ac:dyDescent="0.25">
      <c r="A6557" s="9" t="s">
        <v>12888</v>
      </c>
      <c r="C6557" s="9" t="str">
        <f>HYPERLINK("http://www.ncbi.nlm.nih.gov/protein/67906201","Rsbn1")</f>
        <v>Rsbn1</v>
      </c>
      <c r="D6557" s="10">
        <f t="shared" si="102"/>
        <v>3.5943826170032431</v>
      </c>
      <c r="F6557" s="8" t="str">
        <f>HYPERLINK("https://esbl.nhlbi.nih.gov/Databases/mpkFractions/proteomic_fractions_log_files/Yang_log_img/67906201.jpg","show blot")</f>
        <v>show blot</v>
      </c>
      <c r="H6557" s="8" t="str">
        <f>HYPERLINK("https://esbl.nhlbi.nih.gov/Databases/mpkFractions/proteomic_fractions_linear_files/Yang_linear_img/67906201.jpg","show blot")</f>
        <v>show blot</v>
      </c>
      <c r="J6557" s="5" t="s">
        <v>12889</v>
      </c>
      <c r="L6557" s="11">
        <v>3.5943826170032431</v>
      </c>
      <c r="N6557" s="12"/>
    </row>
    <row r="6558" spans="1:14" s="5" customFormat="1" ht="15" customHeight="1" x14ac:dyDescent="0.25">
      <c r="A6558" s="9" t="s">
        <v>12890</v>
      </c>
      <c r="C6558" s="9" t="str">
        <f>HYPERLINK("http://www.ncbi.nlm.nih.gov/protein/124430547","Rsbn1l")</f>
        <v>Rsbn1l</v>
      </c>
      <c r="D6558" s="10">
        <f t="shared" si="102"/>
        <v>2.0873635779146462</v>
      </c>
      <c r="F6558" s="8" t="str">
        <f>HYPERLINK("https://esbl.nhlbi.nih.gov/Databases/mpkFractions/proteomic_fractions_log_files/Yang_log_img/124430547.jpg","show blot")</f>
        <v>show blot</v>
      </c>
      <c r="H6558" s="8" t="str">
        <f>HYPERLINK("https://esbl.nhlbi.nih.gov/Databases/mpkFractions/proteomic_fractions_linear_files/Yang_linear_img/124430547.jpg","show blot")</f>
        <v>show blot</v>
      </c>
      <c r="J6558" s="5" t="s">
        <v>12891</v>
      </c>
      <c r="L6558" s="11">
        <v>2.0873635779146462</v>
      </c>
      <c r="N6558" s="12"/>
    </row>
    <row r="6559" spans="1:14" s="5" customFormat="1" ht="15" customHeight="1" x14ac:dyDescent="0.25">
      <c r="A6559" s="9" t="s">
        <v>12892</v>
      </c>
      <c r="C6559" s="9" t="str">
        <f>HYPERLINK("http://www.ncbi.nlm.nih.gov/protein/30794470","Rsl1d1")</f>
        <v>Rsl1d1</v>
      </c>
      <c r="D6559" s="10">
        <f t="shared" si="102"/>
        <v>5.3803633774104958</v>
      </c>
      <c r="F6559" s="8" t="str">
        <f>HYPERLINK("https://esbl.nhlbi.nih.gov/Databases/mpkFractions/proteomic_fractions_log_files/Yang_log_img/30794470.jpg","show blot")</f>
        <v>show blot</v>
      </c>
      <c r="H6559" s="8" t="str">
        <f>HYPERLINK("https://esbl.nhlbi.nih.gov/Databases/mpkFractions/proteomic_fractions_linear_files/Yang_linear_img/30794470.jpg","show blot")</f>
        <v>show blot</v>
      </c>
      <c r="J6559" s="5" t="s">
        <v>12893</v>
      </c>
      <c r="L6559" s="11">
        <v>5.3803633774104958</v>
      </c>
      <c r="N6559" s="12"/>
    </row>
    <row r="6560" spans="1:14" s="5" customFormat="1" ht="15" customHeight="1" x14ac:dyDescent="0.25">
      <c r="A6560" s="9" t="s">
        <v>12894</v>
      </c>
      <c r="C6560" s="9" t="str">
        <f>HYPERLINK("http://www.ncbi.nlm.nih.gov/protein/13385292","Rsrc1")</f>
        <v>Rsrc1</v>
      </c>
      <c r="D6560" s="10">
        <f t="shared" si="102"/>
        <v>3.5595181741734092</v>
      </c>
      <c r="F6560" s="8" t="str">
        <f>HYPERLINK("https://esbl.nhlbi.nih.gov/Databases/mpkFractions/proteomic_fractions_log_files/Yang_log_img/13385292.jpg","show blot")</f>
        <v>show blot</v>
      </c>
      <c r="H6560" s="8" t="str">
        <f>HYPERLINK("https://esbl.nhlbi.nih.gov/Databases/mpkFractions/proteomic_fractions_linear_files/Yang_linear_img/13385292.jpg","show blot")</f>
        <v>show blot</v>
      </c>
      <c r="J6560" s="5" t="s">
        <v>12895</v>
      </c>
      <c r="L6560" s="11">
        <v>3.5595181741734092</v>
      </c>
      <c r="N6560" s="12"/>
    </row>
    <row r="6561" spans="1:14" s="5" customFormat="1" ht="15" customHeight="1" x14ac:dyDescent="0.25">
      <c r="A6561" s="9" t="s">
        <v>12896</v>
      </c>
      <c r="C6561" s="9" t="str">
        <f>HYPERLINK("http://www.ncbi.nlm.nih.gov/protein/53988374","Rsrc2")</f>
        <v>Rsrc2</v>
      </c>
      <c r="D6561" s="10">
        <f t="shared" si="102"/>
        <v>4.4860845414162691</v>
      </c>
      <c r="F6561" s="8" t="str">
        <f>HYPERLINK("https://esbl.nhlbi.nih.gov/Databases/mpkFractions/proteomic_fractions_log_files/Yang_log_img/53988374.jpg","show blot")</f>
        <v>show blot</v>
      </c>
      <c r="H6561" s="8" t="str">
        <f>HYPERLINK("https://esbl.nhlbi.nih.gov/Databases/mpkFractions/proteomic_fractions_linear_files/Yang_linear_img/53988374.jpg","show blot")</f>
        <v>show blot</v>
      </c>
      <c r="J6561" s="5" t="s">
        <v>12897</v>
      </c>
      <c r="L6561" s="11">
        <v>4.4860845414162691</v>
      </c>
      <c r="N6561" s="12"/>
    </row>
    <row r="6562" spans="1:14" s="5" customFormat="1" ht="15" customHeight="1" x14ac:dyDescent="0.25">
      <c r="A6562" s="9" t="s">
        <v>12898</v>
      </c>
      <c r="C6562" s="9" t="str">
        <f>HYPERLINK("http://www.ncbi.nlm.nih.gov/protein/53988372","Rsrc2")</f>
        <v>Rsrc2</v>
      </c>
      <c r="D6562" s="10">
        <f t="shared" si="102"/>
        <v>4.4860845414162691</v>
      </c>
      <c r="F6562" s="8" t="str">
        <f>HYPERLINK("https://esbl.nhlbi.nih.gov/Databases/mpkFractions/proteomic_fractions_log_files/Yang_log_img/53988372.jpg","show blot")</f>
        <v>show blot</v>
      </c>
      <c r="H6562" s="8" t="str">
        <f>HYPERLINK("https://esbl.nhlbi.nih.gov/Databases/mpkFractions/proteomic_fractions_linear_files/Yang_linear_img/53988372.jpg","show blot")</f>
        <v>show blot</v>
      </c>
      <c r="J6562" s="5" t="s">
        <v>12899</v>
      </c>
      <c r="L6562" s="11">
        <v>4.4860845414162691</v>
      </c>
      <c r="N6562" s="12"/>
    </row>
    <row r="6563" spans="1:14" s="5" customFormat="1" ht="15" customHeight="1" x14ac:dyDescent="0.25">
      <c r="A6563" s="9" t="s">
        <v>12900</v>
      </c>
      <c r="C6563" s="9" t="str">
        <f>HYPERLINK("http://www.ncbi.nlm.nih.gov/protein/53988376","Rsrc2")</f>
        <v>Rsrc2</v>
      </c>
      <c r="D6563" s="10">
        <f t="shared" si="102"/>
        <v>4.4860845414162691</v>
      </c>
      <c r="F6563" s="8" t="str">
        <f>HYPERLINK("https://esbl.nhlbi.nih.gov/Databases/mpkFractions/proteomic_fractions_log_files/Yang_log_img/53988376.jpg","show blot")</f>
        <v>show blot</v>
      </c>
      <c r="H6563" s="8" t="str">
        <f>HYPERLINK("https://esbl.nhlbi.nih.gov/Databases/mpkFractions/proteomic_fractions_linear_files/Yang_linear_img/53988376.jpg","show blot")</f>
        <v>show blot</v>
      </c>
      <c r="J6563" s="5" t="s">
        <v>12901</v>
      </c>
      <c r="L6563" s="11">
        <v>4.4860845414162691</v>
      </c>
      <c r="N6563" s="12"/>
    </row>
    <row r="6564" spans="1:14" s="5" customFormat="1" ht="15" customHeight="1" x14ac:dyDescent="0.25">
      <c r="A6564" s="9" t="s">
        <v>12902</v>
      </c>
      <c r="C6564" s="9" t="str">
        <f>HYPERLINK("http://www.ncbi.nlm.nih.gov/protein/31982028","Rsu1")</f>
        <v>Rsu1</v>
      </c>
      <c r="D6564" s="10">
        <f t="shared" si="102"/>
        <v>5.4200159514110409</v>
      </c>
      <c r="F6564" s="8" t="str">
        <f>HYPERLINK("https://esbl.nhlbi.nih.gov/Databases/mpkFractions/proteomic_fractions_log_files/Yang_log_img/31982028.jpg","show blot")</f>
        <v>show blot</v>
      </c>
      <c r="H6564" s="8" t="str">
        <f>HYPERLINK("https://esbl.nhlbi.nih.gov/Databases/mpkFractions/proteomic_fractions_linear_files/Yang_linear_img/31982028.jpg","show blot")</f>
        <v>show blot</v>
      </c>
      <c r="J6564" s="5" t="s">
        <v>12903</v>
      </c>
      <c r="L6564" s="11">
        <v>5.4200159514110409</v>
      </c>
      <c r="N6564" s="12"/>
    </row>
    <row r="6565" spans="1:14" s="5" customFormat="1" ht="15" customHeight="1" x14ac:dyDescent="0.25">
      <c r="A6565" s="9" t="s">
        <v>12904</v>
      </c>
      <c r="C6565" s="9" t="str">
        <f>HYPERLINK("http://www.ncbi.nlm.nih.gov/protein/254587958","Rtca")</f>
        <v>Rtca</v>
      </c>
      <c r="D6565" s="10">
        <f t="shared" si="102"/>
        <v>5.190542078561279</v>
      </c>
      <c r="F6565" s="8" t="str">
        <f>HYPERLINK("https://esbl.nhlbi.nih.gov/Databases/mpkFractions/proteomic_fractions_log_files/Yang_log_img/254587958.jpg","show blot")</f>
        <v>show blot</v>
      </c>
      <c r="H6565" s="8" t="str">
        <f>HYPERLINK("https://esbl.nhlbi.nih.gov/Databases/mpkFractions/proteomic_fractions_linear_files/Yang_linear_img/254587958.jpg","show blot")</f>
        <v>show blot</v>
      </c>
      <c r="J6565" s="5" t="s">
        <v>12905</v>
      </c>
      <c r="L6565" s="11">
        <v>5.190542078561279</v>
      </c>
      <c r="N6565" s="12"/>
    </row>
    <row r="6566" spans="1:14" s="5" customFormat="1" ht="15" customHeight="1" x14ac:dyDescent="0.25">
      <c r="A6566" s="9" t="s">
        <v>12906</v>
      </c>
      <c r="C6566" s="9" t="str">
        <f>HYPERLINK("http://www.ncbi.nlm.nih.gov/protein/21703842","Rtcb")</f>
        <v>Rtcb</v>
      </c>
      <c r="D6566" s="10">
        <f t="shared" si="102"/>
        <v>6.1524042125954104</v>
      </c>
      <c r="F6566" s="8" t="str">
        <f>HYPERLINK("https://esbl.nhlbi.nih.gov/Databases/mpkFractions/proteomic_fractions_log_files/Yang_log_img/21703842.jpg","show blot")</f>
        <v>show blot</v>
      </c>
      <c r="H6566" s="8" t="str">
        <f>HYPERLINK("https://esbl.nhlbi.nih.gov/Databases/mpkFractions/proteomic_fractions_linear_files/Yang_linear_img/21703842.jpg","show blot")</f>
        <v>show blot</v>
      </c>
      <c r="J6566" s="5" t="s">
        <v>12907</v>
      </c>
      <c r="L6566" s="11">
        <v>6.1524042125954104</v>
      </c>
      <c r="N6566" s="12"/>
    </row>
    <row r="6567" spans="1:14" s="5" customFormat="1" ht="15" customHeight="1" x14ac:dyDescent="0.25">
      <c r="A6567" s="9" t="s">
        <v>12908</v>
      </c>
      <c r="C6567" s="9" t="str">
        <f>HYPERLINK("http://www.ncbi.nlm.nih.gov/protein/195976788","Rtf1")</f>
        <v>Rtf1</v>
      </c>
      <c r="D6567" s="10">
        <f t="shared" si="102"/>
        <v>4.1331009040709326</v>
      </c>
      <c r="F6567" s="8" t="str">
        <f>HYPERLINK("https://esbl.nhlbi.nih.gov/Databases/mpkFractions/proteomic_fractions_log_files/Yang_log_img/195976788.jpg","show blot")</f>
        <v>show blot</v>
      </c>
      <c r="H6567" s="8" t="str">
        <f>HYPERLINK("https://esbl.nhlbi.nih.gov/Databases/mpkFractions/proteomic_fractions_linear_files/Yang_linear_img/195976788.jpg","show blot")</f>
        <v>show blot</v>
      </c>
      <c r="J6567" s="5" t="s">
        <v>12909</v>
      </c>
      <c r="L6567" s="11">
        <v>4.1331009040709326</v>
      </c>
      <c r="N6567" s="12"/>
    </row>
    <row r="6568" spans="1:14" s="5" customFormat="1" ht="15" customHeight="1" x14ac:dyDescent="0.25">
      <c r="A6568" s="9" t="s">
        <v>12910</v>
      </c>
      <c r="C6568" s="9" t="str">
        <f>HYPERLINK("http://www.ncbi.nlm.nih.gov/protein/30794468","Rtfdc1")</f>
        <v>Rtfdc1</v>
      </c>
      <c r="D6568" s="10">
        <f t="shared" si="102"/>
        <v>4.2417570483190001</v>
      </c>
      <c r="F6568" s="8" t="str">
        <f>HYPERLINK("https://esbl.nhlbi.nih.gov/Databases/mpkFractions/proteomic_fractions_log_files/Yang_log_img/30794468.jpg","show blot")</f>
        <v>show blot</v>
      </c>
      <c r="H6568" s="8" t="str">
        <f>HYPERLINK("https://esbl.nhlbi.nih.gov/Databases/mpkFractions/proteomic_fractions_linear_files/Yang_linear_img/30794468.jpg","show blot")</f>
        <v>show blot</v>
      </c>
      <c r="J6568" s="5" t="s">
        <v>12911</v>
      </c>
      <c r="L6568" s="11">
        <v>4.2417570483190001</v>
      </c>
      <c r="N6568" s="12"/>
    </row>
    <row r="6569" spans="1:14" s="5" customFormat="1" ht="15" customHeight="1" x14ac:dyDescent="0.25">
      <c r="A6569" s="9" t="s">
        <v>12912</v>
      </c>
      <c r="C6569" s="9" t="str">
        <f>HYPERLINK("http://www.ncbi.nlm.nih.gov/protein/557129040","Rtn1")</f>
        <v>Rtn1</v>
      </c>
      <c r="D6569" s="10">
        <f t="shared" si="102"/>
        <v>5.2873817210802327</v>
      </c>
      <c r="F6569" s="8" t="str">
        <f>HYPERLINK("https://esbl.nhlbi.nih.gov/Databases/mpkFractions/proteomic_fractions_log_files/Yang_log_img/557129040.jpg","show blot")</f>
        <v>show blot</v>
      </c>
      <c r="H6569" s="8" t="str">
        <f>HYPERLINK("https://esbl.nhlbi.nih.gov/Databases/mpkFractions/proteomic_fractions_linear_files/Yang_linear_img/557129040.jpg","show blot")</f>
        <v>show blot</v>
      </c>
      <c r="J6569" s="5" t="s">
        <v>12913</v>
      </c>
      <c r="L6569" s="11">
        <v>5.2873817210802327</v>
      </c>
      <c r="N6569" s="12"/>
    </row>
    <row r="6570" spans="1:14" s="5" customFormat="1" ht="15" customHeight="1" x14ac:dyDescent="0.25">
      <c r="A6570" s="9" t="s">
        <v>12914</v>
      </c>
      <c r="C6570" s="9" t="str">
        <f>HYPERLINK("http://www.ncbi.nlm.nih.gov/protein/31982561","Rtn1")</f>
        <v>Rtn1</v>
      </c>
      <c r="D6570" s="10">
        <f t="shared" si="102"/>
        <v>5.2873817210802327</v>
      </c>
      <c r="F6570" s="8" t="str">
        <f>HYPERLINK("https://esbl.nhlbi.nih.gov/Databases/mpkFractions/proteomic_fractions_log_files/Yang_log_img/31982561.jpg","show blot")</f>
        <v>show blot</v>
      </c>
      <c r="H6570" s="8" t="str">
        <f>HYPERLINK("https://esbl.nhlbi.nih.gov/Databases/mpkFractions/proteomic_fractions_linear_files/Yang_linear_img/31982561.jpg","show blot")</f>
        <v>show blot</v>
      </c>
      <c r="J6570" s="5" t="s">
        <v>12915</v>
      </c>
      <c r="L6570" s="11">
        <v>5.2873817210802327</v>
      </c>
      <c r="N6570" s="12"/>
    </row>
    <row r="6571" spans="1:14" s="5" customFormat="1" ht="15" customHeight="1" x14ac:dyDescent="0.25">
      <c r="A6571" s="9" t="s">
        <v>12916</v>
      </c>
      <c r="C6571" s="9" t="str">
        <f>HYPERLINK("http://www.ncbi.nlm.nih.gov/protein/56090141","Rtn1")</f>
        <v>Rtn1</v>
      </c>
      <c r="D6571" s="10">
        <f t="shared" si="102"/>
        <v>5.2873817210802327</v>
      </c>
      <c r="F6571" s="8" t="str">
        <f>HYPERLINK("https://esbl.nhlbi.nih.gov/Databases/mpkFractions/proteomic_fractions_log_files/Yang_log_img/56090141.jpg","show blot")</f>
        <v>show blot</v>
      </c>
      <c r="H6571" s="8" t="str">
        <f>HYPERLINK("https://esbl.nhlbi.nih.gov/Databases/mpkFractions/proteomic_fractions_linear_files/Yang_linear_img/56090141.jpg","show blot")</f>
        <v>show blot</v>
      </c>
      <c r="J6571" s="5" t="s">
        <v>12917</v>
      </c>
      <c r="L6571" s="11">
        <v>5.2873817210802327</v>
      </c>
      <c r="N6571" s="12"/>
    </row>
    <row r="6572" spans="1:14" s="5" customFormat="1" ht="15" customHeight="1" x14ac:dyDescent="0.25">
      <c r="A6572" s="9" t="s">
        <v>12918</v>
      </c>
      <c r="C6572" s="9" t="str">
        <f>HYPERLINK("http://www.ncbi.nlm.nih.gov/protein/16716353","Rtn3")</f>
        <v>Rtn3</v>
      </c>
      <c r="D6572" s="10">
        <f t="shared" si="102"/>
        <v>6.42043800410225</v>
      </c>
      <c r="F6572" s="8" t="str">
        <f>HYPERLINK("https://esbl.nhlbi.nih.gov/Databases/mpkFractions/proteomic_fractions_log_files/Yang_log_img/16716353.jpg","show blot")</f>
        <v>show blot</v>
      </c>
      <c r="H6572" s="8" t="str">
        <f>HYPERLINK("https://esbl.nhlbi.nih.gov/Databases/mpkFractions/proteomic_fractions_linear_files/Yang_linear_img/16716353.jpg","show blot")</f>
        <v>show blot</v>
      </c>
      <c r="J6572" s="5" t="s">
        <v>12919</v>
      </c>
      <c r="L6572" s="11">
        <v>6.42043800410225</v>
      </c>
      <c r="N6572" s="12"/>
    </row>
    <row r="6573" spans="1:14" s="5" customFormat="1" ht="15" customHeight="1" x14ac:dyDescent="0.25">
      <c r="A6573" s="9" t="s">
        <v>12920</v>
      </c>
      <c r="C6573" s="9" t="str">
        <f>HYPERLINK("http://www.ncbi.nlm.nih.gov/protein/407339783","Rtn3")</f>
        <v>Rtn3</v>
      </c>
      <c r="D6573" s="10">
        <f t="shared" si="102"/>
        <v>6.42043800410225</v>
      </c>
      <c r="F6573" s="8" t="str">
        <f>HYPERLINK("https://esbl.nhlbi.nih.gov/Databases/mpkFractions/proteomic_fractions_log_files/Yang_log_img/407339783.jpg","show blot")</f>
        <v>show blot</v>
      </c>
      <c r="H6573" s="8" t="str">
        <f>HYPERLINK("https://esbl.nhlbi.nih.gov/Databases/mpkFractions/proteomic_fractions_linear_files/Yang_linear_img/407339783.jpg","show blot")</f>
        <v>show blot</v>
      </c>
      <c r="J6573" s="5" t="s">
        <v>12921</v>
      </c>
      <c r="L6573" s="11">
        <v>6.42043800410225</v>
      </c>
      <c r="N6573" s="12"/>
    </row>
    <row r="6574" spans="1:14" s="5" customFormat="1" ht="15" customHeight="1" x14ac:dyDescent="0.25">
      <c r="A6574" s="9" t="s">
        <v>12922</v>
      </c>
      <c r="C6574" s="9" t="str">
        <f>HYPERLINK("http://www.ncbi.nlm.nih.gov/protein/407339785","Rtn3")</f>
        <v>Rtn3</v>
      </c>
      <c r="D6574" s="10">
        <f t="shared" si="102"/>
        <v>6.42043800410225</v>
      </c>
      <c r="F6574" s="8" t="str">
        <f>HYPERLINK("https://esbl.nhlbi.nih.gov/Databases/mpkFractions/proteomic_fractions_log_files/Yang_log_img/407339785.jpg","show blot")</f>
        <v>show blot</v>
      </c>
      <c r="H6574" s="8" t="str">
        <f>HYPERLINK("https://esbl.nhlbi.nih.gov/Databases/mpkFractions/proteomic_fractions_linear_files/Yang_linear_img/407339785.jpg","show blot")</f>
        <v>show blot</v>
      </c>
      <c r="J6574" s="5" t="s">
        <v>12923</v>
      </c>
      <c r="L6574" s="11">
        <v>6.42043800410225</v>
      </c>
      <c r="N6574" s="12"/>
    </row>
    <row r="6575" spans="1:14" s="5" customFormat="1" ht="15" customHeight="1" x14ac:dyDescent="0.25">
      <c r="A6575" s="9" t="s">
        <v>12924</v>
      </c>
      <c r="C6575" s="9" t="str">
        <f>HYPERLINK("http://www.ncbi.nlm.nih.gov/protein/51511741","Rtn3")</f>
        <v>Rtn3</v>
      </c>
      <c r="D6575" s="10">
        <f t="shared" si="102"/>
        <v>6.42043800410225</v>
      </c>
      <c r="F6575" s="8" t="str">
        <f>HYPERLINK("https://esbl.nhlbi.nih.gov/Databases/mpkFractions/proteomic_fractions_log_files/Yang_log_img/51511741.jpg","show blot")</f>
        <v>show blot</v>
      </c>
      <c r="H6575" s="8" t="str">
        <f>HYPERLINK("https://esbl.nhlbi.nih.gov/Databases/mpkFractions/proteomic_fractions_linear_files/Yang_linear_img/51511741.jpg","show blot")</f>
        <v>show blot</v>
      </c>
      <c r="J6575" s="5" t="s">
        <v>12925</v>
      </c>
      <c r="L6575" s="11">
        <v>6.42043800410225</v>
      </c>
      <c r="N6575" s="12"/>
    </row>
    <row r="6576" spans="1:14" s="5" customFormat="1" ht="15" customHeight="1" x14ac:dyDescent="0.25">
      <c r="A6576" s="9" t="s">
        <v>12926</v>
      </c>
      <c r="C6576" s="9" t="str">
        <f>HYPERLINK("http://www.ncbi.nlm.nih.gov/protein/54607016","Rtn3")</f>
        <v>Rtn3</v>
      </c>
      <c r="D6576" s="10">
        <f t="shared" si="102"/>
        <v>6.42043800410225</v>
      </c>
      <c r="F6576" s="8" t="str">
        <f>HYPERLINK("https://esbl.nhlbi.nih.gov/Databases/mpkFractions/proteomic_fractions_log_files/Yang_log_img/54607016.jpg","show blot")</f>
        <v>show blot</v>
      </c>
      <c r="H6576" s="8" t="str">
        <f>HYPERLINK("https://esbl.nhlbi.nih.gov/Databases/mpkFractions/proteomic_fractions_linear_files/Yang_linear_img/54607016.jpg","show blot")</f>
        <v>show blot</v>
      </c>
      <c r="J6576" s="5" t="s">
        <v>12927</v>
      </c>
      <c r="L6576" s="11">
        <v>6.42043800410225</v>
      </c>
      <c r="N6576" s="12"/>
    </row>
    <row r="6577" spans="1:14" s="5" customFormat="1" ht="15" customHeight="1" x14ac:dyDescent="0.25">
      <c r="A6577" s="9" t="s">
        <v>12928</v>
      </c>
      <c r="C6577" s="9" t="str">
        <f>HYPERLINK("http://www.ncbi.nlm.nih.gov/protein/13195648","Rtn4")</f>
        <v>Rtn4</v>
      </c>
      <c r="D6577" s="10">
        <f t="shared" si="102"/>
        <v>6.4097128340672667</v>
      </c>
      <c r="F6577" s="8" t="str">
        <f>HYPERLINK("https://esbl.nhlbi.nih.gov/Databases/mpkFractions/proteomic_fractions_log_files/Yang_log_img/13195648.jpg","show blot")</f>
        <v>show blot</v>
      </c>
      <c r="H6577" s="8" t="str">
        <f>HYPERLINK("https://esbl.nhlbi.nih.gov/Databases/mpkFractions/proteomic_fractions_linear_files/Yang_linear_img/13195648.jpg","show blot")</f>
        <v>show blot</v>
      </c>
      <c r="J6577" s="5" t="s">
        <v>12929</v>
      </c>
      <c r="L6577" s="11">
        <v>6.4097128340672667</v>
      </c>
      <c r="N6577" s="12"/>
    </row>
    <row r="6578" spans="1:14" s="5" customFormat="1" ht="15" customHeight="1" x14ac:dyDescent="0.25">
      <c r="A6578" s="9" t="s">
        <v>12930</v>
      </c>
      <c r="C6578" s="9" t="str">
        <f>HYPERLINK("http://www.ncbi.nlm.nih.gov/protein/34610233","Rtn4")</f>
        <v>Rtn4</v>
      </c>
      <c r="D6578" s="10">
        <f t="shared" si="102"/>
        <v>6.4097128340672667</v>
      </c>
      <c r="F6578" s="8" t="str">
        <f>HYPERLINK("https://esbl.nhlbi.nih.gov/Databases/mpkFractions/proteomic_fractions_log_files/Yang_log_img/34610233.jpg","show blot")</f>
        <v>show blot</v>
      </c>
      <c r="H6578" s="8" t="str">
        <f>HYPERLINK("https://esbl.nhlbi.nih.gov/Databases/mpkFractions/proteomic_fractions_linear_files/Yang_linear_img/34610233.jpg","show blot")</f>
        <v>show blot</v>
      </c>
      <c r="J6578" s="5" t="s">
        <v>12931</v>
      </c>
      <c r="L6578" s="11">
        <v>6.4097128340672667</v>
      </c>
      <c r="N6578" s="12"/>
    </row>
    <row r="6579" spans="1:14" s="5" customFormat="1" ht="15" customHeight="1" x14ac:dyDescent="0.25">
      <c r="A6579" s="9" t="s">
        <v>12932</v>
      </c>
      <c r="C6579" s="9" t="str">
        <f>HYPERLINK("http://www.ncbi.nlm.nih.gov/protein/34610235","Rtn4")</f>
        <v>Rtn4</v>
      </c>
      <c r="D6579" s="10">
        <f t="shared" si="102"/>
        <v>6.4097128340672667</v>
      </c>
      <c r="F6579" s="8" t="str">
        <f>HYPERLINK("https://esbl.nhlbi.nih.gov/Databases/mpkFractions/proteomic_fractions_log_files/Yang_log_img/34610235.jpg","show blot")</f>
        <v>show blot</v>
      </c>
      <c r="H6579" s="8" t="str">
        <f>HYPERLINK("https://esbl.nhlbi.nih.gov/Databases/mpkFractions/proteomic_fractions_linear_files/Yang_linear_img/34610235.jpg","show blot")</f>
        <v>show blot</v>
      </c>
      <c r="J6579" s="5" t="s">
        <v>12933</v>
      </c>
      <c r="L6579" s="11">
        <v>6.4097128340672667</v>
      </c>
      <c r="N6579" s="12"/>
    </row>
    <row r="6580" spans="1:14" s="5" customFormat="1" ht="15" customHeight="1" x14ac:dyDescent="0.25">
      <c r="A6580" s="9" t="s">
        <v>12934</v>
      </c>
      <c r="C6580" s="9" t="str">
        <f>HYPERLINK("http://www.ncbi.nlm.nih.gov/protein/34610237","Rtn4")</f>
        <v>Rtn4</v>
      </c>
      <c r="D6580" s="10">
        <f t="shared" si="102"/>
        <v>6.4097128340672667</v>
      </c>
      <c r="F6580" s="8" t="str">
        <f>HYPERLINK("https://esbl.nhlbi.nih.gov/Databases/mpkFractions/proteomic_fractions_log_files/Yang_log_img/34610237.jpg","show blot")</f>
        <v>show blot</v>
      </c>
      <c r="H6580" s="8" t="str">
        <f>HYPERLINK("https://esbl.nhlbi.nih.gov/Databases/mpkFractions/proteomic_fractions_linear_files/Yang_linear_img/34610237.jpg","show blot")</f>
        <v>show blot</v>
      </c>
      <c r="J6580" s="5" t="s">
        <v>12935</v>
      </c>
      <c r="L6580" s="11">
        <v>6.4097128340672667</v>
      </c>
      <c r="N6580" s="12"/>
    </row>
    <row r="6581" spans="1:14" s="5" customFormat="1" ht="15" customHeight="1" x14ac:dyDescent="0.25">
      <c r="A6581" s="9" t="s">
        <v>12936</v>
      </c>
      <c r="C6581" s="9" t="str">
        <f>HYPERLINK("http://www.ncbi.nlm.nih.gov/protein/34610241","Rtn4")</f>
        <v>Rtn4</v>
      </c>
      <c r="D6581" s="10">
        <f t="shared" si="102"/>
        <v>6.4097128340672667</v>
      </c>
      <c r="F6581" s="8" t="str">
        <f>HYPERLINK("https://esbl.nhlbi.nih.gov/Databases/mpkFractions/proteomic_fractions_log_files/Yang_log_img/34610241.jpg","show blot")</f>
        <v>show blot</v>
      </c>
      <c r="H6581" s="8" t="str">
        <f>HYPERLINK("https://esbl.nhlbi.nih.gov/Databases/mpkFractions/proteomic_fractions_linear_files/Yang_linear_img/34610241.jpg","show blot")</f>
        <v>show blot</v>
      </c>
      <c r="J6581" s="5" t="s">
        <v>12937</v>
      </c>
      <c r="L6581" s="11">
        <v>6.4097128340672667</v>
      </c>
      <c r="N6581" s="12"/>
    </row>
    <row r="6582" spans="1:14" s="5" customFormat="1" ht="15" customHeight="1" x14ac:dyDescent="0.25">
      <c r="A6582" s="9" t="s">
        <v>12938</v>
      </c>
      <c r="C6582" s="9" t="str">
        <f>HYPERLINK("http://www.ncbi.nlm.nih.gov/protein/31543608","Rtn4ip1")</f>
        <v>Rtn4ip1</v>
      </c>
      <c r="D6582" s="10">
        <f t="shared" si="102"/>
        <v>3.957194237413451</v>
      </c>
      <c r="F6582" s="8" t="str">
        <f>HYPERLINK("https://esbl.nhlbi.nih.gov/Databases/mpkFractions/proteomic_fractions_log_files/Yang_log_img/31543608.jpg","show blot")</f>
        <v>show blot</v>
      </c>
      <c r="H6582" s="8" t="str">
        <f>HYPERLINK("https://esbl.nhlbi.nih.gov/Databases/mpkFractions/proteomic_fractions_linear_files/Yang_linear_img/31543608.jpg","show blot")</f>
        <v>show blot</v>
      </c>
      <c r="J6582" s="5" t="s">
        <v>12939</v>
      </c>
      <c r="L6582" s="11">
        <v>3.957194237413451</v>
      </c>
      <c r="N6582" s="12"/>
    </row>
    <row r="6583" spans="1:14" s="5" customFormat="1" ht="15" customHeight="1" x14ac:dyDescent="0.25">
      <c r="A6583" s="9" t="s">
        <v>12940</v>
      </c>
      <c r="C6583" s="9" t="str">
        <f>HYPERLINK("http://www.ncbi.nlm.nih.gov/protein/37704389","Rttn")</f>
        <v>Rttn</v>
      </c>
      <c r="D6583" s="10">
        <f t="shared" si="102"/>
        <v>4.8008853545039711</v>
      </c>
      <c r="F6583" s="8" t="str">
        <f>HYPERLINK("https://esbl.nhlbi.nih.gov/Databases/mpkFractions/proteomic_fractions_log_files/Yang_log_img/37704389.jpg","show blot")</f>
        <v>show blot</v>
      </c>
      <c r="H6583" s="8" t="str">
        <f>HYPERLINK("https://esbl.nhlbi.nih.gov/Databases/mpkFractions/proteomic_fractions_linear_files/Yang_linear_img/37704389.jpg","show blot")</f>
        <v>show blot</v>
      </c>
      <c r="J6583" s="5" t="s">
        <v>12941</v>
      </c>
      <c r="L6583" s="11">
        <v>4.8008853545039711</v>
      </c>
      <c r="N6583" s="12"/>
    </row>
    <row r="6584" spans="1:14" s="5" customFormat="1" ht="15" customHeight="1" x14ac:dyDescent="0.25">
      <c r="A6584" s="9" t="s">
        <v>12942</v>
      </c>
      <c r="C6584" s="9" t="str">
        <f>HYPERLINK("http://www.ncbi.nlm.nih.gov/protein/27369788","Rufy1")</f>
        <v>Rufy1</v>
      </c>
      <c r="D6584" s="10">
        <f t="shared" si="102"/>
        <v>2.8272054549509691</v>
      </c>
      <c r="F6584" s="8" t="str">
        <f>HYPERLINK("https://esbl.nhlbi.nih.gov/Databases/mpkFractions/proteomic_fractions_log_files/Yang_log_img/27369788.jpg","show blot")</f>
        <v>show blot</v>
      </c>
      <c r="H6584" s="8" t="str">
        <f>HYPERLINK("https://esbl.nhlbi.nih.gov/Databases/mpkFractions/proteomic_fractions_linear_files/Yang_linear_img/27369788.jpg","show blot")</f>
        <v>show blot</v>
      </c>
      <c r="J6584" s="5" t="s">
        <v>12943</v>
      </c>
      <c r="L6584" s="11">
        <v>2.8272054549509691</v>
      </c>
      <c r="N6584" s="12"/>
    </row>
    <row r="6585" spans="1:14" s="5" customFormat="1" ht="15" customHeight="1" x14ac:dyDescent="0.25">
      <c r="A6585" s="9" t="s">
        <v>12944</v>
      </c>
      <c r="C6585" s="9" t="str">
        <f>HYPERLINK("http://www.ncbi.nlm.nih.gov/protein/119637825","Rufy2")</f>
        <v>Rufy2</v>
      </c>
      <c r="D6585" s="10">
        <f t="shared" si="102"/>
        <v>3.6061044882364661</v>
      </c>
      <c r="F6585" s="8" t="str">
        <f>HYPERLINK("https://esbl.nhlbi.nih.gov/Databases/mpkFractions/proteomic_fractions_log_files/Yang_log_img/119637825.jpg","show blot")</f>
        <v>show blot</v>
      </c>
      <c r="H6585" s="8" t="str">
        <f>HYPERLINK("https://esbl.nhlbi.nih.gov/Databases/mpkFractions/proteomic_fractions_linear_files/Yang_linear_img/119637825.jpg","show blot")</f>
        <v>show blot</v>
      </c>
      <c r="J6585" s="5" t="s">
        <v>12945</v>
      </c>
      <c r="L6585" s="11">
        <v>3.6061044882364661</v>
      </c>
      <c r="N6585" s="12"/>
    </row>
    <row r="6586" spans="1:14" s="5" customFormat="1" ht="15" customHeight="1" x14ac:dyDescent="0.25">
      <c r="A6586" s="9" t="s">
        <v>12946</v>
      </c>
      <c r="C6586" s="9" t="str">
        <f>HYPERLINK("http://www.ncbi.nlm.nih.gov/protein/21312036","Rufy3")</f>
        <v>Rufy3</v>
      </c>
      <c r="D6586" s="10">
        <f t="shared" si="102"/>
        <v>3.877618929908301</v>
      </c>
      <c r="F6586" s="8" t="str">
        <f>HYPERLINK("https://esbl.nhlbi.nih.gov/Databases/mpkFractions/proteomic_fractions_log_files/Yang_log_img/21312036.jpg","show blot")</f>
        <v>show blot</v>
      </c>
      <c r="H6586" s="8" t="str">
        <f>HYPERLINK("https://esbl.nhlbi.nih.gov/Databases/mpkFractions/proteomic_fractions_linear_files/Yang_linear_img/21312036.jpg","show blot")</f>
        <v>show blot</v>
      </c>
      <c r="J6586" s="5" t="s">
        <v>12947</v>
      </c>
      <c r="L6586" s="11">
        <v>3.877618929908301</v>
      </c>
      <c r="N6586" s="12"/>
    </row>
    <row r="6587" spans="1:14" s="5" customFormat="1" ht="15" customHeight="1" x14ac:dyDescent="0.25">
      <c r="A6587" s="9" t="s">
        <v>12948</v>
      </c>
      <c r="C6587" s="9" t="str">
        <f>HYPERLINK("http://www.ncbi.nlm.nih.gov/protein/139947575","Rusc1")</f>
        <v>Rusc1</v>
      </c>
      <c r="D6587" s="10">
        <f t="shared" si="102"/>
        <v>1.514778668248288</v>
      </c>
      <c r="F6587" s="8" t="str">
        <f>HYPERLINK("https://esbl.nhlbi.nih.gov/Databases/mpkFractions/proteomic_fractions_log_files/Yang_log_img/139947575.jpg","show blot")</f>
        <v>show blot</v>
      </c>
      <c r="H6587" s="8" t="str">
        <f>HYPERLINK("https://esbl.nhlbi.nih.gov/Databases/mpkFractions/proteomic_fractions_linear_files/Yang_linear_img/139947575.jpg","show blot")</f>
        <v>show blot</v>
      </c>
      <c r="J6587" s="5" t="s">
        <v>12949</v>
      </c>
      <c r="L6587" s="11">
        <v>1.514778668248288</v>
      </c>
      <c r="N6587" s="12"/>
    </row>
    <row r="6588" spans="1:14" s="5" customFormat="1" ht="15" customHeight="1" x14ac:dyDescent="0.25">
      <c r="A6588" s="9" t="s">
        <v>12950</v>
      </c>
      <c r="C6588" s="9" t="str">
        <f>HYPERLINK("http://www.ncbi.nlm.nih.gov/protein/139948764","Rusc1")</f>
        <v>Rusc1</v>
      </c>
      <c r="D6588" s="10">
        <f t="shared" si="102"/>
        <v>1.514778668248288</v>
      </c>
      <c r="F6588" s="8" t="str">
        <f>HYPERLINK("https://esbl.nhlbi.nih.gov/Databases/mpkFractions/proteomic_fractions_log_files/Yang_log_img/139948764.jpg","show blot")</f>
        <v>show blot</v>
      </c>
      <c r="H6588" s="8" t="str">
        <f>HYPERLINK("https://esbl.nhlbi.nih.gov/Databases/mpkFractions/proteomic_fractions_linear_files/Yang_linear_img/139948764.jpg","show blot")</f>
        <v>show blot</v>
      </c>
      <c r="J6588" s="5" t="s">
        <v>12951</v>
      </c>
      <c r="L6588" s="11">
        <v>1.514778668248288</v>
      </c>
      <c r="N6588" s="12"/>
    </row>
    <row r="6589" spans="1:14" s="5" customFormat="1" ht="15" customHeight="1" x14ac:dyDescent="0.25">
      <c r="A6589" s="9" t="s">
        <v>12952</v>
      </c>
      <c r="C6589" s="9" t="str">
        <f>HYPERLINK("http://www.ncbi.nlm.nih.gov/protein/139949087","Rusc1")</f>
        <v>Rusc1</v>
      </c>
      <c r="D6589" s="10">
        <f t="shared" si="102"/>
        <v>1.514778668248288</v>
      </c>
      <c r="F6589" s="8" t="str">
        <f>HYPERLINK("https://esbl.nhlbi.nih.gov/Databases/mpkFractions/proteomic_fractions_log_files/Yang_log_img/139949087.jpg","show blot")</f>
        <v>show blot</v>
      </c>
      <c r="H6589" s="8" t="str">
        <f>HYPERLINK("https://esbl.nhlbi.nih.gov/Databases/mpkFractions/proteomic_fractions_linear_files/Yang_linear_img/139949087.jpg","show blot")</f>
        <v>show blot</v>
      </c>
      <c r="J6589" s="5" t="s">
        <v>12953</v>
      </c>
      <c r="L6589" s="11">
        <v>1.514778668248288</v>
      </c>
      <c r="N6589" s="12"/>
    </row>
    <row r="6590" spans="1:14" s="5" customFormat="1" ht="15" customHeight="1" x14ac:dyDescent="0.25">
      <c r="A6590" s="9" t="s">
        <v>12954</v>
      </c>
      <c r="C6590" s="9" t="str">
        <f>HYPERLINK("http://www.ncbi.nlm.nih.gov/protein/9790083","Ruvbl1")</f>
        <v>Ruvbl1</v>
      </c>
      <c r="D6590" s="10">
        <f t="shared" si="102"/>
        <v>6.0402708048595359</v>
      </c>
      <c r="F6590" s="8" t="str">
        <f>HYPERLINK("https://esbl.nhlbi.nih.gov/Databases/mpkFractions/proteomic_fractions_log_files/Yang_log_img/9790083.jpg","show blot")</f>
        <v>show blot</v>
      </c>
      <c r="H6590" s="8" t="str">
        <f>HYPERLINK("https://esbl.nhlbi.nih.gov/Databases/mpkFractions/proteomic_fractions_linear_files/Yang_linear_img/9790083.jpg","show blot")</f>
        <v>show blot</v>
      </c>
      <c r="J6590" s="5" t="s">
        <v>12955</v>
      </c>
      <c r="L6590" s="11">
        <v>6.0402708048595359</v>
      </c>
      <c r="N6590" s="12"/>
    </row>
    <row r="6591" spans="1:14" s="5" customFormat="1" ht="15" customHeight="1" x14ac:dyDescent="0.25">
      <c r="A6591" s="9" t="s">
        <v>12956</v>
      </c>
      <c r="C6591" s="9" t="str">
        <f>HYPERLINK("http://www.ncbi.nlm.nih.gov/protein/6755382","Ruvbl2")</f>
        <v>Ruvbl2</v>
      </c>
      <c r="D6591" s="10">
        <f t="shared" si="102"/>
        <v>6.2260007110633602</v>
      </c>
      <c r="F6591" s="8" t="str">
        <f>HYPERLINK("https://esbl.nhlbi.nih.gov/Databases/mpkFractions/proteomic_fractions_log_files/Yang_log_img/6755382.jpg","show blot")</f>
        <v>show blot</v>
      </c>
      <c r="H6591" s="8" t="str">
        <f>HYPERLINK("https://esbl.nhlbi.nih.gov/Databases/mpkFractions/proteomic_fractions_linear_files/Yang_linear_img/6755382.jpg","show blot")</f>
        <v>show blot</v>
      </c>
      <c r="J6591" s="5" t="s">
        <v>12957</v>
      </c>
      <c r="L6591" s="11">
        <v>6.2260007110633602</v>
      </c>
      <c r="N6591" s="12"/>
    </row>
    <row r="6592" spans="1:14" s="5" customFormat="1" ht="15" customHeight="1" x14ac:dyDescent="0.25">
      <c r="A6592" s="9" t="s">
        <v>12958</v>
      </c>
      <c r="C6592" s="9" t="str">
        <f>HYPERLINK("http://www.ncbi.nlm.nih.gov/protein/21735427","Rwdd1")</f>
        <v>Rwdd1</v>
      </c>
      <c r="D6592" s="10">
        <f t="shared" si="102"/>
        <v>5.1545109223738814</v>
      </c>
      <c r="F6592" s="8" t="str">
        <f>HYPERLINK("https://esbl.nhlbi.nih.gov/Databases/mpkFractions/proteomic_fractions_log_files/Yang_log_img/21735427.jpg","show blot")</f>
        <v>show blot</v>
      </c>
      <c r="H6592" s="8" t="str">
        <f>HYPERLINK("https://esbl.nhlbi.nih.gov/Databases/mpkFractions/proteomic_fractions_linear_files/Yang_linear_img/21735427.jpg","show blot")</f>
        <v>show blot</v>
      </c>
      <c r="J6592" s="5" t="s">
        <v>12959</v>
      </c>
      <c r="L6592" s="11">
        <v>5.1545109223738814</v>
      </c>
      <c r="N6592" s="12"/>
    </row>
    <row r="6593" spans="1:14" s="5" customFormat="1" ht="15" customHeight="1" x14ac:dyDescent="0.25">
      <c r="A6593" s="9" t="s">
        <v>12960</v>
      </c>
      <c r="C6593" s="9" t="str">
        <f>HYPERLINK("http://www.ncbi.nlm.nih.gov/protein/45356139","Rwdd4a")</f>
        <v>Rwdd4a</v>
      </c>
      <c r="D6593" s="10">
        <f t="shared" si="102"/>
        <v>4.0336144745674822</v>
      </c>
      <c r="F6593" s="8" t="str">
        <f>HYPERLINK("https://esbl.nhlbi.nih.gov/Databases/mpkFractions/proteomic_fractions_log_files/Yang_log_img/45356139.jpg","show blot")</f>
        <v>show blot</v>
      </c>
      <c r="H6593" s="8" t="str">
        <f>HYPERLINK("https://esbl.nhlbi.nih.gov/Databases/mpkFractions/proteomic_fractions_linear_files/Yang_linear_img/45356139.jpg","show blot")</f>
        <v>show blot</v>
      </c>
      <c r="J6593" s="5" t="s">
        <v>12961</v>
      </c>
      <c r="L6593" s="11">
        <v>4.0336144745674822</v>
      </c>
      <c r="N6593" s="12"/>
    </row>
    <row r="6594" spans="1:14" s="5" customFormat="1" ht="15" customHeight="1" x14ac:dyDescent="0.25">
      <c r="A6594" s="9" t="s">
        <v>12962</v>
      </c>
      <c r="C6594" s="9" t="str">
        <f>HYPERLINK("http://www.ncbi.nlm.nih.gov/protein/38348308","Rybp")</f>
        <v>Rybp</v>
      </c>
      <c r="D6594" s="10">
        <f t="shared" si="102"/>
        <v>2.305456988651478</v>
      </c>
      <c r="F6594" s="8" t="str">
        <f>HYPERLINK("https://esbl.nhlbi.nih.gov/Databases/mpkFractions/proteomic_fractions_log_files/Yang_log_img/38348308.jpg","show blot")</f>
        <v>show blot</v>
      </c>
      <c r="H6594" s="8" t="str">
        <f>HYPERLINK("https://esbl.nhlbi.nih.gov/Databases/mpkFractions/proteomic_fractions_linear_files/Yang_linear_img/38348308.jpg","show blot")</f>
        <v>show blot</v>
      </c>
      <c r="J6594" s="5" t="s">
        <v>12963</v>
      </c>
      <c r="L6594" s="11">
        <v>2.305456988651478</v>
      </c>
      <c r="N6594" s="12"/>
    </row>
    <row r="6595" spans="1:14" s="5" customFormat="1" ht="15" customHeight="1" x14ac:dyDescent="0.25">
      <c r="A6595" s="9" t="s">
        <v>12964</v>
      </c>
      <c r="C6595" s="9" t="str">
        <f>HYPERLINK("http://www.ncbi.nlm.nih.gov/protein/6755386","S100a1")</f>
        <v>S100a1</v>
      </c>
      <c r="D6595" s="10">
        <f t="shared" si="102"/>
        <v>3.791630175509964</v>
      </c>
      <c r="F6595" s="8" t="str">
        <f>HYPERLINK("https://esbl.nhlbi.nih.gov/Databases/mpkFractions/proteomic_fractions_log_files/Yang_log_img/6755386.jpg","show blot")</f>
        <v>show blot</v>
      </c>
      <c r="H6595" s="8" t="str">
        <f>HYPERLINK("https://esbl.nhlbi.nih.gov/Databases/mpkFractions/proteomic_fractions_linear_files/Yang_linear_img/6755386.jpg","show blot")</f>
        <v>show blot</v>
      </c>
      <c r="J6595" s="5" t="s">
        <v>12965</v>
      </c>
      <c r="L6595" s="11">
        <v>3.791630175509964</v>
      </c>
      <c r="N6595" s="12"/>
    </row>
    <row r="6596" spans="1:14" s="5" customFormat="1" ht="15" customHeight="1" x14ac:dyDescent="0.25">
      <c r="A6596" s="9" t="s">
        <v>12966</v>
      </c>
      <c r="C6596" s="9" t="str">
        <f>HYPERLINK("http://www.ncbi.nlm.nih.gov/protein/6677833","S100a10")</f>
        <v>S100a10</v>
      </c>
      <c r="D6596" s="10">
        <f t="shared" si="102"/>
        <v>5.5132343869628837</v>
      </c>
      <c r="F6596" s="8" t="str">
        <f>HYPERLINK("https://esbl.nhlbi.nih.gov/Databases/mpkFractions/proteomic_fractions_log_files/Yang_log_img/6677833.jpg","show blot")</f>
        <v>show blot</v>
      </c>
      <c r="H6596" s="8" t="str">
        <f>HYPERLINK("https://esbl.nhlbi.nih.gov/Databases/mpkFractions/proteomic_fractions_linear_files/Yang_linear_img/6677833.jpg","show blot")</f>
        <v>show blot</v>
      </c>
      <c r="J6596" s="5" t="s">
        <v>12967</v>
      </c>
      <c r="L6596" s="11">
        <v>5.5132343869628837</v>
      </c>
      <c r="N6596" s="12"/>
    </row>
    <row r="6597" spans="1:14" s="5" customFormat="1" ht="15" customHeight="1" x14ac:dyDescent="0.25">
      <c r="A6597" s="9" t="s">
        <v>12968</v>
      </c>
      <c r="C6597" s="9" t="str">
        <f>HYPERLINK("http://www.ncbi.nlm.nih.gov/protein/21886811","S100a11")</f>
        <v>S100a11</v>
      </c>
      <c r="D6597" s="10">
        <f t="shared" ref="D6597:D6660" si="103">L6597</f>
        <v>6.1486554281976806</v>
      </c>
      <c r="F6597" s="8" t="str">
        <f>HYPERLINK("https://esbl.nhlbi.nih.gov/Databases/mpkFractions/proteomic_fractions_log_files/Yang_log_img/21886811.jpg","show blot")</f>
        <v>show blot</v>
      </c>
      <c r="H6597" s="8" t="str">
        <f>HYPERLINK("https://esbl.nhlbi.nih.gov/Databases/mpkFractions/proteomic_fractions_linear_files/Yang_linear_img/21886811.jpg","show blot")</f>
        <v>show blot</v>
      </c>
      <c r="J6597" s="5" t="s">
        <v>12969</v>
      </c>
      <c r="L6597" s="11">
        <v>6.1486554281976806</v>
      </c>
      <c r="N6597" s="12"/>
    </row>
    <row r="6598" spans="1:14" s="5" customFormat="1" ht="15" customHeight="1" x14ac:dyDescent="0.25">
      <c r="A6598" s="9" t="s">
        <v>12970</v>
      </c>
      <c r="C6598" s="9" t="str">
        <f>HYPERLINK("http://www.ncbi.nlm.nih.gov/protein/347582617","S100a13")</f>
        <v>S100a13</v>
      </c>
      <c r="D6598" s="10">
        <f t="shared" si="103"/>
        <v>5.1423362300428597</v>
      </c>
      <c r="F6598" s="8" t="str">
        <f>HYPERLINK("https://esbl.nhlbi.nih.gov/Databases/mpkFractions/proteomic_fractions_log_files/Yang_log_img/347582617.jpg","show blot")</f>
        <v>show blot</v>
      </c>
      <c r="H6598" s="8" t="str">
        <f>HYPERLINK("https://esbl.nhlbi.nih.gov/Databases/mpkFractions/proteomic_fractions_linear_files/Yang_linear_img/347582617.jpg","show blot")</f>
        <v>show blot</v>
      </c>
      <c r="J6598" s="5" t="s">
        <v>12971</v>
      </c>
      <c r="L6598" s="11">
        <v>5.1423362300428597</v>
      </c>
      <c r="N6598" s="12"/>
    </row>
    <row r="6599" spans="1:14" s="5" customFormat="1" ht="15" customHeight="1" x14ac:dyDescent="0.25">
      <c r="A6599" s="9" t="s">
        <v>12972</v>
      </c>
      <c r="C6599" s="9" t="str">
        <f>HYPERLINK("http://www.ncbi.nlm.nih.gov/protein/254587910","S100a14")</f>
        <v>S100a14</v>
      </c>
      <c r="D6599" s="10">
        <f t="shared" si="103"/>
        <v>6.3519418547373787</v>
      </c>
      <c r="F6599" s="8" t="str">
        <f>HYPERLINK("https://esbl.nhlbi.nih.gov/Databases/mpkFractions/proteomic_fractions_log_files/Yang_log_img/254587910.jpg","show blot")</f>
        <v>show blot</v>
      </c>
      <c r="H6599" s="8" t="str">
        <f>HYPERLINK("https://esbl.nhlbi.nih.gov/Databases/mpkFractions/proteomic_fractions_linear_files/Yang_linear_img/254587910.jpg","show blot")</f>
        <v>show blot</v>
      </c>
      <c r="J6599" s="5" t="s">
        <v>12973</v>
      </c>
      <c r="L6599" s="11">
        <v>6.3519418547373787</v>
      </c>
      <c r="N6599" s="12"/>
    </row>
    <row r="6600" spans="1:14" s="5" customFormat="1" ht="15" customHeight="1" x14ac:dyDescent="0.25">
      <c r="A6600" s="9" t="s">
        <v>12974</v>
      </c>
      <c r="C6600" s="9" t="str">
        <f>HYPERLINK("http://www.ncbi.nlm.nih.gov/protein/254587908;254587904","S100a14")</f>
        <v>S100a14</v>
      </c>
      <c r="D6600" s="10">
        <f t="shared" si="103"/>
        <v>6.3519418547373787</v>
      </c>
      <c r="F6600" s="8" t="str">
        <f>HYPERLINK("https://esbl.nhlbi.nih.gov/Databases/mpkFractions/proteomic_fractions_log_files/Yang_log_img/254587908;254587904.jpg","show blot")</f>
        <v>show blot</v>
      </c>
      <c r="H6600" s="8" t="str">
        <f>HYPERLINK("https://esbl.nhlbi.nih.gov/Databases/mpkFractions/proteomic_fractions_linear_files/Yang_linear_img/254587908;254587904.jpg","show blot")</f>
        <v>show blot</v>
      </c>
      <c r="J6600" s="5" t="s">
        <v>12975</v>
      </c>
      <c r="L6600" s="11">
        <v>6.3519418547373787</v>
      </c>
      <c r="N6600" s="12"/>
    </row>
    <row r="6601" spans="1:14" s="5" customFormat="1" ht="15" customHeight="1" x14ac:dyDescent="0.25">
      <c r="A6601" s="9" t="s">
        <v>12976</v>
      </c>
      <c r="C6601" s="9" t="str">
        <f>HYPERLINK("http://www.ncbi.nlm.nih.gov/protein/21312760","S100a16")</f>
        <v>S100a16</v>
      </c>
      <c r="D6601" s="10">
        <f t="shared" si="103"/>
        <v>5.8446296221876741</v>
      </c>
      <c r="F6601" s="8" t="str">
        <f>HYPERLINK("https://esbl.nhlbi.nih.gov/Databases/mpkFractions/proteomic_fractions_log_files/Yang_log_img/21312760.jpg","show blot")</f>
        <v>show blot</v>
      </c>
      <c r="H6601" s="8" t="str">
        <f>HYPERLINK("https://esbl.nhlbi.nih.gov/Databases/mpkFractions/proteomic_fractions_linear_files/Yang_linear_img/21312760.jpg","show blot")</f>
        <v>show blot</v>
      </c>
      <c r="J6601" s="5" t="s">
        <v>12977</v>
      </c>
      <c r="L6601" s="11">
        <v>5.8446296221876741</v>
      </c>
      <c r="N6601" s="12"/>
    </row>
    <row r="6602" spans="1:14" s="5" customFormat="1" ht="15" customHeight="1" x14ac:dyDescent="0.25">
      <c r="A6602" s="9" t="s">
        <v>12978</v>
      </c>
      <c r="C6602" s="9" t="str">
        <f>HYPERLINK("http://www.ncbi.nlm.nih.gov/protein/33859624","S100a4")</f>
        <v>S100a4</v>
      </c>
      <c r="D6602" s="10">
        <f t="shared" si="103"/>
        <v>2.001445240874181</v>
      </c>
      <c r="F6602" s="8" t="str">
        <f>HYPERLINK("https://esbl.nhlbi.nih.gov/Databases/mpkFractions/proteomic_fractions_log_files/Yang_log_img/33859624.jpg","show blot")</f>
        <v>show blot</v>
      </c>
      <c r="H6602" s="8" t="str">
        <f>HYPERLINK("https://esbl.nhlbi.nih.gov/Databases/mpkFractions/proteomic_fractions_linear_files/Yang_linear_img/33859624.jpg","show blot")</f>
        <v>show blot</v>
      </c>
      <c r="J6602" s="5" t="s">
        <v>12979</v>
      </c>
      <c r="L6602" s="11">
        <v>2.001445240874181</v>
      </c>
      <c r="N6602" s="12"/>
    </row>
    <row r="6603" spans="1:14" s="5" customFormat="1" ht="15" customHeight="1" x14ac:dyDescent="0.25">
      <c r="A6603" s="9" t="s">
        <v>12980</v>
      </c>
      <c r="C6603" s="9" t="str">
        <f>HYPERLINK("http://www.ncbi.nlm.nih.gov/protein/6755392","S100a6")</f>
        <v>S100a6</v>
      </c>
      <c r="D6603" s="10">
        <f t="shared" si="103"/>
        <v>6.6328211868483189</v>
      </c>
      <c r="F6603" s="8" t="str">
        <f>HYPERLINK("https://esbl.nhlbi.nih.gov/Databases/mpkFractions/proteomic_fractions_log_files/Yang_log_img/6755392.jpg","show blot")</f>
        <v>show blot</v>
      </c>
      <c r="H6603" s="8" t="str">
        <f>HYPERLINK("https://esbl.nhlbi.nih.gov/Databases/mpkFractions/proteomic_fractions_linear_files/Yang_linear_img/6755392.jpg","show blot")</f>
        <v>show blot</v>
      </c>
      <c r="J6603" s="5" t="s">
        <v>12981</v>
      </c>
      <c r="L6603" s="11">
        <v>6.6328211868483189</v>
      </c>
      <c r="N6603" s="12"/>
    </row>
    <row r="6604" spans="1:14" s="5" customFormat="1" ht="15" customHeight="1" x14ac:dyDescent="0.25">
      <c r="A6604" s="9" t="s">
        <v>12982</v>
      </c>
      <c r="C6604" s="9" t="str">
        <f>HYPERLINK("http://www.ncbi.nlm.nih.gov/protein/198278397","Saal1")</f>
        <v>Saal1</v>
      </c>
      <c r="D6604" s="10">
        <f t="shared" si="103"/>
        <v>4.1864315793336626</v>
      </c>
      <c r="F6604" s="8" t="str">
        <f>HYPERLINK("https://esbl.nhlbi.nih.gov/Databases/mpkFractions/proteomic_fractions_log_files/Yang_log_img/198278397.jpg","show blot")</f>
        <v>show blot</v>
      </c>
      <c r="H6604" s="8" t="str">
        <f>HYPERLINK("https://esbl.nhlbi.nih.gov/Databases/mpkFractions/proteomic_fractions_linear_files/Yang_linear_img/198278397.jpg","show blot")</f>
        <v>show blot</v>
      </c>
      <c r="J6604" s="5" t="s">
        <v>12983</v>
      </c>
      <c r="L6604" s="11">
        <v>4.1864315793336626</v>
      </c>
      <c r="N6604" s="12"/>
    </row>
    <row r="6605" spans="1:14" s="5" customFormat="1" ht="15" customHeight="1" x14ac:dyDescent="0.25">
      <c r="A6605" s="9" t="s">
        <v>12984</v>
      </c>
      <c r="C6605" s="9" t="str">
        <f>HYPERLINK("http://www.ncbi.nlm.nih.gov/protein/13507622","Sacm1l")</f>
        <v>Sacm1l</v>
      </c>
      <c r="D6605" s="10">
        <f t="shared" si="103"/>
        <v>4.9216151705766142</v>
      </c>
      <c r="F6605" s="8" t="str">
        <f>HYPERLINK("https://esbl.nhlbi.nih.gov/Databases/mpkFractions/proteomic_fractions_log_files/Yang_log_img/13507622.jpg","show blot")</f>
        <v>show blot</v>
      </c>
      <c r="H6605" s="8" t="str">
        <f>HYPERLINK("https://esbl.nhlbi.nih.gov/Databases/mpkFractions/proteomic_fractions_linear_files/Yang_linear_img/13507622.jpg","show blot")</f>
        <v>show blot</v>
      </c>
      <c r="J6605" s="5" t="s">
        <v>12985</v>
      </c>
      <c r="L6605" s="11">
        <v>4.9216151705766142</v>
      </c>
      <c r="N6605" s="12"/>
    </row>
    <row r="6606" spans="1:14" s="5" customFormat="1" ht="15" customHeight="1" x14ac:dyDescent="0.25">
      <c r="A6606" s="9" t="s">
        <v>12986</v>
      </c>
      <c r="C6606" s="9" t="str">
        <f>HYPERLINK("http://www.ncbi.nlm.nih.gov/protein/9790247","Sae1")</f>
        <v>Sae1</v>
      </c>
      <c r="D6606" s="10">
        <f t="shared" si="103"/>
        <v>5.4993626338912538</v>
      </c>
      <c r="F6606" s="8" t="str">
        <f>HYPERLINK("https://esbl.nhlbi.nih.gov/Databases/mpkFractions/proteomic_fractions_log_files/Yang_log_img/9790247.jpg","show blot")</f>
        <v>show blot</v>
      </c>
      <c r="H6606" s="8" t="str">
        <f>HYPERLINK("https://esbl.nhlbi.nih.gov/Databases/mpkFractions/proteomic_fractions_linear_files/Yang_linear_img/9790247.jpg","show blot")</f>
        <v>show blot</v>
      </c>
      <c r="J6606" s="5" t="s">
        <v>12987</v>
      </c>
      <c r="L6606" s="11">
        <v>5.4993626338912538</v>
      </c>
      <c r="N6606" s="12"/>
    </row>
    <row r="6607" spans="1:14" s="5" customFormat="1" ht="15" customHeight="1" x14ac:dyDescent="0.25">
      <c r="A6607" s="9" t="s">
        <v>12988</v>
      </c>
      <c r="C6607" s="9" t="str">
        <f>HYPERLINK("http://www.ncbi.nlm.nih.gov/protein/254028159","Safb")</f>
        <v>Safb</v>
      </c>
      <c r="D6607" s="10">
        <f t="shared" si="103"/>
        <v>4.7586197578356293</v>
      </c>
      <c r="F6607" s="8" t="str">
        <f>HYPERLINK("https://esbl.nhlbi.nih.gov/Databases/mpkFractions/proteomic_fractions_log_files/Yang_log_img/254028159.jpg","show blot")</f>
        <v>show blot</v>
      </c>
      <c r="H6607" s="8" t="str">
        <f>HYPERLINK("https://esbl.nhlbi.nih.gov/Databases/mpkFractions/proteomic_fractions_linear_files/Yang_linear_img/254028159.jpg","show blot")</f>
        <v>show blot</v>
      </c>
      <c r="J6607" s="5" t="s">
        <v>12989</v>
      </c>
      <c r="L6607" s="11">
        <v>4.7586197578356293</v>
      </c>
      <c r="N6607" s="12"/>
    </row>
    <row r="6608" spans="1:14" s="5" customFormat="1" ht="15" customHeight="1" x14ac:dyDescent="0.25">
      <c r="A6608" s="9" t="s">
        <v>12990</v>
      </c>
      <c r="C6608" s="9" t="str">
        <f>HYPERLINK("http://www.ncbi.nlm.nih.gov/protein/153945866","Safb2")</f>
        <v>Safb2</v>
      </c>
      <c r="D6608" s="10">
        <f t="shared" si="103"/>
        <v>4.7450108645933842</v>
      </c>
      <c r="F6608" s="8" t="str">
        <f>HYPERLINK("https://esbl.nhlbi.nih.gov/Databases/mpkFractions/proteomic_fractions_log_files/Yang_log_img/153945866.jpg","show blot")</f>
        <v>show blot</v>
      </c>
      <c r="H6608" s="8" t="str">
        <f>HYPERLINK("https://esbl.nhlbi.nih.gov/Databases/mpkFractions/proteomic_fractions_linear_files/Yang_linear_img/153945866.jpg","show blot")</f>
        <v>show blot</v>
      </c>
      <c r="J6608" s="5" t="s">
        <v>12991</v>
      </c>
      <c r="L6608" s="11">
        <v>4.7450108645933842</v>
      </c>
      <c r="N6608" s="12"/>
    </row>
    <row r="6609" spans="1:14" s="5" customFormat="1" ht="15" customHeight="1" x14ac:dyDescent="0.25">
      <c r="A6609" s="9" t="s">
        <v>12992</v>
      </c>
      <c r="C6609" s="9" t="str">
        <f>HYPERLINK("http://www.ncbi.nlm.nih.gov/protein/159032064","Sall1")</f>
        <v>Sall1</v>
      </c>
      <c r="D6609" s="10">
        <f t="shared" si="103"/>
        <v>4.5647322362084584</v>
      </c>
      <c r="F6609" s="8" t="str">
        <f>HYPERLINK("https://esbl.nhlbi.nih.gov/Databases/mpkFractions/proteomic_fractions_log_files/Yang_log_img/159032064.jpg","show blot")</f>
        <v>show blot</v>
      </c>
      <c r="H6609" s="8" t="str">
        <f>HYPERLINK("https://esbl.nhlbi.nih.gov/Databases/mpkFractions/proteomic_fractions_linear_files/Yang_linear_img/159032064.jpg","show blot")</f>
        <v>show blot</v>
      </c>
      <c r="J6609" s="5" t="s">
        <v>12993</v>
      </c>
      <c r="L6609" s="11">
        <v>4.5647322362084584</v>
      </c>
      <c r="N6609" s="12"/>
    </row>
    <row r="6610" spans="1:14" s="5" customFormat="1" ht="15" customHeight="1" x14ac:dyDescent="0.25">
      <c r="A6610" s="9" t="s">
        <v>12994</v>
      </c>
      <c r="C6610" s="9" t="str">
        <f>HYPERLINK("http://www.ncbi.nlm.nih.gov/protein/28893263","Samd12")</f>
        <v>Samd12</v>
      </c>
      <c r="D6610" s="10">
        <f t="shared" si="103"/>
        <v>3.835912066499124</v>
      </c>
      <c r="F6610" s="8" t="str">
        <f>HYPERLINK("https://esbl.nhlbi.nih.gov/Databases/mpkFractions/proteomic_fractions_log_files/Yang_log_img/28893263.jpg","show blot")</f>
        <v>show blot</v>
      </c>
      <c r="H6610" s="8" t="str">
        <f>HYPERLINK("https://esbl.nhlbi.nih.gov/Databases/mpkFractions/proteomic_fractions_linear_files/Yang_linear_img/28893263.jpg","show blot")</f>
        <v>show blot</v>
      </c>
      <c r="J6610" s="5" t="s">
        <v>12995</v>
      </c>
      <c r="L6610" s="11">
        <v>3.835912066499124</v>
      </c>
      <c r="N6610" s="12"/>
    </row>
    <row r="6611" spans="1:14" s="5" customFormat="1" ht="15" customHeight="1" x14ac:dyDescent="0.25">
      <c r="A6611" s="9" t="s">
        <v>12996</v>
      </c>
      <c r="C6611" s="9" t="str">
        <f>HYPERLINK("http://www.ncbi.nlm.nih.gov/protein/226958514","Samd9l")</f>
        <v>Samd9l</v>
      </c>
      <c r="D6611" s="10">
        <f t="shared" si="103"/>
        <v>5.3848785053700832</v>
      </c>
      <c r="F6611" s="8" t="str">
        <f>HYPERLINK("https://esbl.nhlbi.nih.gov/Databases/mpkFractions/proteomic_fractions_log_files/Yang_log_img/226958514.jpg","show blot")</f>
        <v>show blot</v>
      </c>
      <c r="H6611" s="8" t="str">
        <f>HYPERLINK("https://esbl.nhlbi.nih.gov/Databases/mpkFractions/proteomic_fractions_linear_files/Yang_linear_img/226958514.jpg","show blot")</f>
        <v>show blot</v>
      </c>
      <c r="J6611" s="5" t="s">
        <v>12997</v>
      </c>
      <c r="L6611" s="11">
        <v>5.3848785053700832</v>
      </c>
      <c r="N6611" s="12"/>
    </row>
    <row r="6612" spans="1:14" s="5" customFormat="1" ht="15" customHeight="1" x14ac:dyDescent="0.25">
      <c r="A6612" s="9" t="s">
        <v>12998</v>
      </c>
      <c r="C6612" s="9" t="str">
        <f>HYPERLINK("http://www.ncbi.nlm.nih.gov/protein/213418055","Samhd1")</f>
        <v>Samhd1</v>
      </c>
      <c r="D6612" s="10">
        <f t="shared" si="103"/>
        <v>5.4581822827436293</v>
      </c>
      <c r="F6612" s="8" t="str">
        <f>HYPERLINK("https://esbl.nhlbi.nih.gov/Databases/mpkFractions/proteomic_fractions_log_files/Yang_log_img/213418055.jpg","show blot")</f>
        <v>show blot</v>
      </c>
      <c r="H6612" s="8" t="str">
        <f>HYPERLINK("https://esbl.nhlbi.nih.gov/Databases/mpkFractions/proteomic_fractions_linear_files/Yang_linear_img/213418055.jpg","show blot")</f>
        <v>show blot</v>
      </c>
      <c r="J6612" s="5" t="s">
        <v>12999</v>
      </c>
      <c r="L6612" s="11">
        <v>5.4581822827436293</v>
      </c>
      <c r="N6612" s="12"/>
    </row>
    <row r="6613" spans="1:14" s="5" customFormat="1" ht="15" customHeight="1" x14ac:dyDescent="0.25">
      <c r="A6613" s="9" t="s">
        <v>13000</v>
      </c>
      <c r="C6613" s="9" t="str">
        <f>HYPERLINK("http://www.ncbi.nlm.nih.gov/protein/213418079","Samhd1")</f>
        <v>Samhd1</v>
      </c>
      <c r="D6613" s="10">
        <f t="shared" si="103"/>
        <v>5.4581822827436293</v>
      </c>
      <c r="F6613" s="8" t="str">
        <f>HYPERLINK("https://esbl.nhlbi.nih.gov/Databases/mpkFractions/proteomic_fractions_log_files/Yang_log_img/213418079.jpg","show blot")</f>
        <v>show blot</v>
      </c>
      <c r="H6613" s="8" t="str">
        <f>HYPERLINK("https://esbl.nhlbi.nih.gov/Databases/mpkFractions/proteomic_fractions_linear_files/Yang_linear_img/213418079.jpg","show blot")</f>
        <v>show blot</v>
      </c>
      <c r="J6613" s="5" t="s">
        <v>13001</v>
      </c>
      <c r="L6613" s="11">
        <v>5.4581822827436293</v>
      </c>
      <c r="N6613" s="12"/>
    </row>
    <row r="6614" spans="1:14" s="5" customFormat="1" ht="15" customHeight="1" x14ac:dyDescent="0.25">
      <c r="A6614" s="9" t="s">
        <v>13002</v>
      </c>
      <c r="C6614" s="9" t="str">
        <f>HYPERLINK("http://www.ncbi.nlm.nih.gov/protein/30519943","Samm50")</f>
        <v>Samm50</v>
      </c>
      <c r="D6614" s="10">
        <f t="shared" si="103"/>
        <v>5.3586514827519034</v>
      </c>
      <c r="F6614" s="8" t="str">
        <f>HYPERLINK("https://esbl.nhlbi.nih.gov/Databases/mpkFractions/proteomic_fractions_log_files/Yang_log_img/30519943.jpg","show blot")</f>
        <v>show blot</v>
      </c>
      <c r="H6614" s="8" t="str">
        <f>HYPERLINK("https://esbl.nhlbi.nih.gov/Databases/mpkFractions/proteomic_fractions_linear_files/Yang_linear_img/30519943.jpg","show blot")</f>
        <v>show blot</v>
      </c>
      <c r="J6614" s="5" t="s">
        <v>13003</v>
      </c>
      <c r="L6614" s="11">
        <v>5.3586514827519034</v>
      </c>
      <c r="N6614" s="12"/>
    </row>
    <row r="6615" spans="1:14" s="5" customFormat="1" ht="15" customHeight="1" x14ac:dyDescent="0.25">
      <c r="A6615" s="9" t="s">
        <v>13004</v>
      </c>
      <c r="C6615" s="9" t="str">
        <f>HYPERLINK("http://www.ncbi.nlm.nih.gov/protein/31560336","Sap30bp")</f>
        <v>Sap30bp</v>
      </c>
      <c r="D6615" s="10">
        <f t="shared" si="103"/>
        <v>4.5363681289087481</v>
      </c>
      <c r="F6615" s="8" t="str">
        <f>HYPERLINK("https://esbl.nhlbi.nih.gov/Databases/mpkFractions/proteomic_fractions_log_files/Yang_log_img/31560336.jpg","show blot")</f>
        <v>show blot</v>
      </c>
      <c r="H6615" s="8" t="str">
        <f>HYPERLINK("https://esbl.nhlbi.nih.gov/Databases/mpkFractions/proteomic_fractions_linear_files/Yang_linear_img/31560336.jpg","show blot")</f>
        <v>show blot</v>
      </c>
      <c r="J6615" s="5" t="s">
        <v>13005</v>
      </c>
      <c r="L6615" s="11">
        <v>4.5363681289087481</v>
      </c>
      <c r="N6615" s="12"/>
    </row>
    <row r="6616" spans="1:14" s="5" customFormat="1" ht="15" customHeight="1" x14ac:dyDescent="0.25">
      <c r="A6616" s="9" t="s">
        <v>13006</v>
      </c>
      <c r="C6616" s="9" t="str">
        <f>HYPERLINK("http://www.ncbi.nlm.nih.gov/protein/21703344","Sar1a")</f>
        <v>Sar1a</v>
      </c>
      <c r="D6616" s="10">
        <f t="shared" si="103"/>
        <v>5.914452471888068</v>
      </c>
      <c r="F6616" s="8" t="str">
        <f>HYPERLINK("https://esbl.nhlbi.nih.gov/Databases/mpkFractions/proteomic_fractions_log_files/Yang_log_img/21703344.jpg","show blot")</f>
        <v>show blot</v>
      </c>
      <c r="H6616" s="8" t="str">
        <f>HYPERLINK("https://esbl.nhlbi.nih.gov/Databases/mpkFractions/proteomic_fractions_linear_files/Yang_linear_img/21703344.jpg","show blot")</f>
        <v>show blot</v>
      </c>
      <c r="J6616" s="5" t="s">
        <v>13007</v>
      </c>
      <c r="L6616" s="11">
        <v>5.914452471888068</v>
      </c>
      <c r="N6616" s="12"/>
    </row>
    <row r="6617" spans="1:14" s="5" customFormat="1" ht="15" customHeight="1" x14ac:dyDescent="0.25">
      <c r="A6617" s="9" t="s">
        <v>13008</v>
      </c>
      <c r="C6617" s="9" t="str">
        <f>HYPERLINK("http://www.ncbi.nlm.nih.gov/protein/21313476","Sar1b")</f>
        <v>Sar1b</v>
      </c>
      <c r="D6617" s="10">
        <f t="shared" si="103"/>
        <v>5.8479372114816517</v>
      </c>
      <c r="F6617" s="8" t="str">
        <f>HYPERLINK("https://esbl.nhlbi.nih.gov/Databases/mpkFractions/proteomic_fractions_log_files/Yang_log_img/21313476.jpg","show blot")</f>
        <v>show blot</v>
      </c>
      <c r="H6617" s="8" t="str">
        <f>HYPERLINK("https://esbl.nhlbi.nih.gov/Databases/mpkFractions/proteomic_fractions_linear_files/Yang_linear_img/21313476.jpg","show blot")</f>
        <v>show blot</v>
      </c>
      <c r="J6617" s="5" t="s">
        <v>13009</v>
      </c>
      <c r="L6617" s="11">
        <v>5.8479372114816517</v>
      </c>
      <c r="N6617" s="12"/>
    </row>
    <row r="6618" spans="1:14" s="5" customFormat="1" ht="15" customHeight="1" x14ac:dyDescent="0.25">
      <c r="A6618" s="9" t="s">
        <v>13010</v>
      </c>
      <c r="C6618" s="9" t="str">
        <f>HYPERLINK("http://www.ncbi.nlm.nih.gov/protein/20149748","Sardh")</f>
        <v>Sardh</v>
      </c>
      <c r="D6618" s="10">
        <f t="shared" si="103"/>
        <v>3.5651047997272132</v>
      </c>
      <c r="F6618" s="8" t="str">
        <f>HYPERLINK("https://esbl.nhlbi.nih.gov/Databases/mpkFractions/proteomic_fractions_log_files/Yang_log_img/20149748.jpg","show blot")</f>
        <v>show blot</v>
      </c>
      <c r="H6618" s="8" t="str">
        <f>HYPERLINK("https://esbl.nhlbi.nih.gov/Databases/mpkFractions/proteomic_fractions_linear_files/Yang_linear_img/20149748.jpg","show blot")</f>
        <v>show blot</v>
      </c>
      <c r="J6618" s="5" t="s">
        <v>13011</v>
      </c>
      <c r="L6618" s="11">
        <v>3.5651047997272132</v>
      </c>
      <c r="N6618" s="12"/>
    </row>
    <row r="6619" spans="1:14" s="5" customFormat="1" ht="15" customHeight="1" x14ac:dyDescent="0.25">
      <c r="A6619" s="9" t="s">
        <v>13012</v>
      </c>
      <c r="C6619" s="9" t="str">
        <f>HYPERLINK("http://www.ncbi.nlm.nih.gov/protein/13384730","Sarnp")</f>
        <v>Sarnp</v>
      </c>
      <c r="D6619" s="10">
        <f t="shared" si="103"/>
        <v>5.6290985386809229</v>
      </c>
      <c r="F6619" s="8" t="str">
        <f>HYPERLINK("https://esbl.nhlbi.nih.gov/Databases/mpkFractions/proteomic_fractions_log_files/Yang_log_img/13384730.jpg","show blot")</f>
        <v>show blot</v>
      </c>
      <c r="H6619" s="8" t="str">
        <f>HYPERLINK("https://esbl.nhlbi.nih.gov/Databases/mpkFractions/proteomic_fractions_linear_files/Yang_linear_img/13384730.jpg","show blot")</f>
        <v>show blot</v>
      </c>
      <c r="J6619" s="5" t="s">
        <v>13013</v>
      </c>
      <c r="L6619" s="11">
        <v>5.6290985386809229</v>
      </c>
      <c r="N6619" s="12"/>
    </row>
    <row r="6620" spans="1:14" s="5" customFormat="1" ht="15" customHeight="1" x14ac:dyDescent="0.25">
      <c r="A6620" s="9" t="s">
        <v>13014</v>
      </c>
      <c r="C6620" s="9" t="str">
        <f>HYPERLINK("http://www.ncbi.nlm.nih.gov/protein/326381098","Sars")</f>
        <v>Sars</v>
      </c>
      <c r="D6620" s="10">
        <f t="shared" si="103"/>
        <v>6.0514102867715946</v>
      </c>
      <c r="F6620" s="8" t="str">
        <f>HYPERLINK("https://esbl.nhlbi.nih.gov/Databases/mpkFractions/proteomic_fractions_log_files/Yang_log_img/326381098.jpg","show blot")</f>
        <v>show blot</v>
      </c>
      <c r="H6620" s="8" t="str">
        <f>HYPERLINK("https://esbl.nhlbi.nih.gov/Databases/mpkFractions/proteomic_fractions_linear_files/Yang_linear_img/326381098.jpg","show blot")</f>
        <v>show blot</v>
      </c>
      <c r="J6620" s="5" t="s">
        <v>13015</v>
      </c>
      <c r="L6620" s="11">
        <v>6.0514102867715946</v>
      </c>
      <c r="N6620" s="12"/>
    </row>
    <row r="6621" spans="1:14" s="5" customFormat="1" ht="15" customHeight="1" x14ac:dyDescent="0.25">
      <c r="A6621" s="9" t="s">
        <v>13016</v>
      </c>
      <c r="C6621" s="9" t="str">
        <f>HYPERLINK("http://www.ncbi.nlm.nih.gov/protein/33468931","Sars")</f>
        <v>Sars</v>
      </c>
      <c r="D6621" s="10">
        <f t="shared" si="103"/>
        <v>6.0514102867715946</v>
      </c>
      <c r="F6621" s="8" t="str">
        <f>HYPERLINK("https://esbl.nhlbi.nih.gov/Databases/mpkFractions/proteomic_fractions_log_files/Yang_log_img/33468931.jpg","show blot")</f>
        <v>show blot</v>
      </c>
      <c r="H6621" s="8" t="str">
        <f>HYPERLINK("https://esbl.nhlbi.nih.gov/Databases/mpkFractions/proteomic_fractions_linear_files/Yang_linear_img/33468931.jpg","show blot")</f>
        <v>show blot</v>
      </c>
      <c r="J6621" s="5" t="s">
        <v>13017</v>
      </c>
      <c r="L6621" s="11">
        <v>6.0514102867715946</v>
      </c>
      <c r="N6621" s="12"/>
    </row>
    <row r="6622" spans="1:14" s="5" customFormat="1" ht="15" customHeight="1" x14ac:dyDescent="0.25">
      <c r="A6622" s="9" t="s">
        <v>13018</v>
      </c>
      <c r="C6622" s="9" t="str">
        <f>HYPERLINK("http://www.ncbi.nlm.nih.gov/protein/228008415","Sars2")</f>
        <v>Sars2</v>
      </c>
      <c r="D6622" s="10">
        <f t="shared" si="103"/>
        <v>3.7569787272692459</v>
      </c>
      <c r="F6622" s="8" t="str">
        <f>HYPERLINK("https://esbl.nhlbi.nih.gov/Databases/mpkFractions/proteomic_fractions_log_files/Yang_log_img/228008415.jpg","show blot")</f>
        <v>show blot</v>
      </c>
      <c r="H6622" s="8" t="str">
        <f>HYPERLINK("https://esbl.nhlbi.nih.gov/Databases/mpkFractions/proteomic_fractions_linear_files/Yang_linear_img/228008415.jpg","show blot")</f>
        <v>show blot</v>
      </c>
      <c r="J6622" s="5" t="s">
        <v>13019</v>
      </c>
      <c r="L6622" s="11">
        <v>3.7569787272692459</v>
      </c>
      <c r="N6622" s="12"/>
    </row>
    <row r="6623" spans="1:14" s="5" customFormat="1" ht="15" customHeight="1" x14ac:dyDescent="0.25">
      <c r="A6623" s="9" t="s">
        <v>13020</v>
      </c>
      <c r="C6623" s="9" t="str">
        <f>HYPERLINK("http://www.ncbi.nlm.nih.gov/protein/124244096","Sart1")</f>
        <v>Sart1</v>
      </c>
      <c r="D6623" s="10">
        <f t="shared" si="103"/>
        <v>4.7865955302470651</v>
      </c>
      <c r="F6623" s="8" t="str">
        <f>HYPERLINK("https://esbl.nhlbi.nih.gov/Databases/mpkFractions/proteomic_fractions_log_files/Yang_log_img/124244096.jpg","show blot")</f>
        <v>show blot</v>
      </c>
      <c r="H6623" s="8" t="str">
        <f>HYPERLINK("https://esbl.nhlbi.nih.gov/Databases/mpkFractions/proteomic_fractions_linear_files/Yang_linear_img/124244096.jpg","show blot")</f>
        <v>show blot</v>
      </c>
      <c r="J6623" s="5" t="s">
        <v>13021</v>
      </c>
      <c r="L6623" s="11">
        <v>4.7865955302470651</v>
      </c>
      <c r="N6623" s="12"/>
    </row>
    <row r="6624" spans="1:14" s="5" customFormat="1" ht="15" customHeight="1" x14ac:dyDescent="0.25">
      <c r="A6624" s="9" t="s">
        <v>13022</v>
      </c>
      <c r="C6624" s="9" t="str">
        <f>HYPERLINK("http://www.ncbi.nlm.nih.gov/protein/8394239","Sart3")</f>
        <v>Sart3</v>
      </c>
      <c r="D6624" s="10">
        <f t="shared" si="103"/>
        <v>5.6944438810624867</v>
      </c>
      <c r="F6624" s="8" t="str">
        <f>HYPERLINK("https://esbl.nhlbi.nih.gov/Databases/mpkFractions/proteomic_fractions_log_files/Yang_log_img/8394239.jpg","show blot")</f>
        <v>show blot</v>
      </c>
      <c r="H6624" s="8" t="str">
        <f>HYPERLINK("https://esbl.nhlbi.nih.gov/Databases/mpkFractions/proteomic_fractions_linear_files/Yang_linear_img/8394239.jpg","show blot")</f>
        <v>show blot</v>
      </c>
      <c r="J6624" s="5" t="s">
        <v>13023</v>
      </c>
      <c r="L6624" s="11">
        <v>5.6944438810624867</v>
      </c>
      <c r="N6624" s="12"/>
    </row>
    <row r="6625" spans="1:14" s="5" customFormat="1" ht="15" customHeight="1" x14ac:dyDescent="0.25">
      <c r="A6625" s="9" t="s">
        <v>13024</v>
      </c>
      <c r="C6625" s="9" t="str">
        <f>HYPERLINK("http://www.ncbi.nlm.nih.gov/protein/124249210","Sat2")</f>
        <v>Sat2</v>
      </c>
      <c r="D6625" s="10">
        <f t="shared" si="103"/>
        <v>4.6070683706025806</v>
      </c>
      <c r="F6625" s="8" t="str">
        <f>HYPERLINK("https://esbl.nhlbi.nih.gov/Databases/mpkFractions/proteomic_fractions_log_files/Yang_log_img/124249210.jpg","show blot")</f>
        <v>show blot</v>
      </c>
      <c r="H6625" s="8" t="str">
        <f>HYPERLINK("https://esbl.nhlbi.nih.gov/Databases/mpkFractions/proteomic_fractions_linear_files/Yang_linear_img/124249210.jpg","show blot")</f>
        <v>show blot</v>
      </c>
      <c r="J6625" s="5" t="s">
        <v>13025</v>
      </c>
      <c r="L6625" s="11">
        <v>4.6070683706025806</v>
      </c>
      <c r="N6625" s="12"/>
    </row>
    <row r="6626" spans="1:14" s="5" customFormat="1" ht="15" customHeight="1" x14ac:dyDescent="0.25">
      <c r="A6626" s="9" t="s">
        <v>13026</v>
      </c>
      <c r="C6626" s="9" t="str">
        <f>HYPERLINK("http://www.ncbi.nlm.nih.gov/protein/218751888","Saysd1")</f>
        <v>Saysd1</v>
      </c>
      <c r="D6626" s="10">
        <f t="shared" si="103"/>
        <v>2.6723651252777301</v>
      </c>
      <c r="F6626" s="8" t="str">
        <f>HYPERLINK("https://esbl.nhlbi.nih.gov/Databases/mpkFractions/proteomic_fractions_log_files/Yang_log_img/218751888.jpg","show blot")</f>
        <v>show blot</v>
      </c>
      <c r="H6626" s="8" t="str">
        <f>HYPERLINK("https://esbl.nhlbi.nih.gov/Databases/mpkFractions/proteomic_fractions_linear_files/Yang_linear_img/218751888.jpg","show blot")</f>
        <v>show blot</v>
      </c>
      <c r="J6626" s="5" t="s">
        <v>13027</v>
      </c>
      <c r="L6626" s="11">
        <v>2.6723651252777301</v>
      </c>
      <c r="N6626" s="12"/>
    </row>
    <row r="6627" spans="1:14" s="5" customFormat="1" ht="15" customHeight="1" x14ac:dyDescent="0.25">
      <c r="A6627" s="9" t="s">
        <v>13028</v>
      </c>
      <c r="C6627" s="9" t="str">
        <f>HYPERLINK("http://www.ncbi.nlm.nih.gov/protein/23956138","Sbds")</f>
        <v>Sbds</v>
      </c>
      <c r="D6627" s="10">
        <f t="shared" si="103"/>
        <v>5.9992470195109906</v>
      </c>
      <c r="F6627" s="8" t="str">
        <f>HYPERLINK("https://esbl.nhlbi.nih.gov/Databases/mpkFractions/proteomic_fractions_log_files/Yang_log_img/23956138.jpg","show blot")</f>
        <v>show blot</v>
      </c>
      <c r="H6627" s="8" t="str">
        <f>HYPERLINK("https://esbl.nhlbi.nih.gov/Databases/mpkFractions/proteomic_fractions_linear_files/Yang_linear_img/23956138.jpg","show blot")</f>
        <v>show blot</v>
      </c>
      <c r="J6627" s="5" t="s">
        <v>13029</v>
      </c>
      <c r="L6627" s="11">
        <v>5.9992470195109906</v>
      </c>
      <c r="N6627" s="12"/>
    </row>
    <row r="6628" spans="1:14" s="5" customFormat="1" ht="15" customHeight="1" x14ac:dyDescent="0.25">
      <c r="A6628" s="9" t="s">
        <v>13030</v>
      </c>
      <c r="C6628" s="9" t="str">
        <f>HYPERLINK("http://www.ncbi.nlm.nih.gov/protein/124487087","Sbno1")</f>
        <v>Sbno1</v>
      </c>
      <c r="D6628" s="10">
        <f t="shared" si="103"/>
        <v>4.1392815017014488</v>
      </c>
      <c r="F6628" s="8" t="str">
        <f>HYPERLINK("https://esbl.nhlbi.nih.gov/Databases/mpkFractions/proteomic_fractions_log_files/Yang_log_img/124487087.jpg","show blot")</f>
        <v>show blot</v>
      </c>
      <c r="H6628" s="8" t="str">
        <f>HYPERLINK("https://esbl.nhlbi.nih.gov/Databases/mpkFractions/proteomic_fractions_linear_files/Yang_linear_img/124487087.jpg","show blot")</f>
        <v>show blot</v>
      </c>
      <c r="J6628" s="5" t="s">
        <v>13031</v>
      </c>
      <c r="L6628" s="11">
        <v>4.1392815017014488</v>
      </c>
      <c r="N6628" s="12"/>
    </row>
    <row r="6629" spans="1:14" s="5" customFormat="1" ht="15" customHeight="1" x14ac:dyDescent="0.25">
      <c r="A6629" s="9" t="s">
        <v>13032</v>
      </c>
      <c r="C6629" s="9" t="str">
        <f>HYPERLINK("http://www.ncbi.nlm.nih.gov/protein/34556193","Sbno2")</f>
        <v>Sbno2</v>
      </c>
      <c r="D6629" s="10">
        <f t="shared" si="103"/>
        <v>3.8166038703431262</v>
      </c>
      <c r="F6629" s="8" t="str">
        <f>HYPERLINK("https://esbl.nhlbi.nih.gov/Databases/mpkFractions/proteomic_fractions_log_files/Yang_log_img/34556193.jpg","show blot")</f>
        <v>show blot</v>
      </c>
      <c r="H6629" s="8" t="str">
        <f>HYPERLINK("https://esbl.nhlbi.nih.gov/Databases/mpkFractions/proteomic_fractions_linear_files/Yang_linear_img/34556193.jpg","show blot")</f>
        <v>show blot</v>
      </c>
      <c r="J6629" s="5" t="s">
        <v>13033</v>
      </c>
      <c r="L6629" s="11">
        <v>3.8166038703431262</v>
      </c>
      <c r="N6629" s="12"/>
    </row>
    <row r="6630" spans="1:14" s="5" customFormat="1" ht="15" customHeight="1" x14ac:dyDescent="0.25">
      <c r="A6630" s="9" t="s">
        <v>13034</v>
      </c>
      <c r="C6630" s="9" t="str">
        <f>HYPERLINK("http://www.ncbi.nlm.nih.gov/protein/13384836","Sc4mol")</f>
        <v>Sc4mol</v>
      </c>
      <c r="D6630" s="10">
        <f t="shared" si="103"/>
        <v>2.8811802291420339</v>
      </c>
      <c r="F6630" s="8" t="str">
        <f>HYPERLINK("https://esbl.nhlbi.nih.gov/Databases/mpkFractions/proteomic_fractions_log_files/Yang_log_img/13384836.jpg","show blot")</f>
        <v>show blot</v>
      </c>
      <c r="H6630" s="8" t="str">
        <f>HYPERLINK("https://esbl.nhlbi.nih.gov/Databases/mpkFractions/proteomic_fractions_linear_files/Yang_linear_img/13384836.jpg","show blot")</f>
        <v>show blot</v>
      </c>
      <c r="J6630" s="5" t="s">
        <v>13035</v>
      </c>
      <c r="L6630" s="11">
        <v>2.8811802291420339</v>
      </c>
      <c r="N6630" s="12"/>
    </row>
    <row r="6631" spans="1:14" s="5" customFormat="1" ht="15" customHeight="1" x14ac:dyDescent="0.25">
      <c r="A6631" s="9" t="s">
        <v>13036</v>
      </c>
      <c r="C6631" s="9" t="str">
        <f>HYPERLINK("http://www.ncbi.nlm.nih.gov/protein/56605682","Scaf1")</f>
        <v>Scaf1</v>
      </c>
      <c r="D6631" s="10">
        <f t="shared" si="103"/>
        <v>0.82858295194869824</v>
      </c>
      <c r="F6631" s="8" t="str">
        <f>HYPERLINK("https://esbl.nhlbi.nih.gov/Databases/mpkFractions/proteomic_fractions_log_files/Yang_log_img/56605682.jpg","show blot")</f>
        <v>show blot</v>
      </c>
      <c r="H6631" s="8" t="str">
        <f>HYPERLINK("https://esbl.nhlbi.nih.gov/Databases/mpkFractions/proteomic_fractions_linear_files/Yang_linear_img/56605682.jpg","show blot")</f>
        <v>show blot</v>
      </c>
      <c r="J6631" s="5" t="s">
        <v>13037</v>
      </c>
      <c r="L6631" s="11">
        <v>0.82858295194869824</v>
      </c>
      <c r="N6631" s="12"/>
    </row>
    <row r="6632" spans="1:14" s="5" customFormat="1" ht="15" customHeight="1" x14ac:dyDescent="0.25">
      <c r="A6632" s="9" t="s">
        <v>13038</v>
      </c>
      <c r="C6632" s="9" t="str">
        <f>HYPERLINK("http://www.ncbi.nlm.nih.gov/protein/109150409","Scaf4")</f>
        <v>Scaf4</v>
      </c>
      <c r="D6632" s="10">
        <f t="shared" si="103"/>
        <v>3.4590423124128709</v>
      </c>
      <c r="F6632" s="8" t="str">
        <f>HYPERLINK("https://esbl.nhlbi.nih.gov/Databases/mpkFractions/proteomic_fractions_log_files/Yang_log_img/109150409.jpg","show blot")</f>
        <v>show blot</v>
      </c>
      <c r="H6632" s="8" t="str">
        <f>HYPERLINK("https://esbl.nhlbi.nih.gov/Databases/mpkFractions/proteomic_fractions_linear_files/Yang_linear_img/109150409.jpg","show blot")</f>
        <v>show blot</v>
      </c>
      <c r="J6632" s="5" t="s">
        <v>13039</v>
      </c>
      <c r="L6632" s="11">
        <v>3.4590423124128709</v>
      </c>
      <c r="N6632" s="12"/>
    </row>
    <row r="6633" spans="1:14" s="5" customFormat="1" ht="15" customHeight="1" x14ac:dyDescent="0.25">
      <c r="A6633" s="9" t="s">
        <v>13040</v>
      </c>
      <c r="C6633" s="9" t="str">
        <f>HYPERLINK("http://www.ncbi.nlm.nih.gov/protein/30527367","Scaf8")</f>
        <v>Scaf8</v>
      </c>
      <c r="D6633" s="10">
        <f t="shared" si="103"/>
        <v>3.4366014433646259</v>
      </c>
      <c r="F6633" s="8" t="str">
        <f>HYPERLINK("https://esbl.nhlbi.nih.gov/Databases/mpkFractions/proteomic_fractions_log_files/Yang_log_img/30527367.jpg","show blot")</f>
        <v>show blot</v>
      </c>
      <c r="H6633" s="8" t="str">
        <f>HYPERLINK("https://esbl.nhlbi.nih.gov/Databases/mpkFractions/proteomic_fractions_linear_files/Yang_linear_img/30527367.jpg","show blot")</f>
        <v>show blot</v>
      </c>
      <c r="J6633" s="5" t="s">
        <v>13041</v>
      </c>
      <c r="L6633" s="11">
        <v>3.4366014433646259</v>
      </c>
      <c r="N6633" s="12"/>
    </row>
    <row r="6634" spans="1:14" s="5" customFormat="1" ht="15" customHeight="1" x14ac:dyDescent="0.25">
      <c r="A6634" s="9" t="s">
        <v>13042</v>
      </c>
      <c r="C6634" s="9" t="str">
        <f>HYPERLINK("http://www.ncbi.nlm.nih.gov/protein/58037395","Scamp1")</f>
        <v>Scamp1</v>
      </c>
      <c r="D6634" s="10">
        <f t="shared" si="103"/>
        <v>4.8117256593658926</v>
      </c>
      <c r="F6634" s="8" t="str">
        <f>HYPERLINK("https://esbl.nhlbi.nih.gov/Databases/mpkFractions/proteomic_fractions_log_files/Yang_log_img/58037395.jpg","show blot")</f>
        <v>show blot</v>
      </c>
      <c r="H6634" s="8" t="str">
        <f>HYPERLINK("https://esbl.nhlbi.nih.gov/Databases/mpkFractions/proteomic_fractions_linear_files/Yang_linear_img/58037395.jpg","show blot")</f>
        <v>show blot</v>
      </c>
      <c r="J6634" s="5" t="s">
        <v>13043</v>
      </c>
      <c r="L6634" s="11">
        <v>4.8117256593658926</v>
      </c>
      <c r="N6634" s="12"/>
    </row>
    <row r="6635" spans="1:14" s="5" customFormat="1" ht="15" customHeight="1" x14ac:dyDescent="0.25">
      <c r="A6635" s="9" t="s">
        <v>13044</v>
      </c>
      <c r="C6635" s="9" t="str">
        <f>HYPERLINK("http://www.ncbi.nlm.nih.gov/protein/12331398","Scamp2")</f>
        <v>Scamp2</v>
      </c>
      <c r="D6635" s="10">
        <f t="shared" si="103"/>
        <v>4.6772040794209886</v>
      </c>
      <c r="F6635" s="8" t="str">
        <f>HYPERLINK("https://esbl.nhlbi.nih.gov/Databases/mpkFractions/proteomic_fractions_log_files/Yang_log_img/12331398.jpg","show blot")</f>
        <v>show blot</v>
      </c>
      <c r="H6635" s="8" t="str">
        <f>HYPERLINK("https://esbl.nhlbi.nih.gov/Databases/mpkFractions/proteomic_fractions_linear_files/Yang_linear_img/12331398.jpg","show blot")</f>
        <v>show blot</v>
      </c>
      <c r="J6635" s="5" t="s">
        <v>13045</v>
      </c>
      <c r="L6635" s="11">
        <v>4.6772040794209886</v>
      </c>
      <c r="N6635" s="12"/>
    </row>
    <row r="6636" spans="1:14" s="5" customFormat="1" ht="15" customHeight="1" x14ac:dyDescent="0.25">
      <c r="A6636" s="9" t="s">
        <v>13046</v>
      </c>
      <c r="C6636" s="9" t="str">
        <f>HYPERLINK("http://www.ncbi.nlm.nih.gov/protein/118601011","Scamp3")</f>
        <v>Scamp3</v>
      </c>
      <c r="D6636" s="10">
        <f t="shared" si="103"/>
        <v>5.2531301446823546</v>
      </c>
      <c r="F6636" s="8" t="str">
        <f>HYPERLINK("https://esbl.nhlbi.nih.gov/Databases/mpkFractions/proteomic_fractions_log_files/Yang_log_img/118601011.jpg","show blot")</f>
        <v>show blot</v>
      </c>
      <c r="H6636" s="8" t="str">
        <f>HYPERLINK("https://esbl.nhlbi.nih.gov/Databases/mpkFractions/proteomic_fractions_linear_files/Yang_linear_img/118601011.jpg","show blot")</f>
        <v>show blot</v>
      </c>
      <c r="J6636" s="5" t="s">
        <v>13047</v>
      </c>
      <c r="L6636" s="11">
        <v>5.2531301446823546</v>
      </c>
      <c r="N6636" s="12"/>
    </row>
    <row r="6637" spans="1:14" s="5" customFormat="1" ht="15" customHeight="1" x14ac:dyDescent="0.25">
      <c r="A6637" s="9" t="s">
        <v>13048</v>
      </c>
      <c r="C6637" s="9" t="str">
        <f>HYPERLINK("http://www.ncbi.nlm.nih.gov/protein/9625033","Scamp4")</f>
        <v>Scamp4</v>
      </c>
      <c r="D6637" s="10">
        <f t="shared" si="103"/>
        <v>4.247680951094857</v>
      </c>
      <c r="F6637" s="8" t="str">
        <f>HYPERLINK("https://esbl.nhlbi.nih.gov/Databases/mpkFractions/proteomic_fractions_log_files/Yang_log_img/9625033.jpg","show blot")</f>
        <v>show blot</v>
      </c>
      <c r="H6637" s="8" t="str">
        <f>HYPERLINK("https://esbl.nhlbi.nih.gov/Databases/mpkFractions/proteomic_fractions_linear_files/Yang_linear_img/9625033.jpg","show blot")</f>
        <v>show blot</v>
      </c>
      <c r="J6637" s="5" t="s">
        <v>13049</v>
      </c>
      <c r="L6637" s="11">
        <v>4.247680951094857</v>
      </c>
      <c r="N6637" s="12"/>
    </row>
    <row r="6638" spans="1:14" s="5" customFormat="1" ht="15" customHeight="1" x14ac:dyDescent="0.25">
      <c r="A6638" s="9" t="s">
        <v>13050</v>
      </c>
      <c r="C6638" s="9" t="str">
        <f>HYPERLINK("http://www.ncbi.nlm.nih.gov/protein/9937988","Scamp5")</f>
        <v>Scamp5</v>
      </c>
      <c r="D6638" s="10">
        <f t="shared" si="103"/>
        <v>4.4201985524748251</v>
      </c>
      <c r="F6638" s="8" t="str">
        <f>HYPERLINK("https://esbl.nhlbi.nih.gov/Databases/mpkFractions/proteomic_fractions_log_files/Yang_log_img/9937988.jpg","show blot")</f>
        <v>show blot</v>
      </c>
      <c r="H6638" s="8" t="str">
        <f>HYPERLINK("https://esbl.nhlbi.nih.gov/Databases/mpkFractions/proteomic_fractions_linear_files/Yang_linear_img/9937988.jpg","show blot")</f>
        <v>show blot</v>
      </c>
      <c r="J6638" s="5" t="s">
        <v>13051</v>
      </c>
      <c r="L6638" s="11">
        <v>4.4201985524748251</v>
      </c>
      <c r="N6638" s="12"/>
    </row>
    <row r="6639" spans="1:14" s="5" customFormat="1" ht="15" customHeight="1" x14ac:dyDescent="0.25">
      <c r="A6639" s="9" t="s">
        <v>13052</v>
      </c>
      <c r="C6639" s="9" t="str">
        <f>HYPERLINK("http://www.ncbi.nlm.nih.gov/protein/124486797","Scaper")</f>
        <v>Scaper</v>
      </c>
      <c r="D6639" s="10">
        <f t="shared" si="103"/>
        <v>3.8591211888709198</v>
      </c>
      <c r="F6639" s="8" t="str">
        <f>HYPERLINK("https://esbl.nhlbi.nih.gov/Databases/mpkFractions/proteomic_fractions_log_files/Yang_log_img/124486797.jpg","show blot")</f>
        <v>show blot</v>
      </c>
      <c r="H6639" s="8" t="str">
        <f>HYPERLINK("https://esbl.nhlbi.nih.gov/Databases/mpkFractions/proteomic_fractions_linear_files/Yang_linear_img/124486797.jpg","show blot")</f>
        <v>show blot</v>
      </c>
      <c r="J6639" s="5" t="s">
        <v>13053</v>
      </c>
      <c r="L6639" s="11">
        <v>3.8591211888709198</v>
      </c>
      <c r="N6639" s="12"/>
    </row>
    <row r="6640" spans="1:14" s="5" customFormat="1" ht="15" customHeight="1" x14ac:dyDescent="0.25">
      <c r="A6640" s="9" t="s">
        <v>13054</v>
      </c>
      <c r="C6640" s="9" t="str">
        <f>HYPERLINK("http://www.ncbi.nlm.nih.gov/protein/14389423","Scarb1")</f>
        <v>Scarb1</v>
      </c>
      <c r="D6640" s="10">
        <f t="shared" si="103"/>
        <v>3.734016851036928</v>
      </c>
      <c r="F6640" s="8" t="str">
        <f>HYPERLINK("https://esbl.nhlbi.nih.gov/Databases/mpkFractions/proteomic_fractions_log_files/Yang_log_img/14389423.jpg","show blot")</f>
        <v>show blot</v>
      </c>
      <c r="H6640" s="8" t="str">
        <f>HYPERLINK("https://esbl.nhlbi.nih.gov/Databases/mpkFractions/proteomic_fractions_linear_files/Yang_linear_img/14389423.jpg","show blot")</f>
        <v>show blot</v>
      </c>
      <c r="J6640" s="5" t="s">
        <v>13055</v>
      </c>
      <c r="L6640" s="11">
        <v>3.734016851036928</v>
      </c>
      <c r="N6640" s="12"/>
    </row>
    <row r="6641" spans="1:14" s="5" customFormat="1" ht="15" customHeight="1" x14ac:dyDescent="0.25">
      <c r="A6641" s="9" t="s">
        <v>13056</v>
      </c>
      <c r="C6641" s="9" t="str">
        <f>HYPERLINK("http://www.ncbi.nlm.nih.gov/protein/326537322","Scarb1")</f>
        <v>Scarb1</v>
      </c>
      <c r="D6641" s="10">
        <f t="shared" si="103"/>
        <v>3.734016851036928</v>
      </c>
      <c r="F6641" s="8" t="str">
        <f>HYPERLINK("https://esbl.nhlbi.nih.gov/Databases/mpkFractions/proteomic_fractions_log_files/Yang_log_img/326537322.jpg","show blot")</f>
        <v>show blot</v>
      </c>
      <c r="H6641" s="8" t="str">
        <f>HYPERLINK("https://esbl.nhlbi.nih.gov/Databases/mpkFractions/proteomic_fractions_linear_files/Yang_linear_img/326537322.jpg","show blot")</f>
        <v>show blot</v>
      </c>
      <c r="J6641" s="5" t="s">
        <v>13057</v>
      </c>
      <c r="L6641" s="11">
        <v>3.734016851036928</v>
      </c>
      <c r="N6641" s="12"/>
    </row>
    <row r="6642" spans="1:14" s="5" customFormat="1" ht="15" customHeight="1" x14ac:dyDescent="0.25">
      <c r="A6642" s="9" t="s">
        <v>13058</v>
      </c>
      <c r="C6642" s="9" t="str">
        <f>HYPERLINK("http://www.ncbi.nlm.nih.gov/protein/326537324","Scarb1")</f>
        <v>Scarb1</v>
      </c>
      <c r="D6642" s="10">
        <f t="shared" si="103"/>
        <v>3.734016851036928</v>
      </c>
      <c r="F6642" s="8" t="str">
        <f>HYPERLINK("https://esbl.nhlbi.nih.gov/Databases/mpkFractions/proteomic_fractions_log_files/Yang_log_img/326537324.jpg","show blot")</f>
        <v>show blot</v>
      </c>
      <c r="H6642" s="8" t="str">
        <f>HYPERLINK("https://esbl.nhlbi.nih.gov/Databases/mpkFractions/proteomic_fractions_linear_files/Yang_linear_img/326537324.jpg","show blot")</f>
        <v>show blot</v>
      </c>
      <c r="J6642" s="5" t="s">
        <v>13059</v>
      </c>
      <c r="L6642" s="11">
        <v>3.734016851036928</v>
      </c>
      <c r="N6642" s="12"/>
    </row>
    <row r="6643" spans="1:14" s="5" customFormat="1" ht="15" customHeight="1" x14ac:dyDescent="0.25">
      <c r="A6643" s="9" t="s">
        <v>13060</v>
      </c>
      <c r="C6643" s="9" t="str">
        <f>HYPERLINK("http://www.ncbi.nlm.nih.gov/protein/6680878","Scarb2")</f>
        <v>Scarb2</v>
      </c>
      <c r="D6643" s="10">
        <f t="shared" si="103"/>
        <v>5.3152745854659909</v>
      </c>
      <c r="F6643" s="8" t="str">
        <f>HYPERLINK("https://esbl.nhlbi.nih.gov/Databases/mpkFractions/proteomic_fractions_log_files/Yang_log_img/6680878.jpg","show blot")</f>
        <v>show blot</v>
      </c>
      <c r="H6643" s="8" t="str">
        <f>HYPERLINK("https://esbl.nhlbi.nih.gov/Databases/mpkFractions/proteomic_fractions_linear_files/Yang_linear_img/6680878.jpg","show blot")</f>
        <v>show blot</v>
      </c>
      <c r="J6643" s="5" t="s">
        <v>13061</v>
      </c>
      <c r="L6643" s="11">
        <v>5.3152745854659909</v>
      </c>
      <c r="N6643" s="12"/>
    </row>
    <row r="6644" spans="1:14" s="5" customFormat="1" ht="15" customHeight="1" x14ac:dyDescent="0.25">
      <c r="A6644" s="9" t="s">
        <v>13062</v>
      </c>
      <c r="C6644" s="9" t="str">
        <f>HYPERLINK("http://www.ncbi.nlm.nih.gov/protein/30520019","Sccpdh")</f>
        <v>Sccpdh</v>
      </c>
      <c r="D6644" s="10">
        <f t="shared" si="103"/>
        <v>3.436593767762782</v>
      </c>
      <c r="F6644" s="8" t="str">
        <f>HYPERLINK("https://esbl.nhlbi.nih.gov/Databases/mpkFractions/proteomic_fractions_log_files/Yang_log_img/30520019.jpg","show blot")</f>
        <v>show blot</v>
      </c>
      <c r="H6644" s="8" t="str">
        <f>HYPERLINK("https://esbl.nhlbi.nih.gov/Databases/mpkFractions/proteomic_fractions_linear_files/Yang_linear_img/30520019.jpg","show blot")</f>
        <v>show blot</v>
      </c>
      <c r="J6644" s="5" t="s">
        <v>13063</v>
      </c>
      <c r="L6644" s="11">
        <v>3.436593767762782</v>
      </c>
      <c r="N6644" s="12"/>
    </row>
    <row r="6645" spans="1:14" s="5" customFormat="1" ht="15" customHeight="1" x14ac:dyDescent="0.25">
      <c r="A6645" s="9" t="s">
        <v>13064</v>
      </c>
      <c r="C6645" s="9" t="str">
        <f>HYPERLINK("http://www.ncbi.nlm.nih.gov/protein/70909345","Scel")</f>
        <v>Scel</v>
      </c>
      <c r="D6645" s="10">
        <f t="shared" si="103"/>
        <v>4.2714429714046229</v>
      </c>
      <c r="F6645" s="8" t="str">
        <f>HYPERLINK("https://esbl.nhlbi.nih.gov/Databases/mpkFractions/proteomic_fractions_log_files/Yang_log_img/70909345.jpg","show blot")</f>
        <v>show blot</v>
      </c>
      <c r="H6645" s="8" t="str">
        <f>HYPERLINK("https://esbl.nhlbi.nih.gov/Databases/mpkFractions/proteomic_fractions_linear_files/Yang_linear_img/70909345.jpg","show blot")</f>
        <v>show blot</v>
      </c>
      <c r="J6645" s="5" t="s">
        <v>13065</v>
      </c>
      <c r="L6645" s="11">
        <v>4.2714429714046229</v>
      </c>
      <c r="N6645" s="12"/>
    </row>
    <row r="6646" spans="1:14" s="5" customFormat="1" ht="15" customHeight="1" x14ac:dyDescent="0.25">
      <c r="A6646" s="9" t="s">
        <v>13066</v>
      </c>
      <c r="C6646" s="9" t="str">
        <f>HYPERLINK("http://www.ncbi.nlm.nih.gov/protein/58037481","Scfd1")</f>
        <v>Scfd1</v>
      </c>
      <c r="D6646" s="10">
        <f t="shared" si="103"/>
        <v>5.3400993612340324</v>
      </c>
      <c r="F6646" s="8" t="str">
        <f>HYPERLINK("https://esbl.nhlbi.nih.gov/Databases/mpkFractions/proteomic_fractions_log_files/Yang_log_img/58037481.jpg","show blot")</f>
        <v>show blot</v>
      </c>
      <c r="H6646" s="8" t="str">
        <f>HYPERLINK("https://esbl.nhlbi.nih.gov/Databases/mpkFractions/proteomic_fractions_linear_files/Yang_linear_img/58037481.jpg","show blot")</f>
        <v>show blot</v>
      </c>
      <c r="J6646" s="5" t="s">
        <v>13067</v>
      </c>
      <c r="L6646" s="11">
        <v>5.3400993612340324</v>
      </c>
      <c r="N6646" s="12"/>
    </row>
    <row r="6647" spans="1:14" s="5" customFormat="1" ht="15" customHeight="1" x14ac:dyDescent="0.25">
      <c r="A6647" s="9" t="s">
        <v>13068</v>
      </c>
      <c r="C6647" s="9" t="str">
        <f>HYPERLINK("http://www.ncbi.nlm.nih.gov/protein/167900448","Scfd2")</f>
        <v>Scfd2</v>
      </c>
      <c r="D6647" s="10">
        <f t="shared" si="103"/>
        <v>3.4584990377473761</v>
      </c>
      <c r="F6647" s="8" t="str">
        <f>HYPERLINK("https://esbl.nhlbi.nih.gov/Databases/mpkFractions/proteomic_fractions_log_files/Yang_log_img/167900448.jpg","show blot")</f>
        <v>show blot</v>
      </c>
      <c r="H6647" s="8" t="str">
        <f>HYPERLINK("https://esbl.nhlbi.nih.gov/Databases/mpkFractions/proteomic_fractions_linear_files/Yang_linear_img/167900448.jpg","show blot")</f>
        <v>show blot</v>
      </c>
      <c r="J6647" s="5" t="s">
        <v>13069</v>
      </c>
      <c r="L6647" s="11">
        <v>3.4584990377473761</v>
      </c>
      <c r="N6647" s="12"/>
    </row>
    <row r="6648" spans="1:14" s="5" customFormat="1" ht="15" customHeight="1" x14ac:dyDescent="0.25">
      <c r="A6648" s="9" t="s">
        <v>13070</v>
      </c>
      <c r="C6648" s="9" t="str">
        <f>HYPERLINK("http://www.ncbi.nlm.nih.gov/protein/21703798","Scgn")</f>
        <v>Scgn</v>
      </c>
      <c r="D6648" s="10">
        <f t="shared" si="103"/>
        <v>3.9133935276688541</v>
      </c>
      <c r="F6648" s="8" t="str">
        <f>HYPERLINK("https://esbl.nhlbi.nih.gov/Databases/mpkFractions/proteomic_fractions_log_files/Yang_log_img/21703798.jpg","show blot")</f>
        <v>show blot</v>
      </c>
      <c r="H6648" s="8" t="str">
        <f>HYPERLINK("https://esbl.nhlbi.nih.gov/Databases/mpkFractions/proteomic_fractions_linear_files/Yang_linear_img/21703798.jpg","show blot")</f>
        <v>show blot</v>
      </c>
      <c r="J6648" s="5" t="s">
        <v>13071</v>
      </c>
      <c r="L6648" s="11">
        <v>3.9133935276688541</v>
      </c>
      <c r="N6648" s="12"/>
    </row>
    <row r="6649" spans="1:14" s="5" customFormat="1" ht="15" customHeight="1" x14ac:dyDescent="0.25">
      <c r="A6649" s="9" t="s">
        <v>13072</v>
      </c>
      <c r="C6649" s="9" t="str">
        <f>HYPERLINK("http://www.ncbi.nlm.nih.gov/protein/226246550","Scin")</f>
        <v>Scin</v>
      </c>
      <c r="D6649" s="10">
        <f t="shared" si="103"/>
        <v>6.5831478982506244</v>
      </c>
      <c r="F6649" s="8" t="str">
        <f>HYPERLINK("https://esbl.nhlbi.nih.gov/Databases/mpkFractions/proteomic_fractions_log_files/Yang_log_img/226246550.jpg","show blot")</f>
        <v>show blot</v>
      </c>
      <c r="H6649" s="8" t="str">
        <f>HYPERLINK("https://esbl.nhlbi.nih.gov/Databases/mpkFractions/proteomic_fractions_linear_files/Yang_linear_img/226246550.jpg","show blot")</f>
        <v>show blot</v>
      </c>
      <c r="J6649" s="5" t="s">
        <v>13073</v>
      </c>
      <c r="L6649" s="11">
        <v>6.5831478982506244</v>
      </c>
      <c r="N6649" s="12"/>
    </row>
    <row r="6650" spans="1:14" s="5" customFormat="1" ht="15" customHeight="1" x14ac:dyDescent="0.25">
      <c r="A6650" s="9" t="s">
        <v>13074</v>
      </c>
      <c r="C6650" s="9" t="str">
        <f>HYPERLINK("http://www.ncbi.nlm.nih.gov/protein/226246552","Scin")</f>
        <v>Scin</v>
      </c>
      <c r="D6650" s="10">
        <f t="shared" si="103"/>
        <v>6.5831478982506244</v>
      </c>
      <c r="F6650" s="8" t="str">
        <f>HYPERLINK("https://esbl.nhlbi.nih.gov/Databases/mpkFractions/proteomic_fractions_log_files/Yang_log_img/226246552.jpg","show blot")</f>
        <v>show blot</v>
      </c>
      <c r="H6650" s="8" t="str">
        <f>HYPERLINK("https://esbl.nhlbi.nih.gov/Databases/mpkFractions/proteomic_fractions_linear_files/Yang_linear_img/226246552.jpg","show blot")</f>
        <v>show blot</v>
      </c>
      <c r="J6650" s="5" t="s">
        <v>13075</v>
      </c>
      <c r="L6650" s="11">
        <v>6.5831478982506244</v>
      </c>
      <c r="N6650" s="12"/>
    </row>
    <row r="6651" spans="1:14" s="5" customFormat="1" ht="15" customHeight="1" x14ac:dyDescent="0.25">
      <c r="A6651" s="9" t="s">
        <v>13076</v>
      </c>
      <c r="C6651" s="9" t="str">
        <f>HYPERLINK("http://www.ncbi.nlm.nih.gov/protein/27804323","Scly")</f>
        <v>Scly</v>
      </c>
      <c r="D6651" s="10">
        <f t="shared" si="103"/>
        <v>5.4462049543454416</v>
      </c>
      <c r="F6651" s="8" t="str">
        <f>HYPERLINK("https://esbl.nhlbi.nih.gov/Databases/mpkFractions/proteomic_fractions_log_files/Yang_log_img/27804323.jpg","show blot")</f>
        <v>show blot</v>
      </c>
      <c r="H6651" s="8" t="str">
        <f>HYPERLINK("https://esbl.nhlbi.nih.gov/Databases/mpkFractions/proteomic_fractions_linear_files/Yang_linear_img/27804323.jpg","show blot")</f>
        <v>show blot</v>
      </c>
      <c r="J6651" s="5" t="s">
        <v>13077</v>
      </c>
      <c r="L6651" s="11">
        <v>5.4462049543454416</v>
      </c>
      <c r="N6651" s="12"/>
    </row>
    <row r="6652" spans="1:14" s="5" customFormat="1" ht="15" customHeight="1" x14ac:dyDescent="0.25">
      <c r="A6652" s="9" t="s">
        <v>13078</v>
      </c>
      <c r="C6652" s="9" t="str">
        <f>HYPERLINK("http://www.ncbi.nlm.nih.gov/protein/133987591","Scn11a")</f>
        <v>Scn11a</v>
      </c>
      <c r="D6652" s="10">
        <f t="shared" si="103"/>
        <v>2.5311621810100129</v>
      </c>
      <c r="F6652" s="8" t="str">
        <f>HYPERLINK("https://esbl.nhlbi.nih.gov/Databases/mpkFractions/proteomic_fractions_log_files/Yang_log_img/133987591.jpg","show blot")</f>
        <v>show blot</v>
      </c>
      <c r="H6652" s="8" t="str">
        <f>HYPERLINK("https://esbl.nhlbi.nih.gov/Databases/mpkFractions/proteomic_fractions_linear_files/Yang_linear_img/133987591.jpg","show blot")</f>
        <v>show blot</v>
      </c>
      <c r="J6652" s="5" t="s">
        <v>13079</v>
      </c>
      <c r="L6652" s="11">
        <v>2.5311621810100129</v>
      </c>
      <c r="N6652" s="12"/>
    </row>
    <row r="6653" spans="1:14" s="5" customFormat="1" ht="15" customHeight="1" x14ac:dyDescent="0.25">
      <c r="A6653" s="9" t="s">
        <v>13080</v>
      </c>
      <c r="C6653" s="9" t="str">
        <f>HYPERLINK("http://www.ncbi.nlm.nih.gov/protein/90991710","Sco1")</f>
        <v>Sco1</v>
      </c>
      <c r="D6653" s="10">
        <f t="shared" si="103"/>
        <v>2.2876229258380221</v>
      </c>
      <c r="F6653" s="8" t="str">
        <f>HYPERLINK("https://esbl.nhlbi.nih.gov/Databases/mpkFractions/proteomic_fractions_log_files/Yang_log_img/90991710.jpg","show blot")</f>
        <v>show blot</v>
      </c>
      <c r="H6653" s="8" t="str">
        <f>HYPERLINK("https://esbl.nhlbi.nih.gov/Databases/mpkFractions/proteomic_fractions_linear_files/Yang_linear_img/90991710.jpg","show blot")</f>
        <v>show blot</v>
      </c>
      <c r="J6653" s="5" t="s">
        <v>13081</v>
      </c>
      <c r="L6653" s="11">
        <v>2.2876229258380221</v>
      </c>
      <c r="N6653" s="12"/>
    </row>
    <row r="6654" spans="1:14" s="5" customFormat="1" ht="15" customHeight="1" x14ac:dyDescent="0.25">
      <c r="A6654" s="9" t="s">
        <v>13082</v>
      </c>
      <c r="C6654" s="9" t="str">
        <f>HYPERLINK("http://www.ncbi.nlm.nih.gov/protein/162329549","Sco2")</f>
        <v>Sco2</v>
      </c>
      <c r="D6654" s="10">
        <f t="shared" si="103"/>
        <v>4.3957678678209628</v>
      </c>
      <c r="F6654" s="8" t="str">
        <f>HYPERLINK("https://esbl.nhlbi.nih.gov/Databases/mpkFractions/proteomic_fractions_log_files/Yang_log_img/162329549.jpg","show blot")</f>
        <v>show blot</v>
      </c>
      <c r="H6654" s="8" t="str">
        <f>HYPERLINK("https://esbl.nhlbi.nih.gov/Databases/mpkFractions/proteomic_fractions_linear_files/Yang_linear_img/162329549.jpg","show blot")</f>
        <v>show blot</v>
      </c>
      <c r="J6654" s="5" t="s">
        <v>13083</v>
      </c>
      <c r="L6654" s="11">
        <v>4.3957678678209628</v>
      </c>
      <c r="N6654" s="12"/>
    </row>
    <row r="6655" spans="1:14" s="5" customFormat="1" ht="15" customHeight="1" x14ac:dyDescent="0.25">
      <c r="A6655" s="9" t="s">
        <v>13084</v>
      </c>
      <c r="C6655" s="9" t="str">
        <f>HYPERLINK("http://www.ncbi.nlm.nih.gov/protein/85362711","Scoc")</f>
        <v>Scoc</v>
      </c>
      <c r="D6655" s="10">
        <f t="shared" si="103"/>
        <v>3.368600489172044</v>
      </c>
      <c r="F6655" s="8" t="str">
        <f>HYPERLINK("https://esbl.nhlbi.nih.gov/Databases/mpkFractions/proteomic_fractions_log_files/Yang_log_img/85362711.jpg","show blot")</f>
        <v>show blot</v>
      </c>
      <c r="H6655" s="8" t="str">
        <f>HYPERLINK("https://esbl.nhlbi.nih.gov/Databases/mpkFractions/proteomic_fractions_linear_files/Yang_linear_img/85362711.jpg","show blot")</f>
        <v>show blot</v>
      </c>
      <c r="J6655" s="5" t="s">
        <v>13085</v>
      </c>
      <c r="L6655" s="11">
        <v>3.368600489172044</v>
      </c>
      <c r="N6655" s="12"/>
    </row>
    <row r="6656" spans="1:14" s="5" customFormat="1" ht="15" customHeight="1" x14ac:dyDescent="0.25">
      <c r="A6656" s="9" t="s">
        <v>13086</v>
      </c>
      <c r="C6656" s="9" t="str">
        <f>HYPERLINK("http://www.ncbi.nlm.nih.gov/protein/9790207","Scoc")</f>
        <v>Scoc</v>
      </c>
      <c r="D6656" s="10">
        <f t="shared" si="103"/>
        <v>3.368600489172044</v>
      </c>
      <c r="F6656" s="8" t="str">
        <f>HYPERLINK("https://esbl.nhlbi.nih.gov/Databases/mpkFractions/proteomic_fractions_log_files/Yang_log_img/9790207.jpg","show blot")</f>
        <v>show blot</v>
      </c>
      <c r="H6656" s="8" t="str">
        <f>HYPERLINK("https://esbl.nhlbi.nih.gov/Databases/mpkFractions/proteomic_fractions_linear_files/Yang_linear_img/9790207.jpg","show blot")</f>
        <v>show blot</v>
      </c>
      <c r="J6656" s="5" t="s">
        <v>13087</v>
      </c>
      <c r="L6656" s="11">
        <v>3.368600489172044</v>
      </c>
      <c r="N6656" s="12"/>
    </row>
    <row r="6657" spans="1:14" s="5" customFormat="1" ht="15" customHeight="1" x14ac:dyDescent="0.25">
      <c r="A6657" s="9" t="s">
        <v>13088</v>
      </c>
      <c r="C6657" s="9" t="str">
        <f>HYPERLINK("http://www.ncbi.nlm.nih.gov/protein/45476581","Scp2")</f>
        <v>Scp2</v>
      </c>
      <c r="D6657" s="10">
        <f t="shared" si="103"/>
        <v>5.5872519413773611</v>
      </c>
      <c r="F6657" s="8" t="str">
        <f>HYPERLINK("https://esbl.nhlbi.nih.gov/Databases/mpkFractions/proteomic_fractions_log_files/Yang_log_img/45476581.jpg","show blot")</f>
        <v>show blot</v>
      </c>
      <c r="H6657" s="8" t="str">
        <f>HYPERLINK("https://esbl.nhlbi.nih.gov/Databases/mpkFractions/proteomic_fractions_linear_files/Yang_linear_img/45476581.jpg","show blot")</f>
        <v>show blot</v>
      </c>
      <c r="J6657" s="5" t="s">
        <v>13089</v>
      </c>
      <c r="L6657" s="11">
        <v>5.5872519413773611</v>
      </c>
      <c r="N6657" s="12"/>
    </row>
    <row r="6658" spans="1:14" s="5" customFormat="1" ht="15" customHeight="1" x14ac:dyDescent="0.25">
      <c r="A6658" s="9" t="s">
        <v>13090</v>
      </c>
      <c r="C6658" s="9" t="str">
        <f>HYPERLINK("http://www.ncbi.nlm.nih.gov/protein/253970508","Scpep1")</f>
        <v>Scpep1</v>
      </c>
      <c r="D6658" s="10">
        <f t="shared" si="103"/>
        <v>5.4147480268233164</v>
      </c>
      <c r="F6658" s="8" t="str">
        <f>HYPERLINK("https://esbl.nhlbi.nih.gov/Databases/mpkFractions/proteomic_fractions_log_files/Yang_log_img/253970508.jpg","show blot")</f>
        <v>show blot</v>
      </c>
      <c r="H6658" s="8" t="str">
        <f>HYPERLINK("https://esbl.nhlbi.nih.gov/Databases/mpkFractions/proteomic_fractions_linear_files/Yang_linear_img/253970508.jpg","show blot")</f>
        <v>show blot</v>
      </c>
      <c r="J6658" s="5" t="s">
        <v>13091</v>
      </c>
      <c r="L6658" s="11">
        <v>5.4147480268233164</v>
      </c>
      <c r="N6658" s="12"/>
    </row>
    <row r="6659" spans="1:14" s="5" customFormat="1" ht="15" customHeight="1" x14ac:dyDescent="0.25">
      <c r="A6659" s="9" t="s">
        <v>13092</v>
      </c>
      <c r="C6659" s="9" t="str">
        <f>HYPERLINK("http://www.ncbi.nlm.nih.gov/protein/20373163","Scrib")</f>
        <v>Scrib</v>
      </c>
      <c r="D6659" s="10">
        <f t="shared" si="103"/>
        <v>4.4951275126778318</v>
      </c>
      <c r="F6659" s="8" t="str">
        <f>HYPERLINK("https://esbl.nhlbi.nih.gov/Databases/mpkFractions/proteomic_fractions_log_files/Yang_log_img/20373163.jpg","show blot")</f>
        <v>show blot</v>
      </c>
      <c r="H6659" s="8" t="str">
        <f>HYPERLINK("https://esbl.nhlbi.nih.gov/Databases/mpkFractions/proteomic_fractions_linear_files/Yang_linear_img/20373163.jpg","show blot")</f>
        <v>show blot</v>
      </c>
      <c r="J6659" s="5" t="s">
        <v>13093</v>
      </c>
      <c r="L6659" s="11">
        <v>4.4951275126778318</v>
      </c>
      <c r="N6659" s="12"/>
    </row>
    <row r="6660" spans="1:14" s="5" customFormat="1" ht="15" customHeight="1" x14ac:dyDescent="0.25">
      <c r="A6660" s="9" t="s">
        <v>13094</v>
      </c>
      <c r="C6660" s="9" t="str">
        <f>HYPERLINK("http://www.ncbi.nlm.nih.gov/protein/22122499","Scrn2")</f>
        <v>Scrn2</v>
      </c>
      <c r="D6660" s="10">
        <f t="shared" si="103"/>
        <v>5.6132993458773877</v>
      </c>
      <c r="F6660" s="8" t="str">
        <f>HYPERLINK("https://esbl.nhlbi.nih.gov/Databases/mpkFractions/proteomic_fractions_log_files/Yang_log_img/22122499.jpg","show blot")</f>
        <v>show blot</v>
      </c>
      <c r="H6660" s="8" t="str">
        <f>HYPERLINK("https://esbl.nhlbi.nih.gov/Databases/mpkFractions/proteomic_fractions_linear_files/Yang_linear_img/22122499.jpg","show blot")</f>
        <v>show blot</v>
      </c>
      <c r="J6660" s="5" t="s">
        <v>13095</v>
      </c>
      <c r="L6660" s="11">
        <v>5.6132993458773877</v>
      </c>
      <c r="N6660" s="12"/>
    </row>
    <row r="6661" spans="1:14" s="5" customFormat="1" ht="15" customHeight="1" x14ac:dyDescent="0.25">
      <c r="A6661" s="9" t="s">
        <v>13096</v>
      </c>
      <c r="C6661" s="9" t="str">
        <f>HYPERLINK("http://www.ncbi.nlm.nih.gov/protein/12963867","Scyl1")</f>
        <v>Scyl1</v>
      </c>
      <c r="D6661" s="10">
        <f t="shared" ref="D6661:D6724" si="104">L6661</f>
        <v>4.4175988051403756</v>
      </c>
      <c r="F6661" s="8" t="str">
        <f>HYPERLINK("https://esbl.nhlbi.nih.gov/Databases/mpkFractions/proteomic_fractions_log_files/Yang_log_img/12963867.jpg","show blot")</f>
        <v>show blot</v>
      </c>
      <c r="H6661" s="8" t="str">
        <f>HYPERLINK("https://esbl.nhlbi.nih.gov/Databases/mpkFractions/proteomic_fractions_linear_files/Yang_linear_img/12963867.jpg","show blot")</f>
        <v>show blot</v>
      </c>
      <c r="J6661" s="5" t="s">
        <v>13097</v>
      </c>
      <c r="L6661" s="11">
        <v>4.4175988051403756</v>
      </c>
      <c r="N6661" s="12"/>
    </row>
    <row r="6662" spans="1:14" s="5" customFormat="1" ht="15" customHeight="1" x14ac:dyDescent="0.25">
      <c r="A6662" s="9" t="s">
        <v>13098</v>
      </c>
      <c r="C6662" s="9" t="str">
        <f>HYPERLINK("http://www.ncbi.nlm.nih.gov/protein/37574121","Scyl2")</f>
        <v>Scyl2</v>
      </c>
      <c r="D6662" s="10">
        <f t="shared" si="104"/>
        <v>4.5038307175514323</v>
      </c>
      <c r="F6662" s="8" t="str">
        <f>HYPERLINK("https://esbl.nhlbi.nih.gov/Databases/mpkFractions/proteomic_fractions_log_files/Yang_log_img/37574121.jpg","show blot")</f>
        <v>show blot</v>
      </c>
      <c r="H6662" s="8" t="str">
        <f>HYPERLINK("https://esbl.nhlbi.nih.gov/Databases/mpkFractions/proteomic_fractions_linear_files/Yang_linear_img/37574121.jpg","show blot")</f>
        <v>show blot</v>
      </c>
      <c r="J6662" s="5" t="s">
        <v>13099</v>
      </c>
      <c r="L6662" s="11">
        <v>4.5038307175514323</v>
      </c>
      <c r="N6662" s="12"/>
    </row>
    <row r="6663" spans="1:14" s="5" customFormat="1" ht="15" customHeight="1" x14ac:dyDescent="0.25">
      <c r="A6663" s="9" t="s">
        <v>13100</v>
      </c>
      <c r="C6663" s="9" t="str">
        <f>HYPERLINK("http://www.ncbi.nlm.nih.gov/protein/21311917","Scyl3")</f>
        <v>Scyl3</v>
      </c>
      <c r="D6663" s="10">
        <f t="shared" si="104"/>
        <v>2.608771352239295</v>
      </c>
      <c r="F6663" s="8" t="str">
        <f>HYPERLINK("https://esbl.nhlbi.nih.gov/Databases/mpkFractions/proteomic_fractions_log_files/Yang_log_img/21311917.jpg","show blot")</f>
        <v>show blot</v>
      </c>
      <c r="H6663" s="8" t="str">
        <f>HYPERLINK("https://esbl.nhlbi.nih.gov/Databases/mpkFractions/proteomic_fractions_linear_files/Yang_linear_img/21311917.jpg","show blot")</f>
        <v>show blot</v>
      </c>
      <c r="J6663" s="5" t="s">
        <v>13101</v>
      </c>
      <c r="L6663" s="11">
        <v>2.608771352239295</v>
      </c>
      <c r="N6663" s="12"/>
    </row>
    <row r="6664" spans="1:14" s="5" customFormat="1" ht="15" customHeight="1" x14ac:dyDescent="0.25">
      <c r="A6664" s="9" t="s">
        <v>13102</v>
      </c>
      <c r="C6664" s="9" t="str">
        <f>HYPERLINK("http://www.ncbi.nlm.nih.gov/protein/27370042","Sdad1")</f>
        <v>Sdad1</v>
      </c>
      <c r="D6664" s="10">
        <f t="shared" si="104"/>
        <v>3.292436478658967</v>
      </c>
      <c r="F6664" s="8" t="str">
        <f>HYPERLINK("https://esbl.nhlbi.nih.gov/Databases/mpkFractions/proteomic_fractions_log_files/Yang_log_img/27370042.jpg","show blot")</f>
        <v>show blot</v>
      </c>
      <c r="H6664" s="8" t="str">
        <f>HYPERLINK("https://esbl.nhlbi.nih.gov/Databases/mpkFractions/proteomic_fractions_linear_files/Yang_linear_img/27370042.jpg","show blot")</f>
        <v>show blot</v>
      </c>
      <c r="J6664" s="5" t="s">
        <v>13103</v>
      </c>
      <c r="L6664" s="11">
        <v>3.292436478658967</v>
      </c>
      <c r="N6664" s="12"/>
    </row>
    <row r="6665" spans="1:14" s="5" customFormat="1" ht="15" customHeight="1" x14ac:dyDescent="0.25">
      <c r="A6665" s="9" t="s">
        <v>13104</v>
      </c>
      <c r="C6665" s="9" t="str">
        <f>HYPERLINK("http://www.ncbi.nlm.nih.gov/protein/6755438","Sdc1")</f>
        <v>Sdc1</v>
      </c>
      <c r="D6665" s="10">
        <f t="shared" si="104"/>
        <v>4.1194730323421433</v>
      </c>
      <c r="F6665" s="8" t="str">
        <f>HYPERLINK("https://esbl.nhlbi.nih.gov/Databases/mpkFractions/proteomic_fractions_log_files/Yang_log_img/6755438.jpg","show blot")</f>
        <v>show blot</v>
      </c>
      <c r="H6665" s="8" t="str">
        <f>HYPERLINK("https://esbl.nhlbi.nih.gov/Databases/mpkFractions/proteomic_fractions_linear_files/Yang_linear_img/6755438.jpg","show blot")</f>
        <v>show blot</v>
      </c>
      <c r="J6665" s="5" t="s">
        <v>13105</v>
      </c>
      <c r="L6665" s="11">
        <v>4.1194730323421433</v>
      </c>
      <c r="N6665" s="12"/>
    </row>
    <row r="6666" spans="1:14" s="5" customFormat="1" ht="15" customHeight="1" x14ac:dyDescent="0.25">
      <c r="A6666" s="9" t="s">
        <v>13106</v>
      </c>
      <c r="C6666" s="9" t="str">
        <f>HYPERLINK("http://www.ncbi.nlm.nih.gov/protein/6755442","Sdc4")</f>
        <v>Sdc4</v>
      </c>
      <c r="D6666" s="10">
        <f t="shared" si="104"/>
        <v>5.3813275908770253</v>
      </c>
      <c r="F6666" s="8" t="str">
        <f>HYPERLINK("https://esbl.nhlbi.nih.gov/Databases/mpkFractions/proteomic_fractions_log_files/Yang_log_img/6755442.jpg","show blot")</f>
        <v>show blot</v>
      </c>
      <c r="H6666" s="8" t="str">
        <f>HYPERLINK("https://esbl.nhlbi.nih.gov/Databases/mpkFractions/proteomic_fractions_linear_files/Yang_linear_img/6755442.jpg","show blot")</f>
        <v>show blot</v>
      </c>
      <c r="J6666" s="5" t="s">
        <v>13107</v>
      </c>
      <c r="L6666" s="11">
        <v>5.3813275908770253</v>
      </c>
      <c r="N6666" s="12"/>
    </row>
    <row r="6667" spans="1:14" s="5" customFormat="1" ht="15" customHeight="1" x14ac:dyDescent="0.25">
      <c r="A6667" s="9" t="s">
        <v>13108</v>
      </c>
      <c r="C6667" s="9" t="str">
        <f>HYPERLINK("http://www.ncbi.nlm.nih.gov/protein/148277591","Sdcbp")</f>
        <v>Sdcbp</v>
      </c>
      <c r="D6667" s="10">
        <f t="shared" si="104"/>
        <v>4.0947580119383042</v>
      </c>
      <c r="F6667" s="8" t="str">
        <f>HYPERLINK("https://esbl.nhlbi.nih.gov/Databases/mpkFractions/proteomic_fractions_log_files/Yang_log_img/148277591.jpg","show blot")</f>
        <v>show blot</v>
      </c>
      <c r="H6667" s="8" t="str">
        <f>HYPERLINK("https://esbl.nhlbi.nih.gov/Databases/mpkFractions/proteomic_fractions_linear_files/Yang_linear_img/148277591.jpg","show blot")</f>
        <v>show blot</v>
      </c>
      <c r="J6667" s="5" t="s">
        <v>13109</v>
      </c>
      <c r="L6667" s="11">
        <v>4.0947580119383042</v>
      </c>
      <c r="N6667" s="12"/>
    </row>
    <row r="6668" spans="1:14" s="5" customFormat="1" ht="15" customHeight="1" x14ac:dyDescent="0.25">
      <c r="A6668" s="9" t="s">
        <v>13110</v>
      </c>
      <c r="C6668" s="9" t="str">
        <f>HYPERLINK("http://www.ncbi.nlm.nih.gov/protein/148277640","Sdcbp")</f>
        <v>Sdcbp</v>
      </c>
      <c r="D6668" s="10">
        <f t="shared" si="104"/>
        <v>4.0947580119383042</v>
      </c>
      <c r="F6668" s="8" t="str">
        <f>HYPERLINK("https://esbl.nhlbi.nih.gov/Databases/mpkFractions/proteomic_fractions_log_files/Yang_log_img/148277640.jpg","show blot")</f>
        <v>show blot</v>
      </c>
      <c r="H6668" s="8" t="str">
        <f>HYPERLINK("https://esbl.nhlbi.nih.gov/Databases/mpkFractions/proteomic_fractions_linear_files/Yang_linear_img/148277640.jpg","show blot")</f>
        <v>show blot</v>
      </c>
      <c r="J6668" s="5" t="s">
        <v>13111</v>
      </c>
      <c r="L6668" s="11">
        <v>4.0947580119383042</v>
      </c>
      <c r="N6668" s="12"/>
    </row>
    <row r="6669" spans="1:14" s="5" customFormat="1" ht="15" customHeight="1" x14ac:dyDescent="0.25">
      <c r="A6669" s="9" t="s">
        <v>13112</v>
      </c>
      <c r="C6669" s="9" t="str">
        <f>HYPERLINK("http://www.ncbi.nlm.nih.gov/protein/29789245","Sdccag8")</f>
        <v>Sdccag8</v>
      </c>
      <c r="D6669" s="10">
        <f t="shared" si="104"/>
        <v>3.99736520308327</v>
      </c>
      <c r="F6669" s="8" t="str">
        <f>HYPERLINK("https://esbl.nhlbi.nih.gov/Databases/mpkFractions/proteomic_fractions_log_files/Yang_log_img/29789245.jpg","show blot")</f>
        <v>show blot</v>
      </c>
      <c r="H6669" s="8" t="str">
        <f>HYPERLINK("https://esbl.nhlbi.nih.gov/Databases/mpkFractions/proteomic_fractions_linear_files/Yang_linear_img/29789245.jpg","show blot")</f>
        <v>show blot</v>
      </c>
      <c r="J6669" s="5" t="s">
        <v>13113</v>
      </c>
      <c r="L6669" s="11">
        <v>3.99736520308327</v>
      </c>
      <c r="N6669" s="12"/>
    </row>
    <row r="6670" spans="1:14" s="5" customFormat="1" ht="15" customHeight="1" x14ac:dyDescent="0.25">
      <c r="A6670" s="9" t="s">
        <v>13114</v>
      </c>
      <c r="C6670" s="9" t="str">
        <f>HYPERLINK("http://www.ncbi.nlm.nih.gov/protein/11612505","Sdf2l1")</f>
        <v>Sdf2l1</v>
      </c>
      <c r="D6670" s="10">
        <f t="shared" si="104"/>
        <v>4.631561373327199</v>
      </c>
      <c r="F6670" s="8" t="str">
        <f>HYPERLINK("https://esbl.nhlbi.nih.gov/Databases/mpkFractions/proteomic_fractions_log_files/Yang_log_img/11612505.jpg","show blot")</f>
        <v>show blot</v>
      </c>
      <c r="H6670" s="8" t="str">
        <f>HYPERLINK("https://esbl.nhlbi.nih.gov/Databases/mpkFractions/proteomic_fractions_linear_files/Yang_linear_img/11612505.jpg","show blot")</f>
        <v>show blot</v>
      </c>
      <c r="J6670" s="5" t="s">
        <v>13115</v>
      </c>
      <c r="L6670" s="11">
        <v>4.631561373327199</v>
      </c>
      <c r="N6670" s="12"/>
    </row>
    <row r="6671" spans="1:14" s="5" customFormat="1" ht="15" customHeight="1" x14ac:dyDescent="0.25">
      <c r="A6671" s="9" t="s">
        <v>13116</v>
      </c>
      <c r="C6671" s="9" t="str">
        <f>HYPERLINK("http://www.ncbi.nlm.nih.gov/protein/54607098","Sdha")</f>
        <v>Sdha</v>
      </c>
      <c r="D6671" s="10">
        <f t="shared" si="104"/>
        <v>5.9272585689460584</v>
      </c>
      <c r="F6671" s="8" t="str">
        <f>HYPERLINK("https://esbl.nhlbi.nih.gov/Databases/mpkFractions/proteomic_fractions_log_files/Yang_log_img/54607098.jpg","show blot")</f>
        <v>show blot</v>
      </c>
      <c r="H6671" s="8" t="str">
        <f>HYPERLINK("https://esbl.nhlbi.nih.gov/Databases/mpkFractions/proteomic_fractions_linear_files/Yang_linear_img/54607098.jpg","show blot")</f>
        <v>show blot</v>
      </c>
      <c r="J6671" s="5" t="s">
        <v>13117</v>
      </c>
      <c r="L6671" s="11">
        <v>5.9272585689460584</v>
      </c>
      <c r="N6671" s="12"/>
    </row>
    <row r="6672" spans="1:14" s="5" customFormat="1" ht="15" customHeight="1" x14ac:dyDescent="0.25">
      <c r="A6672" s="9" t="s">
        <v>13118</v>
      </c>
      <c r="C6672" s="9" t="str">
        <f>HYPERLINK("http://www.ncbi.nlm.nih.gov/protein/110815822","Sdhaf1")</f>
        <v>Sdhaf1</v>
      </c>
      <c r="D6672" s="10">
        <f t="shared" si="104"/>
        <v>2.6904174502499458</v>
      </c>
      <c r="F6672" s="8" t="str">
        <f>HYPERLINK("https://esbl.nhlbi.nih.gov/Databases/mpkFractions/proteomic_fractions_log_files/Yang_log_img/110815822.jpg","show blot")</f>
        <v>show blot</v>
      </c>
      <c r="H6672" s="8" t="str">
        <f>HYPERLINK("https://esbl.nhlbi.nih.gov/Databases/mpkFractions/proteomic_fractions_linear_files/Yang_linear_img/110815822.jpg","show blot")</f>
        <v>show blot</v>
      </c>
      <c r="J6672" s="5" t="s">
        <v>13119</v>
      </c>
      <c r="L6672" s="11">
        <v>2.6904174502499458</v>
      </c>
      <c r="N6672" s="12"/>
    </row>
    <row r="6673" spans="1:14" s="5" customFormat="1" ht="15" customHeight="1" x14ac:dyDescent="0.25">
      <c r="A6673" s="9" t="s">
        <v>13120</v>
      </c>
      <c r="C6673" s="9" t="str">
        <f>HYPERLINK("http://www.ncbi.nlm.nih.gov/protein/34328286","Sdhb")</f>
        <v>Sdhb</v>
      </c>
      <c r="D6673" s="10">
        <f t="shared" si="104"/>
        <v>5.5989756790859246</v>
      </c>
      <c r="F6673" s="8" t="str">
        <f>HYPERLINK("https://esbl.nhlbi.nih.gov/Databases/mpkFractions/proteomic_fractions_log_files/Yang_log_img/34328286.jpg","show blot")</f>
        <v>show blot</v>
      </c>
      <c r="H6673" s="8" t="str">
        <f>HYPERLINK("https://esbl.nhlbi.nih.gov/Databases/mpkFractions/proteomic_fractions_linear_files/Yang_linear_img/34328286.jpg","show blot")</f>
        <v>show blot</v>
      </c>
      <c r="J6673" s="5" t="s">
        <v>13121</v>
      </c>
      <c r="L6673" s="11">
        <v>5.5989756790859246</v>
      </c>
      <c r="N6673" s="12"/>
    </row>
    <row r="6674" spans="1:14" s="5" customFormat="1" ht="15" customHeight="1" x14ac:dyDescent="0.25">
      <c r="A6674" s="9" t="s">
        <v>13122</v>
      </c>
      <c r="C6674" s="9" t="str">
        <f>HYPERLINK("http://www.ncbi.nlm.nih.gov/protein/228008307","Sdhc")</f>
        <v>Sdhc</v>
      </c>
      <c r="D6674" s="10">
        <f t="shared" si="104"/>
        <v>4.8561412363802239</v>
      </c>
      <c r="F6674" s="8" t="str">
        <f>HYPERLINK("https://esbl.nhlbi.nih.gov/Databases/mpkFractions/proteomic_fractions_log_files/Yang_log_img/228008307.jpg","show blot")</f>
        <v>show blot</v>
      </c>
      <c r="H6674" s="8" t="str">
        <f>HYPERLINK("https://esbl.nhlbi.nih.gov/Databases/mpkFractions/proteomic_fractions_linear_files/Yang_linear_img/228008307.jpg","show blot")</f>
        <v>show blot</v>
      </c>
      <c r="J6674" s="5" t="s">
        <v>13123</v>
      </c>
      <c r="L6674" s="11">
        <v>4.8561412363802239</v>
      </c>
      <c r="N6674" s="12"/>
    </row>
    <row r="6675" spans="1:14" s="5" customFormat="1" ht="15" customHeight="1" x14ac:dyDescent="0.25">
      <c r="A6675" s="9" t="s">
        <v>13124</v>
      </c>
      <c r="C6675" s="9" t="str">
        <f>HYPERLINK("http://www.ncbi.nlm.nih.gov/protein/27229021","Sdhd")</f>
        <v>Sdhd</v>
      </c>
      <c r="D6675" s="10">
        <f t="shared" si="104"/>
        <v>4.6968452633214426</v>
      </c>
      <c r="F6675" s="8" t="str">
        <f>HYPERLINK("https://esbl.nhlbi.nih.gov/Databases/mpkFractions/proteomic_fractions_log_files/Yang_log_img/27229021.jpg","show blot")</f>
        <v>show blot</v>
      </c>
      <c r="H6675" s="8" t="str">
        <f>HYPERLINK("https://esbl.nhlbi.nih.gov/Databases/mpkFractions/proteomic_fractions_linear_files/Yang_linear_img/27229021.jpg","show blot")</f>
        <v>show blot</v>
      </c>
      <c r="J6675" s="5" t="s">
        <v>13125</v>
      </c>
      <c r="L6675" s="11">
        <v>4.6968452633214426</v>
      </c>
      <c r="N6675" s="12"/>
    </row>
    <row r="6676" spans="1:14" s="5" customFormat="1" ht="15" customHeight="1" x14ac:dyDescent="0.25">
      <c r="A6676" s="9" t="s">
        <v>13126</v>
      </c>
      <c r="C6676" s="9" t="str">
        <f>HYPERLINK("http://www.ncbi.nlm.nih.gov/protein/131889222","Sdr39u1")</f>
        <v>Sdr39u1</v>
      </c>
      <c r="D6676" s="10">
        <f t="shared" si="104"/>
        <v>4.505266554345881</v>
      </c>
      <c r="F6676" s="8" t="str">
        <f>HYPERLINK("https://esbl.nhlbi.nih.gov/Databases/mpkFractions/proteomic_fractions_log_files/Yang_log_img/131889222.jpg","show blot")</f>
        <v>show blot</v>
      </c>
      <c r="H6676" s="8" t="str">
        <f>HYPERLINK("https://esbl.nhlbi.nih.gov/Databases/mpkFractions/proteomic_fractions_linear_files/Yang_linear_img/131889222.jpg","show blot")</f>
        <v>show blot</v>
      </c>
      <c r="J6676" s="5" t="s">
        <v>13127</v>
      </c>
      <c r="L6676" s="11">
        <v>4.505266554345881</v>
      </c>
      <c r="N6676" s="12"/>
    </row>
    <row r="6677" spans="1:14" s="5" customFormat="1" ht="15" customHeight="1" x14ac:dyDescent="0.25">
      <c r="A6677" s="9" t="s">
        <v>13128</v>
      </c>
      <c r="C6677" s="9" t="str">
        <f>HYPERLINK("http://www.ncbi.nlm.nih.gov/protein/20589949","Sdsl")</f>
        <v>Sdsl</v>
      </c>
      <c r="D6677" s="10">
        <f t="shared" si="104"/>
        <v>4.2172297915656989</v>
      </c>
      <c r="F6677" s="8" t="str">
        <f>HYPERLINK("https://esbl.nhlbi.nih.gov/Databases/mpkFractions/proteomic_fractions_log_files/Yang_log_img/20589949.jpg","show blot")</f>
        <v>show blot</v>
      </c>
      <c r="H6677" s="8" t="str">
        <f>HYPERLINK("https://esbl.nhlbi.nih.gov/Databases/mpkFractions/proteomic_fractions_linear_files/Yang_linear_img/20589949.jpg","show blot")</f>
        <v>show blot</v>
      </c>
      <c r="J6677" s="5" t="s">
        <v>13129</v>
      </c>
      <c r="L6677" s="11">
        <v>4.2172297915656989</v>
      </c>
      <c r="N6677" s="12"/>
    </row>
    <row r="6678" spans="1:14" s="5" customFormat="1" ht="15" customHeight="1" x14ac:dyDescent="0.25">
      <c r="A6678" s="9" t="s">
        <v>13130</v>
      </c>
      <c r="C6678" s="9" t="str">
        <f>HYPERLINK("http://www.ncbi.nlm.nih.gov/protein/9910550","Sec11a")</f>
        <v>Sec11a</v>
      </c>
      <c r="D6678" s="10">
        <f t="shared" si="104"/>
        <v>5.791308094844533</v>
      </c>
      <c r="F6678" s="8" t="str">
        <f>HYPERLINK("https://esbl.nhlbi.nih.gov/Databases/mpkFractions/proteomic_fractions_log_files/Yang_log_img/9910550.jpg","show blot")</f>
        <v>show blot</v>
      </c>
      <c r="H6678" s="8" t="str">
        <f>HYPERLINK("https://esbl.nhlbi.nih.gov/Databases/mpkFractions/proteomic_fractions_linear_files/Yang_linear_img/9910550.jpg","show blot")</f>
        <v>show blot</v>
      </c>
      <c r="J6678" s="5" t="s">
        <v>13131</v>
      </c>
      <c r="L6678" s="11">
        <v>5.791308094844533</v>
      </c>
      <c r="N6678" s="12"/>
    </row>
    <row r="6679" spans="1:14" s="5" customFormat="1" ht="15" customHeight="1" x14ac:dyDescent="0.25">
      <c r="A6679" s="9" t="s">
        <v>13132</v>
      </c>
      <c r="C6679" s="9" t="str">
        <f>HYPERLINK("http://www.ncbi.nlm.nih.gov/protein/29150272","Sec13")</f>
        <v>Sec13</v>
      </c>
      <c r="D6679" s="10">
        <f t="shared" si="104"/>
        <v>5.5331961762654016</v>
      </c>
      <c r="F6679" s="8" t="str">
        <f>HYPERLINK("https://esbl.nhlbi.nih.gov/Databases/mpkFractions/proteomic_fractions_log_files/Yang_log_img/29150272.jpg","show blot")</f>
        <v>show blot</v>
      </c>
      <c r="H6679" s="8" t="str">
        <f>HYPERLINK("https://esbl.nhlbi.nih.gov/Databases/mpkFractions/proteomic_fractions_linear_files/Yang_linear_img/29150272.jpg","show blot")</f>
        <v>show blot</v>
      </c>
      <c r="J6679" s="5" t="s">
        <v>13133</v>
      </c>
      <c r="L6679" s="11">
        <v>5.5331961762654016</v>
      </c>
      <c r="N6679" s="12"/>
    </row>
    <row r="6680" spans="1:14" s="5" customFormat="1" ht="15" customHeight="1" x14ac:dyDescent="0.25">
      <c r="A6680" s="9" t="s">
        <v>13134</v>
      </c>
      <c r="C6680" s="9" t="str">
        <f>HYPERLINK("http://www.ncbi.nlm.nih.gov/protein/262073064","Sec14l1")</f>
        <v>Sec14l1</v>
      </c>
      <c r="D6680" s="10">
        <f t="shared" si="104"/>
        <v>4.5038760744145101</v>
      </c>
      <c r="F6680" s="8" t="str">
        <f>HYPERLINK("https://esbl.nhlbi.nih.gov/Databases/mpkFractions/proteomic_fractions_log_files/Yang_log_img/262073064.jpg","show blot")</f>
        <v>show blot</v>
      </c>
      <c r="H6680" s="8" t="str">
        <f>HYPERLINK("https://esbl.nhlbi.nih.gov/Databases/mpkFractions/proteomic_fractions_linear_files/Yang_linear_img/262073064.jpg","show blot")</f>
        <v>show blot</v>
      </c>
      <c r="J6680" s="5" t="s">
        <v>13135</v>
      </c>
      <c r="L6680" s="11">
        <v>4.5038760744145101</v>
      </c>
      <c r="N6680" s="12"/>
    </row>
    <row r="6681" spans="1:14" s="5" customFormat="1" ht="15" customHeight="1" x14ac:dyDescent="0.25">
      <c r="A6681" s="9" t="s">
        <v>13136</v>
      </c>
      <c r="C6681" s="9" t="str">
        <f>HYPERLINK("http://www.ncbi.nlm.nih.gov/protein/262073066","Sec14l1")</f>
        <v>Sec14l1</v>
      </c>
      <c r="D6681" s="10">
        <f t="shared" si="104"/>
        <v>4.5038760744145101</v>
      </c>
      <c r="F6681" s="8" t="str">
        <f>HYPERLINK("https://esbl.nhlbi.nih.gov/Databases/mpkFractions/proteomic_fractions_log_files/Yang_log_img/262073066.jpg","show blot")</f>
        <v>show blot</v>
      </c>
      <c r="H6681" s="8" t="str">
        <f>HYPERLINK("https://esbl.nhlbi.nih.gov/Databases/mpkFractions/proteomic_fractions_linear_files/Yang_linear_img/262073066.jpg","show blot")</f>
        <v>show blot</v>
      </c>
      <c r="J6681" s="5" t="s">
        <v>13137</v>
      </c>
      <c r="L6681" s="11">
        <v>4.5038760744145101</v>
      </c>
      <c r="N6681" s="12"/>
    </row>
    <row r="6682" spans="1:14" s="5" customFormat="1" ht="15" customHeight="1" x14ac:dyDescent="0.25">
      <c r="A6682" s="9" t="s">
        <v>13138</v>
      </c>
      <c r="C6682" s="9" t="str">
        <f>HYPERLINK("http://www.ncbi.nlm.nih.gov/protein/262073068","Sec14l1")</f>
        <v>Sec14l1</v>
      </c>
      <c r="D6682" s="10">
        <f t="shared" si="104"/>
        <v>4.5038760744145101</v>
      </c>
      <c r="F6682" s="8" t="str">
        <f>HYPERLINK("https://esbl.nhlbi.nih.gov/Databases/mpkFractions/proteomic_fractions_log_files/Yang_log_img/262073068.jpg","show blot")</f>
        <v>show blot</v>
      </c>
      <c r="H6682" s="8" t="str">
        <f>HYPERLINK("https://esbl.nhlbi.nih.gov/Databases/mpkFractions/proteomic_fractions_linear_files/Yang_linear_img/262073068.jpg","show blot")</f>
        <v>show blot</v>
      </c>
      <c r="J6682" s="5" t="s">
        <v>13139</v>
      </c>
      <c r="L6682" s="11">
        <v>4.5038760744145101</v>
      </c>
      <c r="N6682" s="12"/>
    </row>
    <row r="6683" spans="1:14" s="5" customFormat="1" ht="15" customHeight="1" x14ac:dyDescent="0.25">
      <c r="A6683" s="9" t="s">
        <v>13140</v>
      </c>
      <c r="C6683" s="9" t="str">
        <f>HYPERLINK("http://www.ncbi.nlm.nih.gov/protein/189181692","Sec14l5")</f>
        <v>Sec14l5</v>
      </c>
      <c r="D6683" s="10">
        <f t="shared" si="104"/>
        <v>3.1915995673932822</v>
      </c>
      <c r="F6683" s="8" t="str">
        <f>HYPERLINK("https://esbl.nhlbi.nih.gov/Databases/mpkFractions/proteomic_fractions_log_files/Yang_log_img/189181692.jpg","show blot")</f>
        <v>show blot</v>
      </c>
      <c r="H6683" s="8" t="str">
        <f>HYPERLINK("https://esbl.nhlbi.nih.gov/Databases/mpkFractions/proteomic_fractions_linear_files/Yang_linear_img/189181692.jpg","show blot")</f>
        <v>show blot</v>
      </c>
      <c r="J6683" s="5" t="s">
        <v>13141</v>
      </c>
      <c r="L6683" s="11">
        <v>3.1915995673932822</v>
      </c>
      <c r="N6683" s="12"/>
    </row>
    <row r="6684" spans="1:14" s="5" customFormat="1" ht="15" customHeight="1" x14ac:dyDescent="0.25">
      <c r="A6684" s="9" t="s">
        <v>13142</v>
      </c>
      <c r="C6684" s="9" t="str">
        <f>HYPERLINK("http://www.ncbi.nlm.nih.gov/protein/124378050","Sec16a")</f>
        <v>Sec16a</v>
      </c>
      <c r="D6684" s="10">
        <f t="shared" si="104"/>
        <v>3.280826170398742</v>
      </c>
      <c r="F6684" s="8" t="str">
        <f>HYPERLINK("https://esbl.nhlbi.nih.gov/Databases/mpkFractions/proteomic_fractions_log_files/Yang_log_img/124378050.jpg","show blot")</f>
        <v>show blot</v>
      </c>
      <c r="H6684" s="8" t="str">
        <f>HYPERLINK("https://esbl.nhlbi.nih.gov/Databases/mpkFractions/proteomic_fractions_linear_files/Yang_linear_img/124378050.jpg","show blot")</f>
        <v>show blot</v>
      </c>
      <c r="J6684" s="5" t="s">
        <v>13143</v>
      </c>
      <c r="L6684" s="11">
        <v>3.280826170398742</v>
      </c>
      <c r="N6684" s="12"/>
    </row>
    <row r="6685" spans="1:14" s="5" customFormat="1" ht="15" customHeight="1" x14ac:dyDescent="0.25">
      <c r="A6685" s="9" t="s">
        <v>13144</v>
      </c>
      <c r="C6685" s="9" t="str">
        <f>HYPERLINK("http://www.ncbi.nlm.nih.gov/protein/27819645","Sec22a")</f>
        <v>Sec22a</v>
      </c>
      <c r="D6685" s="10">
        <f t="shared" si="104"/>
        <v>3.5952935720486532</v>
      </c>
      <c r="F6685" s="8" t="str">
        <f>HYPERLINK("https://esbl.nhlbi.nih.gov/Databases/mpkFractions/proteomic_fractions_log_files/Yang_log_img/27819645.jpg","show blot")</f>
        <v>show blot</v>
      </c>
      <c r="H6685" s="8" t="str">
        <f>HYPERLINK("https://esbl.nhlbi.nih.gov/Databases/mpkFractions/proteomic_fractions_linear_files/Yang_linear_img/27819645.jpg","show blot")</f>
        <v>show blot</v>
      </c>
      <c r="J6685" s="5" t="s">
        <v>13145</v>
      </c>
      <c r="L6685" s="11">
        <v>3.5952935720486532</v>
      </c>
      <c r="N6685" s="12"/>
    </row>
    <row r="6686" spans="1:14" s="5" customFormat="1" ht="15" customHeight="1" x14ac:dyDescent="0.25">
      <c r="A6686" s="9" t="s">
        <v>13146</v>
      </c>
      <c r="C6686" s="9" t="str">
        <f>HYPERLINK("http://www.ncbi.nlm.nih.gov/protein/6755448","Sec22b")</f>
        <v>Sec22b</v>
      </c>
      <c r="D6686" s="10">
        <f t="shared" si="104"/>
        <v>6.0962886181756577</v>
      </c>
      <c r="F6686" s="8" t="str">
        <f>HYPERLINK("https://esbl.nhlbi.nih.gov/Databases/mpkFractions/proteomic_fractions_log_files/Yang_log_img/6755448.jpg","show blot")</f>
        <v>show blot</v>
      </c>
      <c r="H6686" s="8" t="str">
        <f>HYPERLINK("https://esbl.nhlbi.nih.gov/Databases/mpkFractions/proteomic_fractions_linear_files/Yang_linear_img/6755448.jpg","show blot")</f>
        <v>show blot</v>
      </c>
      <c r="J6686" s="5" t="s">
        <v>13147</v>
      </c>
      <c r="L6686" s="11">
        <v>6.0962886181756577</v>
      </c>
      <c r="N6686" s="12"/>
    </row>
    <row r="6687" spans="1:14" s="5" customFormat="1" ht="15" customHeight="1" x14ac:dyDescent="0.25">
      <c r="A6687" s="9" t="s">
        <v>13148</v>
      </c>
      <c r="C6687" s="9" t="str">
        <f>HYPERLINK("http://www.ncbi.nlm.nih.gov/protein/67906177","Sec23a")</f>
        <v>Sec23a</v>
      </c>
      <c r="D6687" s="10">
        <f t="shared" si="104"/>
        <v>5.220676346601393</v>
      </c>
      <c r="F6687" s="8" t="str">
        <f>HYPERLINK("https://esbl.nhlbi.nih.gov/Databases/mpkFractions/proteomic_fractions_log_files/Yang_log_img/67906177.jpg","show blot")</f>
        <v>show blot</v>
      </c>
      <c r="H6687" s="8" t="str">
        <f>HYPERLINK("https://esbl.nhlbi.nih.gov/Databases/mpkFractions/proteomic_fractions_linear_files/Yang_linear_img/67906177.jpg","show blot")</f>
        <v>show blot</v>
      </c>
      <c r="J6687" s="5" t="s">
        <v>13149</v>
      </c>
      <c r="L6687" s="11">
        <v>5.220676346601393</v>
      </c>
      <c r="N6687" s="12"/>
    </row>
    <row r="6688" spans="1:14" s="5" customFormat="1" ht="15" customHeight="1" x14ac:dyDescent="0.25">
      <c r="A6688" s="9" t="s">
        <v>13150</v>
      </c>
      <c r="C6688" s="9" t="str">
        <f>HYPERLINK("http://www.ncbi.nlm.nih.gov/protein/529250183","Sec23b")</f>
        <v>Sec23b</v>
      </c>
      <c r="D6688" s="10">
        <f t="shared" si="104"/>
        <v>5.2057511975235817</v>
      </c>
      <c r="F6688" s="8" t="str">
        <f>HYPERLINK("https://esbl.nhlbi.nih.gov/Databases/mpkFractions/proteomic_fractions_log_files/Yang_log_img/529250183.jpg","show blot")</f>
        <v>show blot</v>
      </c>
      <c r="H6688" s="8" t="str">
        <f>HYPERLINK("https://esbl.nhlbi.nih.gov/Databases/mpkFractions/proteomic_fractions_linear_files/Yang_linear_img/529250183.jpg","show blot")</f>
        <v>show blot</v>
      </c>
      <c r="J6688" s="5" t="s">
        <v>13151</v>
      </c>
      <c r="L6688" s="11">
        <v>5.2057511975235817</v>
      </c>
      <c r="N6688" s="12"/>
    </row>
    <row r="6689" spans="1:14" s="5" customFormat="1" ht="15" customHeight="1" x14ac:dyDescent="0.25">
      <c r="A6689" s="9" t="s">
        <v>13152</v>
      </c>
      <c r="C6689" s="9" t="str">
        <f>HYPERLINK("http://www.ncbi.nlm.nih.gov/protein/357527456;31980969","Sec23b")</f>
        <v>Sec23b</v>
      </c>
      <c r="D6689" s="10">
        <f t="shared" si="104"/>
        <v>5.2057511975235817</v>
      </c>
      <c r="F6689" s="8" t="str">
        <f>HYPERLINK("https://esbl.nhlbi.nih.gov/Databases/mpkFractions/proteomic_fractions_log_files/Yang_log_img/357527456;31980969.jpg","show blot")</f>
        <v>show blot</v>
      </c>
      <c r="H6689" s="8" t="str">
        <f>HYPERLINK("https://esbl.nhlbi.nih.gov/Databases/mpkFractions/proteomic_fractions_linear_files/Yang_linear_img/357527456;31980969.jpg","show blot")</f>
        <v>show blot</v>
      </c>
      <c r="J6689" s="5" t="s">
        <v>13153</v>
      </c>
      <c r="L6689" s="11">
        <v>5.2057511975235817</v>
      </c>
      <c r="N6689" s="12"/>
    </row>
    <row r="6690" spans="1:14" s="5" customFormat="1" ht="15" customHeight="1" x14ac:dyDescent="0.25">
      <c r="A6690" s="9" t="s">
        <v>13154</v>
      </c>
      <c r="C6690" s="9" t="str">
        <f>HYPERLINK("http://www.ncbi.nlm.nih.gov/protein/31980969","Sec23b")</f>
        <v>Sec23b</v>
      </c>
      <c r="D6690" s="10">
        <f t="shared" si="104"/>
        <v>5.2057511975235817</v>
      </c>
      <c r="F6690" s="8" t="str">
        <f>HYPERLINK("https://esbl.nhlbi.nih.gov/Databases/mpkFractions/proteomic_fractions_log_files/Yang_log_img/31980969.jpg","show blot")</f>
        <v>show blot</v>
      </c>
      <c r="H6690" s="8" t="str">
        <f>HYPERLINK("https://esbl.nhlbi.nih.gov/Databases/mpkFractions/proteomic_fractions_linear_files/Yang_linear_img/31980969.jpg","show blot")</f>
        <v>show blot</v>
      </c>
      <c r="J6690" s="5" t="s">
        <v>13155</v>
      </c>
      <c r="L6690" s="11">
        <v>5.2057511975235817</v>
      </c>
      <c r="N6690" s="12"/>
    </row>
    <row r="6691" spans="1:14" s="5" customFormat="1" ht="15" customHeight="1" x14ac:dyDescent="0.25">
      <c r="A6691" s="9" t="s">
        <v>13156</v>
      </c>
      <c r="C6691" s="9" t="str">
        <f>HYPERLINK("http://www.ncbi.nlm.nih.gov/protein/254692911","Sec23ip")</f>
        <v>Sec23ip</v>
      </c>
      <c r="D6691" s="10">
        <f t="shared" si="104"/>
        <v>4.1928846685232646</v>
      </c>
      <c r="F6691" s="8" t="str">
        <f>HYPERLINK("https://esbl.nhlbi.nih.gov/Databases/mpkFractions/proteomic_fractions_log_files/Yang_log_img/254692911.jpg","show blot")</f>
        <v>show blot</v>
      </c>
      <c r="H6691" s="8" t="str">
        <f>HYPERLINK("https://esbl.nhlbi.nih.gov/Databases/mpkFractions/proteomic_fractions_linear_files/Yang_linear_img/254692911.jpg","show blot")</f>
        <v>show blot</v>
      </c>
      <c r="J6691" s="5" t="s">
        <v>13157</v>
      </c>
      <c r="L6691" s="11">
        <v>4.1928846685232646</v>
      </c>
      <c r="N6691" s="12"/>
    </row>
    <row r="6692" spans="1:14" s="5" customFormat="1" ht="15" customHeight="1" x14ac:dyDescent="0.25">
      <c r="A6692" s="9" t="s">
        <v>13158</v>
      </c>
      <c r="C6692" s="9" t="str">
        <f>HYPERLINK("http://www.ncbi.nlm.nih.gov/protein/116174774","Sec24a")</f>
        <v>Sec24a</v>
      </c>
      <c r="D6692" s="10">
        <f t="shared" si="104"/>
        <v>3.3782061204476448</v>
      </c>
      <c r="F6692" s="8" t="str">
        <f>HYPERLINK("https://esbl.nhlbi.nih.gov/Databases/mpkFractions/proteomic_fractions_log_files/Yang_log_img/116174774.jpg","show blot")</f>
        <v>show blot</v>
      </c>
      <c r="H6692" s="8" t="str">
        <f>HYPERLINK("https://esbl.nhlbi.nih.gov/Databases/mpkFractions/proteomic_fractions_linear_files/Yang_linear_img/116174774.jpg","show blot")</f>
        <v>show blot</v>
      </c>
      <c r="J6692" s="5" t="s">
        <v>13159</v>
      </c>
      <c r="L6692" s="11">
        <v>3.3782061204476448</v>
      </c>
      <c r="N6692" s="12"/>
    </row>
    <row r="6693" spans="1:14" s="5" customFormat="1" ht="15" customHeight="1" x14ac:dyDescent="0.25">
      <c r="A6693" s="9" t="s">
        <v>13160</v>
      </c>
      <c r="C6693" s="9" t="str">
        <f>HYPERLINK("http://www.ncbi.nlm.nih.gov/protein/46402179","Sec24b")</f>
        <v>Sec24b</v>
      </c>
      <c r="D6693" s="10">
        <f t="shared" si="104"/>
        <v>4.166642478421271</v>
      </c>
      <c r="F6693" s="8" t="str">
        <f>HYPERLINK("https://esbl.nhlbi.nih.gov/Databases/mpkFractions/proteomic_fractions_log_files/Yang_log_img/46402179.jpg","show blot")</f>
        <v>show blot</v>
      </c>
      <c r="H6693" s="8" t="str">
        <f>HYPERLINK("https://esbl.nhlbi.nih.gov/Databases/mpkFractions/proteomic_fractions_linear_files/Yang_linear_img/46402179.jpg","show blot")</f>
        <v>show blot</v>
      </c>
      <c r="J6693" s="5" t="s">
        <v>13161</v>
      </c>
      <c r="L6693" s="11">
        <v>4.166642478421271</v>
      </c>
      <c r="N6693" s="12"/>
    </row>
    <row r="6694" spans="1:14" s="5" customFormat="1" ht="15" customHeight="1" x14ac:dyDescent="0.25">
      <c r="A6694" s="9" t="s">
        <v>13162</v>
      </c>
      <c r="C6694" s="9" t="str">
        <f>HYPERLINK("http://www.ncbi.nlm.nih.gov/protein/269954698","Sec24c")</f>
        <v>Sec24c</v>
      </c>
      <c r="D6694" s="10">
        <f t="shared" si="104"/>
        <v>4.9676471000845144</v>
      </c>
      <c r="F6694" s="8" t="str">
        <f>HYPERLINK("https://esbl.nhlbi.nih.gov/Databases/mpkFractions/proteomic_fractions_log_files/Yang_log_img/269954698.jpg","show blot")</f>
        <v>show blot</v>
      </c>
      <c r="H6694" s="8" t="str">
        <f>HYPERLINK("https://esbl.nhlbi.nih.gov/Databases/mpkFractions/proteomic_fractions_linear_files/Yang_linear_img/269954698.jpg","show blot")</f>
        <v>show blot</v>
      </c>
      <c r="J6694" s="5" t="s">
        <v>13163</v>
      </c>
      <c r="L6694" s="11">
        <v>4.9676471000845144</v>
      </c>
      <c r="N6694" s="12"/>
    </row>
    <row r="6695" spans="1:14" s="5" customFormat="1" ht="15" customHeight="1" x14ac:dyDescent="0.25">
      <c r="A6695" s="9" t="s">
        <v>13164</v>
      </c>
      <c r="C6695" s="9" t="str">
        <f>HYPERLINK("http://www.ncbi.nlm.nih.gov/protein/269954700","Sec24c")</f>
        <v>Sec24c</v>
      </c>
      <c r="D6695" s="10">
        <f t="shared" si="104"/>
        <v>4.9676471000845144</v>
      </c>
      <c r="F6695" s="8" t="str">
        <f>HYPERLINK("https://esbl.nhlbi.nih.gov/Databases/mpkFractions/proteomic_fractions_log_files/Yang_log_img/269954700.jpg","show blot")</f>
        <v>show blot</v>
      </c>
      <c r="H6695" s="8" t="str">
        <f>HYPERLINK("https://esbl.nhlbi.nih.gov/Databases/mpkFractions/proteomic_fractions_linear_files/Yang_linear_img/269954700.jpg","show blot")</f>
        <v>show blot</v>
      </c>
      <c r="J6695" s="5" t="s">
        <v>13165</v>
      </c>
      <c r="L6695" s="11">
        <v>4.9676471000845144</v>
      </c>
      <c r="N6695" s="12"/>
    </row>
    <row r="6696" spans="1:14" s="5" customFormat="1" ht="15" customHeight="1" x14ac:dyDescent="0.25">
      <c r="A6696" s="9" t="s">
        <v>13166</v>
      </c>
      <c r="C6696" s="9" t="str">
        <f>HYPERLINK("http://www.ncbi.nlm.nih.gov/protein/46560565","Sec24d")</f>
        <v>Sec24d</v>
      </c>
      <c r="D6696" s="10">
        <f t="shared" si="104"/>
        <v>3.5594278691622532</v>
      </c>
      <c r="F6696" s="8" t="str">
        <f>HYPERLINK("https://esbl.nhlbi.nih.gov/Databases/mpkFractions/proteomic_fractions_log_files/Yang_log_img/46560565.jpg","show blot")</f>
        <v>show blot</v>
      </c>
      <c r="H6696" s="8" t="str">
        <f>HYPERLINK("https://esbl.nhlbi.nih.gov/Databases/mpkFractions/proteomic_fractions_linear_files/Yang_linear_img/46560565.jpg","show blot")</f>
        <v>show blot</v>
      </c>
      <c r="J6696" s="5" t="s">
        <v>13167</v>
      </c>
      <c r="L6696" s="11">
        <v>3.5594278691622532</v>
      </c>
      <c r="N6696" s="12"/>
    </row>
    <row r="6697" spans="1:14" s="5" customFormat="1" ht="15" customHeight="1" x14ac:dyDescent="0.25">
      <c r="A6697" s="9" t="s">
        <v>13168</v>
      </c>
      <c r="C6697" s="9" t="str">
        <f>HYPERLINK("http://www.ncbi.nlm.nih.gov/protein/244791271","Sec31a")</f>
        <v>Sec31a</v>
      </c>
      <c r="D6697" s="10">
        <f t="shared" si="104"/>
        <v>5.2285902939488738</v>
      </c>
      <c r="F6697" s="8" t="str">
        <f>HYPERLINK("https://esbl.nhlbi.nih.gov/Databases/mpkFractions/proteomic_fractions_log_files/Yang_log_img/244791271.jpg","show blot")</f>
        <v>show blot</v>
      </c>
      <c r="H6697" s="8" t="str">
        <f>HYPERLINK("https://esbl.nhlbi.nih.gov/Databases/mpkFractions/proteomic_fractions_linear_files/Yang_linear_img/244791271.jpg","show blot")</f>
        <v>show blot</v>
      </c>
      <c r="J6697" s="5" t="s">
        <v>13169</v>
      </c>
      <c r="L6697" s="11">
        <v>5.2285902939488738</v>
      </c>
      <c r="N6697" s="12"/>
    </row>
    <row r="6698" spans="1:14" s="5" customFormat="1" ht="15" customHeight="1" x14ac:dyDescent="0.25">
      <c r="A6698" s="9" t="s">
        <v>13170</v>
      </c>
      <c r="C6698" s="9" t="str">
        <f>HYPERLINK("http://www.ncbi.nlm.nih.gov/protein/133504851","Sec31b")</f>
        <v>Sec31b</v>
      </c>
      <c r="D6698" s="10">
        <f t="shared" si="104"/>
        <v>4.7536920580956883</v>
      </c>
      <c r="F6698" s="8" t="str">
        <f>HYPERLINK("https://esbl.nhlbi.nih.gov/Databases/mpkFractions/proteomic_fractions_log_files/Yang_log_img/133504851.jpg","show blot")</f>
        <v>show blot</v>
      </c>
      <c r="H6698" s="8" t="str">
        <f>HYPERLINK("https://esbl.nhlbi.nih.gov/Databases/mpkFractions/proteomic_fractions_linear_files/Yang_linear_img/133504851.jpg","show blot")</f>
        <v>show blot</v>
      </c>
      <c r="J6698" s="5" t="s">
        <v>13171</v>
      </c>
      <c r="L6698" s="11">
        <v>4.7536920580956883</v>
      </c>
      <c r="N6698" s="12"/>
    </row>
    <row r="6699" spans="1:14" s="5" customFormat="1" ht="15" customHeight="1" x14ac:dyDescent="0.25">
      <c r="A6699" s="9" t="s">
        <v>13172</v>
      </c>
      <c r="C6699" s="9" t="str">
        <f>HYPERLINK("http://www.ncbi.nlm.nih.gov/protein/8394252","Sec61a1")</f>
        <v>Sec61a1</v>
      </c>
      <c r="D6699" s="10">
        <f t="shared" si="104"/>
        <v>4.9080241138569187</v>
      </c>
      <c r="F6699" s="8" t="str">
        <f>HYPERLINK("https://esbl.nhlbi.nih.gov/Databases/mpkFractions/proteomic_fractions_log_files/Yang_log_img/8394252.jpg","show blot")</f>
        <v>show blot</v>
      </c>
      <c r="H6699" s="8" t="str">
        <f>HYPERLINK("https://esbl.nhlbi.nih.gov/Databases/mpkFractions/proteomic_fractions_linear_files/Yang_linear_img/8394252.jpg","show blot")</f>
        <v>show blot</v>
      </c>
      <c r="J6699" s="5" t="s">
        <v>13173</v>
      </c>
      <c r="L6699" s="11">
        <v>4.9080241138569187</v>
      </c>
      <c r="N6699" s="12"/>
    </row>
    <row r="6700" spans="1:14" s="5" customFormat="1" ht="15" customHeight="1" x14ac:dyDescent="0.25">
      <c r="A6700" s="9" t="s">
        <v>13174</v>
      </c>
      <c r="C6700" s="9" t="str">
        <f>HYPERLINK("http://www.ncbi.nlm.nih.gov/protein/10946604","Sec61a2")</f>
        <v>Sec61a2</v>
      </c>
      <c r="D6700" s="10">
        <f t="shared" si="104"/>
        <v>4.0980210526484289</v>
      </c>
      <c r="F6700" s="8" t="str">
        <f>HYPERLINK("https://esbl.nhlbi.nih.gov/Databases/mpkFractions/proteomic_fractions_log_files/Yang_log_img/10946604.jpg","show blot")</f>
        <v>show blot</v>
      </c>
      <c r="H6700" s="8" t="str">
        <f>HYPERLINK("https://esbl.nhlbi.nih.gov/Databases/mpkFractions/proteomic_fractions_linear_files/Yang_linear_img/10946604.jpg","show blot")</f>
        <v>show blot</v>
      </c>
      <c r="J6700" s="5" t="s">
        <v>13175</v>
      </c>
      <c r="L6700" s="11">
        <v>4.0980210526484289</v>
      </c>
      <c r="N6700" s="12"/>
    </row>
    <row r="6701" spans="1:14" s="5" customFormat="1" ht="15" customHeight="1" x14ac:dyDescent="0.25">
      <c r="A6701" s="9" t="s">
        <v>13176</v>
      </c>
      <c r="C6701" s="9" t="str">
        <f>HYPERLINK("http://www.ncbi.nlm.nih.gov/protein/13324684","Sec61b")</f>
        <v>Sec61b</v>
      </c>
      <c r="D6701" s="10">
        <f t="shared" si="104"/>
        <v>5.4674507001643962</v>
      </c>
      <c r="F6701" s="8" t="str">
        <f>HYPERLINK("https://esbl.nhlbi.nih.gov/Databases/mpkFractions/proteomic_fractions_log_files/Yang_log_img/13324684.jpg","show blot")</f>
        <v>show blot</v>
      </c>
      <c r="H6701" s="8" t="str">
        <f>HYPERLINK("https://esbl.nhlbi.nih.gov/Databases/mpkFractions/proteomic_fractions_linear_files/Yang_linear_img/13324684.jpg","show blot")</f>
        <v>show blot</v>
      </c>
      <c r="J6701" s="5" t="s">
        <v>13177</v>
      </c>
      <c r="L6701" s="11">
        <v>5.4674507001643962</v>
      </c>
      <c r="N6701" s="12"/>
    </row>
    <row r="6702" spans="1:14" s="5" customFormat="1" ht="15" customHeight="1" x14ac:dyDescent="0.25">
      <c r="A6702" s="9" t="s">
        <v>13178</v>
      </c>
      <c r="C6702" s="9" t="str">
        <f>HYPERLINK("http://www.ncbi.nlm.nih.gov/protein/39930429","Sec62")</f>
        <v>Sec62</v>
      </c>
      <c r="D6702" s="10">
        <f t="shared" si="104"/>
        <v>5.1611251208349849</v>
      </c>
      <c r="F6702" s="8" t="str">
        <f>HYPERLINK("https://esbl.nhlbi.nih.gov/Databases/mpkFractions/proteomic_fractions_log_files/Yang_log_img/39930429.jpg","show blot")</f>
        <v>show blot</v>
      </c>
      <c r="H6702" s="8" t="str">
        <f>HYPERLINK("https://esbl.nhlbi.nih.gov/Databases/mpkFractions/proteomic_fractions_linear_files/Yang_linear_img/39930429.jpg","show blot")</f>
        <v>show blot</v>
      </c>
      <c r="J6702" s="5" t="s">
        <v>13179</v>
      </c>
      <c r="L6702" s="11">
        <v>5.1611251208349849</v>
      </c>
      <c r="N6702" s="12"/>
    </row>
    <row r="6703" spans="1:14" s="5" customFormat="1" ht="15" customHeight="1" x14ac:dyDescent="0.25">
      <c r="A6703" s="9" t="s">
        <v>13180</v>
      </c>
      <c r="C6703" s="9" t="str">
        <f>HYPERLINK("http://www.ncbi.nlm.nih.gov/protein/158937300","Sec63")</f>
        <v>Sec63</v>
      </c>
      <c r="D6703" s="10">
        <f t="shared" si="104"/>
        <v>4.511039002797876</v>
      </c>
      <c r="F6703" s="8" t="str">
        <f>HYPERLINK("https://esbl.nhlbi.nih.gov/Databases/mpkFractions/proteomic_fractions_log_files/Yang_log_img/158937300.jpg","show blot")</f>
        <v>show blot</v>
      </c>
      <c r="H6703" s="8" t="str">
        <f>HYPERLINK("https://esbl.nhlbi.nih.gov/Databases/mpkFractions/proteomic_fractions_linear_files/Yang_linear_img/158937300.jpg","show blot")</f>
        <v>show blot</v>
      </c>
      <c r="J6703" s="5" t="s">
        <v>13181</v>
      </c>
      <c r="L6703" s="11">
        <v>4.511039002797876</v>
      </c>
      <c r="N6703" s="12"/>
    </row>
    <row r="6704" spans="1:14" s="5" customFormat="1" ht="15" customHeight="1" x14ac:dyDescent="0.25">
      <c r="A6704" s="9" t="s">
        <v>13182</v>
      </c>
      <c r="C6704" s="9" t="str">
        <f>HYPERLINK("http://www.ncbi.nlm.nih.gov/protein/20532338","Seh1l")</f>
        <v>Seh1l</v>
      </c>
      <c r="D6704" s="10">
        <f t="shared" si="104"/>
        <v>4.2707221451530248</v>
      </c>
      <c r="F6704" s="8" t="str">
        <f>HYPERLINK("https://esbl.nhlbi.nih.gov/Databases/mpkFractions/proteomic_fractions_log_files/Yang_log_img/20532338.jpg","show blot")</f>
        <v>show blot</v>
      </c>
      <c r="H6704" s="8" t="str">
        <f>HYPERLINK("https://esbl.nhlbi.nih.gov/Databases/mpkFractions/proteomic_fractions_linear_files/Yang_linear_img/20532338.jpg","show blot")</f>
        <v>show blot</v>
      </c>
      <c r="J6704" s="5" t="s">
        <v>13183</v>
      </c>
      <c r="L6704" s="11">
        <v>4.2707221451530248</v>
      </c>
      <c r="N6704" s="12"/>
    </row>
    <row r="6705" spans="1:14" s="5" customFormat="1" ht="15" customHeight="1" x14ac:dyDescent="0.25">
      <c r="A6705" s="9" t="s">
        <v>13184</v>
      </c>
      <c r="C6705" s="9" t="str">
        <f>HYPERLINK("http://www.ncbi.nlm.nih.gov/protein/84875515","Seh1l")</f>
        <v>Seh1l</v>
      </c>
      <c r="D6705" s="10">
        <f t="shared" si="104"/>
        <v>4.2707221451530248</v>
      </c>
      <c r="F6705" s="8" t="str">
        <f>HYPERLINK("https://esbl.nhlbi.nih.gov/Databases/mpkFractions/proteomic_fractions_log_files/Yang_log_img/84875515.jpg","show blot")</f>
        <v>show blot</v>
      </c>
      <c r="H6705" s="8" t="str">
        <f>HYPERLINK("https://esbl.nhlbi.nih.gov/Databases/mpkFractions/proteomic_fractions_linear_files/Yang_linear_img/84875515.jpg","show blot")</f>
        <v>show blot</v>
      </c>
      <c r="J6705" s="5" t="s">
        <v>13185</v>
      </c>
      <c r="L6705" s="11">
        <v>4.2707221451530248</v>
      </c>
      <c r="N6705" s="12"/>
    </row>
    <row r="6706" spans="1:14" s="5" customFormat="1" ht="15" customHeight="1" x14ac:dyDescent="0.25">
      <c r="A6706" s="9" t="s">
        <v>13186</v>
      </c>
      <c r="C6706" s="9" t="str">
        <f>HYPERLINK("http://www.ncbi.nlm.nih.gov/protein/46309573","Sel1l")</f>
        <v>Sel1l</v>
      </c>
      <c r="D6706" s="10">
        <f t="shared" si="104"/>
        <v>3.994740081625578</v>
      </c>
      <c r="F6706" s="8" t="str">
        <f>HYPERLINK("https://esbl.nhlbi.nih.gov/Databases/mpkFractions/proteomic_fractions_log_files/Yang_log_img/46309573.jpg","show blot")</f>
        <v>show blot</v>
      </c>
      <c r="H6706" s="8" t="str">
        <f>HYPERLINK("https://esbl.nhlbi.nih.gov/Databases/mpkFractions/proteomic_fractions_linear_files/Yang_linear_img/46309573.jpg","show blot")</f>
        <v>show blot</v>
      </c>
      <c r="J6706" s="5" t="s">
        <v>13187</v>
      </c>
      <c r="L6706" s="11">
        <v>3.994740081625578</v>
      </c>
      <c r="N6706" s="12"/>
    </row>
    <row r="6707" spans="1:14" s="5" customFormat="1" ht="15" customHeight="1" x14ac:dyDescent="0.25">
      <c r="A6707" s="9" t="s">
        <v>13188</v>
      </c>
      <c r="C6707" s="9" t="str">
        <f>HYPERLINK("http://www.ncbi.nlm.nih.gov/protein/84875513","Sel1l")</f>
        <v>Sel1l</v>
      </c>
      <c r="D6707" s="10">
        <f t="shared" si="104"/>
        <v>3.994740081625578</v>
      </c>
      <c r="F6707" s="8" t="str">
        <f>HYPERLINK("https://esbl.nhlbi.nih.gov/Databases/mpkFractions/proteomic_fractions_log_files/Yang_log_img/84875513.jpg","show blot")</f>
        <v>show blot</v>
      </c>
      <c r="H6707" s="8" t="str">
        <f>HYPERLINK("https://esbl.nhlbi.nih.gov/Databases/mpkFractions/proteomic_fractions_linear_files/Yang_linear_img/84875513.jpg","show blot")</f>
        <v>show blot</v>
      </c>
      <c r="J6707" s="5" t="s">
        <v>13189</v>
      </c>
      <c r="L6707" s="11">
        <v>3.994740081625578</v>
      </c>
      <c r="N6707" s="12"/>
    </row>
    <row r="6708" spans="1:14" s="5" customFormat="1" ht="15" customHeight="1" x14ac:dyDescent="0.25">
      <c r="A6708" s="9" t="s">
        <v>13190</v>
      </c>
      <c r="C6708" s="9" t="str">
        <f>HYPERLINK("http://www.ncbi.nlm.nih.gov/protein/22164798","Selenbp1")</f>
        <v>Selenbp1</v>
      </c>
      <c r="D6708" s="10">
        <f t="shared" si="104"/>
        <v>6.4687957505784679</v>
      </c>
      <c r="F6708" s="8" t="str">
        <f>HYPERLINK("https://esbl.nhlbi.nih.gov/Databases/mpkFractions/proteomic_fractions_log_files/Yang_log_img/22164798.jpg","show blot")</f>
        <v>show blot</v>
      </c>
      <c r="H6708" s="8" t="str">
        <f>HYPERLINK("https://esbl.nhlbi.nih.gov/Databases/mpkFractions/proteomic_fractions_linear_files/Yang_linear_img/22164798.jpg","show blot")</f>
        <v>show blot</v>
      </c>
      <c r="J6708" s="5" t="s">
        <v>13191</v>
      </c>
      <c r="L6708" s="11">
        <v>6.4687957505784679</v>
      </c>
      <c r="N6708" s="12"/>
    </row>
    <row r="6709" spans="1:14" s="5" customFormat="1" ht="15" customHeight="1" x14ac:dyDescent="0.25">
      <c r="A6709" s="9" t="s">
        <v>13192</v>
      </c>
      <c r="C6709" s="9" t="str">
        <f>HYPERLINK("http://www.ncbi.nlm.nih.gov/protein/9507079","Selenbp2")</f>
        <v>Selenbp2</v>
      </c>
      <c r="D6709" s="10">
        <f t="shared" si="104"/>
        <v>6.4567894787019959</v>
      </c>
      <c r="F6709" s="8" t="str">
        <f>HYPERLINK("https://esbl.nhlbi.nih.gov/Databases/mpkFractions/proteomic_fractions_log_files/Yang_log_img/9507079.jpg","show blot")</f>
        <v>show blot</v>
      </c>
      <c r="H6709" s="8" t="str">
        <f>HYPERLINK("https://esbl.nhlbi.nih.gov/Databases/mpkFractions/proteomic_fractions_linear_files/Yang_linear_img/9507079.jpg","show blot")</f>
        <v>show blot</v>
      </c>
      <c r="J6709" s="5" t="s">
        <v>13193</v>
      </c>
      <c r="L6709" s="11">
        <v>6.4567894787019959</v>
      </c>
      <c r="N6709" s="12"/>
    </row>
    <row r="6710" spans="1:14" s="5" customFormat="1" ht="15" customHeight="1" x14ac:dyDescent="0.25">
      <c r="A6710" s="9" t="s">
        <v>13194</v>
      </c>
      <c r="C6710" s="9" t="str">
        <f>HYPERLINK("http://www.ncbi.nlm.nih.gov/protein/111119001","Selk")</f>
        <v>Selk</v>
      </c>
      <c r="D6710" s="10">
        <f t="shared" si="104"/>
        <v>3.6957544315977482</v>
      </c>
      <c r="F6710" s="8" t="str">
        <f>HYPERLINK("https://esbl.nhlbi.nih.gov/Databases/mpkFractions/proteomic_fractions_log_files/Yang_log_img/111119001.jpg","show blot")</f>
        <v>show blot</v>
      </c>
      <c r="H6710" s="8" t="str">
        <f>HYPERLINK("https://esbl.nhlbi.nih.gov/Databases/mpkFractions/proteomic_fractions_linear_files/Yang_linear_img/111119001.jpg","show blot")</f>
        <v>show blot</v>
      </c>
      <c r="J6710" s="5" t="s">
        <v>13195</v>
      </c>
      <c r="L6710" s="11">
        <v>3.6957544315977482</v>
      </c>
      <c r="N6710" s="12"/>
    </row>
    <row r="6711" spans="1:14" s="5" customFormat="1" ht="15" customHeight="1" x14ac:dyDescent="0.25">
      <c r="A6711" s="9" t="s">
        <v>13196</v>
      </c>
      <c r="C6711" s="9" t="str">
        <f>HYPERLINK("http://www.ncbi.nlm.nih.gov/protein/81295807","Selo")</f>
        <v>Selo</v>
      </c>
      <c r="D6711" s="10">
        <f t="shared" si="104"/>
        <v>4.3822738785474966</v>
      </c>
      <c r="F6711" s="8" t="str">
        <f>HYPERLINK("https://esbl.nhlbi.nih.gov/Databases/mpkFractions/proteomic_fractions_log_files/Yang_log_img/81295807.jpg","show blot")</f>
        <v>show blot</v>
      </c>
      <c r="H6711" s="8" t="str">
        <f>HYPERLINK("https://esbl.nhlbi.nih.gov/Databases/mpkFractions/proteomic_fractions_linear_files/Yang_linear_img/81295807.jpg","show blot")</f>
        <v>show blot</v>
      </c>
      <c r="J6711" s="5" t="s">
        <v>13197</v>
      </c>
      <c r="L6711" s="11">
        <v>4.3822738785474966</v>
      </c>
      <c r="N6711" s="12"/>
    </row>
    <row r="6712" spans="1:14" s="5" customFormat="1" ht="15" customHeight="1" x14ac:dyDescent="0.25">
      <c r="A6712" s="9" t="s">
        <v>13198</v>
      </c>
      <c r="C6712" s="9" t="str">
        <f>HYPERLINK("http://www.ncbi.nlm.nih.gov/protein/143770878","Selt")</f>
        <v>Selt</v>
      </c>
      <c r="D6712" s="10">
        <f t="shared" si="104"/>
        <v>4.8673696926670322</v>
      </c>
      <c r="F6712" s="8" t="str">
        <f>HYPERLINK("https://esbl.nhlbi.nih.gov/Databases/mpkFractions/proteomic_fractions_log_files/Yang_log_img/143770878.jpg","show blot")</f>
        <v>show blot</v>
      </c>
      <c r="H6712" s="8" t="str">
        <f>HYPERLINK("https://esbl.nhlbi.nih.gov/Databases/mpkFractions/proteomic_fractions_linear_files/Yang_linear_img/143770878.jpg","show blot")</f>
        <v>show blot</v>
      </c>
      <c r="J6712" s="5" t="s">
        <v>13199</v>
      </c>
      <c r="L6712" s="11">
        <v>4.8673696926670322</v>
      </c>
      <c r="N6712" s="12"/>
    </row>
    <row r="6713" spans="1:14" s="5" customFormat="1" ht="15" customHeight="1" x14ac:dyDescent="0.25">
      <c r="A6713" s="9" t="s">
        <v>13200</v>
      </c>
      <c r="C6713" s="9" t="str">
        <f>HYPERLINK("http://www.ncbi.nlm.nih.gov/protein/46048361","Sema3c")</f>
        <v>Sema3c</v>
      </c>
      <c r="D6713" s="10">
        <f t="shared" si="104"/>
        <v>1.491929742001626</v>
      </c>
      <c r="F6713" s="8" t="str">
        <f>HYPERLINK("https://esbl.nhlbi.nih.gov/Databases/mpkFractions/proteomic_fractions_log_files/Yang_log_img/46048361.jpg","show blot")</f>
        <v>show blot</v>
      </c>
      <c r="H6713" s="8" t="str">
        <f>HYPERLINK("https://esbl.nhlbi.nih.gov/Databases/mpkFractions/proteomic_fractions_linear_files/Yang_linear_img/46048361.jpg","show blot")</f>
        <v>show blot</v>
      </c>
      <c r="J6713" s="5" t="s">
        <v>13201</v>
      </c>
      <c r="L6713" s="11">
        <v>1.491929742001626</v>
      </c>
      <c r="N6713" s="12"/>
    </row>
    <row r="6714" spans="1:14" s="5" customFormat="1" ht="15" customHeight="1" x14ac:dyDescent="0.25">
      <c r="A6714" s="9" t="s">
        <v>13202</v>
      </c>
      <c r="C6714" s="9" t="str">
        <f>HYPERLINK("http://www.ncbi.nlm.nih.gov/protein/110625636","Sema4b")</f>
        <v>Sema4b</v>
      </c>
      <c r="D6714" s="10">
        <f t="shared" si="104"/>
        <v>2.150771909742843</v>
      </c>
      <c r="F6714" s="8" t="str">
        <f>HYPERLINK("https://esbl.nhlbi.nih.gov/Databases/mpkFractions/proteomic_fractions_log_files/Yang_log_img/110625636.jpg","show blot")</f>
        <v>show blot</v>
      </c>
      <c r="H6714" s="8" t="str">
        <f>HYPERLINK("https://esbl.nhlbi.nih.gov/Databases/mpkFractions/proteomic_fractions_linear_files/Yang_linear_img/110625636.jpg","show blot")</f>
        <v>show blot</v>
      </c>
      <c r="J6714" s="5" t="s">
        <v>13203</v>
      </c>
      <c r="L6714" s="11">
        <v>2.150771909742843</v>
      </c>
      <c r="N6714" s="12"/>
    </row>
    <row r="6715" spans="1:14" s="5" customFormat="1" ht="15" customHeight="1" x14ac:dyDescent="0.25">
      <c r="A6715" s="9" t="s">
        <v>13204</v>
      </c>
      <c r="C6715" s="9" t="str">
        <f>HYPERLINK("http://www.ncbi.nlm.nih.gov/protein/530232771","Sema4d")</f>
        <v>Sema4d</v>
      </c>
      <c r="D6715" s="10">
        <f t="shared" si="104"/>
        <v>5.0518512588829534</v>
      </c>
      <c r="F6715" s="8" t="str">
        <f>HYPERLINK("https://esbl.nhlbi.nih.gov/Databases/mpkFractions/proteomic_fractions_log_files/Yang_log_img/530232771.jpg","show blot")</f>
        <v>show blot</v>
      </c>
      <c r="H6715" s="8" t="str">
        <f>HYPERLINK("https://esbl.nhlbi.nih.gov/Databases/mpkFractions/proteomic_fractions_linear_files/Yang_linear_img/530232771.jpg","show blot")</f>
        <v>show blot</v>
      </c>
      <c r="J6715" s="5" t="s">
        <v>13205</v>
      </c>
      <c r="L6715" s="11">
        <v>5.0518512588829534</v>
      </c>
      <c r="N6715" s="12"/>
    </row>
    <row r="6716" spans="1:14" s="5" customFormat="1" ht="15" customHeight="1" x14ac:dyDescent="0.25">
      <c r="A6716" s="9" t="s">
        <v>13206</v>
      </c>
      <c r="C6716" s="9" t="str">
        <f>HYPERLINK("http://www.ncbi.nlm.nih.gov/protein/49274623","Sema4d")</f>
        <v>Sema4d</v>
      </c>
      <c r="D6716" s="10">
        <f t="shared" si="104"/>
        <v>5.0518512588829534</v>
      </c>
      <c r="F6716" s="8" t="str">
        <f>HYPERLINK("https://esbl.nhlbi.nih.gov/Databases/mpkFractions/proteomic_fractions_log_files/Yang_log_img/49274623.jpg","show blot")</f>
        <v>show blot</v>
      </c>
      <c r="H6716" s="8" t="str">
        <f>HYPERLINK("https://esbl.nhlbi.nih.gov/Databases/mpkFractions/proteomic_fractions_linear_files/Yang_linear_img/49274623.jpg","show blot")</f>
        <v>show blot</v>
      </c>
      <c r="J6716" s="5" t="s">
        <v>13205</v>
      </c>
      <c r="L6716" s="11">
        <v>5.0518512588829534</v>
      </c>
      <c r="N6716" s="12"/>
    </row>
    <row r="6717" spans="1:14" s="5" customFormat="1" ht="15" customHeight="1" x14ac:dyDescent="0.25">
      <c r="A6717" s="9" t="s">
        <v>13207</v>
      </c>
      <c r="C6717" s="9" t="str">
        <f>HYPERLINK("http://www.ncbi.nlm.nih.gov/protein/164698454","Sema4f")</f>
        <v>Sema4f</v>
      </c>
      <c r="D6717" s="10">
        <f t="shared" si="104"/>
        <v>4.2887112586560896</v>
      </c>
      <c r="F6717" s="8" t="str">
        <f>HYPERLINK("https://esbl.nhlbi.nih.gov/Databases/mpkFractions/proteomic_fractions_log_files/Yang_log_img/164698454.jpg","show blot")</f>
        <v>show blot</v>
      </c>
      <c r="H6717" s="8" t="str">
        <f>HYPERLINK("https://esbl.nhlbi.nih.gov/Databases/mpkFractions/proteomic_fractions_linear_files/Yang_linear_img/164698454.jpg","show blot")</f>
        <v>show blot</v>
      </c>
      <c r="J6717" s="5" t="s">
        <v>13208</v>
      </c>
      <c r="L6717" s="11">
        <v>4.2887112586560896</v>
      </c>
      <c r="N6717" s="12"/>
    </row>
    <row r="6718" spans="1:14" s="5" customFormat="1" ht="15" customHeight="1" x14ac:dyDescent="0.25">
      <c r="A6718" s="9" t="s">
        <v>13209</v>
      </c>
      <c r="C6718" s="9" t="str">
        <f>HYPERLINK("http://www.ncbi.nlm.nih.gov/protein/164698456","Sema4f")</f>
        <v>Sema4f</v>
      </c>
      <c r="D6718" s="10">
        <f t="shared" si="104"/>
        <v>4.2887112586560896</v>
      </c>
      <c r="F6718" s="8" t="str">
        <f>HYPERLINK("https://esbl.nhlbi.nih.gov/Databases/mpkFractions/proteomic_fractions_log_files/Yang_log_img/164698456.jpg","show blot")</f>
        <v>show blot</v>
      </c>
      <c r="H6718" s="8" t="str">
        <f>HYPERLINK("https://esbl.nhlbi.nih.gov/Databases/mpkFractions/proteomic_fractions_linear_files/Yang_linear_img/164698456.jpg","show blot")</f>
        <v>show blot</v>
      </c>
      <c r="J6718" s="5" t="s">
        <v>13210</v>
      </c>
      <c r="L6718" s="11">
        <v>4.2887112586560896</v>
      </c>
      <c r="N6718" s="12"/>
    </row>
    <row r="6719" spans="1:14" s="5" customFormat="1" ht="15" customHeight="1" x14ac:dyDescent="0.25">
      <c r="A6719" s="9" t="s">
        <v>13211</v>
      </c>
      <c r="C6719" s="9" t="str">
        <f>HYPERLINK("http://www.ncbi.nlm.nih.gov/protein/6755462","Sema4g")</f>
        <v>Sema4g</v>
      </c>
      <c r="D6719" s="10">
        <f t="shared" si="104"/>
        <v>2.272512013160719</v>
      </c>
      <c r="F6719" s="8" t="str">
        <f>HYPERLINK("https://esbl.nhlbi.nih.gov/Databases/mpkFractions/proteomic_fractions_log_files/Yang_log_img/6755462.jpg","show blot")</f>
        <v>show blot</v>
      </c>
      <c r="H6719" s="8" t="str">
        <f>HYPERLINK("https://esbl.nhlbi.nih.gov/Databases/mpkFractions/proteomic_fractions_linear_files/Yang_linear_img/6755462.jpg","show blot")</f>
        <v>show blot</v>
      </c>
      <c r="J6719" s="5" t="s">
        <v>13212</v>
      </c>
      <c r="L6719" s="11">
        <v>2.272512013160719</v>
      </c>
      <c r="N6719" s="12"/>
    </row>
    <row r="6720" spans="1:14" s="5" customFormat="1" ht="15" customHeight="1" x14ac:dyDescent="0.25">
      <c r="A6720" s="9" t="s">
        <v>13213</v>
      </c>
      <c r="C6720" s="9" t="str">
        <f>HYPERLINK("http://www.ncbi.nlm.nih.gov/protein/254939663","Senp3")</f>
        <v>Senp3</v>
      </c>
      <c r="D6720" s="10">
        <f t="shared" si="104"/>
        <v>4.0814694958096904</v>
      </c>
      <c r="F6720" s="8" t="str">
        <f>HYPERLINK("https://esbl.nhlbi.nih.gov/Databases/mpkFractions/proteomic_fractions_log_files/Yang_log_img/254939663.jpg","show blot")</f>
        <v>show blot</v>
      </c>
      <c r="H6720" s="8" t="str">
        <f>HYPERLINK("https://esbl.nhlbi.nih.gov/Databases/mpkFractions/proteomic_fractions_linear_files/Yang_linear_img/254939663.jpg","show blot")</f>
        <v>show blot</v>
      </c>
      <c r="J6720" s="5" t="s">
        <v>13214</v>
      </c>
      <c r="L6720" s="11">
        <v>4.0814694958096904</v>
      </c>
      <c r="N6720" s="12"/>
    </row>
    <row r="6721" spans="1:14" s="5" customFormat="1" ht="15" customHeight="1" x14ac:dyDescent="0.25">
      <c r="A6721" s="9" t="s">
        <v>13215</v>
      </c>
      <c r="C6721" s="9" t="str">
        <f>HYPERLINK("http://www.ncbi.nlm.nih.gov/protein/16716395","Sep15")</f>
        <v>Sep15</v>
      </c>
      <c r="D6721" s="10">
        <f t="shared" si="104"/>
        <v>4.8635236990098054</v>
      </c>
      <c r="F6721" s="8" t="str">
        <f>HYPERLINK("https://esbl.nhlbi.nih.gov/Databases/mpkFractions/proteomic_fractions_log_files/Yang_log_img/16716395.jpg","show blot")</f>
        <v>show blot</v>
      </c>
      <c r="H6721" s="8" t="str">
        <f>HYPERLINK("https://esbl.nhlbi.nih.gov/Databases/mpkFractions/proteomic_fractions_linear_files/Yang_linear_img/16716395.jpg","show blot")</f>
        <v>show blot</v>
      </c>
      <c r="J6721" s="5" t="s">
        <v>13216</v>
      </c>
      <c r="L6721" s="11">
        <v>4.8635236990098054</v>
      </c>
      <c r="N6721" s="12"/>
    </row>
    <row r="6722" spans="1:14" s="5" customFormat="1" ht="15" customHeight="1" x14ac:dyDescent="0.25">
      <c r="A6722" s="9" t="s">
        <v>13217</v>
      </c>
      <c r="C6722" s="9" t="str">
        <f>HYPERLINK("http://www.ncbi.nlm.nih.gov/protein/156713463","Sephs1")</f>
        <v>Sephs1</v>
      </c>
      <c r="D6722" s="10">
        <f t="shared" si="104"/>
        <v>5.1871759077674833</v>
      </c>
      <c r="F6722" s="8" t="str">
        <f>HYPERLINK("https://esbl.nhlbi.nih.gov/Databases/mpkFractions/proteomic_fractions_log_files/Yang_log_img/156713463.jpg","show blot")</f>
        <v>show blot</v>
      </c>
      <c r="H6722" s="8" t="str">
        <f>HYPERLINK("https://esbl.nhlbi.nih.gov/Databases/mpkFractions/proteomic_fractions_linear_files/Yang_linear_img/156713463.jpg","show blot")</f>
        <v>show blot</v>
      </c>
      <c r="J6722" s="5" t="s">
        <v>13218</v>
      </c>
      <c r="L6722" s="11">
        <v>5.1871759077674833</v>
      </c>
      <c r="N6722" s="12"/>
    </row>
    <row r="6723" spans="1:14" s="5" customFormat="1" ht="15" customHeight="1" x14ac:dyDescent="0.25">
      <c r="A6723" s="9" t="s">
        <v>13219</v>
      </c>
      <c r="C6723" s="9" t="str">
        <f>HYPERLINK("http://www.ncbi.nlm.nih.gov/protein/15011843","Sephs2")</f>
        <v>Sephs2</v>
      </c>
      <c r="D6723" s="10">
        <f t="shared" si="104"/>
        <v>3.8492760280571048</v>
      </c>
      <c r="F6723" s="8" t="str">
        <f>HYPERLINK("https://esbl.nhlbi.nih.gov/Databases/mpkFractions/proteomic_fractions_log_files/Yang_log_img/15011843.jpg","show blot")</f>
        <v>show blot</v>
      </c>
      <c r="H6723" s="8" t="str">
        <f>HYPERLINK("https://esbl.nhlbi.nih.gov/Databases/mpkFractions/proteomic_fractions_linear_files/Yang_linear_img/15011843.jpg","show blot")</f>
        <v>show blot</v>
      </c>
      <c r="J6723" s="5" t="s">
        <v>13220</v>
      </c>
      <c r="L6723" s="11">
        <v>3.8492760280571048</v>
      </c>
      <c r="N6723" s="12"/>
    </row>
    <row r="6724" spans="1:14" s="5" customFormat="1" ht="15" customHeight="1" x14ac:dyDescent="0.25">
      <c r="A6724" s="9" t="s">
        <v>13221</v>
      </c>
      <c r="C6724" s="9" t="str">
        <f>HYPERLINK("http://www.ncbi.nlm.nih.gov/protein/111118964","Sepn1")</f>
        <v>Sepn1</v>
      </c>
      <c r="D6724" s="10">
        <f t="shared" si="104"/>
        <v>2.3318265883300748</v>
      </c>
      <c r="F6724" s="8" t="str">
        <f>HYPERLINK("https://esbl.nhlbi.nih.gov/Databases/mpkFractions/proteomic_fractions_log_files/Yang_log_img/111118964.jpg","show blot")</f>
        <v>show blot</v>
      </c>
      <c r="H6724" s="8" t="str">
        <f>HYPERLINK("https://esbl.nhlbi.nih.gov/Databases/mpkFractions/proteomic_fractions_linear_files/Yang_linear_img/111118964.jpg","show blot")</f>
        <v>show blot</v>
      </c>
      <c r="J6724" s="5" t="s">
        <v>13222</v>
      </c>
      <c r="L6724" s="11">
        <v>2.3318265883300748</v>
      </c>
      <c r="N6724" s="12"/>
    </row>
    <row r="6725" spans="1:14" s="5" customFormat="1" ht="15" customHeight="1" x14ac:dyDescent="0.25">
      <c r="A6725" s="9" t="s">
        <v>13223</v>
      </c>
      <c r="C6725" s="9" t="str">
        <f>HYPERLINK("http://www.ncbi.nlm.nih.gov/protein/27369676","Sepsecs")</f>
        <v>Sepsecs</v>
      </c>
      <c r="D6725" s="10">
        <f t="shared" ref="D6725:D6788" si="105">L6725</f>
        <v>4.0803056034850362</v>
      </c>
      <c r="F6725" s="8" t="str">
        <f>HYPERLINK("https://esbl.nhlbi.nih.gov/Databases/mpkFractions/proteomic_fractions_log_files/Yang_log_img/27369676.jpg","show blot")</f>
        <v>show blot</v>
      </c>
      <c r="H6725" s="8" t="str">
        <f>HYPERLINK("https://esbl.nhlbi.nih.gov/Databases/mpkFractions/proteomic_fractions_linear_files/Yang_linear_img/27369676.jpg","show blot")</f>
        <v>show blot</v>
      </c>
      <c r="J6725" s="5" t="s">
        <v>13224</v>
      </c>
      <c r="L6725" s="11">
        <v>4.0803056034850362</v>
      </c>
      <c r="N6725" s="12"/>
    </row>
    <row r="6726" spans="1:14" s="5" customFormat="1" ht="15" customHeight="1" x14ac:dyDescent="0.25">
      <c r="A6726" s="9" t="s">
        <v>13225</v>
      </c>
      <c r="C6726" s="9" t="str">
        <f>HYPERLINK("http://www.ncbi.nlm.nih.gov/protein/226442740","Sept10")</f>
        <v>Sept10</v>
      </c>
      <c r="D6726" s="10">
        <f t="shared" si="105"/>
        <v>5.6906717091928218</v>
      </c>
      <c r="F6726" s="8" t="str">
        <f>HYPERLINK("https://esbl.nhlbi.nih.gov/Databases/mpkFractions/proteomic_fractions_log_files/Yang_log_img/226442740.jpg","show blot")</f>
        <v>show blot</v>
      </c>
      <c r="H6726" s="8" t="str">
        <f>HYPERLINK("https://esbl.nhlbi.nih.gov/Databases/mpkFractions/proteomic_fractions_linear_files/Yang_linear_img/226442740.jpg","show blot")</f>
        <v>show blot</v>
      </c>
      <c r="J6726" s="5" t="s">
        <v>13226</v>
      </c>
      <c r="L6726" s="11">
        <v>5.6906717091928218</v>
      </c>
      <c r="N6726" s="12"/>
    </row>
    <row r="6727" spans="1:14" s="5" customFormat="1" ht="15" customHeight="1" x14ac:dyDescent="0.25">
      <c r="A6727" s="9" t="s">
        <v>13227</v>
      </c>
      <c r="C6727" s="9" t="str">
        <f>HYPERLINK("http://www.ncbi.nlm.nih.gov/protein/67906175","Sept10")</f>
        <v>Sept10</v>
      </c>
      <c r="D6727" s="10">
        <f t="shared" si="105"/>
        <v>5.6906717091928218</v>
      </c>
      <c r="F6727" s="8" t="str">
        <f>HYPERLINK("https://esbl.nhlbi.nih.gov/Databases/mpkFractions/proteomic_fractions_log_files/Yang_log_img/67906175.jpg","show blot")</f>
        <v>show blot</v>
      </c>
      <c r="H6727" s="8" t="str">
        <f>HYPERLINK("https://esbl.nhlbi.nih.gov/Databases/mpkFractions/proteomic_fractions_linear_files/Yang_linear_img/67906175.jpg","show blot")</f>
        <v>show blot</v>
      </c>
      <c r="J6727" s="5" t="s">
        <v>13228</v>
      </c>
      <c r="L6727" s="11">
        <v>5.6906717091928218</v>
      </c>
      <c r="N6727" s="12"/>
    </row>
    <row r="6728" spans="1:14" s="5" customFormat="1" ht="15" customHeight="1" x14ac:dyDescent="0.25">
      <c r="A6728" s="9" t="s">
        <v>13229</v>
      </c>
      <c r="C6728" s="9" t="str">
        <f>HYPERLINK("http://www.ncbi.nlm.nih.gov/protein/57634518","Sept11")</f>
        <v>Sept11</v>
      </c>
      <c r="D6728" s="10">
        <f t="shared" si="105"/>
        <v>6.0378764601149104</v>
      </c>
      <c r="F6728" s="8" t="str">
        <f>HYPERLINK("https://esbl.nhlbi.nih.gov/Databases/mpkFractions/proteomic_fractions_log_files/Yang_log_img/57634518.jpg","show blot")</f>
        <v>show blot</v>
      </c>
      <c r="H6728" s="8" t="str">
        <f>HYPERLINK("https://esbl.nhlbi.nih.gov/Databases/mpkFractions/proteomic_fractions_linear_files/Yang_linear_img/57634518.jpg","show blot")</f>
        <v>show blot</v>
      </c>
      <c r="J6728" s="5" t="s">
        <v>13230</v>
      </c>
      <c r="L6728" s="11">
        <v>6.0378764601149104</v>
      </c>
      <c r="N6728" s="12"/>
    </row>
    <row r="6729" spans="1:14" s="5" customFormat="1" ht="15" customHeight="1" x14ac:dyDescent="0.25">
      <c r="A6729" s="9" t="s">
        <v>13231</v>
      </c>
      <c r="C6729" s="9" t="str">
        <f>HYPERLINK("http://www.ncbi.nlm.nih.gov/protein/160333377","Sept14")</f>
        <v>Sept14</v>
      </c>
      <c r="D6729" s="10">
        <f t="shared" si="105"/>
        <v>5.6154140288515038</v>
      </c>
      <c r="F6729" s="8" t="str">
        <f>HYPERLINK("https://esbl.nhlbi.nih.gov/Databases/mpkFractions/proteomic_fractions_log_files/Yang_log_img/160333377.jpg","show blot")</f>
        <v>show blot</v>
      </c>
      <c r="H6729" s="8" t="str">
        <f>HYPERLINK("https://esbl.nhlbi.nih.gov/Databases/mpkFractions/proteomic_fractions_linear_files/Yang_linear_img/160333377.jpg","show blot")</f>
        <v>show blot</v>
      </c>
      <c r="J6729" s="5" t="s">
        <v>13232</v>
      </c>
      <c r="L6729" s="11">
        <v>5.6154140288515038</v>
      </c>
      <c r="N6729" s="12"/>
    </row>
    <row r="6730" spans="1:14" s="5" customFormat="1" ht="15" customHeight="1" x14ac:dyDescent="0.25">
      <c r="A6730" s="9" t="s">
        <v>13233</v>
      </c>
      <c r="C6730" s="9" t="str">
        <f>HYPERLINK("http://www.ncbi.nlm.nih.gov/protein/228480253","Sept2")</f>
        <v>Sept2</v>
      </c>
      <c r="D6730" s="10">
        <f t="shared" si="105"/>
        <v>6.3220261933118111</v>
      </c>
      <c r="F6730" s="8" t="str">
        <f>HYPERLINK("https://esbl.nhlbi.nih.gov/Databases/mpkFractions/proteomic_fractions_log_files/Yang_log_img/228480253.jpg","show blot")</f>
        <v>show blot</v>
      </c>
      <c r="H6730" s="8" t="str">
        <f>HYPERLINK("https://esbl.nhlbi.nih.gov/Databases/mpkFractions/proteomic_fractions_linear_files/Yang_linear_img/228480253.jpg","show blot")</f>
        <v>show blot</v>
      </c>
      <c r="J6730" s="5" t="s">
        <v>13234</v>
      </c>
      <c r="L6730" s="11">
        <v>6.3220261933118111</v>
      </c>
      <c r="N6730" s="12"/>
    </row>
    <row r="6731" spans="1:14" s="5" customFormat="1" ht="15" customHeight="1" x14ac:dyDescent="0.25">
      <c r="A6731" s="9" t="s">
        <v>13235</v>
      </c>
      <c r="C6731" s="9" t="str">
        <f>HYPERLINK("http://www.ncbi.nlm.nih.gov/protein/228480255","Sept2")</f>
        <v>Sept2</v>
      </c>
      <c r="D6731" s="10">
        <f t="shared" si="105"/>
        <v>6.3220261933118111</v>
      </c>
      <c r="F6731" s="8" t="str">
        <f>HYPERLINK("https://esbl.nhlbi.nih.gov/Databases/mpkFractions/proteomic_fractions_log_files/Yang_log_img/228480255.jpg","show blot")</f>
        <v>show blot</v>
      </c>
      <c r="H6731" s="8" t="str">
        <f>HYPERLINK("https://esbl.nhlbi.nih.gov/Databases/mpkFractions/proteomic_fractions_linear_files/Yang_linear_img/228480255.jpg","show blot")</f>
        <v>show blot</v>
      </c>
      <c r="J6731" s="5" t="s">
        <v>13236</v>
      </c>
      <c r="L6731" s="11">
        <v>6.3220261933118111</v>
      </c>
      <c r="N6731" s="12"/>
    </row>
    <row r="6732" spans="1:14" s="5" customFormat="1" ht="15" customHeight="1" x14ac:dyDescent="0.25">
      <c r="A6732" s="9" t="s">
        <v>13237</v>
      </c>
      <c r="C6732" s="9" t="str">
        <f>HYPERLINK("http://www.ncbi.nlm.nih.gov/protein/548923742","Sept4")</f>
        <v>Sept4</v>
      </c>
      <c r="D6732" s="10">
        <f t="shared" si="105"/>
        <v>4.7990611707675974</v>
      </c>
      <c r="F6732" s="8" t="str">
        <f>HYPERLINK("https://esbl.nhlbi.nih.gov/Databases/mpkFractions/proteomic_fractions_log_files/Yang_log_img/548923742.jpg","show blot")</f>
        <v>show blot</v>
      </c>
      <c r="H6732" s="8" t="str">
        <f>HYPERLINK("https://esbl.nhlbi.nih.gov/Databases/mpkFractions/proteomic_fractions_linear_files/Yang_linear_img/548923742.jpg","show blot")</f>
        <v>show blot</v>
      </c>
      <c r="J6732" s="5" t="s">
        <v>13238</v>
      </c>
      <c r="L6732" s="11">
        <v>4.7990611707675974</v>
      </c>
      <c r="N6732" s="12"/>
    </row>
    <row r="6733" spans="1:14" s="5" customFormat="1" ht="15" customHeight="1" x14ac:dyDescent="0.25">
      <c r="A6733" s="9" t="s">
        <v>13239</v>
      </c>
      <c r="C6733" s="9" t="str">
        <f>HYPERLINK("http://www.ncbi.nlm.nih.gov/protein/548923858","Sept4")</f>
        <v>Sept4</v>
      </c>
      <c r="D6733" s="10">
        <f t="shared" si="105"/>
        <v>4.7990611707675974</v>
      </c>
      <c r="F6733" s="8" t="str">
        <f>HYPERLINK("https://esbl.nhlbi.nih.gov/Databases/mpkFractions/proteomic_fractions_log_files/Yang_log_img/548923858.jpg","show blot")</f>
        <v>show blot</v>
      </c>
      <c r="H6733" s="8" t="str">
        <f>HYPERLINK("https://esbl.nhlbi.nih.gov/Databases/mpkFractions/proteomic_fractions_linear_files/Yang_linear_img/548923858.jpg","show blot")</f>
        <v>show blot</v>
      </c>
      <c r="J6733" s="5" t="s">
        <v>13240</v>
      </c>
      <c r="L6733" s="11">
        <v>4.7990611707675974</v>
      </c>
      <c r="N6733" s="12"/>
    </row>
    <row r="6734" spans="1:14" s="5" customFormat="1" ht="15" customHeight="1" x14ac:dyDescent="0.25">
      <c r="A6734" s="9" t="s">
        <v>13241</v>
      </c>
      <c r="C6734" s="9" t="str">
        <f>HYPERLINK("http://www.ncbi.nlm.nih.gov/protein/548923884","Sept4")</f>
        <v>Sept4</v>
      </c>
      <c r="D6734" s="10">
        <f t="shared" si="105"/>
        <v>4.7990611707675974</v>
      </c>
      <c r="F6734" s="8" t="str">
        <f>HYPERLINK("https://esbl.nhlbi.nih.gov/Databases/mpkFractions/proteomic_fractions_log_files/Yang_log_img/548923884.jpg","show blot")</f>
        <v>show blot</v>
      </c>
      <c r="H6734" s="8" t="str">
        <f>HYPERLINK("https://esbl.nhlbi.nih.gov/Databases/mpkFractions/proteomic_fractions_linear_files/Yang_linear_img/548923884.jpg","show blot")</f>
        <v>show blot</v>
      </c>
      <c r="J6734" s="5" t="s">
        <v>13242</v>
      </c>
      <c r="L6734" s="11">
        <v>4.7990611707675974</v>
      </c>
      <c r="N6734" s="12"/>
    </row>
    <row r="6735" spans="1:14" s="5" customFormat="1" ht="15" customHeight="1" x14ac:dyDescent="0.25">
      <c r="A6735" s="9" t="s">
        <v>13243</v>
      </c>
      <c r="C6735" s="9" t="str">
        <f>HYPERLINK("http://www.ncbi.nlm.nih.gov/protein/6755120","Sept4")</f>
        <v>Sept4</v>
      </c>
      <c r="D6735" s="10">
        <f t="shared" si="105"/>
        <v>4.7990611707675974</v>
      </c>
      <c r="F6735" s="8" t="str">
        <f>HYPERLINK("https://esbl.nhlbi.nih.gov/Databases/mpkFractions/proteomic_fractions_log_files/Yang_log_img/6755120.jpg","show blot")</f>
        <v>show blot</v>
      </c>
      <c r="H6735" s="8" t="str">
        <f>HYPERLINK("https://esbl.nhlbi.nih.gov/Databases/mpkFractions/proteomic_fractions_linear_files/Yang_linear_img/6755120.jpg","show blot")</f>
        <v>show blot</v>
      </c>
      <c r="J6735" s="5" t="s">
        <v>13244</v>
      </c>
      <c r="L6735" s="11">
        <v>4.7990611707675974</v>
      </c>
      <c r="N6735" s="12"/>
    </row>
    <row r="6736" spans="1:14" s="5" customFormat="1" ht="15" customHeight="1" x14ac:dyDescent="0.25">
      <c r="A6736" s="9" t="s">
        <v>13245</v>
      </c>
      <c r="C6736" s="9" t="str">
        <f>HYPERLINK("http://www.ncbi.nlm.nih.gov/protein/158508501","Sept5")</f>
        <v>Sept5</v>
      </c>
      <c r="D6736" s="10">
        <f t="shared" si="105"/>
        <v>4.8690986259164246</v>
      </c>
      <c r="F6736" s="8" t="str">
        <f>HYPERLINK("https://esbl.nhlbi.nih.gov/Databases/mpkFractions/proteomic_fractions_log_files/Yang_log_img/158508501.jpg","show blot")</f>
        <v>show blot</v>
      </c>
      <c r="H6736" s="8" t="str">
        <f>HYPERLINK("https://esbl.nhlbi.nih.gov/Databases/mpkFractions/proteomic_fractions_linear_files/Yang_linear_img/158508501.jpg","show blot")</f>
        <v>show blot</v>
      </c>
      <c r="J6736" s="5" t="s">
        <v>13246</v>
      </c>
      <c r="L6736" s="11">
        <v>4.8690986259164246</v>
      </c>
      <c r="N6736" s="12"/>
    </row>
    <row r="6737" spans="1:14" s="5" customFormat="1" ht="15" customHeight="1" x14ac:dyDescent="0.25">
      <c r="A6737" s="9" t="s">
        <v>13247</v>
      </c>
      <c r="C6737" s="9" t="str">
        <f>HYPERLINK("http://www.ncbi.nlm.nih.gov/protein/293597551","Sept6")</f>
        <v>Sept6</v>
      </c>
      <c r="D6737" s="10">
        <f t="shared" si="105"/>
        <v>5.4221840976798203</v>
      </c>
      <c r="F6737" s="8" t="str">
        <f>HYPERLINK("https://esbl.nhlbi.nih.gov/Databases/mpkFractions/proteomic_fractions_log_files/Yang_log_img/293597551.jpg","show blot")</f>
        <v>show blot</v>
      </c>
      <c r="H6737" s="8" t="str">
        <f>HYPERLINK("https://esbl.nhlbi.nih.gov/Databases/mpkFractions/proteomic_fractions_linear_files/Yang_linear_img/293597551.jpg","show blot")</f>
        <v>show blot</v>
      </c>
      <c r="J6737" s="5" t="s">
        <v>13248</v>
      </c>
      <c r="L6737" s="11">
        <v>5.4221840976798203</v>
      </c>
      <c r="N6737" s="12"/>
    </row>
    <row r="6738" spans="1:14" s="5" customFormat="1" ht="15" customHeight="1" x14ac:dyDescent="0.25">
      <c r="A6738" s="9" t="s">
        <v>13249</v>
      </c>
      <c r="C6738" s="9" t="str">
        <f>HYPERLINK("http://www.ncbi.nlm.nih.gov/protein/293597553","Sept6")</f>
        <v>Sept6</v>
      </c>
      <c r="D6738" s="10">
        <f t="shared" si="105"/>
        <v>5.4221840976798203</v>
      </c>
      <c r="F6738" s="8" t="str">
        <f>HYPERLINK("https://esbl.nhlbi.nih.gov/Databases/mpkFractions/proteomic_fractions_log_files/Yang_log_img/293597553.jpg","show blot")</f>
        <v>show blot</v>
      </c>
      <c r="H6738" s="8" t="str">
        <f>HYPERLINK("https://esbl.nhlbi.nih.gov/Databases/mpkFractions/proteomic_fractions_linear_files/Yang_linear_img/293597553.jpg","show blot")</f>
        <v>show blot</v>
      </c>
      <c r="J6738" s="5" t="s">
        <v>13250</v>
      </c>
      <c r="L6738" s="11">
        <v>5.4221840976798203</v>
      </c>
      <c r="N6738" s="12"/>
    </row>
    <row r="6739" spans="1:14" s="5" customFormat="1" ht="15" customHeight="1" x14ac:dyDescent="0.25">
      <c r="A6739" s="9" t="s">
        <v>13251</v>
      </c>
      <c r="C6739" s="9" t="str">
        <f>HYPERLINK("http://www.ncbi.nlm.nih.gov/protein/31560370","Sept6")</f>
        <v>Sept6</v>
      </c>
      <c r="D6739" s="10">
        <f t="shared" si="105"/>
        <v>5.4221840976798203</v>
      </c>
      <c r="F6739" s="8" t="str">
        <f>HYPERLINK("https://esbl.nhlbi.nih.gov/Databases/mpkFractions/proteomic_fractions_log_files/Yang_log_img/31560370.jpg","show blot")</f>
        <v>show blot</v>
      </c>
      <c r="H6739" s="8" t="str">
        <f>HYPERLINK("https://esbl.nhlbi.nih.gov/Databases/mpkFractions/proteomic_fractions_linear_files/Yang_linear_img/31560370.jpg","show blot")</f>
        <v>show blot</v>
      </c>
      <c r="J6739" s="5" t="s">
        <v>13252</v>
      </c>
      <c r="L6739" s="11">
        <v>5.4221840976798203</v>
      </c>
      <c r="N6739" s="12"/>
    </row>
    <row r="6740" spans="1:14" s="5" customFormat="1" ht="15" customHeight="1" x14ac:dyDescent="0.25">
      <c r="A6740" s="9" t="s">
        <v>13253</v>
      </c>
      <c r="C6740" s="9" t="str">
        <f>HYPERLINK("http://www.ncbi.nlm.nih.gov/protein/358679344","Sept6")</f>
        <v>Sept6</v>
      </c>
      <c r="D6740" s="10">
        <f t="shared" si="105"/>
        <v>5.4221840976798203</v>
      </c>
      <c r="F6740" s="8" t="str">
        <f>HYPERLINK("https://esbl.nhlbi.nih.gov/Databases/mpkFractions/proteomic_fractions_log_files/Yang_log_img/358679344.jpg","show blot")</f>
        <v>show blot</v>
      </c>
      <c r="H6740" s="8" t="str">
        <f>HYPERLINK("https://esbl.nhlbi.nih.gov/Databases/mpkFractions/proteomic_fractions_linear_files/Yang_linear_img/358679344.jpg","show blot")</f>
        <v>show blot</v>
      </c>
      <c r="J6740" s="5" t="s">
        <v>13254</v>
      </c>
      <c r="L6740" s="11">
        <v>5.4221840976798203</v>
      </c>
      <c r="N6740" s="12"/>
    </row>
    <row r="6741" spans="1:14" s="5" customFormat="1" ht="15" customHeight="1" x14ac:dyDescent="0.25">
      <c r="A6741" s="9" t="s">
        <v>13255</v>
      </c>
      <c r="C6741" s="9" t="str">
        <f>HYPERLINK("http://www.ncbi.nlm.nih.gov/protein/28173550","Sept7")</f>
        <v>Sept7</v>
      </c>
      <c r="D6741" s="10">
        <f t="shared" si="105"/>
        <v>6.2063780039637164</v>
      </c>
      <c r="F6741" s="8" t="str">
        <f>HYPERLINK("https://esbl.nhlbi.nih.gov/Databases/mpkFractions/proteomic_fractions_log_files/Yang_log_img/28173550.jpg","show blot")</f>
        <v>show blot</v>
      </c>
      <c r="H6741" s="8" t="str">
        <f>HYPERLINK("https://esbl.nhlbi.nih.gov/Databases/mpkFractions/proteomic_fractions_linear_files/Yang_linear_img/28173550.jpg","show blot")</f>
        <v>show blot</v>
      </c>
      <c r="J6741" s="5" t="s">
        <v>13256</v>
      </c>
      <c r="L6741" s="11">
        <v>6.2063780039637164</v>
      </c>
      <c r="N6741" s="12"/>
    </row>
    <row r="6742" spans="1:14" s="5" customFormat="1" ht="15" customHeight="1" x14ac:dyDescent="0.25">
      <c r="A6742" s="9" t="s">
        <v>13257</v>
      </c>
      <c r="C6742" s="9" t="str">
        <f>HYPERLINK("http://www.ncbi.nlm.nih.gov/protein/329299065","Sept7")</f>
        <v>Sept7</v>
      </c>
      <c r="D6742" s="10">
        <f t="shared" si="105"/>
        <v>6.2063780039637164</v>
      </c>
      <c r="F6742" s="8" t="str">
        <f>HYPERLINK("https://esbl.nhlbi.nih.gov/Databases/mpkFractions/proteomic_fractions_log_files/Yang_log_img/329299065.jpg","show blot")</f>
        <v>show blot</v>
      </c>
      <c r="H6742" s="8" t="str">
        <f>HYPERLINK("https://esbl.nhlbi.nih.gov/Databases/mpkFractions/proteomic_fractions_linear_files/Yang_linear_img/329299065.jpg","show blot")</f>
        <v>show blot</v>
      </c>
      <c r="J6742" s="5" t="s">
        <v>13258</v>
      </c>
      <c r="L6742" s="11">
        <v>6.2063780039637164</v>
      </c>
      <c r="N6742" s="12"/>
    </row>
    <row r="6743" spans="1:14" s="5" customFormat="1" ht="15" customHeight="1" x14ac:dyDescent="0.25">
      <c r="A6743" s="9" t="s">
        <v>13259</v>
      </c>
      <c r="C6743" s="9" t="str">
        <f>HYPERLINK("http://www.ncbi.nlm.nih.gov/protein/356640208","Sept8")</f>
        <v>Sept8</v>
      </c>
      <c r="D6743" s="10">
        <f t="shared" si="105"/>
        <v>5.7551948348418343</v>
      </c>
      <c r="F6743" s="8" t="str">
        <f>HYPERLINK("https://esbl.nhlbi.nih.gov/Databases/mpkFractions/proteomic_fractions_log_files/Yang_log_img/356640208.jpg","show blot")</f>
        <v>show blot</v>
      </c>
      <c r="H6743" s="8" t="str">
        <f>HYPERLINK("https://esbl.nhlbi.nih.gov/Databases/mpkFractions/proteomic_fractions_linear_files/Yang_linear_img/356640208.jpg","show blot")</f>
        <v>show blot</v>
      </c>
      <c r="J6743" s="5" t="s">
        <v>13260</v>
      </c>
      <c r="L6743" s="11">
        <v>5.7551948348418343</v>
      </c>
      <c r="N6743" s="12"/>
    </row>
    <row r="6744" spans="1:14" s="5" customFormat="1" ht="15" customHeight="1" x14ac:dyDescent="0.25">
      <c r="A6744" s="9" t="s">
        <v>13261</v>
      </c>
      <c r="C6744" s="9" t="str">
        <f>HYPERLINK("http://www.ncbi.nlm.nih.gov/protein/356640210","Sept8")</f>
        <v>Sept8</v>
      </c>
      <c r="D6744" s="10">
        <f t="shared" si="105"/>
        <v>5.7551948348418343</v>
      </c>
      <c r="F6744" s="8" t="str">
        <f>HYPERLINK("https://esbl.nhlbi.nih.gov/Databases/mpkFractions/proteomic_fractions_log_files/Yang_log_img/356640210.jpg","show blot")</f>
        <v>show blot</v>
      </c>
      <c r="H6744" s="8" t="str">
        <f>HYPERLINK("https://esbl.nhlbi.nih.gov/Databases/mpkFractions/proteomic_fractions_linear_files/Yang_linear_img/356640210.jpg","show blot")</f>
        <v>show blot</v>
      </c>
      <c r="J6744" s="5" t="s">
        <v>13262</v>
      </c>
      <c r="L6744" s="11">
        <v>5.7551948348418343</v>
      </c>
      <c r="N6744" s="12"/>
    </row>
    <row r="6745" spans="1:14" s="5" customFormat="1" ht="15" customHeight="1" x14ac:dyDescent="0.25">
      <c r="A6745" s="9" t="s">
        <v>13263</v>
      </c>
      <c r="C6745" s="9" t="str">
        <f>HYPERLINK("http://www.ncbi.nlm.nih.gov/protein/39930477","Sept8")</f>
        <v>Sept8</v>
      </c>
      <c r="D6745" s="10">
        <f t="shared" si="105"/>
        <v>5.7551948348418343</v>
      </c>
      <c r="F6745" s="8" t="str">
        <f>HYPERLINK("https://esbl.nhlbi.nih.gov/Databases/mpkFractions/proteomic_fractions_log_files/Yang_log_img/39930477.jpg","show blot")</f>
        <v>show blot</v>
      </c>
      <c r="H6745" s="8" t="str">
        <f>HYPERLINK("https://esbl.nhlbi.nih.gov/Databases/mpkFractions/proteomic_fractions_linear_files/Yang_linear_img/39930477.jpg","show blot")</f>
        <v>show blot</v>
      </c>
      <c r="J6745" s="5" t="s">
        <v>13264</v>
      </c>
      <c r="L6745" s="11">
        <v>5.7551948348418343</v>
      </c>
      <c r="N6745" s="12"/>
    </row>
    <row r="6746" spans="1:14" s="5" customFormat="1" ht="15" customHeight="1" x14ac:dyDescent="0.25">
      <c r="A6746" s="9" t="s">
        <v>13265</v>
      </c>
      <c r="C6746" s="9" t="str">
        <f>HYPERLINK("http://www.ncbi.nlm.nih.gov/protein/164698479","Sept9")</f>
        <v>Sept9</v>
      </c>
      <c r="D6746" s="10">
        <f t="shared" si="105"/>
        <v>5.960603434536508</v>
      </c>
      <c r="F6746" s="8" t="str">
        <f>HYPERLINK("https://esbl.nhlbi.nih.gov/Databases/mpkFractions/proteomic_fractions_log_files/Yang_log_img/164698479.jpg","show blot")</f>
        <v>show blot</v>
      </c>
      <c r="H6746" s="8" t="str">
        <f>HYPERLINK("https://esbl.nhlbi.nih.gov/Databases/mpkFractions/proteomic_fractions_linear_files/Yang_linear_img/164698479.jpg","show blot")</f>
        <v>show blot</v>
      </c>
      <c r="J6746" s="5" t="s">
        <v>13266</v>
      </c>
      <c r="L6746" s="11">
        <v>5.960603434536508</v>
      </c>
      <c r="N6746" s="12"/>
    </row>
    <row r="6747" spans="1:14" s="5" customFormat="1" ht="15" customHeight="1" x14ac:dyDescent="0.25">
      <c r="A6747" s="9" t="s">
        <v>13267</v>
      </c>
      <c r="C6747" s="9" t="str">
        <f>HYPERLINK("http://www.ncbi.nlm.nih.gov/protein/164698481","Sept9")</f>
        <v>Sept9</v>
      </c>
      <c r="D6747" s="10">
        <f t="shared" si="105"/>
        <v>5.960603434536508</v>
      </c>
      <c r="F6747" s="8" t="str">
        <f>HYPERLINK("https://esbl.nhlbi.nih.gov/Databases/mpkFractions/proteomic_fractions_log_files/Yang_log_img/164698481.jpg","show blot")</f>
        <v>show blot</v>
      </c>
      <c r="H6747" s="8" t="str">
        <f>HYPERLINK("https://esbl.nhlbi.nih.gov/Databases/mpkFractions/proteomic_fractions_linear_files/Yang_linear_img/164698481.jpg","show blot")</f>
        <v>show blot</v>
      </c>
      <c r="J6747" s="5" t="s">
        <v>13268</v>
      </c>
      <c r="L6747" s="11">
        <v>5.960603434536508</v>
      </c>
      <c r="N6747" s="12"/>
    </row>
    <row r="6748" spans="1:14" s="5" customFormat="1" ht="15" customHeight="1" x14ac:dyDescent="0.25">
      <c r="A6748" s="9" t="s">
        <v>13269</v>
      </c>
      <c r="C6748" s="9" t="str">
        <f>HYPERLINK("http://www.ncbi.nlm.nih.gov/protein/8393784","Sept9")</f>
        <v>Sept9</v>
      </c>
      <c r="D6748" s="10">
        <f t="shared" si="105"/>
        <v>5.960603434536508</v>
      </c>
      <c r="F6748" s="8" t="str">
        <f>HYPERLINK("https://esbl.nhlbi.nih.gov/Databases/mpkFractions/proteomic_fractions_log_files/Yang_log_img/8393784.jpg","show blot")</f>
        <v>show blot</v>
      </c>
      <c r="H6748" s="8" t="str">
        <f>HYPERLINK("https://esbl.nhlbi.nih.gov/Databases/mpkFractions/proteomic_fractions_linear_files/Yang_linear_img/8393784.jpg","show blot")</f>
        <v>show blot</v>
      </c>
      <c r="J6748" s="5" t="s">
        <v>13270</v>
      </c>
      <c r="L6748" s="11">
        <v>5.960603434536508</v>
      </c>
      <c r="N6748" s="12"/>
    </row>
    <row r="6749" spans="1:14" s="5" customFormat="1" ht="15" customHeight="1" x14ac:dyDescent="0.25">
      <c r="A6749" s="9" t="s">
        <v>13271</v>
      </c>
      <c r="C6749" s="9" t="str">
        <f>HYPERLINK("http://www.ncbi.nlm.nih.gov/protein/6677917","Sepw1")</f>
        <v>Sepw1</v>
      </c>
      <c r="D6749" s="10">
        <f t="shared" si="105"/>
        <v>3.30171191976665</v>
      </c>
      <c r="F6749" s="8" t="str">
        <f>HYPERLINK("https://esbl.nhlbi.nih.gov/Databases/mpkFractions/proteomic_fractions_log_files/Yang_log_img/6677917.jpg","show blot")</f>
        <v>show blot</v>
      </c>
      <c r="H6749" s="8" t="str">
        <f>HYPERLINK("https://esbl.nhlbi.nih.gov/Databases/mpkFractions/proteomic_fractions_linear_files/Yang_linear_img/6677917.jpg","show blot")</f>
        <v>show blot</v>
      </c>
      <c r="J6749" s="5" t="s">
        <v>13272</v>
      </c>
      <c r="L6749" s="11">
        <v>3.30171191976665</v>
      </c>
      <c r="N6749" s="12"/>
    </row>
    <row r="6750" spans="1:14" s="5" customFormat="1" ht="15" customHeight="1" x14ac:dyDescent="0.25">
      <c r="A6750" s="9" t="s">
        <v>13273</v>
      </c>
      <c r="C6750" s="9" t="str">
        <f>HYPERLINK("http://www.ncbi.nlm.nih.gov/protein/161169008","Serac1")</f>
        <v>Serac1</v>
      </c>
      <c r="D6750" s="10">
        <f t="shared" si="105"/>
        <v>1.6273081468747681</v>
      </c>
      <c r="F6750" s="8" t="str">
        <f>HYPERLINK("https://esbl.nhlbi.nih.gov/Databases/mpkFractions/proteomic_fractions_log_files/Yang_log_img/161169008.jpg","show blot")</f>
        <v>show blot</v>
      </c>
      <c r="H6750" s="8" t="str">
        <f>HYPERLINK("https://esbl.nhlbi.nih.gov/Databases/mpkFractions/proteomic_fractions_linear_files/Yang_linear_img/161169008.jpg","show blot")</f>
        <v>show blot</v>
      </c>
      <c r="J6750" s="5" t="s">
        <v>13274</v>
      </c>
      <c r="L6750" s="11">
        <v>1.6273081468747681</v>
      </c>
      <c r="N6750" s="12"/>
    </row>
    <row r="6751" spans="1:14" s="5" customFormat="1" ht="15" customHeight="1" x14ac:dyDescent="0.25">
      <c r="A6751" s="9" t="s">
        <v>13275</v>
      </c>
      <c r="C6751" s="9" t="str">
        <f>HYPERLINK("http://www.ncbi.nlm.nih.gov/protein/161169010","Serac1")</f>
        <v>Serac1</v>
      </c>
      <c r="D6751" s="10">
        <f t="shared" si="105"/>
        <v>1.6273081468747681</v>
      </c>
      <c r="F6751" s="8" t="str">
        <f>HYPERLINK("https://esbl.nhlbi.nih.gov/Databases/mpkFractions/proteomic_fractions_log_files/Yang_log_img/161169010.jpg","show blot")</f>
        <v>show blot</v>
      </c>
      <c r="H6751" s="8" t="str">
        <f>HYPERLINK("https://esbl.nhlbi.nih.gov/Databases/mpkFractions/proteomic_fractions_linear_files/Yang_linear_img/161169010.jpg","show blot")</f>
        <v>show blot</v>
      </c>
      <c r="J6751" s="5" t="s">
        <v>13276</v>
      </c>
      <c r="L6751" s="11">
        <v>1.6273081468747681</v>
      </c>
      <c r="N6751" s="12"/>
    </row>
    <row r="6752" spans="1:14" s="5" customFormat="1" ht="15" customHeight="1" x14ac:dyDescent="0.25">
      <c r="A6752" s="9" t="s">
        <v>13277</v>
      </c>
      <c r="C6752" s="9" t="str">
        <f>HYPERLINK("http://www.ncbi.nlm.nih.gov/protein/165932375","Serbp1")</f>
        <v>Serbp1</v>
      </c>
      <c r="D6752" s="10">
        <f t="shared" si="105"/>
        <v>5.9959343509581311</v>
      </c>
      <c r="F6752" s="8" t="str">
        <f>HYPERLINK("https://esbl.nhlbi.nih.gov/Databases/mpkFractions/proteomic_fractions_log_files/Yang_log_img/165932375.jpg","show blot")</f>
        <v>show blot</v>
      </c>
      <c r="H6752" s="8" t="str">
        <f>HYPERLINK("https://esbl.nhlbi.nih.gov/Databases/mpkFractions/proteomic_fractions_linear_files/Yang_linear_img/165932375.jpg","show blot")</f>
        <v>show blot</v>
      </c>
      <c r="J6752" s="5" t="s">
        <v>13278</v>
      </c>
      <c r="L6752" s="11">
        <v>5.9959343509581311</v>
      </c>
      <c r="N6752" s="12"/>
    </row>
    <row r="6753" spans="1:14" s="5" customFormat="1" ht="15" customHeight="1" x14ac:dyDescent="0.25">
      <c r="A6753" s="9" t="s">
        <v>13279</v>
      </c>
      <c r="C6753" s="9" t="str">
        <f>HYPERLINK("http://www.ncbi.nlm.nih.gov/protein/165932377","Serbp1")</f>
        <v>Serbp1</v>
      </c>
      <c r="D6753" s="10">
        <f t="shared" si="105"/>
        <v>5.9959343509581311</v>
      </c>
      <c r="F6753" s="8" t="str">
        <f>HYPERLINK("https://esbl.nhlbi.nih.gov/Databases/mpkFractions/proteomic_fractions_log_files/Yang_log_img/165932377.jpg","show blot")</f>
        <v>show blot</v>
      </c>
      <c r="H6753" s="8" t="str">
        <f>HYPERLINK("https://esbl.nhlbi.nih.gov/Databases/mpkFractions/proteomic_fractions_linear_files/Yang_linear_img/165932377.jpg","show blot")</f>
        <v>show blot</v>
      </c>
      <c r="J6753" s="5" t="s">
        <v>13280</v>
      </c>
      <c r="L6753" s="11">
        <v>5.9959343509581311</v>
      </c>
      <c r="N6753" s="12"/>
    </row>
    <row r="6754" spans="1:14" s="5" customFormat="1" ht="15" customHeight="1" x14ac:dyDescent="0.25">
      <c r="A6754" s="9" t="s">
        <v>13281</v>
      </c>
      <c r="C6754" s="9" t="str">
        <f>HYPERLINK("http://www.ncbi.nlm.nih.gov/protein/165932379","Serbp1")</f>
        <v>Serbp1</v>
      </c>
      <c r="D6754" s="10">
        <f t="shared" si="105"/>
        <v>5.9959343509581311</v>
      </c>
      <c r="F6754" s="8" t="str">
        <f>HYPERLINK("https://esbl.nhlbi.nih.gov/Databases/mpkFractions/proteomic_fractions_log_files/Yang_log_img/165932379.jpg","show blot")</f>
        <v>show blot</v>
      </c>
      <c r="H6754" s="8" t="str">
        <f>HYPERLINK("https://esbl.nhlbi.nih.gov/Databases/mpkFractions/proteomic_fractions_linear_files/Yang_linear_img/165932379.jpg","show blot")</f>
        <v>show blot</v>
      </c>
      <c r="J6754" s="5" t="s">
        <v>13282</v>
      </c>
      <c r="L6754" s="11">
        <v>5.9959343509581311</v>
      </c>
      <c r="N6754" s="12"/>
    </row>
    <row r="6755" spans="1:14" s="5" customFormat="1" ht="15" customHeight="1" x14ac:dyDescent="0.25">
      <c r="A6755" s="9" t="s">
        <v>13283</v>
      </c>
      <c r="C6755" s="9" t="str">
        <f>HYPERLINK("http://www.ncbi.nlm.nih.gov/protein/165932381","Serbp1")</f>
        <v>Serbp1</v>
      </c>
      <c r="D6755" s="10">
        <f t="shared" si="105"/>
        <v>5.9959343509581311</v>
      </c>
      <c r="F6755" s="8" t="str">
        <f>HYPERLINK("https://esbl.nhlbi.nih.gov/Databases/mpkFractions/proteomic_fractions_log_files/Yang_log_img/165932381.jpg","show blot")</f>
        <v>show blot</v>
      </c>
      <c r="H6755" s="8" t="str">
        <f>HYPERLINK("https://esbl.nhlbi.nih.gov/Databases/mpkFractions/proteomic_fractions_linear_files/Yang_linear_img/165932381.jpg","show blot")</f>
        <v>show blot</v>
      </c>
      <c r="J6755" s="5" t="s">
        <v>13284</v>
      </c>
      <c r="L6755" s="11">
        <v>5.9959343509581311</v>
      </c>
      <c r="N6755" s="12"/>
    </row>
    <row r="6756" spans="1:14" s="5" customFormat="1" ht="15" customHeight="1" x14ac:dyDescent="0.25">
      <c r="A6756" s="9" t="s">
        <v>13285</v>
      </c>
      <c r="C6756" s="9" t="str">
        <f>HYPERLINK("http://www.ncbi.nlm.nih.gov/protein/6755472","Serf2")</f>
        <v>Serf2</v>
      </c>
      <c r="D6756" s="10">
        <f t="shared" si="105"/>
        <v>4.0235218609012309</v>
      </c>
      <c r="F6756" s="8" t="str">
        <f>HYPERLINK("https://esbl.nhlbi.nih.gov/Databases/mpkFractions/proteomic_fractions_log_files/Yang_log_img/6755472.jpg","show blot")</f>
        <v>show blot</v>
      </c>
      <c r="H6756" s="8" t="str">
        <f>HYPERLINK("https://esbl.nhlbi.nih.gov/Databases/mpkFractions/proteomic_fractions_linear_files/Yang_linear_img/6755472.jpg","show blot")</f>
        <v>show blot</v>
      </c>
      <c r="J6756" s="5" t="s">
        <v>13286</v>
      </c>
      <c r="L6756" s="11">
        <v>4.0235218609012309</v>
      </c>
      <c r="N6756" s="12"/>
    </row>
    <row r="6757" spans="1:14" s="5" customFormat="1" ht="15" customHeight="1" x14ac:dyDescent="0.25">
      <c r="A6757" s="9" t="s">
        <v>13287</v>
      </c>
      <c r="C6757" s="9" t="str">
        <f>HYPERLINK("http://www.ncbi.nlm.nih.gov/protein/13443008","Serhl")</f>
        <v>Serhl</v>
      </c>
      <c r="D6757" s="10">
        <f t="shared" si="105"/>
        <v>5.1681448342140914</v>
      </c>
      <c r="F6757" s="8" t="str">
        <f>HYPERLINK("https://esbl.nhlbi.nih.gov/Databases/mpkFractions/proteomic_fractions_log_files/Yang_log_img/13443008.jpg","show blot")</f>
        <v>show blot</v>
      </c>
      <c r="H6757" s="8" t="str">
        <f>HYPERLINK("https://esbl.nhlbi.nih.gov/Databases/mpkFractions/proteomic_fractions_linear_files/Yang_linear_img/13443008.jpg","show blot")</f>
        <v>show blot</v>
      </c>
      <c r="J6757" s="5" t="s">
        <v>13288</v>
      </c>
      <c r="L6757" s="11">
        <v>5.1681448342140914</v>
      </c>
      <c r="N6757" s="12"/>
    </row>
    <row r="6758" spans="1:14" s="5" customFormat="1" ht="15" customHeight="1" x14ac:dyDescent="0.25">
      <c r="A6758" s="9" t="s">
        <v>13289</v>
      </c>
      <c r="C6758" s="9" t="str">
        <f>HYPERLINK("http://www.ncbi.nlm.nih.gov/protein/9790269","Serinc1")</f>
        <v>Serinc1</v>
      </c>
      <c r="D6758" s="10">
        <f t="shared" si="105"/>
        <v>2.691460402557273</v>
      </c>
      <c r="F6758" s="8" t="str">
        <f>HYPERLINK("https://esbl.nhlbi.nih.gov/Databases/mpkFractions/proteomic_fractions_log_files/Yang_log_img/9790269.jpg","show blot")</f>
        <v>show blot</v>
      </c>
      <c r="H6758" s="8" t="str">
        <f>HYPERLINK("https://esbl.nhlbi.nih.gov/Databases/mpkFractions/proteomic_fractions_linear_files/Yang_linear_img/9790269.jpg","show blot")</f>
        <v>show blot</v>
      </c>
      <c r="J6758" s="5" t="s">
        <v>13290</v>
      </c>
      <c r="L6758" s="11">
        <v>2.691460402557273</v>
      </c>
      <c r="N6758" s="12"/>
    </row>
    <row r="6759" spans="1:14" s="5" customFormat="1" ht="15" customHeight="1" x14ac:dyDescent="0.25">
      <c r="A6759" s="9" t="s">
        <v>13291</v>
      </c>
      <c r="C6759" s="9" t="str">
        <f>HYPERLINK("http://www.ncbi.nlm.nih.gov/protein/148277027","Serinc2")</f>
        <v>Serinc2</v>
      </c>
      <c r="D6759" s="10">
        <f t="shared" si="105"/>
        <v>1.9045352278661249</v>
      </c>
      <c r="F6759" s="8" t="str">
        <f>HYPERLINK("https://esbl.nhlbi.nih.gov/Databases/mpkFractions/proteomic_fractions_log_files/Yang_log_img/148277027.jpg","show blot")</f>
        <v>show blot</v>
      </c>
      <c r="H6759" s="8" t="str">
        <f>HYPERLINK("https://esbl.nhlbi.nih.gov/Databases/mpkFractions/proteomic_fractions_linear_files/Yang_linear_img/148277027.jpg","show blot")</f>
        <v>show blot</v>
      </c>
      <c r="J6759" s="5" t="s">
        <v>13292</v>
      </c>
      <c r="L6759" s="11">
        <v>1.9045352278661249</v>
      </c>
      <c r="N6759" s="12"/>
    </row>
    <row r="6760" spans="1:14" s="5" customFormat="1" ht="15" customHeight="1" x14ac:dyDescent="0.25">
      <c r="A6760" s="9" t="s">
        <v>13293</v>
      </c>
      <c r="C6760" s="9" t="str">
        <f>HYPERLINK("http://www.ncbi.nlm.nih.gov/protein/358356409","Serinc2")</f>
        <v>Serinc2</v>
      </c>
      <c r="D6760" s="10">
        <f t="shared" si="105"/>
        <v>1.9045352278661249</v>
      </c>
      <c r="F6760" s="8" t="str">
        <f>HYPERLINK("https://esbl.nhlbi.nih.gov/Databases/mpkFractions/proteomic_fractions_log_files/Yang_log_img/358356409.jpg","show blot")</f>
        <v>show blot</v>
      </c>
      <c r="H6760" s="8" t="str">
        <f>HYPERLINK("https://esbl.nhlbi.nih.gov/Databases/mpkFractions/proteomic_fractions_linear_files/Yang_linear_img/358356409.jpg","show blot")</f>
        <v>show blot</v>
      </c>
      <c r="J6760" s="5" t="s">
        <v>13294</v>
      </c>
      <c r="L6760" s="11">
        <v>1.9045352278661249</v>
      </c>
      <c r="N6760" s="12"/>
    </row>
    <row r="6761" spans="1:14" s="5" customFormat="1" ht="15" customHeight="1" x14ac:dyDescent="0.25">
      <c r="A6761" s="9" t="s">
        <v>13295</v>
      </c>
      <c r="C6761" s="9" t="str">
        <f>HYPERLINK("http://www.ncbi.nlm.nih.gov/protein/213385301","Serinc3")</f>
        <v>Serinc3</v>
      </c>
      <c r="D6761" s="10">
        <f t="shared" si="105"/>
        <v>2.3730563108238689</v>
      </c>
      <c r="F6761" s="8" t="str">
        <f>HYPERLINK("https://esbl.nhlbi.nih.gov/Databases/mpkFractions/proteomic_fractions_log_files/Yang_log_img/213385301.jpg","show blot")</f>
        <v>show blot</v>
      </c>
      <c r="H6761" s="8" t="str">
        <f>HYPERLINK("https://esbl.nhlbi.nih.gov/Databases/mpkFractions/proteomic_fractions_linear_files/Yang_linear_img/213385301.jpg","show blot")</f>
        <v>show blot</v>
      </c>
      <c r="J6761" s="5" t="s">
        <v>13296</v>
      </c>
      <c r="L6761" s="11">
        <v>2.3730563108238689</v>
      </c>
      <c r="N6761" s="12"/>
    </row>
    <row r="6762" spans="1:14" s="5" customFormat="1" ht="15" customHeight="1" x14ac:dyDescent="0.25">
      <c r="A6762" s="9" t="s">
        <v>13297</v>
      </c>
      <c r="C6762" s="9" t="str">
        <f>HYPERLINK("http://www.ncbi.nlm.nih.gov/protein/6680856","Serpina6")</f>
        <v>Serpina6</v>
      </c>
      <c r="D6762" s="10">
        <f t="shared" si="105"/>
        <v>5.0014622242256248</v>
      </c>
      <c r="F6762" s="8" t="str">
        <f>HYPERLINK("https://esbl.nhlbi.nih.gov/Databases/mpkFractions/proteomic_fractions_log_files/Yang_log_img/6680856.jpg","show blot")</f>
        <v>show blot</v>
      </c>
      <c r="H6762" s="8" t="str">
        <f>HYPERLINK("https://esbl.nhlbi.nih.gov/Databases/mpkFractions/proteomic_fractions_linear_files/Yang_linear_img/6680856.jpg","show blot")</f>
        <v>show blot</v>
      </c>
      <c r="J6762" s="5" t="s">
        <v>13298</v>
      </c>
      <c r="L6762" s="11">
        <v>5.0014622242256248</v>
      </c>
      <c r="N6762" s="12"/>
    </row>
    <row r="6763" spans="1:14" s="5" customFormat="1" ht="15" customHeight="1" x14ac:dyDescent="0.25">
      <c r="A6763" s="9" t="s">
        <v>13299</v>
      </c>
      <c r="C6763" s="9" t="str">
        <f>HYPERLINK("http://www.ncbi.nlm.nih.gov/protein/160333613","Serpinb3c")</f>
        <v>Serpinb3c</v>
      </c>
      <c r="D6763" s="10">
        <f t="shared" si="105"/>
        <v>3.3259529721484329</v>
      </c>
      <c r="F6763" s="8" t="str">
        <f>HYPERLINK("https://esbl.nhlbi.nih.gov/Databases/mpkFractions/proteomic_fractions_log_files/Yang_log_img/160333613.jpg","show blot")</f>
        <v>show blot</v>
      </c>
      <c r="H6763" s="8" t="str">
        <f>HYPERLINK("https://esbl.nhlbi.nih.gov/Databases/mpkFractions/proteomic_fractions_linear_files/Yang_linear_img/160333613.jpg","show blot")</f>
        <v>show blot</v>
      </c>
      <c r="J6763" s="5" t="s">
        <v>13300</v>
      </c>
      <c r="L6763" s="11">
        <v>3.3259529721484329</v>
      </c>
      <c r="N6763" s="12"/>
    </row>
    <row r="6764" spans="1:14" s="5" customFormat="1" ht="15" customHeight="1" x14ac:dyDescent="0.25">
      <c r="A6764" s="9" t="s">
        <v>13301</v>
      </c>
      <c r="C6764" s="9" t="str">
        <f>HYPERLINK("http://www.ncbi.nlm.nih.gov/protein/6678103","Serpinb5")</f>
        <v>Serpinb5</v>
      </c>
      <c r="D6764" s="10">
        <f t="shared" si="105"/>
        <v>4.230292264404941</v>
      </c>
      <c r="F6764" s="8" t="str">
        <f>HYPERLINK("https://esbl.nhlbi.nih.gov/Databases/mpkFractions/proteomic_fractions_log_files/Yang_log_img/6678103.jpg","show blot")</f>
        <v>show blot</v>
      </c>
      <c r="H6764" s="8" t="str">
        <f>HYPERLINK("https://esbl.nhlbi.nih.gov/Databases/mpkFractions/proteomic_fractions_linear_files/Yang_linear_img/6678103.jpg","show blot")</f>
        <v>show blot</v>
      </c>
      <c r="J6764" s="5" t="s">
        <v>13302</v>
      </c>
      <c r="L6764" s="11">
        <v>4.230292264404941</v>
      </c>
      <c r="N6764" s="12"/>
    </row>
    <row r="6765" spans="1:14" s="5" customFormat="1" ht="15" customHeight="1" x14ac:dyDescent="0.25">
      <c r="A6765" s="9" t="s">
        <v>13303</v>
      </c>
      <c r="C6765" s="9" t="str">
        <f>HYPERLINK("http://www.ncbi.nlm.nih.gov/protein/255759941","Serpinb6a")</f>
        <v>Serpinb6a</v>
      </c>
      <c r="D6765" s="10">
        <f t="shared" si="105"/>
        <v>6.3867521445537596</v>
      </c>
      <c r="F6765" s="8" t="str">
        <f>HYPERLINK("https://esbl.nhlbi.nih.gov/Databases/mpkFractions/proteomic_fractions_log_files/Yang_log_img/255759941.jpg","show blot")</f>
        <v>show blot</v>
      </c>
      <c r="H6765" s="8" t="str">
        <f>HYPERLINK("https://esbl.nhlbi.nih.gov/Databases/mpkFractions/proteomic_fractions_linear_files/Yang_linear_img/255759941.jpg","show blot")</f>
        <v>show blot</v>
      </c>
      <c r="J6765" s="5" t="s">
        <v>13304</v>
      </c>
      <c r="L6765" s="11">
        <v>6.3867521445537596</v>
      </c>
      <c r="N6765" s="12"/>
    </row>
    <row r="6766" spans="1:14" s="5" customFormat="1" ht="15" customHeight="1" x14ac:dyDescent="0.25">
      <c r="A6766" s="9" t="s">
        <v>13305</v>
      </c>
      <c r="C6766" s="9" t="str">
        <f>HYPERLINK("http://www.ncbi.nlm.nih.gov/protein/255759943","Serpinb6a")</f>
        <v>Serpinb6a</v>
      </c>
      <c r="D6766" s="10">
        <f t="shared" si="105"/>
        <v>6.3867521445537596</v>
      </c>
      <c r="F6766" s="8" t="str">
        <f>HYPERLINK("https://esbl.nhlbi.nih.gov/Databases/mpkFractions/proteomic_fractions_log_files/Yang_log_img/255759943.jpg","show blot")</f>
        <v>show blot</v>
      </c>
      <c r="H6766" s="8" t="str">
        <f>HYPERLINK("https://esbl.nhlbi.nih.gov/Databases/mpkFractions/proteomic_fractions_linear_files/Yang_linear_img/255759943.jpg","show blot")</f>
        <v>show blot</v>
      </c>
      <c r="J6766" s="5" t="s">
        <v>13306</v>
      </c>
      <c r="L6766" s="11">
        <v>6.3867521445537596</v>
      </c>
      <c r="N6766" s="12"/>
    </row>
    <row r="6767" spans="1:14" s="5" customFormat="1" ht="15" customHeight="1" x14ac:dyDescent="0.25">
      <c r="A6767" s="9" t="s">
        <v>13307</v>
      </c>
      <c r="C6767" s="9" t="str">
        <f>HYPERLINK("http://www.ncbi.nlm.nih.gov/protein/15826844","Serpinb6b")</f>
        <v>Serpinb6b</v>
      </c>
      <c r="D6767" s="10">
        <f t="shared" si="105"/>
        <v>5.5585310377384971</v>
      </c>
      <c r="F6767" s="8" t="str">
        <f>HYPERLINK("https://esbl.nhlbi.nih.gov/Databases/mpkFractions/proteomic_fractions_log_files/Yang_log_img/15826844.jpg","show blot")</f>
        <v>show blot</v>
      </c>
      <c r="H6767" s="8" t="str">
        <f>HYPERLINK("https://esbl.nhlbi.nih.gov/Databases/mpkFractions/proteomic_fractions_linear_files/Yang_linear_img/15826844.jpg","show blot")</f>
        <v>show blot</v>
      </c>
      <c r="J6767" s="5" t="s">
        <v>13308</v>
      </c>
      <c r="L6767" s="11">
        <v>5.5585310377384971</v>
      </c>
      <c r="N6767" s="12"/>
    </row>
    <row r="6768" spans="1:14" s="5" customFormat="1" ht="15" customHeight="1" x14ac:dyDescent="0.25">
      <c r="A6768" s="9" t="s">
        <v>13309</v>
      </c>
      <c r="C6768" s="9" t="str">
        <f>HYPERLINK("http://www.ncbi.nlm.nih.gov/protein/142347364","Serpinb6c")</f>
        <v>Serpinb6c</v>
      </c>
      <c r="D6768" s="10">
        <f t="shared" si="105"/>
        <v>3.6587350087753632</v>
      </c>
      <c r="F6768" s="8" t="str">
        <f>HYPERLINK("https://esbl.nhlbi.nih.gov/Databases/mpkFractions/proteomic_fractions_log_files/Yang_log_img/142347364.jpg","show blot")</f>
        <v>show blot</v>
      </c>
      <c r="H6768" s="8" t="str">
        <f>HYPERLINK("https://esbl.nhlbi.nih.gov/Databases/mpkFractions/proteomic_fractions_linear_files/Yang_linear_img/142347364.jpg","show blot")</f>
        <v>show blot</v>
      </c>
      <c r="J6768" s="5" t="s">
        <v>13310</v>
      </c>
      <c r="L6768" s="11">
        <v>3.6587350087753632</v>
      </c>
      <c r="N6768" s="12"/>
    </row>
    <row r="6769" spans="1:14" s="5" customFormat="1" ht="15" customHeight="1" x14ac:dyDescent="0.25">
      <c r="A6769" s="9" t="s">
        <v>13311</v>
      </c>
      <c r="C6769" s="9" t="str">
        <f>HYPERLINK("http://www.ncbi.nlm.nih.gov/protein/115647930","Serpinb6d")</f>
        <v>Serpinb6d</v>
      </c>
      <c r="D6769" s="10">
        <f t="shared" si="105"/>
        <v>4.4876793394002874</v>
      </c>
      <c r="F6769" s="8" t="str">
        <f>HYPERLINK("https://esbl.nhlbi.nih.gov/Databases/mpkFractions/proteomic_fractions_log_files/Yang_log_img/115647930.jpg","show blot")</f>
        <v>show blot</v>
      </c>
      <c r="H6769" s="8" t="str">
        <f>HYPERLINK("https://esbl.nhlbi.nih.gov/Databases/mpkFractions/proteomic_fractions_linear_files/Yang_linear_img/115647930.jpg","show blot")</f>
        <v>show blot</v>
      </c>
      <c r="J6769" s="5" t="s">
        <v>13312</v>
      </c>
      <c r="L6769" s="11">
        <v>4.4876793394002874</v>
      </c>
      <c r="N6769" s="12"/>
    </row>
    <row r="6770" spans="1:14" s="5" customFormat="1" ht="15" customHeight="1" x14ac:dyDescent="0.25">
      <c r="A6770" s="9" t="s">
        <v>13313</v>
      </c>
      <c r="C6770" s="9" t="str">
        <f>HYPERLINK("http://www.ncbi.nlm.nih.gov/protein/6678101","Serpinb9")</f>
        <v>Serpinb9</v>
      </c>
      <c r="D6770" s="10">
        <f t="shared" si="105"/>
        <v>5.7544014857240553</v>
      </c>
      <c r="F6770" s="8" t="str">
        <f>HYPERLINK("https://esbl.nhlbi.nih.gov/Databases/mpkFractions/proteomic_fractions_log_files/Yang_log_img/6678101.jpg","show blot")</f>
        <v>show blot</v>
      </c>
      <c r="H6770" s="8" t="str">
        <f>HYPERLINK("https://esbl.nhlbi.nih.gov/Databases/mpkFractions/proteomic_fractions_linear_files/Yang_linear_img/6678101.jpg","show blot")</f>
        <v>show blot</v>
      </c>
      <c r="J6770" s="5" t="s">
        <v>13314</v>
      </c>
      <c r="L6770" s="11">
        <v>5.7544014857240553</v>
      </c>
      <c r="N6770" s="12"/>
    </row>
    <row r="6771" spans="1:14" s="5" customFormat="1" ht="15" customHeight="1" x14ac:dyDescent="0.25">
      <c r="A6771" s="9" t="s">
        <v>13315</v>
      </c>
      <c r="C6771" s="9" t="str">
        <f>HYPERLINK("http://www.ncbi.nlm.nih.gov/protein/15826842","Serpinb9b")</f>
        <v>Serpinb9b</v>
      </c>
      <c r="D6771" s="10">
        <f t="shared" si="105"/>
        <v>4.9491072752061536</v>
      </c>
      <c r="F6771" s="8" t="str">
        <f>HYPERLINK("https://esbl.nhlbi.nih.gov/Databases/mpkFractions/proteomic_fractions_log_files/Yang_log_img/15826842.jpg","show blot")</f>
        <v>show blot</v>
      </c>
      <c r="H6771" s="8" t="str">
        <f>HYPERLINK("https://esbl.nhlbi.nih.gov/Databases/mpkFractions/proteomic_fractions_linear_files/Yang_linear_img/15826842.jpg","show blot")</f>
        <v>show blot</v>
      </c>
      <c r="J6771" s="5" t="s">
        <v>13316</v>
      </c>
      <c r="L6771" s="11">
        <v>4.9491072752061536</v>
      </c>
      <c r="N6771" s="12"/>
    </row>
    <row r="6772" spans="1:14" s="5" customFormat="1" ht="15" customHeight="1" x14ac:dyDescent="0.25">
      <c r="A6772" s="9" t="s">
        <v>13317</v>
      </c>
      <c r="C6772" s="9" t="str">
        <f>HYPERLINK("http://www.ncbi.nlm.nih.gov/protein/33468935","Serpinb9d")</f>
        <v>Serpinb9d</v>
      </c>
      <c r="D6772" s="10">
        <f t="shared" si="105"/>
        <v>4.9717417944930604</v>
      </c>
      <c r="F6772" s="8" t="str">
        <f>HYPERLINK("https://esbl.nhlbi.nih.gov/Databases/mpkFractions/proteomic_fractions_log_files/Yang_log_img/33468935.jpg","show blot")</f>
        <v>show blot</v>
      </c>
      <c r="H6772" s="8" t="str">
        <f>HYPERLINK("https://esbl.nhlbi.nih.gov/Databases/mpkFractions/proteomic_fractions_linear_files/Yang_linear_img/33468935.jpg","show blot")</f>
        <v>show blot</v>
      </c>
      <c r="J6772" s="5" t="s">
        <v>13318</v>
      </c>
      <c r="L6772" s="11">
        <v>4.9717417944930604</v>
      </c>
      <c r="N6772" s="12"/>
    </row>
    <row r="6773" spans="1:14" s="5" customFormat="1" ht="15" customHeight="1" x14ac:dyDescent="0.25">
      <c r="A6773" s="9" t="s">
        <v>13319</v>
      </c>
      <c r="C6773" s="9" t="str">
        <f>HYPERLINK("http://www.ncbi.nlm.nih.gov/protein/15826846","Serpinb9e")</f>
        <v>Serpinb9e</v>
      </c>
      <c r="D6773" s="10">
        <f t="shared" si="105"/>
        <v>4.9717417944930604</v>
      </c>
      <c r="F6773" s="8" t="str">
        <f>HYPERLINK("https://esbl.nhlbi.nih.gov/Databases/mpkFractions/proteomic_fractions_log_files/Yang_log_img/15826846.jpg","show blot")</f>
        <v>show blot</v>
      </c>
      <c r="H6773" s="8" t="str">
        <f>HYPERLINK("https://esbl.nhlbi.nih.gov/Databases/mpkFractions/proteomic_fractions_linear_files/Yang_linear_img/15826846.jpg","show blot")</f>
        <v>show blot</v>
      </c>
      <c r="J6773" s="5" t="s">
        <v>13320</v>
      </c>
      <c r="L6773" s="11">
        <v>4.9717417944930604</v>
      </c>
      <c r="N6773" s="12"/>
    </row>
    <row r="6774" spans="1:14" s="5" customFormat="1" ht="15" customHeight="1" x14ac:dyDescent="0.25">
      <c r="A6774" s="9" t="s">
        <v>13321</v>
      </c>
      <c r="C6774" s="9" t="str">
        <f>HYPERLINK("http://www.ncbi.nlm.nih.gov/protein/60593101","Serpinb9f")</f>
        <v>Serpinb9f</v>
      </c>
      <c r="D6774" s="10">
        <f t="shared" si="105"/>
        <v>4.9717417944930604</v>
      </c>
      <c r="F6774" s="8" t="str">
        <f>HYPERLINK("https://esbl.nhlbi.nih.gov/Databases/mpkFractions/proteomic_fractions_log_files/Yang_log_img/60593101.jpg","show blot")</f>
        <v>show blot</v>
      </c>
      <c r="H6774" s="8" t="str">
        <f>HYPERLINK("https://esbl.nhlbi.nih.gov/Databases/mpkFractions/proteomic_fractions_linear_files/Yang_linear_img/60593101.jpg","show blot")</f>
        <v>show blot</v>
      </c>
      <c r="J6774" s="5" t="s">
        <v>13322</v>
      </c>
      <c r="L6774" s="11">
        <v>4.9717417944930604</v>
      </c>
      <c r="N6774" s="12"/>
    </row>
    <row r="6775" spans="1:14" s="5" customFormat="1" ht="15" customHeight="1" x14ac:dyDescent="0.25">
      <c r="A6775" s="9" t="s">
        <v>13323</v>
      </c>
      <c r="C6775" s="9" t="str">
        <f>HYPERLINK("http://www.ncbi.nlm.nih.gov/protein/254675225","Serpinb9g")</f>
        <v>Serpinb9g</v>
      </c>
      <c r="D6775" s="10">
        <f t="shared" si="105"/>
        <v>4.9717417944930604</v>
      </c>
      <c r="F6775" s="8" t="str">
        <f>HYPERLINK("https://esbl.nhlbi.nih.gov/Databases/mpkFractions/proteomic_fractions_log_files/Yang_log_img/254675225.jpg","show blot")</f>
        <v>show blot</v>
      </c>
      <c r="H6775" s="8" t="str">
        <f>HYPERLINK("https://esbl.nhlbi.nih.gov/Databases/mpkFractions/proteomic_fractions_linear_files/Yang_linear_img/254675225.jpg","show blot")</f>
        <v>show blot</v>
      </c>
      <c r="J6775" s="5" t="s">
        <v>13324</v>
      </c>
      <c r="L6775" s="11">
        <v>4.9717417944930604</v>
      </c>
      <c r="N6775" s="12"/>
    </row>
    <row r="6776" spans="1:14" s="5" customFormat="1" ht="15" customHeight="1" x14ac:dyDescent="0.25">
      <c r="A6776" s="9" t="s">
        <v>13325</v>
      </c>
      <c r="C6776" s="9" t="str">
        <f>HYPERLINK("http://www.ncbi.nlm.nih.gov/protein/170172562","Serpine1")</f>
        <v>Serpine1</v>
      </c>
      <c r="D6776" s="10">
        <f t="shared" si="105"/>
        <v>3.026159221562613</v>
      </c>
      <c r="F6776" s="8" t="str">
        <f>HYPERLINK("https://esbl.nhlbi.nih.gov/Databases/mpkFractions/proteomic_fractions_log_files/Yang_log_img/170172562.jpg","show blot")</f>
        <v>show blot</v>
      </c>
      <c r="H6776" s="8" t="str">
        <f>HYPERLINK("https://esbl.nhlbi.nih.gov/Databases/mpkFractions/proteomic_fractions_linear_files/Yang_linear_img/170172562.jpg","show blot")</f>
        <v>show blot</v>
      </c>
      <c r="J6776" s="5" t="s">
        <v>13326</v>
      </c>
      <c r="L6776" s="11">
        <v>3.026159221562613</v>
      </c>
      <c r="N6776" s="12"/>
    </row>
    <row r="6777" spans="1:14" s="5" customFormat="1" ht="15" customHeight="1" x14ac:dyDescent="0.25">
      <c r="A6777" s="9" t="s">
        <v>13327</v>
      </c>
      <c r="C6777" s="9" t="str">
        <f>HYPERLINK("http://www.ncbi.nlm.nih.gov/protein/161353502","Serpinh1")</f>
        <v>Serpinh1</v>
      </c>
      <c r="D6777" s="10">
        <f t="shared" si="105"/>
        <v>5.150714699046353</v>
      </c>
      <c r="F6777" s="8" t="str">
        <f>HYPERLINK("https://esbl.nhlbi.nih.gov/Databases/mpkFractions/proteomic_fractions_log_files/Yang_log_img/161353502.jpg","show blot")</f>
        <v>show blot</v>
      </c>
      <c r="H6777" s="8" t="str">
        <f>HYPERLINK("https://esbl.nhlbi.nih.gov/Databases/mpkFractions/proteomic_fractions_linear_files/Yang_linear_img/161353502.jpg","show blot")</f>
        <v>show blot</v>
      </c>
      <c r="J6777" s="5" t="s">
        <v>13328</v>
      </c>
      <c r="L6777" s="11">
        <v>5.150714699046353</v>
      </c>
      <c r="N6777" s="12"/>
    </row>
    <row r="6778" spans="1:14" s="5" customFormat="1" ht="15" customHeight="1" x14ac:dyDescent="0.25">
      <c r="A6778" s="9" t="s">
        <v>13329</v>
      </c>
      <c r="C6778" s="9" t="str">
        <f>HYPERLINK("http://www.ncbi.nlm.nih.gov/protein/30425210","Sestd1")</f>
        <v>Sestd1</v>
      </c>
      <c r="D6778" s="10">
        <f t="shared" si="105"/>
        <v>5.0256407287972804</v>
      </c>
      <c r="F6778" s="8" t="str">
        <f>HYPERLINK("https://esbl.nhlbi.nih.gov/Databases/mpkFractions/proteomic_fractions_log_files/Yang_log_img/30425210.jpg","show blot")</f>
        <v>show blot</v>
      </c>
      <c r="H6778" s="8" t="str">
        <f>HYPERLINK("https://esbl.nhlbi.nih.gov/Databases/mpkFractions/proteomic_fractions_linear_files/Yang_linear_img/30425210.jpg","show blot")</f>
        <v>show blot</v>
      </c>
      <c r="J6778" s="5" t="s">
        <v>13330</v>
      </c>
      <c r="L6778" s="11">
        <v>5.0256407287972804</v>
      </c>
      <c r="N6778" s="12"/>
    </row>
    <row r="6779" spans="1:14" s="5" customFormat="1" ht="15" customHeight="1" x14ac:dyDescent="0.25">
      <c r="A6779" s="9" t="s">
        <v>13331</v>
      </c>
      <c r="C6779" s="9" t="str">
        <f>HYPERLINK("http://www.ncbi.nlm.nih.gov/protein/13591862","Set")</f>
        <v>Set</v>
      </c>
      <c r="D6779" s="10">
        <f t="shared" si="105"/>
        <v>6.5717880339362287</v>
      </c>
      <c r="F6779" s="8" t="str">
        <f>HYPERLINK("https://esbl.nhlbi.nih.gov/Databases/mpkFractions/proteomic_fractions_log_files/Yang_log_img/13591862.jpg","show blot")</f>
        <v>show blot</v>
      </c>
      <c r="H6779" s="8" t="str">
        <f>HYPERLINK("https://esbl.nhlbi.nih.gov/Databases/mpkFractions/proteomic_fractions_linear_files/Yang_linear_img/13591862.jpg","show blot")</f>
        <v>show blot</v>
      </c>
      <c r="J6779" s="5" t="s">
        <v>13332</v>
      </c>
      <c r="L6779" s="11">
        <v>6.5717880339362287</v>
      </c>
      <c r="N6779" s="12"/>
    </row>
    <row r="6780" spans="1:14" s="5" customFormat="1" ht="15" customHeight="1" x14ac:dyDescent="0.25">
      <c r="A6780" s="9" t="s">
        <v>13333</v>
      </c>
      <c r="C6780" s="9" t="str">
        <f>HYPERLINK("http://www.ncbi.nlm.nih.gov/protein/325910859","Set")</f>
        <v>Set</v>
      </c>
      <c r="D6780" s="10">
        <f t="shared" si="105"/>
        <v>6.5717880339362287</v>
      </c>
      <c r="F6780" s="8" t="str">
        <f>HYPERLINK("https://esbl.nhlbi.nih.gov/Databases/mpkFractions/proteomic_fractions_log_files/Yang_log_img/325910859.jpg","show blot")</f>
        <v>show blot</v>
      </c>
      <c r="H6780" s="8" t="str">
        <f>HYPERLINK("https://esbl.nhlbi.nih.gov/Databases/mpkFractions/proteomic_fractions_linear_files/Yang_linear_img/325910859.jpg","show blot")</f>
        <v>show blot</v>
      </c>
      <c r="J6780" s="5" t="s">
        <v>13334</v>
      </c>
      <c r="L6780" s="11">
        <v>6.5717880339362287</v>
      </c>
      <c r="N6780" s="12"/>
    </row>
    <row r="6781" spans="1:14" s="5" customFormat="1" ht="15" customHeight="1" x14ac:dyDescent="0.25">
      <c r="A6781" s="9" t="s">
        <v>13335</v>
      </c>
      <c r="C6781" s="9" t="str">
        <f>HYPERLINK("http://www.ncbi.nlm.nih.gov/protein/119508422","Setd1a")</f>
        <v>Setd1a</v>
      </c>
      <c r="D6781" s="10">
        <f t="shared" si="105"/>
        <v>2.4284227443846058</v>
      </c>
      <c r="F6781" s="8" t="str">
        <f>HYPERLINK("https://esbl.nhlbi.nih.gov/Databases/mpkFractions/proteomic_fractions_log_files/Yang_log_img/119508422.jpg","show blot")</f>
        <v>show blot</v>
      </c>
      <c r="H6781" s="8" t="str">
        <f>HYPERLINK("https://esbl.nhlbi.nih.gov/Databases/mpkFractions/proteomic_fractions_linear_files/Yang_linear_img/119508422.jpg","show blot")</f>
        <v>show blot</v>
      </c>
      <c r="J6781" s="5" t="s">
        <v>13336</v>
      </c>
      <c r="L6781" s="11">
        <v>2.4284227443846058</v>
      </c>
      <c r="N6781" s="12"/>
    </row>
    <row r="6782" spans="1:14" s="5" customFormat="1" ht="15" customHeight="1" x14ac:dyDescent="0.25">
      <c r="A6782" s="9" t="s">
        <v>13337</v>
      </c>
      <c r="C6782" s="9" t="str">
        <f>HYPERLINK("http://www.ncbi.nlm.nih.gov/protein/268370088","Setd3")</f>
        <v>Setd3</v>
      </c>
      <c r="D6782" s="10">
        <f t="shared" si="105"/>
        <v>5.2966034017171602</v>
      </c>
      <c r="F6782" s="8" t="str">
        <f>HYPERLINK("https://esbl.nhlbi.nih.gov/Databases/mpkFractions/proteomic_fractions_log_files/Yang_log_img/268370088.jpg","show blot")</f>
        <v>show blot</v>
      </c>
      <c r="H6782" s="8" t="str">
        <f>HYPERLINK("https://esbl.nhlbi.nih.gov/Databases/mpkFractions/proteomic_fractions_linear_files/Yang_linear_img/268370088.jpg","show blot")</f>
        <v>show blot</v>
      </c>
      <c r="J6782" s="5" t="s">
        <v>13338</v>
      </c>
      <c r="L6782" s="11">
        <v>5.2966034017171602</v>
      </c>
      <c r="N6782" s="12"/>
    </row>
    <row r="6783" spans="1:14" s="5" customFormat="1" ht="15" customHeight="1" x14ac:dyDescent="0.25">
      <c r="A6783" s="9" t="s">
        <v>13339</v>
      </c>
      <c r="C6783" s="9" t="str">
        <f>HYPERLINK("http://www.ncbi.nlm.nih.gov/protein/84490382","Setd7")</f>
        <v>Setd7</v>
      </c>
      <c r="D6783" s="10">
        <f t="shared" si="105"/>
        <v>4.4046374786579152</v>
      </c>
      <c r="F6783" s="8" t="str">
        <f>HYPERLINK("https://esbl.nhlbi.nih.gov/Databases/mpkFractions/proteomic_fractions_log_files/Yang_log_img/84490382.jpg","show blot")</f>
        <v>show blot</v>
      </c>
      <c r="H6783" s="8" t="str">
        <f>HYPERLINK("https://esbl.nhlbi.nih.gov/Databases/mpkFractions/proteomic_fractions_linear_files/Yang_linear_img/84490382.jpg","show blot")</f>
        <v>show blot</v>
      </c>
      <c r="J6783" s="5" t="s">
        <v>13340</v>
      </c>
      <c r="L6783" s="11">
        <v>4.4046374786579152</v>
      </c>
      <c r="N6783" s="12"/>
    </row>
    <row r="6784" spans="1:14" s="5" customFormat="1" ht="15" customHeight="1" x14ac:dyDescent="0.25">
      <c r="A6784" s="9" t="s">
        <v>13341</v>
      </c>
      <c r="C6784" s="9" t="str">
        <f>HYPERLINK("http://www.ncbi.nlm.nih.gov/protein/113722131","Setx")</f>
        <v>Setx</v>
      </c>
      <c r="D6784" s="10">
        <f t="shared" si="105"/>
        <v>1.7766620579187751</v>
      </c>
      <c r="F6784" s="8" t="str">
        <f>HYPERLINK("https://esbl.nhlbi.nih.gov/Databases/mpkFractions/proteomic_fractions_log_files/Yang_log_img/113722131.jpg","show blot")</f>
        <v>show blot</v>
      </c>
      <c r="H6784" s="8" t="str">
        <f>HYPERLINK("https://esbl.nhlbi.nih.gov/Databases/mpkFractions/proteomic_fractions_linear_files/Yang_linear_img/113722131.jpg","show blot")</f>
        <v>show blot</v>
      </c>
      <c r="J6784" s="5" t="s">
        <v>13342</v>
      </c>
      <c r="L6784" s="11">
        <v>1.7766620579187751</v>
      </c>
      <c r="N6784" s="12"/>
    </row>
    <row r="6785" spans="1:14" s="5" customFormat="1" ht="15" customHeight="1" x14ac:dyDescent="0.25">
      <c r="A6785" s="9" t="s">
        <v>13343</v>
      </c>
      <c r="C6785" s="9" t="str">
        <f>HYPERLINK("http://www.ncbi.nlm.nih.gov/protein/160707945","Sf1")</f>
        <v>Sf1</v>
      </c>
      <c r="D6785" s="10">
        <f t="shared" si="105"/>
        <v>4.9070857620817412</v>
      </c>
      <c r="F6785" s="8" t="str">
        <f>HYPERLINK("https://esbl.nhlbi.nih.gov/Databases/mpkFractions/proteomic_fractions_log_files/Yang_log_img/160707945.jpg","show blot")</f>
        <v>show blot</v>
      </c>
      <c r="H6785" s="8" t="str">
        <f>HYPERLINK("https://esbl.nhlbi.nih.gov/Databases/mpkFractions/proteomic_fractions_linear_files/Yang_linear_img/160707945.jpg","show blot")</f>
        <v>show blot</v>
      </c>
      <c r="J6785" s="5" t="s">
        <v>13344</v>
      </c>
      <c r="L6785" s="11">
        <v>4.9070857620817412</v>
      </c>
      <c r="N6785" s="12"/>
    </row>
    <row r="6786" spans="1:14" s="5" customFormat="1" ht="15" customHeight="1" x14ac:dyDescent="0.25">
      <c r="A6786" s="9" t="s">
        <v>13345</v>
      </c>
      <c r="C6786" s="9" t="str">
        <f>HYPERLINK("http://www.ncbi.nlm.nih.gov/protein/160707947","Sf1")</f>
        <v>Sf1</v>
      </c>
      <c r="D6786" s="10">
        <f t="shared" si="105"/>
        <v>4.9070857620817412</v>
      </c>
      <c r="F6786" s="8" t="str">
        <f>HYPERLINK("https://esbl.nhlbi.nih.gov/Databases/mpkFractions/proteomic_fractions_log_files/Yang_log_img/160707947.jpg","show blot")</f>
        <v>show blot</v>
      </c>
      <c r="H6786" s="8" t="str">
        <f>HYPERLINK("https://esbl.nhlbi.nih.gov/Databases/mpkFractions/proteomic_fractions_linear_files/Yang_linear_img/160707947.jpg","show blot")</f>
        <v>show blot</v>
      </c>
      <c r="J6786" s="5" t="s">
        <v>13346</v>
      </c>
      <c r="L6786" s="11">
        <v>4.9070857620817412</v>
      </c>
      <c r="N6786" s="12"/>
    </row>
    <row r="6787" spans="1:14" s="5" customFormat="1" ht="15" customHeight="1" x14ac:dyDescent="0.25">
      <c r="A6787" s="9" t="s">
        <v>13347</v>
      </c>
      <c r="C6787" s="9" t="str">
        <f>HYPERLINK("http://www.ncbi.nlm.nih.gov/protein/165932270","Sf3a1")</f>
        <v>Sf3a1</v>
      </c>
      <c r="D6787" s="10">
        <f t="shared" si="105"/>
        <v>5.4261917457001747</v>
      </c>
      <c r="F6787" s="8" t="str">
        <f>HYPERLINK("https://esbl.nhlbi.nih.gov/Databases/mpkFractions/proteomic_fractions_log_files/Yang_log_img/165932270.jpg","show blot")</f>
        <v>show blot</v>
      </c>
      <c r="H6787" s="8" t="str">
        <f>HYPERLINK("https://esbl.nhlbi.nih.gov/Databases/mpkFractions/proteomic_fractions_linear_files/Yang_linear_img/165932270.jpg","show blot")</f>
        <v>show blot</v>
      </c>
      <c r="J6787" s="5" t="s">
        <v>13348</v>
      </c>
      <c r="L6787" s="11">
        <v>5.4261917457001747</v>
      </c>
      <c r="N6787" s="12"/>
    </row>
    <row r="6788" spans="1:14" s="5" customFormat="1" ht="15" customHeight="1" x14ac:dyDescent="0.25">
      <c r="A6788" s="9" t="s">
        <v>13349</v>
      </c>
      <c r="C6788" s="9" t="str">
        <f>HYPERLINK("http://www.ncbi.nlm.nih.gov/protein/158749553","Sf3a2")</f>
        <v>Sf3a2</v>
      </c>
      <c r="D6788" s="10">
        <f t="shared" si="105"/>
        <v>4.4770665251706001</v>
      </c>
      <c r="F6788" s="8" t="str">
        <f>HYPERLINK("https://esbl.nhlbi.nih.gov/Databases/mpkFractions/proteomic_fractions_log_files/Yang_log_img/158749553.jpg","show blot")</f>
        <v>show blot</v>
      </c>
      <c r="H6788" s="8" t="str">
        <f>HYPERLINK("https://esbl.nhlbi.nih.gov/Databases/mpkFractions/proteomic_fractions_linear_files/Yang_linear_img/158749553.jpg","show blot")</f>
        <v>show blot</v>
      </c>
      <c r="J6788" s="5" t="s">
        <v>13350</v>
      </c>
      <c r="L6788" s="11">
        <v>4.4770665251706001</v>
      </c>
      <c r="N6788" s="12"/>
    </row>
    <row r="6789" spans="1:14" s="5" customFormat="1" ht="15" customHeight="1" x14ac:dyDescent="0.25">
      <c r="A6789" s="9" t="s">
        <v>13351</v>
      </c>
      <c r="C6789" s="9" t="str">
        <f>HYPERLINK("http://www.ncbi.nlm.nih.gov/protein/22095003","Sf3a3")</f>
        <v>Sf3a3</v>
      </c>
      <c r="D6789" s="10">
        <f t="shared" ref="D6789:D6852" si="106">L6789</f>
        <v>4.8435217864472682</v>
      </c>
      <c r="F6789" s="8" t="str">
        <f>HYPERLINK("https://esbl.nhlbi.nih.gov/Databases/mpkFractions/proteomic_fractions_log_files/Yang_log_img/22095003.jpg","show blot")</f>
        <v>show blot</v>
      </c>
      <c r="H6789" s="8" t="str">
        <f>HYPERLINK("https://esbl.nhlbi.nih.gov/Databases/mpkFractions/proteomic_fractions_linear_files/Yang_linear_img/22095003.jpg","show blot")</f>
        <v>show blot</v>
      </c>
      <c r="J6789" s="5" t="s">
        <v>13352</v>
      </c>
      <c r="L6789" s="11">
        <v>4.8435217864472682</v>
      </c>
      <c r="N6789" s="12"/>
    </row>
    <row r="6790" spans="1:14" s="5" customFormat="1" ht="15" customHeight="1" x14ac:dyDescent="0.25">
      <c r="A6790" s="9" t="s">
        <v>13353</v>
      </c>
      <c r="C6790" s="9" t="str">
        <f>HYPERLINK("http://www.ncbi.nlm.nih.gov/protein/153791358","Sf3b1")</f>
        <v>Sf3b1</v>
      </c>
      <c r="D6790" s="10">
        <f t="shared" si="106"/>
        <v>5.6096651020687647</v>
      </c>
      <c r="F6790" s="8" t="str">
        <f>HYPERLINK("https://esbl.nhlbi.nih.gov/Databases/mpkFractions/proteomic_fractions_log_files/Yang_log_img/153791358.jpg","show blot")</f>
        <v>show blot</v>
      </c>
      <c r="H6790" s="8" t="str">
        <f>HYPERLINK("https://esbl.nhlbi.nih.gov/Databases/mpkFractions/proteomic_fractions_linear_files/Yang_linear_img/153791358.jpg","show blot")</f>
        <v>show blot</v>
      </c>
      <c r="J6790" s="5" t="s">
        <v>13354</v>
      </c>
      <c r="L6790" s="11">
        <v>5.6096651020687647</v>
      </c>
      <c r="N6790" s="12"/>
    </row>
    <row r="6791" spans="1:14" s="5" customFormat="1" ht="15" customHeight="1" x14ac:dyDescent="0.25">
      <c r="A6791" s="9" t="s">
        <v>13355</v>
      </c>
      <c r="C6791" s="9" t="str">
        <f>HYPERLINK("http://www.ncbi.nlm.nih.gov/protein/268837785","Sf3b2")</f>
        <v>Sf3b2</v>
      </c>
      <c r="D6791" s="10">
        <f t="shared" si="106"/>
        <v>5.3284478601034486</v>
      </c>
      <c r="F6791" s="8" t="str">
        <f>HYPERLINK("https://esbl.nhlbi.nih.gov/Databases/mpkFractions/proteomic_fractions_log_files/Yang_log_img/268837785.jpg","show blot")</f>
        <v>show blot</v>
      </c>
      <c r="H6791" s="8" t="str">
        <f>HYPERLINK("https://esbl.nhlbi.nih.gov/Databases/mpkFractions/proteomic_fractions_linear_files/Yang_linear_img/268837785.jpg","show blot")</f>
        <v>show blot</v>
      </c>
      <c r="J6791" s="5" t="s">
        <v>13356</v>
      </c>
      <c r="L6791" s="11">
        <v>5.3284478601034486</v>
      </c>
      <c r="N6791" s="12"/>
    </row>
    <row r="6792" spans="1:14" s="5" customFormat="1" ht="15" customHeight="1" x14ac:dyDescent="0.25">
      <c r="A6792" s="9" t="s">
        <v>13357</v>
      </c>
      <c r="C6792" s="9" t="str">
        <f>HYPERLINK("http://www.ncbi.nlm.nih.gov/protein/19527174","Sf3b3")</f>
        <v>Sf3b3</v>
      </c>
      <c r="D6792" s="10">
        <f t="shared" si="106"/>
        <v>5.834298932565777</v>
      </c>
      <c r="F6792" s="8" t="str">
        <f>HYPERLINK("https://esbl.nhlbi.nih.gov/Databases/mpkFractions/proteomic_fractions_log_files/Yang_log_img/19527174.jpg","show blot")</f>
        <v>show blot</v>
      </c>
      <c r="H6792" s="8" t="str">
        <f>HYPERLINK("https://esbl.nhlbi.nih.gov/Databases/mpkFractions/proteomic_fractions_linear_files/Yang_linear_img/19527174.jpg","show blot")</f>
        <v>show blot</v>
      </c>
      <c r="J6792" s="5" t="s">
        <v>13358</v>
      </c>
      <c r="L6792" s="11">
        <v>5.834298932565777</v>
      </c>
      <c r="N6792" s="12"/>
    </row>
    <row r="6793" spans="1:14" s="5" customFormat="1" ht="15" customHeight="1" x14ac:dyDescent="0.25">
      <c r="A6793" s="9" t="s">
        <v>13359</v>
      </c>
      <c r="C6793" s="9" t="str">
        <f>HYPERLINK("http://www.ncbi.nlm.nih.gov/protein/23346437","Sf3b4")</f>
        <v>Sf3b4</v>
      </c>
      <c r="D6793" s="10">
        <f t="shared" si="106"/>
        <v>3.8149955257514319</v>
      </c>
      <c r="F6793" s="8" t="str">
        <f>HYPERLINK("https://esbl.nhlbi.nih.gov/Databases/mpkFractions/proteomic_fractions_log_files/Yang_log_img/23346437.jpg","show blot")</f>
        <v>show blot</v>
      </c>
      <c r="H6793" s="8" t="str">
        <f>HYPERLINK("https://esbl.nhlbi.nih.gov/Databases/mpkFractions/proteomic_fractions_linear_files/Yang_linear_img/23346437.jpg","show blot")</f>
        <v>show blot</v>
      </c>
      <c r="J6793" s="5" t="s">
        <v>13360</v>
      </c>
      <c r="L6793" s="11">
        <v>3.8149955257514319</v>
      </c>
      <c r="N6793" s="12"/>
    </row>
    <row r="6794" spans="1:14" s="5" customFormat="1" ht="15" customHeight="1" x14ac:dyDescent="0.25">
      <c r="A6794" s="9" t="s">
        <v>13361</v>
      </c>
      <c r="C6794" s="9" t="str">
        <f>HYPERLINK("http://www.ncbi.nlm.nih.gov/protein/85540445","Sf3b5")</f>
        <v>Sf3b5</v>
      </c>
      <c r="D6794" s="10">
        <f t="shared" si="106"/>
        <v>5.2639204411129921</v>
      </c>
      <c r="F6794" s="8" t="str">
        <f>HYPERLINK("https://esbl.nhlbi.nih.gov/Databases/mpkFractions/proteomic_fractions_log_files/Yang_log_img/85540445.jpg","show blot")</f>
        <v>show blot</v>
      </c>
      <c r="H6794" s="8" t="str">
        <f>HYPERLINK("https://esbl.nhlbi.nih.gov/Databases/mpkFractions/proteomic_fractions_linear_files/Yang_linear_img/85540445.jpg","show blot")</f>
        <v>show blot</v>
      </c>
      <c r="J6794" s="5" t="s">
        <v>13362</v>
      </c>
      <c r="L6794" s="11">
        <v>5.2639204411129921</v>
      </c>
      <c r="N6794" s="12"/>
    </row>
    <row r="6795" spans="1:14" s="5" customFormat="1" ht="15" customHeight="1" x14ac:dyDescent="0.25">
      <c r="A6795" s="9" t="s">
        <v>13363</v>
      </c>
      <c r="C6795" s="9" t="str">
        <f>HYPERLINK("http://www.ncbi.nlm.nih.gov/protein/134023662","Sfn")</f>
        <v>Sfn</v>
      </c>
      <c r="D6795" s="10">
        <f t="shared" si="106"/>
        <v>6.9541945648594581</v>
      </c>
      <c r="F6795" s="8" t="str">
        <f>HYPERLINK("https://esbl.nhlbi.nih.gov/Databases/mpkFractions/proteomic_fractions_log_files/Yang_log_img/134023662.jpg","show blot")</f>
        <v>show blot</v>
      </c>
      <c r="H6795" s="8" t="str">
        <f>HYPERLINK("https://esbl.nhlbi.nih.gov/Databases/mpkFractions/proteomic_fractions_linear_files/Yang_linear_img/134023662.jpg","show blot")</f>
        <v>show blot</v>
      </c>
      <c r="J6795" s="5" t="s">
        <v>13364</v>
      </c>
      <c r="L6795" s="11">
        <v>6.9541945648594581</v>
      </c>
      <c r="N6795" s="12"/>
    </row>
    <row r="6796" spans="1:14" s="5" customFormat="1" ht="15" customHeight="1" x14ac:dyDescent="0.25">
      <c r="A6796" s="9" t="s">
        <v>13365</v>
      </c>
      <c r="C6796" s="9" t="str">
        <f>HYPERLINK("http://www.ncbi.nlm.nih.gov/protein/23956214","Sfpq")</f>
        <v>Sfpq</v>
      </c>
      <c r="D6796" s="10">
        <f t="shared" si="106"/>
        <v>6.0297130138177923</v>
      </c>
      <c r="F6796" s="8" t="str">
        <f>HYPERLINK("https://esbl.nhlbi.nih.gov/Databases/mpkFractions/proteomic_fractions_log_files/Yang_log_img/23956214.jpg","show blot")</f>
        <v>show blot</v>
      </c>
      <c r="H6796" s="8" t="str">
        <f>HYPERLINK("https://esbl.nhlbi.nih.gov/Databases/mpkFractions/proteomic_fractions_linear_files/Yang_linear_img/23956214.jpg","show blot")</f>
        <v>show blot</v>
      </c>
      <c r="J6796" s="5" t="s">
        <v>13366</v>
      </c>
      <c r="L6796" s="11">
        <v>6.0297130138177923</v>
      </c>
      <c r="N6796" s="12"/>
    </row>
    <row r="6797" spans="1:14" s="5" customFormat="1" ht="15" customHeight="1" x14ac:dyDescent="0.25">
      <c r="A6797" s="9" t="s">
        <v>13367</v>
      </c>
      <c r="C6797" s="9" t="str">
        <f>HYPERLINK("http://www.ncbi.nlm.nih.gov/protein/125662573","Sfr1")</f>
        <v>Sfr1</v>
      </c>
      <c r="D6797" s="10">
        <f t="shared" si="106"/>
        <v>4.860335339426074</v>
      </c>
      <c r="F6797" s="8" t="str">
        <f>HYPERLINK("https://esbl.nhlbi.nih.gov/Databases/mpkFractions/proteomic_fractions_log_files/Yang_log_img/125662573.jpg","show blot")</f>
        <v>show blot</v>
      </c>
      <c r="H6797" s="8" t="str">
        <f>HYPERLINK("https://esbl.nhlbi.nih.gov/Databases/mpkFractions/proteomic_fractions_linear_files/Yang_linear_img/125662573.jpg","show blot")</f>
        <v>show blot</v>
      </c>
      <c r="J6797" s="5" t="s">
        <v>13368</v>
      </c>
      <c r="L6797" s="11">
        <v>4.860335339426074</v>
      </c>
      <c r="N6797" s="12"/>
    </row>
    <row r="6798" spans="1:14" s="5" customFormat="1" ht="15" customHeight="1" x14ac:dyDescent="0.25">
      <c r="A6798" s="9" t="s">
        <v>13369</v>
      </c>
      <c r="C6798" s="9" t="str">
        <f>HYPERLINK("http://www.ncbi.nlm.nih.gov/protein/226437597","Sfrs18")</f>
        <v>Sfrs18</v>
      </c>
      <c r="D6798" s="10">
        <f t="shared" si="106"/>
        <v>3.4258709574434998</v>
      </c>
      <c r="F6798" s="8" t="str">
        <f>HYPERLINK("https://esbl.nhlbi.nih.gov/Databases/mpkFractions/proteomic_fractions_log_files/Yang_log_img/226437597.jpg","show blot")</f>
        <v>show blot</v>
      </c>
      <c r="H6798" s="8" t="str">
        <f>HYPERLINK("https://esbl.nhlbi.nih.gov/Databases/mpkFractions/proteomic_fractions_linear_files/Yang_linear_img/226437597.jpg","show blot")</f>
        <v>show blot</v>
      </c>
      <c r="J6798" s="5" t="s">
        <v>13370</v>
      </c>
      <c r="L6798" s="11">
        <v>3.4258709574434998</v>
      </c>
      <c r="N6798" s="12"/>
    </row>
    <row r="6799" spans="1:14" s="5" customFormat="1" ht="15" customHeight="1" x14ac:dyDescent="0.25">
      <c r="A6799" s="9" t="s">
        <v>13371</v>
      </c>
      <c r="C6799" s="9" t="str">
        <f>HYPERLINK("http://www.ncbi.nlm.nih.gov/protein/21704008","Sft2d2")</f>
        <v>Sft2d2</v>
      </c>
      <c r="D6799" s="10">
        <f t="shared" si="106"/>
        <v>4.2799080807979921</v>
      </c>
      <c r="F6799" s="8" t="str">
        <f>HYPERLINK("https://esbl.nhlbi.nih.gov/Databases/mpkFractions/proteomic_fractions_log_files/Yang_log_img/21704008.jpg","show blot")</f>
        <v>show blot</v>
      </c>
      <c r="H6799" s="8" t="str">
        <f>HYPERLINK("https://esbl.nhlbi.nih.gov/Databases/mpkFractions/proteomic_fractions_linear_files/Yang_linear_img/21704008.jpg","show blot")</f>
        <v>show blot</v>
      </c>
      <c r="J6799" s="5" t="s">
        <v>13372</v>
      </c>
      <c r="L6799" s="11">
        <v>4.2799080807979921</v>
      </c>
      <c r="N6799" s="12"/>
    </row>
    <row r="6800" spans="1:14" s="5" customFormat="1" ht="15" customHeight="1" x14ac:dyDescent="0.25">
      <c r="A6800" s="9" t="s">
        <v>13373</v>
      </c>
      <c r="C6800" s="9" t="str">
        <f>HYPERLINK("http://www.ncbi.nlm.nih.gov/protein/242247185","Sft2d3")</f>
        <v>Sft2d3</v>
      </c>
      <c r="D6800" s="10">
        <f t="shared" si="106"/>
        <v>3.9671275127967172</v>
      </c>
      <c r="F6800" s="8" t="str">
        <f>HYPERLINK("https://esbl.nhlbi.nih.gov/Databases/mpkFractions/proteomic_fractions_log_files/Yang_log_img/242247185.jpg","show blot")</f>
        <v>show blot</v>
      </c>
      <c r="H6800" s="8" t="str">
        <f>HYPERLINK("https://esbl.nhlbi.nih.gov/Databases/mpkFractions/proteomic_fractions_linear_files/Yang_linear_img/242247185.jpg","show blot")</f>
        <v>show blot</v>
      </c>
      <c r="J6800" s="5" t="s">
        <v>13374</v>
      </c>
      <c r="L6800" s="11">
        <v>3.9671275127967172</v>
      </c>
      <c r="N6800" s="12"/>
    </row>
    <row r="6801" spans="1:14" s="5" customFormat="1" ht="15" customHeight="1" x14ac:dyDescent="0.25">
      <c r="A6801" s="9" t="s">
        <v>13375</v>
      </c>
      <c r="C6801" s="9" t="str">
        <f>HYPERLINK("http://www.ncbi.nlm.nih.gov/protein/15147224","Sfxn1")</f>
        <v>Sfxn1</v>
      </c>
      <c r="D6801" s="10">
        <f t="shared" si="106"/>
        <v>5.5856695518470287</v>
      </c>
      <c r="F6801" s="8" t="str">
        <f>HYPERLINK("https://esbl.nhlbi.nih.gov/Databases/mpkFractions/proteomic_fractions_log_files/Yang_log_img/15147224.jpg","show blot")</f>
        <v>show blot</v>
      </c>
      <c r="H6801" s="8" t="str">
        <f>HYPERLINK("https://esbl.nhlbi.nih.gov/Databases/mpkFractions/proteomic_fractions_linear_files/Yang_linear_img/15147224.jpg","show blot")</f>
        <v>show blot</v>
      </c>
      <c r="J6801" s="5" t="s">
        <v>13376</v>
      </c>
      <c r="L6801" s="11">
        <v>5.5856695518470287</v>
      </c>
      <c r="N6801" s="12"/>
    </row>
    <row r="6802" spans="1:14" s="5" customFormat="1" ht="15" customHeight="1" x14ac:dyDescent="0.25">
      <c r="A6802" s="9" t="s">
        <v>13377</v>
      </c>
      <c r="C6802" s="9" t="str">
        <f>HYPERLINK("http://www.ncbi.nlm.nih.gov/protein/86439984","Sfxn2")</f>
        <v>Sfxn2</v>
      </c>
      <c r="D6802" s="10">
        <f t="shared" si="106"/>
        <v>4.1502724335728924</v>
      </c>
      <c r="F6802" s="8" t="str">
        <f>HYPERLINK("https://esbl.nhlbi.nih.gov/Databases/mpkFractions/proteomic_fractions_log_files/Yang_log_img/86439984.jpg","show blot")</f>
        <v>show blot</v>
      </c>
      <c r="H6802" s="8" t="str">
        <f>HYPERLINK("https://esbl.nhlbi.nih.gov/Databases/mpkFractions/proteomic_fractions_linear_files/Yang_linear_img/86439984.jpg","show blot")</f>
        <v>show blot</v>
      </c>
      <c r="J6802" s="5" t="s">
        <v>13378</v>
      </c>
      <c r="L6802" s="11">
        <v>4.1502724335728924</v>
      </c>
      <c r="N6802" s="12"/>
    </row>
    <row r="6803" spans="1:14" s="5" customFormat="1" ht="15" customHeight="1" x14ac:dyDescent="0.25">
      <c r="A6803" s="9" t="s">
        <v>13379</v>
      </c>
      <c r="C6803" s="9" t="str">
        <f>HYPERLINK("http://www.ncbi.nlm.nih.gov/protein/16716499","Sfxn3")</f>
        <v>Sfxn3</v>
      </c>
      <c r="D6803" s="10">
        <f t="shared" si="106"/>
        <v>5.2836688053241838</v>
      </c>
      <c r="F6803" s="8" t="str">
        <f>HYPERLINK("https://esbl.nhlbi.nih.gov/Databases/mpkFractions/proteomic_fractions_log_files/Yang_log_img/16716499.jpg","show blot")</f>
        <v>show blot</v>
      </c>
      <c r="H6803" s="8" t="str">
        <f>HYPERLINK("https://esbl.nhlbi.nih.gov/Databases/mpkFractions/proteomic_fractions_linear_files/Yang_linear_img/16716499.jpg","show blot")</f>
        <v>show blot</v>
      </c>
      <c r="J6803" s="5" t="s">
        <v>13380</v>
      </c>
      <c r="L6803" s="11">
        <v>5.2836688053241838</v>
      </c>
      <c r="N6803" s="12"/>
    </row>
    <row r="6804" spans="1:14" s="5" customFormat="1" ht="15" customHeight="1" x14ac:dyDescent="0.25">
      <c r="A6804" s="9" t="s">
        <v>13381</v>
      </c>
      <c r="C6804" s="9" t="str">
        <f>HYPERLINK("http://www.ncbi.nlm.nih.gov/protein/295821210","Sfxn3")</f>
        <v>Sfxn3</v>
      </c>
      <c r="D6804" s="10">
        <f t="shared" si="106"/>
        <v>5.2836688053241838</v>
      </c>
      <c r="F6804" s="8" t="str">
        <f>HYPERLINK("https://esbl.nhlbi.nih.gov/Databases/mpkFractions/proteomic_fractions_log_files/Yang_log_img/295821210.jpg","show blot")</f>
        <v>show blot</v>
      </c>
      <c r="H6804" s="8" t="str">
        <f>HYPERLINK("https://esbl.nhlbi.nih.gov/Databases/mpkFractions/proteomic_fractions_linear_files/Yang_linear_img/295821210.jpg","show blot")</f>
        <v>show blot</v>
      </c>
      <c r="J6804" s="5" t="s">
        <v>13382</v>
      </c>
      <c r="L6804" s="11">
        <v>5.2836688053241838</v>
      </c>
      <c r="N6804" s="12"/>
    </row>
    <row r="6805" spans="1:14" s="5" customFormat="1" ht="15" customHeight="1" x14ac:dyDescent="0.25">
      <c r="A6805" s="9" t="s">
        <v>13383</v>
      </c>
      <c r="C6805" s="9" t="str">
        <f>HYPERLINK("http://www.ncbi.nlm.nih.gov/protein/295821212","Sfxn3")</f>
        <v>Sfxn3</v>
      </c>
      <c r="D6805" s="10">
        <f t="shared" si="106"/>
        <v>5.2836688053241838</v>
      </c>
      <c r="F6805" s="8" t="str">
        <f>HYPERLINK("https://esbl.nhlbi.nih.gov/Databases/mpkFractions/proteomic_fractions_log_files/Yang_log_img/295821212.jpg","show blot")</f>
        <v>show blot</v>
      </c>
      <c r="H6805" s="8" t="str">
        <f>HYPERLINK("https://esbl.nhlbi.nih.gov/Databases/mpkFractions/proteomic_fractions_linear_files/Yang_linear_img/295821212.jpg","show blot")</f>
        <v>show blot</v>
      </c>
      <c r="J6805" s="5" t="s">
        <v>13384</v>
      </c>
      <c r="L6805" s="11">
        <v>5.2836688053241838</v>
      </c>
      <c r="N6805" s="12"/>
    </row>
    <row r="6806" spans="1:14" s="5" customFormat="1" ht="15" customHeight="1" x14ac:dyDescent="0.25">
      <c r="A6806" s="9" t="s">
        <v>13385</v>
      </c>
      <c r="C6806" s="9" t="str">
        <f>HYPERLINK("http://www.ncbi.nlm.nih.gov/protein/31543694","Sgpl1")</f>
        <v>Sgpl1</v>
      </c>
      <c r="D6806" s="10">
        <f t="shared" si="106"/>
        <v>4.7448485861406642</v>
      </c>
      <c r="F6806" s="8" t="str">
        <f>HYPERLINK("https://esbl.nhlbi.nih.gov/Databases/mpkFractions/proteomic_fractions_log_files/Yang_log_img/31543694.jpg","show blot")</f>
        <v>show blot</v>
      </c>
      <c r="H6806" s="8" t="str">
        <f>HYPERLINK("https://esbl.nhlbi.nih.gov/Databases/mpkFractions/proteomic_fractions_linear_files/Yang_linear_img/31543694.jpg","show blot")</f>
        <v>show blot</v>
      </c>
      <c r="J6806" s="5" t="s">
        <v>13386</v>
      </c>
      <c r="L6806" s="11">
        <v>4.7448485861406642</v>
      </c>
      <c r="N6806" s="12"/>
    </row>
    <row r="6807" spans="1:14" s="5" customFormat="1" ht="15" customHeight="1" x14ac:dyDescent="0.25">
      <c r="A6807" s="9" t="s">
        <v>13387</v>
      </c>
      <c r="C6807" s="9" t="str">
        <f>HYPERLINK("http://www.ncbi.nlm.nih.gov/protein/31543697","Sgsh")</f>
        <v>Sgsh</v>
      </c>
      <c r="D6807" s="10">
        <f t="shared" si="106"/>
        <v>4.5414902086524611</v>
      </c>
      <c r="F6807" s="8" t="str">
        <f>HYPERLINK("https://esbl.nhlbi.nih.gov/Databases/mpkFractions/proteomic_fractions_log_files/Yang_log_img/31543697.jpg","show blot")</f>
        <v>show blot</v>
      </c>
      <c r="H6807" s="8" t="str">
        <f>HYPERLINK("https://esbl.nhlbi.nih.gov/Databases/mpkFractions/proteomic_fractions_linear_files/Yang_linear_img/31543697.jpg","show blot")</f>
        <v>show blot</v>
      </c>
      <c r="J6807" s="5" t="s">
        <v>13388</v>
      </c>
      <c r="L6807" s="11">
        <v>4.5414902086524611</v>
      </c>
      <c r="N6807" s="12"/>
    </row>
    <row r="6808" spans="1:14" s="5" customFormat="1" ht="15" customHeight="1" x14ac:dyDescent="0.25">
      <c r="A6808" s="9" t="s">
        <v>13389</v>
      </c>
      <c r="C6808" s="9" t="str">
        <f>HYPERLINK("http://www.ncbi.nlm.nih.gov/protein/21313588","Sgta")</f>
        <v>Sgta</v>
      </c>
      <c r="D6808" s="10">
        <f t="shared" si="106"/>
        <v>5.9114053692743989</v>
      </c>
      <c r="F6808" s="8" t="str">
        <f>HYPERLINK("https://esbl.nhlbi.nih.gov/Databases/mpkFractions/proteomic_fractions_log_files/Yang_log_img/21313588.jpg","show blot")</f>
        <v>show blot</v>
      </c>
      <c r="H6808" s="8" t="str">
        <f>HYPERLINK("https://esbl.nhlbi.nih.gov/Databases/mpkFractions/proteomic_fractions_linear_files/Yang_linear_img/21313588.jpg","show blot")</f>
        <v>show blot</v>
      </c>
      <c r="J6808" s="5" t="s">
        <v>13390</v>
      </c>
      <c r="L6808" s="11">
        <v>5.9114053692743989</v>
      </c>
      <c r="N6808" s="12"/>
    </row>
    <row r="6809" spans="1:14" s="5" customFormat="1" ht="15" customHeight="1" x14ac:dyDescent="0.25">
      <c r="A6809" s="9" t="s">
        <v>13391</v>
      </c>
      <c r="C6809" s="9" t="str">
        <f>HYPERLINK("http://www.ncbi.nlm.nih.gov/protein/206597474","Sh2d4a")</f>
        <v>Sh2d4a</v>
      </c>
      <c r="D6809" s="10">
        <f t="shared" si="106"/>
        <v>5.2475197210186284</v>
      </c>
      <c r="F6809" s="8" t="str">
        <f>HYPERLINK("https://esbl.nhlbi.nih.gov/Databases/mpkFractions/proteomic_fractions_log_files/Yang_log_img/206597474.jpg","show blot")</f>
        <v>show blot</v>
      </c>
      <c r="H6809" s="8" t="str">
        <f>HYPERLINK("https://esbl.nhlbi.nih.gov/Databases/mpkFractions/proteomic_fractions_linear_files/Yang_linear_img/206597474.jpg","show blot")</f>
        <v>show blot</v>
      </c>
      <c r="J6809" s="5" t="s">
        <v>13392</v>
      </c>
      <c r="L6809" s="11">
        <v>5.2475197210186284</v>
      </c>
      <c r="N6809" s="12"/>
    </row>
    <row r="6810" spans="1:14" s="5" customFormat="1" ht="15" customHeight="1" x14ac:dyDescent="0.25">
      <c r="A6810" s="9" t="s">
        <v>13393</v>
      </c>
      <c r="C6810" s="9" t="str">
        <f>HYPERLINK("http://www.ncbi.nlm.nih.gov/protein/9910548","Sh3bgrl")</f>
        <v>Sh3bgrl</v>
      </c>
      <c r="D6810" s="10">
        <f t="shared" si="106"/>
        <v>5.2920517928370012</v>
      </c>
      <c r="F6810" s="8" t="str">
        <f>HYPERLINK("https://esbl.nhlbi.nih.gov/Databases/mpkFractions/proteomic_fractions_log_files/Yang_log_img/9910548.jpg","show blot")</f>
        <v>show blot</v>
      </c>
      <c r="H6810" s="8" t="str">
        <f>HYPERLINK("https://esbl.nhlbi.nih.gov/Databases/mpkFractions/proteomic_fractions_linear_files/Yang_linear_img/9910548.jpg","show blot")</f>
        <v>show blot</v>
      </c>
      <c r="J6810" s="5" t="s">
        <v>13394</v>
      </c>
      <c r="L6810" s="11">
        <v>5.2920517928370012</v>
      </c>
      <c r="N6810" s="12"/>
    </row>
    <row r="6811" spans="1:14" s="5" customFormat="1" ht="15" customHeight="1" x14ac:dyDescent="0.25">
      <c r="A6811" s="9" t="s">
        <v>13395</v>
      </c>
      <c r="C6811" s="9" t="str">
        <f>HYPERLINK("http://www.ncbi.nlm.nih.gov/protein/27369694","Sh3bgrl2")</f>
        <v>Sh3bgrl2</v>
      </c>
      <c r="D6811" s="10">
        <f t="shared" si="106"/>
        <v>4.9816554360007128</v>
      </c>
      <c r="F6811" s="8" t="str">
        <f>HYPERLINK("https://esbl.nhlbi.nih.gov/Databases/mpkFractions/proteomic_fractions_log_files/Yang_log_img/27369694.jpg","show blot")</f>
        <v>show blot</v>
      </c>
      <c r="H6811" s="8" t="str">
        <f>HYPERLINK("https://esbl.nhlbi.nih.gov/Databases/mpkFractions/proteomic_fractions_linear_files/Yang_linear_img/27369694.jpg","show blot")</f>
        <v>show blot</v>
      </c>
      <c r="J6811" s="5" t="s">
        <v>13396</v>
      </c>
      <c r="L6811" s="11">
        <v>4.9816554360007128</v>
      </c>
      <c r="N6811" s="12"/>
    </row>
    <row r="6812" spans="1:14" s="5" customFormat="1" ht="15" customHeight="1" x14ac:dyDescent="0.25">
      <c r="A6812" s="9" t="s">
        <v>13397</v>
      </c>
      <c r="C6812" s="9" t="str">
        <f>HYPERLINK("http://www.ncbi.nlm.nih.gov/protein/18017602","Sh3bgrl3")</f>
        <v>Sh3bgrl3</v>
      </c>
      <c r="D6812" s="10">
        <f t="shared" si="106"/>
        <v>5.2971785840333157</v>
      </c>
      <c r="F6812" s="8" t="str">
        <f>HYPERLINK("https://esbl.nhlbi.nih.gov/Databases/mpkFractions/proteomic_fractions_log_files/Yang_log_img/18017602.jpg","show blot")</f>
        <v>show blot</v>
      </c>
      <c r="H6812" s="8" t="str">
        <f>HYPERLINK("https://esbl.nhlbi.nih.gov/Databases/mpkFractions/proteomic_fractions_linear_files/Yang_linear_img/18017602.jpg","show blot")</f>
        <v>show blot</v>
      </c>
      <c r="J6812" s="5" t="s">
        <v>13398</v>
      </c>
      <c r="L6812" s="11">
        <v>5.2971785840333157</v>
      </c>
      <c r="N6812" s="12"/>
    </row>
    <row r="6813" spans="1:14" s="5" customFormat="1" ht="15" customHeight="1" x14ac:dyDescent="0.25">
      <c r="A6813" s="9" t="s">
        <v>13399</v>
      </c>
      <c r="C6813" s="9" t="str">
        <f>HYPERLINK("http://www.ncbi.nlm.nih.gov/protein/85838509","Sh3bp1")</f>
        <v>Sh3bp1</v>
      </c>
      <c r="D6813" s="10">
        <f t="shared" si="106"/>
        <v>3.9093531300000062</v>
      </c>
      <c r="F6813" s="8" t="str">
        <f>HYPERLINK("https://esbl.nhlbi.nih.gov/Databases/mpkFractions/proteomic_fractions_log_files/Yang_log_img/85838509.jpg","show blot")</f>
        <v>show blot</v>
      </c>
      <c r="H6813" s="8" t="str">
        <f>HYPERLINK("https://esbl.nhlbi.nih.gov/Databases/mpkFractions/proteomic_fractions_linear_files/Yang_linear_img/85838509.jpg","show blot")</f>
        <v>show blot</v>
      </c>
      <c r="J6813" s="5" t="s">
        <v>13400</v>
      </c>
      <c r="L6813" s="11">
        <v>3.9093531300000062</v>
      </c>
      <c r="N6813" s="12"/>
    </row>
    <row r="6814" spans="1:14" s="5" customFormat="1" ht="15" customHeight="1" x14ac:dyDescent="0.25">
      <c r="A6814" s="9" t="s">
        <v>13401</v>
      </c>
      <c r="C6814" s="9" t="str">
        <f>HYPERLINK("http://www.ncbi.nlm.nih.gov/protein/19527036","Sh3bp4")</f>
        <v>Sh3bp4</v>
      </c>
      <c r="D6814" s="10">
        <f t="shared" si="106"/>
        <v>3.4748981018099738</v>
      </c>
      <c r="F6814" s="8" t="str">
        <f>HYPERLINK("https://esbl.nhlbi.nih.gov/Databases/mpkFractions/proteomic_fractions_log_files/Yang_log_img/19527036.jpg","show blot")</f>
        <v>show blot</v>
      </c>
      <c r="H6814" s="8" t="str">
        <f>HYPERLINK("https://esbl.nhlbi.nih.gov/Databases/mpkFractions/proteomic_fractions_linear_files/Yang_linear_img/19527036.jpg","show blot")</f>
        <v>show blot</v>
      </c>
      <c r="J6814" s="5" t="s">
        <v>13402</v>
      </c>
      <c r="L6814" s="11">
        <v>3.4748981018099738</v>
      </c>
      <c r="N6814" s="12"/>
    </row>
    <row r="6815" spans="1:14" s="5" customFormat="1" ht="15" customHeight="1" x14ac:dyDescent="0.25">
      <c r="A6815" s="9" t="s">
        <v>13403</v>
      </c>
      <c r="C6815" s="9" t="str">
        <f>HYPERLINK("http://www.ncbi.nlm.nih.gov/protein/170671710","Sh3d19")</f>
        <v>Sh3d19</v>
      </c>
      <c r="D6815" s="10">
        <f t="shared" si="106"/>
        <v>2.307496037913213</v>
      </c>
      <c r="F6815" s="8" t="str">
        <f>HYPERLINK("https://esbl.nhlbi.nih.gov/Databases/mpkFractions/proteomic_fractions_log_files/Yang_log_img/170671710.jpg","show blot")</f>
        <v>show blot</v>
      </c>
      <c r="H6815" s="8" t="str">
        <f>HYPERLINK("https://esbl.nhlbi.nih.gov/Databases/mpkFractions/proteomic_fractions_linear_files/Yang_linear_img/170671710.jpg","show blot")</f>
        <v>show blot</v>
      </c>
      <c r="J6815" s="5" t="s">
        <v>13404</v>
      </c>
      <c r="L6815" s="11">
        <v>2.307496037913213</v>
      </c>
      <c r="N6815" s="12"/>
    </row>
    <row r="6816" spans="1:14" s="5" customFormat="1" ht="15" customHeight="1" x14ac:dyDescent="0.25">
      <c r="A6816" s="9" t="s">
        <v>13405</v>
      </c>
      <c r="C6816" s="9" t="str">
        <f>HYPERLINK("http://www.ncbi.nlm.nih.gov/protein/357197145","Sh3gl1")</f>
        <v>Sh3gl1</v>
      </c>
      <c r="D6816" s="10">
        <f t="shared" si="106"/>
        <v>4.9257207964880489</v>
      </c>
      <c r="F6816" s="8" t="str">
        <f>HYPERLINK("https://esbl.nhlbi.nih.gov/Databases/mpkFractions/proteomic_fractions_log_files/Yang_log_img/357197145.jpg","show blot")</f>
        <v>show blot</v>
      </c>
      <c r="H6816" s="8" t="str">
        <f>HYPERLINK("https://esbl.nhlbi.nih.gov/Databases/mpkFractions/proteomic_fractions_linear_files/Yang_linear_img/357197145.jpg","show blot")</f>
        <v>show blot</v>
      </c>
      <c r="J6816" s="5" t="s">
        <v>13406</v>
      </c>
      <c r="L6816" s="11">
        <v>4.9257207964880489</v>
      </c>
      <c r="N6816" s="12"/>
    </row>
    <row r="6817" spans="1:14" s="5" customFormat="1" ht="15" customHeight="1" x14ac:dyDescent="0.25">
      <c r="A6817" s="9" t="s">
        <v>13407</v>
      </c>
      <c r="C6817" s="9" t="str">
        <f>HYPERLINK("http://www.ncbi.nlm.nih.gov/protein/7305485","Sh3gl1")</f>
        <v>Sh3gl1</v>
      </c>
      <c r="D6817" s="10">
        <f t="shared" si="106"/>
        <v>4.9257207964880489</v>
      </c>
      <c r="F6817" s="8" t="str">
        <f>HYPERLINK("https://esbl.nhlbi.nih.gov/Databases/mpkFractions/proteomic_fractions_log_files/Yang_log_img/7305485.jpg","show blot")</f>
        <v>show blot</v>
      </c>
      <c r="H6817" s="8" t="str">
        <f>HYPERLINK("https://esbl.nhlbi.nih.gov/Databases/mpkFractions/proteomic_fractions_linear_files/Yang_linear_img/7305485.jpg","show blot")</f>
        <v>show blot</v>
      </c>
      <c r="J6817" s="5" t="s">
        <v>13408</v>
      </c>
      <c r="L6817" s="11">
        <v>4.9257207964880489</v>
      </c>
      <c r="N6817" s="12"/>
    </row>
    <row r="6818" spans="1:14" s="5" customFormat="1" ht="15" customHeight="1" x14ac:dyDescent="0.25">
      <c r="A6818" s="9" t="s">
        <v>13409</v>
      </c>
      <c r="C6818" s="9" t="str">
        <f>HYPERLINK("http://www.ncbi.nlm.nih.gov/protein/31560792","Sh3gl2")</f>
        <v>Sh3gl2</v>
      </c>
      <c r="D6818" s="10">
        <f t="shared" si="106"/>
        <v>4.5109013865044876</v>
      </c>
      <c r="F6818" s="8" t="str">
        <f>HYPERLINK("https://esbl.nhlbi.nih.gov/Databases/mpkFractions/proteomic_fractions_log_files/Yang_log_img/31560792.jpg","show blot")</f>
        <v>show blot</v>
      </c>
      <c r="H6818" s="8" t="str">
        <f>HYPERLINK("https://esbl.nhlbi.nih.gov/Databases/mpkFractions/proteomic_fractions_linear_files/Yang_linear_img/31560792.jpg","show blot")</f>
        <v>show blot</v>
      </c>
      <c r="J6818" s="5" t="s">
        <v>13410</v>
      </c>
      <c r="L6818" s="11">
        <v>4.5109013865044876</v>
      </c>
      <c r="N6818" s="12"/>
    </row>
    <row r="6819" spans="1:14" s="5" customFormat="1" ht="15" customHeight="1" x14ac:dyDescent="0.25">
      <c r="A6819" s="9" t="s">
        <v>13411</v>
      </c>
      <c r="C6819" s="9" t="str">
        <f>HYPERLINK("http://www.ncbi.nlm.nih.gov/protein/530677952","Sh3glb1")</f>
        <v>Sh3glb1</v>
      </c>
      <c r="D6819" s="10">
        <f t="shared" si="106"/>
        <v>5.0261770208813621</v>
      </c>
      <c r="F6819" s="8" t="str">
        <f>HYPERLINK("https://esbl.nhlbi.nih.gov/Databases/mpkFractions/proteomic_fractions_log_files/Yang_log_img/530677952.jpg","show blot")</f>
        <v>show blot</v>
      </c>
      <c r="H6819" s="8" t="str">
        <f>HYPERLINK("https://esbl.nhlbi.nih.gov/Databases/mpkFractions/proteomic_fractions_linear_files/Yang_linear_img/530677952.jpg","show blot")</f>
        <v>show blot</v>
      </c>
      <c r="J6819" s="5" t="s">
        <v>13412</v>
      </c>
      <c r="L6819" s="11">
        <v>5.0261770208813621</v>
      </c>
      <c r="N6819" s="12"/>
    </row>
    <row r="6820" spans="1:14" s="5" customFormat="1" ht="15" customHeight="1" x14ac:dyDescent="0.25">
      <c r="A6820" s="9" t="s">
        <v>13413</v>
      </c>
      <c r="C6820" s="9" t="str">
        <f>HYPERLINK("http://www.ncbi.nlm.nih.gov/protein/530677964","Sh3glb1")</f>
        <v>Sh3glb1</v>
      </c>
      <c r="D6820" s="10">
        <f t="shared" si="106"/>
        <v>5.0261770208813621</v>
      </c>
      <c r="F6820" s="8" t="str">
        <f>HYPERLINK("https://esbl.nhlbi.nih.gov/Databases/mpkFractions/proteomic_fractions_log_files/Yang_log_img/530677964.jpg","show blot")</f>
        <v>show blot</v>
      </c>
      <c r="H6820" s="8" t="str">
        <f>HYPERLINK("https://esbl.nhlbi.nih.gov/Databases/mpkFractions/proteomic_fractions_linear_files/Yang_linear_img/530677964.jpg","show blot")</f>
        <v>show blot</v>
      </c>
      <c r="J6820" s="5" t="s">
        <v>13414</v>
      </c>
      <c r="L6820" s="11">
        <v>5.0261770208813621</v>
      </c>
      <c r="N6820" s="12"/>
    </row>
    <row r="6821" spans="1:14" s="5" customFormat="1" ht="15" customHeight="1" x14ac:dyDescent="0.25">
      <c r="A6821" s="9" t="s">
        <v>13415</v>
      </c>
      <c r="C6821" s="9" t="str">
        <f>HYPERLINK("http://www.ncbi.nlm.nih.gov/protein/9507097","Sh3glb1")</f>
        <v>Sh3glb1</v>
      </c>
      <c r="D6821" s="10">
        <f t="shared" si="106"/>
        <v>5.0261770208813621</v>
      </c>
      <c r="F6821" s="8" t="str">
        <f>HYPERLINK("https://esbl.nhlbi.nih.gov/Databases/mpkFractions/proteomic_fractions_log_files/Yang_log_img/9507097.jpg","show blot")</f>
        <v>show blot</v>
      </c>
      <c r="H6821" s="8" t="str">
        <f>HYPERLINK("https://esbl.nhlbi.nih.gov/Databases/mpkFractions/proteomic_fractions_linear_files/Yang_linear_img/9507097.jpg","show blot")</f>
        <v>show blot</v>
      </c>
      <c r="J6821" s="5" t="s">
        <v>13416</v>
      </c>
      <c r="L6821" s="11">
        <v>5.0261770208813621</v>
      </c>
      <c r="N6821" s="12"/>
    </row>
    <row r="6822" spans="1:14" s="5" customFormat="1" ht="15" customHeight="1" x14ac:dyDescent="0.25">
      <c r="A6822" s="9" t="s">
        <v>13417</v>
      </c>
      <c r="C6822" s="9" t="str">
        <f>HYPERLINK("http://www.ncbi.nlm.nih.gov/protein/21314838","Sh3glb2")</f>
        <v>Sh3glb2</v>
      </c>
      <c r="D6822" s="10">
        <f t="shared" si="106"/>
        <v>3.8782759010045562</v>
      </c>
      <c r="F6822" s="8" t="str">
        <f>HYPERLINK("https://esbl.nhlbi.nih.gov/Databases/mpkFractions/proteomic_fractions_log_files/Yang_log_img/21314838.jpg","show blot")</f>
        <v>show blot</v>
      </c>
      <c r="H6822" s="8" t="str">
        <f>HYPERLINK("https://esbl.nhlbi.nih.gov/Databases/mpkFractions/proteomic_fractions_linear_files/Yang_linear_img/21314838.jpg","show blot")</f>
        <v>show blot</v>
      </c>
      <c r="J6822" s="5" t="s">
        <v>13418</v>
      </c>
      <c r="L6822" s="11">
        <v>3.8782759010045562</v>
      </c>
      <c r="N6822" s="12"/>
    </row>
    <row r="6823" spans="1:14" s="5" customFormat="1" ht="15" customHeight="1" x14ac:dyDescent="0.25">
      <c r="A6823" s="9" t="s">
        <v>13419</v>
      </c>
      <c r="C6823" s="9" t="str">
        <f>HYPERLINK("http://www.ncbi.nlm.nih.gov/protein/7305487","Sh3yl1")</f>
        <v>Sh3yl1</v>
      </c>
      <c r="D6823" s="10">
        <f t="shared" si="106"/>
        <v>4.5869945194343016</v>
      </c>
      <c r="F6823" s="8" t="str">
        <f>HYPERLINK("https://esbl.nhlbi.nih.gov/Databases/mpkFractions/proteomic_fractions_log_files/Yang_log_img/7305487.jpg","show blot")</f>
        <v>show blot</v>
      </c>
      <c r="H6823" s="8" t="str">
        <f>HYPERLINK("https://esbl.nhlbi.nih.gov/Databases/mpkFractions/proteomic_fractions_linear_files/Yang_linear_img/7305487.jpg","show blot")</f>
        <v>show blot</v>
      </c>
      <c r="J6823" s="5" t="s">
        <v>13420</v>
      </c>
      <c r="L6823" s="11">
        <v>4.5869945194343016</v>
      </c>
      <c r="N6823" s="12"/>
    </row>
    <row r="6824" spans="1:14" s="5" customFormat="1" ht="15" customHeight="1" x14ac:dyDescent="0.25">
      <c r="A6824" s="9" t="s">
        <v>13421</v>
      </c>
      <c r="C6824" s="9" t="str">
        <f>HYPERLINK("http://www.ncbi.nlm.nih.gov/protein/15778828","Shc1")</f>
        <v>Shc1</v>
      </c>
      <c r="D6824" s="10">
        <f t="shared" si="106"/>
        <v>4.0321866077794262</v>
      </c>
      <c r="F6824" s="8" t="str">
        <f>HYPERLINK("https://esbl.nhlbi.nih.gov/Databases/mpkFractions/proteomic_fractions_log_files/Yang_log_img/15778828.jpg","show blot")</f>
        <v>show blot</v>
      </c>
      <c r="H6824" s="8" t="str">
        <f>HYPERLINK("https://esbl.nhlbi.nih.gov/Databases/mpkFractions/proteomic_fractions_linear_files/Yang_linear_img/15778828.jpg","show blot")</f>
        <v>show blot</v>
      </c>
      <c r="J6824" s="5" t="s">
        <v>13422</v>
      </c>
      <c r="L6824" s="11">
        <v>4.0321866077794262</v>
      </c>
      <c r="N6824" s="12"/>
    </row>
    <row r="6825" spans="1:14" s="5" customFormat="1" ht="15" customHeight="1" x14ac:dyDescent="0.25">
      <c r="A6825" s="9" t="s">
        <v>13423</v>
      </c>
      <c r="C6825" s="9" t="str">
        <f>HYPERLINK("http://www.ncbi.nlm.nih.gov/protein/164664522","Shc1")</f>
        <v>Shc1</v>
      </c>
      <c r="D6825" s="10">
        <f t="shared" si="106"/>
        <v>4.0321866077794262</v>
      </c>
      <c r="F6825" s="8" t="str">
        <f>HYPERLINK("https://esbl.nhlbi.nih.gov/Databases/mpkFractions/proteomic_fractions_log_files/Yang_log_img/164664522.jpg","show blot")</f>
        <v>show blot</v>
      </c>
      <c r="H6825" s="8" t="str">
        <f>HYPERLINK("https://esbl.nhlbi.nih.gov/Databases/mpkFractions/proteomic_fractions_linear_files/Yang_linear_img/164664522.jpg","show blot")</f>
        <v>show blot</v>
      </c>
      <c r="J6825" s="5" t="s">
        <v>13424</v>
      </c>
      <c r="L6825" s="11">
        <v>4.0321866077794262</v>
      </c>
      <c r="N6825" s="12"/>
    </row>
    <row r="6826" spans="1:14" s="5" customFormat="1" ht="15" customHeight="1" x14ac:dyDescent="0.25">
      <c r="A6826" s="9" t="s">
        <v>13425</v>
      </c>
      <c r="C6826" s="9" t="str">
        <f>HYPERLINK("http://www.ncbi.nlm.nih.gov/protein/6755508","Shcbp1")</f>
        <v>Shcbp1</v>
      </c>
      <c r="D6826" s="10">
        <f t="shared" si="106"/>
        <v>2.8935467164744249</v>
      </c>
      <c r="F6826" s="8" t="str">
        <f>HYPERLINK("https://esbl.nhlbi.nih.gov/Databases/mpkFractions/proteomic_fractions_log_files/Yang_log_img/6755508.jpg","show blot")</f>
        <v>show blot</v>
      </c>
      <c r="H6826" s="8" t="str">
        <f>HYPERLINK("https://esbl.nhlbi.nih.gov/Databases/mpkFractions/proteomic_fractions_linear_files/Yang_linear_img/6755508.jpg","show blot")</f>
        <v>show blot</v>
      </c>
      <c r="J6826" s="5" t="s">
        <v>13426</v>
      </c>
      <c r="L6826" s="11">
        <v>2.8935467164744249</v>
      </c>
      <c r="N6826" s="12"/>
    </row>
    <row r="6827" spans="1:14" s="5" customFormat="1" ht="15" customHeight="1" x14ac:dyDescent="0.25">
      <c r="A6827" s="9" t="s">
        <v>13427</v>
      </c>
      <c r="C6827" s="9" t="str">
        <f>HYPERLINK("http://www.ncbi.nlm.nih.gov/protein/21617861","Shh")</f>
        <v>Shh</v>
      </c>
      <c r="D6827" s="10">
        <f t="shared" si="106"/>
        <v>3.602759011858538</v>
      </c>
      <c r="F6827" s="8" t="str">
        <f>HYPERLINK("https://esbl.nhlbi.nih.gov/Databases/mpkFractions/proteomic_fractions_log_files/Yang_log_img/21617861.jpg","show blot")</f>
        <v>show blot</v>
      </c>
      <c r="H6827" s="8" t="str">
        <f>HYPERLINK("https://esbl.nhlbi.nih.gov/Databases/mpkFractions/proteomic_fractions_linear_files/Yang_linear_img/21617861.jpg","show blot")</f>
        <v>show blot</v>
      </c>
      <c r="J6827" s="5" t="s">
        <v>13428</v>
      </c>
      <c r="L6827" s="11">
        <v>3.602759011858538</v>
      </c>
      <c r="N6827" s="12"/>
    </row>
    <row r="6828" spans="1:14" s="5" customFormat="1" ht="15" customHeight="1" x14ac:dyDescent="0.25">
      <c r="A6828" s="9" t="s">
        <v>13429</v>
      </c>
      <c r="C6828" s="9" t="str">
        <f>HYPERLINK("http://www.ncbi.nlm.nih.gov/protein/291463305","Shisa9")</f>
        <v>Shisa9</v>
      </c>
      <c r="D6828" s="10">
        <f t="shared" si="106"/>
        <v>2.33645973384853</v>
      </c>
      <c r="F6828" s="8" t="str">
        <f>HYPERLINK("https://esbl.nhlbi.nih.gov/Databases/mpkFractions/proteomic_fractions_log_files/Yang_log_img/291463305.jpg","show blot")</f>
        <v>show blot</v>
      </c>
      <c r="H6828" s="8" t="str">
        <f>HYPERLINK("https://esbl.nhlbi.nih.gov/Databases/mpkFractions/proteomic_fractions_linear_files/Yang_linear_img/291463305.jpg","show blot")</f>
        <v>show blot</v>
      </c>
      <c r="J6828" s="5" t="s">
        <v>13430</v>
      </c>
      <c r="L6828" s="11">
        <v>2.33645973384853</v>
      </c>
      <c r="N6828" s="12"/>
    </row>
    <row r="6829" spans="1:14" s="5" customFormat="1" ht="15" customHeight="1" x14ac:dyDescent="0.25">
      <c r="A6829" s="9" t="s">
        <v>13431</v>
      </c>
      <c r="C6829" s="9" t="str">
        <f>HYPERLINK("http://www.ncbi.nlm.nih.gov/protein/291463307","Shisa9")</f>
        <v>Shisa9</v>
      </c>
      <c r="D6829" s="10">
        <f t="shared" si="106"/>
        <v>2.33645973384853</v>
      </c>
      <c r="F6829" s="8" t="str">
        <f>HYPERLINK("https://esbl.nhlbi.nih.gov/Databases/mpkFractions/proteomic_fractions_log_files/Yang_log_img/291463307.jpg","show blot")</f>
        <v>show blot</v>
      </c>
      <c r="H6829" s="8" t="str">
        <f>HYPERLINK("https://esbl.nhlbi.nih.gov/Databases/mpkFractions/proteomic_fractions_linear_files/Yang_linear_img/291463307.jpg","show blot")</f>
        <v>show blot</v>
      </c>
      <c r="J6829" s="5" t="s">
        <v>13432</v>
      </c>
      <c r="L6829" s="11">
        <v>2.33645973384853</v>
      </c>
      <c r="N6829" s="12"/>
    </row>
    <row r="6830" spans="1:14" s="5" customFormat="1" ht="15" customHeight="1" x14ac:dyDescent="0.25">
      <c r="A6830" s="9" t="s">
        <v>13433</v>
      </c>
      <c r="C6830" s="9" t="str">
        <f>HYPERLINK("http://www.ncbi.nlm.nih.gov/protein/67846103","Shmt1")</f>
        <v>Shmt1</v>
      </c>
      <c r="D6830" s="10">
        <f t="shared" si="106"/>
        <v>5.8938905024384729</v>
      </c>
      <c r="F6830" s="8" t="str">
        <f>HYPERLINK("https://esbl.nhlbi.nih.gov/Databases/mpkFractions/proteomic_fractions_log_files/Yang_log_img/67846103.jpg","show blot")</f>
        <v>show blot</v>
      </c>
      <c r="H6830" s="8" t="str">
        <f>HYPERLINK("https://esbl.nhlbi.nih.gov/Databases/mpkFractions/proteomic_fractions_linear_files/Yang_linear_img/67846103.jpg","show blot")</f>
        <v>show blot</v>
      </c>
      <c r="J6830" s="5" t="s">
        <v>13434</v>
      </c>
      <c r="L6830" s="11">
        <v>5.8938905024384729</v>
      </c>
      <c r="N6830" s="12"/>
    </row>
    <row r="6831" spans="1:14" s="5" customFormat="1" ht="15" customHeight="1" x14ac:dyDescent="0.25">
      <c r="A6831" s="9" t="s">
        <v>13435</v>
      </c>
      <c r="C6831" s="9" t="str">
        <f>HYPERLINK("http://www.ncbi.nlm.nih.gov/protein/21312298","Shmt2")</f>
        <v>Shmt2</v>
      </c>
      <c r="D6831" s="10">
        <f t="shared" si="106"/>
        <v>6.2748623283437528</v>
      </c>
      <c r="F6831" s="8" t="str">
        <f>HYPERLINK("https://esbl.nhlbi.nih.gov/Databases/mpkFractions/proteomic_fractions_log_files/Yang_log_img/21312298.jpg","show blot")</f>
        <v>show blot</v>
      </c>
      <c r="H6831" s="8" t="str">
        <f>HYPERLINK("https://esbl.nhlbi.nih.gov/Databases/mpkFractions/proteomic_fractions_linear_files/Yang_linear_img/21312298.jpg","show blot")</f>
        <v>show blot</v>
      </c>
      <c r="J6831" s="5" t="s">
        <v>13436</v>
      </c>
      <c r="L6831" s="11">
        <v>6.2748623283437528</v>
      </c>
      <c r="N6831" s="12"/>
    </row>
    <row r="6832" spans="1:14" s="5" customFormat="1" ht="15" customHeight="1" x14ac:dyDescent="0.25">
      <c r="A6832" s="9" t="s">
        <v>13437</v>
      </c>
      <c r="C6832" s="9" t="str">
        <f>HYPERLINK("http://www.ncbi.nlm.nih.gov/protein/356640163","Shmt2")</f>
        <v>Shmt2</v>
      </c>
      <c r="D6832" s="10">
        <f t="shared" si="106"/>
        <v>6.2748623283437528</v>
      </c>
      <c r="F6832" s="8" t="str">
        <f>HYPERLINK("https://esbl.nhlbi.nih.gov/Databases/mpkFractions/proteomic_fractions_log_files/Yang_log_img/356640163.jpg","show blot")</f>
        <v>show blot</v>
      </c>
      <c r="H6832" s="8" t="str">
        <f>HYPERLINK("https://esbl.nhlbi.nih.gov/Databases/mpkFractions/proteomic_fractions_linear_files/Yang_linear_img/356640163.jpg","show blot")</f>
        <v>show blot</v>
      </c>
      <c r="J6832" s="5" t="s">
        <v>13438</v>
      </c>
      <c r="L6832" s="11">
        <v>6.2748623283437528</v>
      </c>
      <c r="N6832" s="12"/>
    </row>
    <row r="6833" spans="1:14" s="5" customFormat="1" ht="15" customHeight="1" x14ac:dyDescent="0.25">
      <c r="A6833" s="9" t="s">
        <v>13439</v>
      </c>
      <c r="C6833" s="9" t="str">
        <f>HYPERLINK("http://www.ncbi.nlm.nih.gov/protein/31543701","Shoc2")</f>
        <v>Shoc2</v>
      </c>
      <c r="D6833" s="10">
        <f t="shared" si="106"/>
        <v>4.2253028054332544</v>
      </c>
      <c r="F6833" s="8" t="str">
        <f>HYPERLINK("https://esbl.nhlbi.nih.gov/Databases/mpkFractions/proteomic_fractions_log_files/Yang_log_img/31543701.jpg","show blot")</f>
        <v>show blot</v>
      </c>
      <c r="H6833" s="8" t="str">
        <f>HYPERLINK("https://esbl.nhlbi.nih.gov/Databases/mpkFractions/proteomic_fractions_linear_files/Yang_linear_img/31543701.jpg","show blot")</f>
        <v>show blot</v>
      </c>
      <c r="J6833" s="5" t="s">
        <v>13440</v>
      </c>
      <c r="L6833" s="11">
        <v>4.2253028054332544</v>
      </c>
      <c r="N6833" s="12"/>
    </row>
    <row r="6834" spans="1:14" s="5" customFormat="1" ht="15" customHeight="1" x14ac:dyDescent="0.25">
      <c r="A6834" s="9" t="s">
        <v>13441</v>
      </c>
      <c r="C6834" s="9" t="str">
        <f>HYPERLINK("http://www.ncbi.nlm.nih.gov/protein/22095001","Shpk")</f>
        <v>Shpk</v>
      </c>
      <c r="D6834" s="10">
        <f t="shared" si="106"/>
        <v>1.9364563641622741</v>
      </c>
      <c r="F6834" s="8" t="str">
        <f>HYPERLINK("https://esbl.nhlbi.nih.gov/Databases/mpkFractions/proteomic_fractions_log_files/Yang_log_img/22095001.jpg","show blot")</f>
        <v>show blot</v>
      </c>
      <c r="H6834" s="8" t="str">
        <f>HYPERLINK("https://esbl.nhlbi.nih.gov/Databases/mpkFractions/proteomic_fractions_linear_files/Yang_linear_img/22095001.jpg","show blot")</f>
        <v>show blot</v>
      </c>
      <c r="J6834" s="5" t="s">
        <v>13442</v>
      </c>
      <c r="L6834" s="11">
        <v>1.9364563641622741</v>
      </c>
      <c r="N6834" s="12"/>
    </row>
    <row r="6835" spans="1:14" s="5" customFormat="1" ht="15" customHeight="1" x14ac:dyDescent="0.25">
      <c r="A6835" s="9" t="s">
        <v>13443</v>
      </c>
      <c r="C6835" s="9" t="str">
        <f>HYPERLINK("http://www.ncbi.nlm.nih.gov/protein/166998470","Shq1")</f>
        <v>Shq1</v>
      </c>
      <c r="D6835" s="10">
        <f t="shared" si="106"/>
        <v>3.516783848742346</v>
      </c>
      <c r="F6835" s="8" t="str">
        <f>HYPERLINK("https://esbl.nhlbi.nih.gov/Databases/mpkFractions/proteomic_fractions_log_files/Yang_log_img/166998470.jpg","show blot")</f>
        <v>show blot</v>
      </c>
      <c r="H6835" s="8" t="str">
        <f>HYPERLINK("https://esbl.nhlbi.nih.gov/Databases/mpkFractions/proteomic_fractions_linear_files/Yang_linear_img/166998470.jpg","show blot")</f>
        <v>show blot</v>
      </c>
      <c r="J6835" s="5" t="s">
        <v>13444</v>
      </c>
      <c r="L6835" s="11">
        <v>3.516783848742346</v>
      </c>
      <c r="N6835" s="12"/>
    </row>
    <row r="6836" spans="1:14" s="5" customFormat="1" ht="15" customHeight="1" x14ac:dyDescent="0.25">
      <c r="A6836" s="9" t="s">
        <v>13445</v>
      </c>
      <c r="C6836" s="9" t="str">
        <f>HYPERLINK("http://www.ncbi.nlm.nih.gov/protein/94818779","Shroom4")</f>
        <v>Shroom4</v>
      </c>
      <c r="D6836" s="10">
        <f t="shared" si="106"/>
        <v>1.3803222434967219</v>
      </c>
      <c r="F6836" s="8" t="str">
        <f>HYPERLINK("https://esbl.nhlbi.nih.gov/Databases/mpkFractions/proteomic_fractions_log_files/Yang_log_img/94818779.jpg","show blot")</f>
        <v>show blot</v>
      </c>
      <c r="H6836" s="8" t="str">
        <f>HYPERLINK("https://esbl.nhlbi.nih.gov/Databases/mpkFractions/proteomic_fractions_linear_files/Yang_linear_img/94818779.jpg","show blot")</f>
        <v>show blot</v>
      </c>
      <c r="J6836" s="5" t="s">
        <v>13446</v>
      </c>
      <c r="L6836" s="11">
        <v>1.3803222434967219</v>
      </c>
      <c r="N6836" s="12"/>
    </row>
    <row r="6837" spans="1:14" s="5" customFormat="1" ht="15" customHeight="1" x14ac:dyDescent="0.25">
      <c r="A6837" s="9" t="s">
        <v>13447</v>
      </c>
      <c r="C6837" s="9" t="str">
        <f>HYPERLINK("http://www.ncbi.nlm.nih.gov/protein/31560532","Siae")</f>
        <v>Siae</v>
      </c>
      <c r="D6837" s="10">
        <f t="shared" si="106"/>
        <v>4.8673578749014688</v>
      </c>
      <c r="F6837" s="8" t="str">
        <f>HYPERLINK("https://esbl.nhlbi.nih.gov/Databases/mpkFractions/proteomic_fractions_log_files/Yang_log_img/31560532.jpg","show blot")</f>
        <v>show blot</v>
      </c>
      <c r="H6837" s="8" t="str">
        <f>HYPERLINK("https://esbl.nhlbi.nih.gov/Databases/mpkFractions/proteomic_fractions_linear_files/Yang_linear_img/31560532.jpg","show blot")</f>
        <v>show blot</v>
      </c>
      <c r="J6837" s="5" t="s">
        <v>13448</v>
      </c>
      <c r="L6837" s="11">
        <v>4.8673578749014688</v>
      </c>
      <c r="N6837" s="12"/>
    </row>
    <row r="6838" spans="1:14" s="5" customFormat="1" ht="15" customHeight="1" x14ac:dyDescent="0.25">
      <c r="A6838" s="9" t="s">
        <v>13449</v>
      </c>
      <c r="C6838" s="9" t="str">
        <f>HYPERLINK("http://www.ncbi.nlm.nih.gov/protein/26986551","Sidt2")</f>
        <v>Sidt2</v>
      </c>
      <c r="D6838" s="10">
        <f t="shared" si="106"/>
        <v>3.1084138408984292</v>
      </c>
      <c r="F6838" s="8" t="str">
        <f>HYPERLINK("https://esbl.nhlbi.nih.gov/Databases/mpkFractions/proteomic_fractions_log_files/Yang_log_img/26986551.jpg","show blot")</f>
        <v>show blot</v>
      </c>
      <c r="H6838" s="8" t="str">
        <f>HYPERLINK("https://esbl.nhlbi.nih.gov/Databases/mpkFractions/proteomic_fractions_linear_files/Yang_linear_img/26986551.jpg","show blot")</f>
        <v>show blot</v>
      </c>
      <c r="J6838" s="5" t="s">
        <v>13450</v>
      </c>
      <c r="L6838" s="11">
        <v>3.1084138408984292</v>
      </c>
      <c r="N6838" s="12"/>
    </row>
    <row r="6839" spans="1:14" s="5" customFormat="1" ht="15" customHeight="1" x14ac:dyDescent="0.25">
      <c r="A6839" s="9" t="s">
        <v>13451</v>
      </c>
      <c r="C6839" s="9" t="str">
        <f>HYPERLINK("http://www.ncbi.nlm.nih.gov/protein/134032002","Siglece")</f>
        <v>Siglece</v>
      </c>
      <c r="D6839" s="10">
        <f t="shared" si="106"/>
        <v>4.0209577855645726</v>
      </c>
      <c r="F6839" s="8" t="str">
        <f>HYPERLINK("https://esbl.nhlbi.nih.gov/Databases/mpkFractions/proteomic_fractions_log_files/Yang_log_img/134032002.jpg","show blot")</f>
        <v>show blot</v>
      </c>
      <c r="H6839" s="8" t="str">
        <f>HYPERLINK("https://esbl.nhlbi.nih.gov/Databases/mpkFractions/proteomic_fractions_linear_files/Yang_linear_img/134032002.jpg","show blot")</f>
        <v>show blot</v>
      </c>
      <c r="J6839" s="5" t="s">
        <v>13452</v>
      </c>
      <c r="L6839" s="11">
        <v>4.0209577855645726</v>
      </c>
      <c r="N6839" s="12"/>
    </row>
    <row r="6840" spans="1:14" s="5" customFormat="1" ht="15" customHeight="1" x14ac:dyDescent="0.25">
      <c r="A6840" s="9" t="s">
        <v>13453</v>
      </c>
      <c r="C6840" s="9" t="str">
        <f>HYPERLINK("http://www.ncbi.nlm.nih.gov/protein/13385140","Sike1")</f>
        <v>Sike1</v>
      </c>
      <c r="D6840" s="10">
        <f t="shared" si="106"/>
        <v>2.680238712914655</v>
      </c>
      <c r="F6840" s="8" t="str">
        <f>HYPERLINK("https://esbl.nhlbi.nih.gov/Databases/mpkFractions/proteomic_fractions_log_files/Yang_log_img/13385140.jpg","show blot")</f>
        <v>show blot</v>
      </c>
      <c r="H6840" s="8" t="str">
        <f>HYPERLINK("https://esbl.nhlbi.nih.gov/Databases/mpkFractions/proteomic_fractions_linear_files/Yang_linear_img/13385140.jpg","show blot")</f>
        <v>show blot</v>
      </c>
      <c r="J6840" s="5" t="s">
        <v>13454</v>
      </c>
      <c r="L6840" s="11">
        <v>2.680238712914655</v>
      </c>
      <c r="N6840" s="12"/>
    </row>
    <row r="6841" spans="1:14" s="5" customFormat="1" ht="15" customHeight="1" x14ac:dyDescent="0.25">
      <c r="A6841" s="9" t="s">
        <v>13455</v>
      </c>
      <c r="C6841" s="9" t="str">
        <f>HYPERLINK("http://www.ncbi.nlm.nih.gov/protein/257196264","Sil1")</f>
        <v>Sil1</v>
      </c>
      <c r="D6841" s="10">
        <f t="shared" si="106"/>
        <v>2.6092893183003278</v>
      </c>
      <c r="F6841" s="8" t="str">
        <f>HYPERLINK("https://esbl.nhlbi.nih.gov/Databases/mpkFractions/proteomic_fractions_log_files/Yang_log_img/257196264.jpg","show blot")</f>
        <v>show blot</v>
      </c>
      <c r="H6841" s="8" t="str">
        <f>HYPERLINK("https://esbl.nhlbi.nih.gov/Databases/mpkFractions/proteomic_fractions_linear_files/Yang_linear_img/257196264.jpg","show blot")</f>
        <v>show blot</v>
      </c>
      <c r="J6841" s="5" t="s">
        <v>13456</v>
      </c>
      <c r="L6841" s="11">
        <v>2.6092893183003278</v>
      </c>
      <c r="N6841" s="12"/>
    </row>
    <row r="6842" spans="1:14" s="5" customFormat="1" ht="15" customHeight="1" x14ac:dyDescent="0.25">
      <c r="A6842" s="9" t="s">
        <v>13457</v>
      </c>
      <c r="C6842" s="9" t="str">
        <f>HYPERLINK("http://www.ncbi.nlm.nih.gov/protein/160333357","Sin3a")</f>
        <v>Sin3a</v>
      </c>
      <c r="D6842" s="10">
        <f t="shared" si="106"/>
        <v>2.192604249251513</v>
      </c>
      <c r="F6842" s="8" t="str">
        <f>HYPERLINK("https://esbl.nhlbi.nih.gov/Databases/mpkFractions/proteomic_fractions_log_files/Yang_log_img/160333357.jpg","show blot")</f>
        <v>show blot</v>
      </c>
      <c r="H6842" s="8" t="str">
        <f>HYPERLINK("https://esbl.nhlbi.nih.gov/Databases/mpkFractions/proteomic_fractions_linear_files/Yang_linear_img/160333357.jpg","show blot")</f>
        <v>show blot</v>
      </c>
      <c r="J6842" s="5" t="s">
        <v>13458</v>
      </c>
      <c r="L6842" s="11">
        <v>2.192604249251513</v>
      </c>
      <c r="N6842" s="12"/>
    </row>
    <row r="6843" spans="1:14" s="5" customFormat="1" ht="15" customHeight="1" x14ac:dyDescent="0.25">
      <c r="A6843" s="9" t="s">
        <v>13459</v>
      </c>
      <c r="C6843" s="9" t="str">
        <f>HYPERLINK("http://www.ncbi.nlm.nih.gov/protein/160333360","Sin3a")</f>
        <v>Sin3a</v>
      </c>
      <c r="D6843" s="10">
        <f t="shared" si="106"/>
        <v>2.192604249251513</v>
      </c>
      <c r="F6843" s="8" t="str">
        <f>HYPERLINK("https://esbl.nhlbi.nih.gov/Databases/mpkFractions/proteomic_fractions_log_files/Yang_log_img/160333360.jpg","show blot")</f>
        <v>show blot</v>
      </c>
      <c r="H6843" s="8" t="str">
        <f>HYPERLINK("https://esbl.nhlbi.nih.gov/Databases/mpkFractions/proteomic_fractions_linear_files/Yang_linear_img/160333360.jpg","show blot")</f>
        <v>show blot</v>
      </c>
      <c r="J6843" s="5" t="s">
        <v>13460</v>
      </c>
      <c r="L6843" s="11">
        <v>2.192604249251513</v>
      </c>
      <c r="N6843" s="12"/>
    </row>
    <row r="6844" spans="1:14" s="5" customFormat="1" ht="15" customHeight="1" x14ac:dyDescent="0.25">
      <c r="A6844" s="9" t="s">
        <v>13461</v>
      </c>
      <c r="C6844" s="9" t="str">
        <f>HYPERLINK("http://www.ncbi.nlm.nih.gov/protein/227430309","Sirt1")</f>
        <v>Sirt1</v>
      </c>
      <c r="D6844" s="10">
        <f t="shared" si="106"/>
        <v>3.4444541853550059</v>
      </c>
      <c r="F6844" s="8" t="str">
        <f>HYPERLINK("https://esbl.nhlbi.nih.gov/Databases/mpkFractions/proteomic_fractions_log_files/Yang_log_img/227430309.jpg","show blot")</f>
        <v>show blot</v>
      </c>
      <c r="H6844" s="8" t="str">
        <f>HYPERLINK("https://esbl.nhlbi.nih.gov/Databases/mpkFractions/proteomic_fractions_linear_files/Yang_linear_img/227430309.jpg","show blot")</f>
        <v>show blot</v>
      </c>
      <c r="J6844" s="5" t="s">
        <v>13462</v>
      </c>
      <c r="L6844" s="11">
        <v>3.4444541853550059</v>
      </c>
      <c r="N6844" s="12"/>
    </row>
    <row r="6845" spans="1:14" s="5" customFormat="1" ht="15" customHeight="1" x14ac:dyDescent="0.25">
      <c r="A6845" s="9" t="s">
        <v>13463</v>
      </c>
      <c r="C6845" s="9" t="str">
        <f>HYPERLINK("http://www.ncbi.nlm.nih.gov/protein/9790229","Sirt1")</f>
        <v>Sirt1</v>
      </c>
      <c r="D6845" s="10">
        <f t="shared" si="106"/>
        <v>3.4444541853550059</v>
      </c>
      <c r="F6845" s="8" t="str">
        <f>HYPERLINK("https://esbl.nhlbi.nih.gov/Databases/mpkFractions/proteomic_fractions_log_files/Yang_log_img/9790229.jpg","show blot")</f>
        <v>show blot</v>
      </c>
      <c r="H6845" s="8" t="str">
        <f>HYPERLINK("https://esbl.nhlbi.nih.gov/Databases/mpkFractions/proteomic_fractions_linear_files/Yang_linear_img/9790229.jpg","show blot")</f>
        <v>show blot</v>
      </c>
      <c r="J6845" s="5" t="s">
        <v>13464</v>
      </c>
      <c r="L6845" s="11">
        <v>3.4444541853550059</v>
      </c>
      <c r="N6845" s="12"/>
    </row>
    <row r="6846" spans="1:14" s="5" customFormat="1" ht="15" customHeight="1" x14ac:dyDescent="0.25">
      <c r="A6846" s="9" t="s">
        <v>13465</v>
      </c>
      <c r="C6846" s="9" t="str">
        <f>HYPERLINK("http://www.ncbi.nlm.nih.gov/protein/170650630","Sirt2")</f>
        <v>Sirt2</v>
      </c>
      <c r="D6846" s="10">
        <f t="shared" si="106"/>
        <v>4.7110745290802321</v>
      </c>
      <c r="F6846" s="8" t="str">
        <f>HYPERLINK("https://esbl.nhlbi.nih.gov/Databases/mpkFractions/proteomic_fractions_log_files/Yang_log_img/170650630.jpg","show blot")</f>
        <v>show blot</v>
      </c>
      <c r="H6846" s="8" t="str">
        <f>HYPERLINK("https://esbl.nhlbi.nih.gov/Databases/mpkFractions/proteomic_fractions_linear_files/Yang_linear_img/170650630.jpg","show blot")</f>
        <v>show blot</v>
      </c>
      <c r="J6846" s="5" t="s">
        <v>13466</v>
      </c>
      <c r="L6846" s="11">
        <v>4.7110745290802321</v>
      </c>
      <c r="N6846" s="12"/>
    </row>
    <row r="6847" spans="1:14" s="5" customFormat="1" ht="15" customHeight="1" x14ac:dyDescent="0.25">
      <c r="A6847" s="9" t="s">
        <v>13467</v>
      </c>
      <c r="C6847" s="9" t="str">
        <f>HYPERLINK("http://www.ncbi.nlm.nih.gov/protein/170650632","Sirt2")</f>
        <v>Sirt2</v>
      </c>
      <c r="D6847" s="10">
        <f t="shared" si="106"/>
        <v>4.7110745290802321</v>
      </c>
      <c r="F6847" s="8" t="str">
        <f>HYPERLINK("https://esbl.nhlbi.nih.gov/Databases/mpkFractions/proteomic_fractions_log_files/Yang_log_img/170650632.jpg","show blot")</f>
        <v>show blot</v>
      </c>
      <c r="H6847" s="8" t="str">
        <f>HYPERLINK("https://esbl.nhlbi.nih.gov/Databases/mpkFractions/proteomic_fractions_linear_files/Yang_linear_img/170650632.jpg","show blot")</f>
        <v>show blot</v>
      </c>
      <c r="J6847" s="5" t="s">
        <v>13468</v>
      </c>
      <c r="L6847" s="11">
        <v>4.7110745290802321</v>
      </c>
      <c r="N6847" s="12"/>
    </row>
    <row r="6848" spans="1:14" s="5" customFormat="1" ht="15" customHeight="1" x14ac:dyDescent="0.25">
      <c r="A6848" s="9" t="s">
        <v>13469</v>
      </c>
      <c r="C6848" s="9" t="str">
        <f>HYPERLINK("http://www.ncbi.nlm.nih.gov/protein/170650634","Sirt2")</f>
        <v>Sirt2</v>
      </c>
      <c r="D6848" s="10">
        <f t="shared" si="106"/>
        <v>4.7110745290802321</v>
      </c>
      <c r="F6848" s="8" t="str">
        <f>HYPERLINK("https://esbl.nhlbi.nih.gov/Databases/mpkFractions/proteomic_fractions_log_files/Yang_log_img/170650634.jpg","show blot")</f>
        <v>show blot</v>
      </c>
      <c r="H6848" s="8" t="str">
        <f>HYPERLINK("https://esbl.nhlbi.nih.gov/Databases/mpkFractions/proteomic_fractions_linear_files/Yang_linear_img/170650634.jpg","show blot")</f>
        <v>show blot</v>
      </c>
      <c r="J6848" s="5" t="s">
        <v>13470</v>
      </c>
      <c r="L6848" s="11">
        <v>4.7110745290802321</v>
      </c>
      <c r="N6848" s="12"/>
    </row>
    <row r="6849" spans="1:14" s="5" customFormat="1" ht="15" customHeight="1" x14ac:dyDescent="0.25">
      <c r="A6849" s="9" t="s">
        <v>13471</v>
      </c>
      <c r="C6849" s="9" t="str">
        <f>HYPERLINK("http://www.ncbi.nlm.nih.gov/protein/267844847","Sirt4")</f>
        <v>Sirt4</v>
      </c>
      <c r="D6849" s="10">
        <f t="shared" si="106"/>
        <v>2.7420010534191239</v>
      </c>
      <c r="F6849" s="8" t="str">
        <f>HYPERLINK("https://esbl.nhlbi.nih.gov/Databases/mpkFractions/proteomic_fractions_log_files/Yang_log_img/267844847.jpg","show blot")</f>
        <v>show blot</v>
      </c>
      <c r="H6849" s="8" t="str">
        <f>HYPERLINK("https://esbl.nhlbi.nih.gov/Databases/mpkFractions/proteomic_fractions_linear_files/Yang_linear_img/267844847.jpg","show blot")</f>
        <v>show blot</v>
      </c>
      <c r="J6849" s="5" t="s">
        <v>13472</v>
      </c>
      <c r="L6849" s="11">
        <v>2.7420010534191239</v>
      </c>
      <c r="N6849" s="12"/>
    </row>
    <row r="6850" spans="1:14" s="5" customFormat="1" ht="15" customHeight="1" x14ac:dyDescent="0.25">
      <c r="A6850" s="9" t="s">
        <v>13473</v>
      </c>
      <c r="C6850" s="9" t="str">
        <f>HYPERLINK("http://www.ncbi.nlm.nih.gov/protein/30578432","Sirt5")</f>
        <v>Sirt5</v>
      </c>
      <c r="D6850" s="10">
        <f t="shared" si="106"/>
        <v>4.0184372665867949</v>
      </c>
      <c r="F6850" s="8" t="str">
        <f>HYPERLINK("https://esbl.nhlbi.nih.gov/Databases/mpkFractions/proteomic_fractions_log_files/Yang_log_img/30578432.jpg","show blot")</f>
        <v>show blot</v>
      </c>
      <c r="H6850" s="8" t="str">
        <f>HYPERLINK("https://esbl.nhlbi.nih.gov/Databases/mpkFractions/proteomic_fractions_linear_files/Yang_linear_img/30578432.jpg","show blot")</f>
        <v>show blot</v>
      </c>
      <c r="J6850" s="5" t="s">
        <v>13474</v>
      </c>
      <c r="L6850" s="11">
        <v>4.0184372665867949</v>
      </c>
      <c r="N6850" s="12"/>
    </row>
    <row r="6851" spans="1:14" s="5" customFormat="1" ht="15" customHeight="1" x14ac:dyDescent="0.25">
      <c r="A6851" s="9" t="s">
        <v>13475</v>
      </c>
      <c r="C6851" s="9" t="str">
        <f>HYPERLINK("http://www.ncbi.nlm.nih.gov/protein/254939656","Sirt6")</f>
        <v>Sirt6</v>
      </c>
      <c r="D6851" s="10">
        <f t="shared" si="106"/>
        <v>2.758746352284704</v>
      </c>
      <c r="F6851" s="8" t="str">
        <f>HYPERLINK("https://esbl.nhlbi.nih.gov/Databases/mpkFractions/proteomic_fractions_log_files/Yang_log_img/254939656.jpg","show blot")</f>
        <v>show blot</v>
      </c>
      <c r="H6851" s="8" t="str">
        <f>HYPERLINK("https://esbl.nhlbi.nih.gov/Databases/mpkFractions/proteomic_fractions_linear_files/Yang_linear_img/254939656.jpg","show blot")</f>
        <v>show blot</v>
      </c>
      <c r="J6851" s="5" t="s">
        <v>13476</v>
      </c>
      <c r="L6851" s="11">
        <v>2.758746352284704</v>
      </c>
      <c r="N6851" s="12"/>
    </row>
    <row r="6852" spans="1:14" s="5" customFormat="1" ht="15" customHeight="1" x14ac:dyDescent="0.25">
      <c r="A6852" s="9" t="s">
        <v>13477</v>
      </c>
      <c r="C6852" s="9" t="str">
        <f>HYPERLINK("http://www.ncbi.nlm.nih.gov/protein/31712018","Sirt6")</f>
        <v>Sirt6</v>
      </c>
      <c r="D6852" s="10">
        <f t="shared" si="106"/>
        <v>2.758746352284704</v>
      </c>
      <c r="F6852" s="8" t="str">
        <f>HYPERLINK("https://esbl.nhlbi.nih.gov/Databases/mpkFractions/proteomic_fractions_log_files/Yang_log_img/31712018.jpg","show blot")</f>
        <v>show blot</v>
      </c>
      <c r="H6852" s="8" t="str">
        <f>HYPERLINK("https://esbl.nhlbi.nih.gov/Databases/mpkFractions/proteomic_fractions_linear_files/Yang_linear_img/31712018.jpg","show blot")</f>
        <v>show blot</v>
      </c>
      <c r="J6852" s="5" t="s">
        <v>13478</v>
      </c>
      <c r="L6852" s="11">
        <v>2.758746352284704</v>
      </c>
      <c r="N6852" s="12"/>
    </row>
    <row r="6853" spans="1:14" s="5" customFormat="1" ht="15" customHeight="1" x14ac:dyDescent="0.25">
      <c r="A6853" s="9" t="s">
        <v>13479</v>
      </c>
      <c r="C6853" s="9" t="str">
        <f>HYPERLINK("http://www.ncbi.nlm.nih.gov/protein/240120126","Siva1")</f>
        <v>Siva1</v>
      </c>
      <c r="D6853" s="10">
        <f t="shared" ref="D6853:D6916" si="107">L6853</f>
        <v>4.4820103532548634</v>
      </c>
      <c r="F6853" s="8" t="str">
        <f>HYPERLINK("https://esbl.nhlbi.nih.gov/Databases/mpkFractions/proteomic_fractions_log_files/Yang_log_img/240120126.jpg","show blot")</f>
        <v>show blot</v>
      </c>
      <c r="H6853" s="8" t="str">
        <f>HYPERLINK("https://esbl.nhlbi.nih.gov/Databases/mpkFractions/proteomic_fractions_linear_files/Yang_linear_img/240120126.jpg","show blot")</f>
        <v>show blot</v>
      </c>
      <c r="J6853" s="5" t="s">
        <v>13480</v>
      </c>
      <c r="L6853" s="11">
        <v>4.4820103532548634</v>
      </c>
      <c r="N6853" s="12"/>
    </row>
    <row r="6854" spans="1:14" s="5" customFormat="1" ht="15" customHeight="1" x14ac:dyDescent="0.25">
      <c r="A6854" s="9" t="s">
        <v>13481</v>
      </c>
      <c r="C6854" s="9" t="str">
        <f>HYPERLINK("http://www.ncbi.nlm.nih.gov/protein/240120128","Siva1")</f>
        <v>Siva1</v>
      </c>
      <c r="D6854" s="10">
        <f t="shared" si="107"/>
        <v>4.4820103532548634</v>
      </c>
      <c r="F6854" s="8" t="str">
        <f>HYPERLINK("https://esbl.nhlbi.nih.gov/Databases/mpkFractions/proteomic_fractions_log_files/Yang_log_img/240120128.jpg","show blot")</f>
        <v>show blot</v>
      </c>
      <c r="H6854" s="8" t="str">
        <f>HYPERLINK("https://esbl.nhlbi.nih.gov/Databases/mpkFractions/proteomic_fractions_linear_files/Yang_linear_img/240120128.jpg","show blot")</f>
        <v>show blot</v>
      </c>
      <c r="J6854" s="5" t="s">
        <v>13482</v>
      </c>
      <c r="L6854" s="11">
        <v>4.4820103532548634</v>
      </c>
      <c r="N6854" s="12"/>
    </row>
    <row r="6855" spans="1:14" s="5" customFormat="1" ht="15" customHeight="1" x14ac:dyDescent="0.25">
      <c r="A6855" s="9" t="s">
        <v>13483</v>
      </c>
      <c r="C6855" s="9" t="str">
        <f>HYPERLINK("http://www.ncbi.nlm.nih.gov/protein/87252727","Skiv2l")</f>
        <v>Skiv2l</v>
      </c>
      <c r="D6855" s="10">
        <f t="shared" si="107"/>
        <v>3.5374709920891059</v>
      </c>
      <c r="F6855" s="8" t="str">
        <f>HYPERLINK("https://esbl.nhlbi.nih.gov/Databases/mpkFractions/proteomic_fractions_log_files/Yang_log_img/87252727.jpg","show blot")</f>
        <v>show blot</v>
      </c>
      <c r="H6855" s="8" t="str">
        <f>HYPERLINK("https://esbl.nhlbi.nih.gov/Databases/mpkFractions/proteomic_fractions_linear_files/Yang_linear_img/87252727.jpg","show blot")</f>
        <v>show blot</v>
      </c>
      <c r="J6855" s="5" t="s">
        <v>13484</v>
      </c>
      <c r="L6855" s="11">
        <v>3.5374709920891059</v>
      </c>
      <c r="N6855" s="12"/>
    </row>
    <row r="6856" spans="1:14" s="5" customFormat="1" ht="15" customHeight="1" x14ac:dyDescent="0.25">
      <c r="A6856" s="9" t="s">
        <v>13485</v>
      </c>
      <c r="C6856" s="9" t="str">
        <f>HYPERLINK("http://www.ncbi.nlm.nih.gov/protein/21312352","Skiv2l2")</f>
        <v>Skiv2l2</v>
      </c>
      <c r="D6856" s="10">
        <f t="shared" si="107"/>
        <v>4.7643203545101622</v>
      </c>
      <c r="F6856" s="8" t="str">
        <f>HYPERLINK("https://esbl.nhlbi.nih.gov/Databases/mpkFractions/proteomic_fractions_log_files/Yang_log_img/21312352.jpg","show blot")</f>
        <v>show blot</v>
      </c>
      <c r="H6856" s="8" t="str">
        <f>HYPERLINK("https://esbl.nhlbi.nih.gov/Databases/mpkFractions/proteomic_fractions_linear_files/Yang_linear_img/21312352.jpg","show blot")</f>
        <v>show blot</v>
      </c>
      <c r="J6856" s="5" t="s">
        <v>13486</v>
      </c>
      <c r="L6856" s="11">
        <v>4.7643203545101622</v>
      </c>
      <c r="N6856" s="12"/>
    </row>
    <row r="6857" spans="1:14" s="5" customFormat="1" ht="15" customHeight="1" x14ac:dyDescent="0.25">
      <c r="A6857" s="9" t="s">
        <v>13487</v>
      </c>
      <c r="C6857" s="9" t="str">
        <f>HYPERLINK("http://www.ncbi.nlm.nih.gov/protein/158854016","Skp1a")</f>
        <v>Skp1a</v>
      </c>
      <c r="D6857" s="10">
        <f t="shared" si="107"/>
        <v>5.9680956905445743</v>
      </c>
      <c r="F6857" s="8" t="str">
        <f>HYPERLINK("https://esbl.nhlbi.nih.gov/Databases/mpkFractions/proteomic_fractions_log_files/Yang_log_img/158854016.jpg","show blot")</f>
        <v>show blot</v>
      </c>
      <c r="H6857" s="8" t="str">
        <f>HYPERLINK("https://esbl.nhlbi.nih.gov/Databases/mpkFractions/proteomic_fractions_linear_files/Yang_linear_img/158854016.jpg","show blot")</f>
        <v>show blot</v>
      </c>
      <c r="J6857" s="5" t="s">
        <v>13488</v>
      </c>
      <c r="L6857" s="11">
        <v>5.9680956905445743</v>
      </c>
      <c r="N6857" s="12"/>
    </row>
    <row r="6858" spans="1:14" s="5" customFormat="1" ht="15" customHeight="1" x14ac:dyDescent="0.25">
      <c r="A6858" s="9" t="s">
        <v>13489</v>
      </c>
      <c r="C6858" s="9" t="str">
        <f>HYPERLINK("http://www.ncbi.nlm.nih.gov/protein/371119693","Slc10a3")</f>
        <v>Slc10a3</v>
      </c>
      <c r="D6858" s="10">
        <f t="shared" si="107"/>
        <v>3.806269922481119</v>
      </c>
      <c r="F6858" s="8" t="str">
        <f>HYPERLINK("https://esbl.nhlbi.nih.gov/Databases/mpkFractions/proteomic_fractions_log_files/Yang_log_img/371119693.jpg","show blot")</f>
        <v>show blot</v>
      </c>
      <c r="H6858" s="8" t="str">
        <f>HYPERLINK("https://esbl.nhlbi.nih.gov/Databases/mpkFractions/proteomic_fractions_linear_files/Yang_linear_img/371119693.jpg","show blot")</f>
        <v>show blot</v>
      </c>
      <c r="J6858" s="5" t="s">
        <v>13490</v>
      </c>
      <c r="L6858" s="11">
        <v>3.806269922481119</v>
      </c>
      <c r="N6858" s="12"/>
    </row>
    <row r="6859" spans="1:14" s="5" customFormat="1" ht="15" customHeight="1" x14ac:dyDescent="0.25">
      <c r="A6859" s="9" t="s">
        <v>13491</v>
      </c>
      <c r="C6859" s="9" t="str">
        <f>HYPERLINK("http://www.ncbi.nlm.nih.gov/protein/119226231","Slc12a1")</f>
        <v>Slc12a1</v>
      </c>
      <c r="D6859" s="10">
        <f t="shared" si="107"/>
        <v>2.9152590932578981</v>
      </c>
      <c r="F6859" s="8" t="str">
        <f>HYPERLINK("https://esbl.nhlbi.nih.gov/Databases/mpkFractions/proteomic_fractions_log_files/Yang_log_img/119226231.jpg","show blot")</f>
        <v>show blot</v>
      </c>
      <c r="H6859" s="8" t="str">
        <f>HYPERLINK("https://esbl.nhlbi.nih.gov/Databases/mpkFractions/proteomic_fractions_linear_files/Yang_linear_img/119226231.jpg","show blot")</f>
        <v>show blot</v>
      </c>
      <c r="J6859" s="5" t="s">
        <v>13492</v>
      </c>
      <c r="L6859" s="11">
        <v>2.9152590932578981</v>
      </c>
      <c r="N6859" s="12"/>
    </row>
    <row r="6860" spans="1:14" s="5" customFormat="1" ht="15" customHeight="1" x14ac:dyDescent="0.25">
      <c r="A6860" s="9" t="s">
        <v>13493</v>
      </c>
      <c r="C6860" s="9" t="str">
        <f>HYPERLINK("http://www.ncbi.nlm.nih.gov/protein/119226233","Slc12a1")</f>
        <v>Slc12a1</v>
      </c>
      <c r="D6860" s="10">
        <f t="shared" si="107"/>
        <v>2.9152590932578981</v>
      </c>
      <c r="F6860" s="8" t="str">
        <f>HYPERLINK("https://esbl.nhlbi.nih.gov/Databases/mpkFractions/proteomic_fractions_log_files/Yang_log_img/119226233.jpg","show blot")</f>
        <v>show blot</v>
      </c>
      <c r="H6860" s="8" t="str">
        <f>HYPERLINK("https://esbl.nhlbi.nih.gov/Databases/mpkFractions/proteomic_fractions_linear_files/Yang_linear_img/119226233.jpg","show blot")</f>
        <v>show blot</v>
      </c>
      <c r="J6860" s="5" t="s">
        <v>13494</v>
      </c>
      <c r="L6860" s="11">
        <v>2.9152590932578981</v>
      </c>
      <c r="N6860" s="12"/>
    </row>
    <row r="6861" spans="1:14" s="5" customFormat="1" ht="15" customHeight="1" x14ac:dyDescent="0.25">
      <c r="A6861" s="9" t="s">
        <v>13495</v>
      </c>
      <c r="C6861" s="9" t="str">
        <f>HYPERLINK("http://www.ncbi.nlm.nih.gov/protein/124517716","Slc12a2")</f>
        <v>Slc12a2</v>
      </c>
      <c r="D6861" s="10">
        <f t="shared" si="107"/>
        <v>4.3059426351661552</v>
      </c>
      <c r="F6861" s="8" t="str">
        <f>HYPERLINK("https://esbl.nhlbi.nih.gov/Databases/mpkFractions/proteomic_fractions_log_files/Yang_log_img/124517716.jpg","show blot")</f>
        <v>show blot</v>
      </c>
      <c r="H6861" s="8" t="str">
        <f>HYPERLINK("https://esbl.nhlbi.nih.gov/Databases/mpkFractions/proteomic_fractions_linear_files/Yang_linear_img/124517716.jpg","show blot")</f>
        <v>show blot</v>
      </c>
      <c r="J6861" s="5" t="s">
        <v>13496</v>
      </c>
      <c r="L6861" s="11">
        <v>4.3059426351661552</v>
      </c>
      <c r="N6861" s="12"/>
    </row>
    <row r="6862" spans="1:14" s="5" customFormat="1" ht="15" customHeight="1" x14ac:dyDescent="0.25">
      <c r="A6862" s="9" t="s">
        <v>13497</v>
      </c>
      <c r="C6862" s="9" t="str">
        <f>HYPERLINK("http://www.ncbi.nlm.nih.gov/protein/6755534","Slc12a7")</f>
        <v>Slc12a7</v>
      </c>
      <c r="D6862" s="10">
        <f t="shared" si="107"/>
        <v>3.6660194171679978</v>
      </c>
      <c r="F6862" s="8" t="str">
        <f>HYPERLINK("https://esbl.nhlbi.nih.gov/Databases/mpkFractions/proteomic_fractions_log_files/Yang_log_img/6755534.jpg","show blot")</f>
        <v>show blot</v>
      </c>
      <c r="H6862" s="8" t="str">
        <f>HYPERLINK("https://esbl.nhlbi.nih.gov/Databases/mpkFractions/proteomic_fractions_linear_files/Yang_linear_img/6755534.jpg","show blot")</f>
        <v>show blot</v>
      </c>
      <c r="J6862" s="5" t="s">
        <v>13498</v>
      </c>
      <c r="L6862" s="11">
        <v>3.6660194171679978</v>
      </c>
      <c r="N6862" s="12"/>
    </row>
    <row r="6863" spans="1:14" s="5" customFormat="1" ht="15" customHeight="1" x14ac:dyDescent="0.25">
      <c r="A6863" s="9" t="s">
        <v>13499</v>
      </c>
      <c r="C6863" s="9" t="str">
        <f>HYPERLINK("http://www.ncbi.nlm.nih.gov/protein/281371456","Slc12a9")</f>
        <v>Slc12a9</v>
      </c>
      <c r="D6863" s="10">
        <f t="shared" si="107"/>
        <v>3.571715974318129</v>
      </c>
      <c r="F6863" s="8" t="str">
        <f>HYPERLINK("https://esbl.nhlbi.nih.gov/Databases/mpkFractions/proteomic_fractions_log_files/Yang_log_img/281371456.jpg","show blot")</f>
        <v>show blot</v>
      </c>
      <c r="H6863" s="8" t="str">
        <f>HYPERLINK("https://esbl.nhlbi.nih.gov/Databases/mpkFractions/proteomic_fractions_linear_files/Yang_linear_img/281371456.jpg","show blot")</f>
        <v>show blot</v>
      </c>
      <c r="J6863" s="5" t="s">
        <v>13500</v>
      </c>
      <c r="L6863" s="11">
        <v>3.571715974318129</v>
      </c>
      <c r="N6863" s="12"/>
    </row>
    <row r="6864" spans="1:14" s="5" customFormat="1" ht="15" customHeight="1" x14ac:dyDescent="0.25">
      <c r="A6864" s="9" t="s">
        <v>13501</v>
      </c>
      <c r="C6864" s="9" t="str">
        <f>HYPERLINK("http://www.ncbi.nlm.nih.gov/protein/19527112","Slc15a4")</f>
        <v>Slc15a4</v>
      </c>
      <c r="D6864" s="10">
        <f t="shared" si="107"/>
        <v>1.4535622565487549</v>
      </c>
      <c r="F6864" s="8" t="str">
        <f>HYPERLINK("https://esbl.nhlbi.nih.gov/Databases/mpkFractions/proteomic_fractions_log_files/Yang_log_img/19527112.jpg","show blot")</f>
        <v>show blot</v>
      </c>
      <c r="H6864" s="8" t="str">
        <f>HYPERLINK("https://esbl.nhlbi.nih.gov/Databases/mpkFractions/proteomic_fractions_linear_files/Yang_linear_img/19527112.jpg","show blot")</f>
        <v>show blot</v>
      </c>
      <c r="J6864" s="5" t="s">
        <v>13502</v>
      </c>
      <c r="L6864" s="11">
        <v>1.4535622565487549</v>
      </c>
      <c r="N6864" s="12"/>
    </row>
    <row r="6865" spans="1:14" s="5" customFormat="1" ht="15" customHeight="1" x14ac:dyDescent="0.25">
      <c r="A6865" s="9" t="s">
        <v>13503</v>
      </c>
      <c r="C6865" s="9" t="str">
        <f>HYPERLINK("http://www.ncbi.nlm.nih.gov/protein/6677995","Slc16a1")</f>
        <v>Slc16a1</v>
      </c>
      <c r="D6865" s="10">
        <f t="shared" si="107"/>
        <v>5.7729060411353368</v>
      </c>
      <c r="F6865" s="8" t="str">
        <f>HYPERLINK("https://esbl.nhlbi.nih.gov/Databases/mpkFractions/proteomic_fractions_log_files/Yang_log_img/6677995.jpg","show blot")</f>
        <v>show blot</v>
      </c>
      <c r="H6865" s="8" t="str">
        <f>HYPERLINK("https://esbl.nhlbi.nih.gov/Databases/mpkFractions/proteomic_fractions_linear_files/Yang_linear_img/6677995.jpg","show blot")</f>
        <v>show blot</v>
      </c>
      <c r="J6865" s="5" t="s">
        <v>13504</v>
      </c>
      <c r="L6865" s="11">
        <v>5.7729060411353368</v>
      </c>
      <c r="N6865" s="12"/>
    </row>
    <row r="6866" spans="1:14" s="5" customFormat="1" ht="15" customHeight="1" x14ac:dyDescent="0.25">
      <c r="A6866" s="9" t="s">
        <v>13505</v>
      </c>
      <c r="C6866" s="9" t="str">
        <f>HYPERLINK("http://www.ncbi.nlm.nih.gov/protein/166999494","Slc16a10")</f>
        <v>Slc16a10</v>
      </c>
      <c r="D6866" s="10">
        <f t="shared" si="107"/>
        <v>3.7349639145671518</v>
      </c>
      <c r="F6866" s="8" t="str">
        <f>HYPERLINK("https://esbl.nhlbi.nih.gov/Databases/mpkFractions/proteomic_fractions_log_files/Yang_log_img/166999494.jpg","show blot")</f>
        <v>show blot</v>
      </c>
      <c r="H6866" s="8" t="str">
        <f>HYPERLINK("https://esbl.nhlbi.nih.gov/Databases/mpkFractions/proteomic_fractions_linear_files/Yang_linear_img/166999494.jpg","show blot")</f>
        <v>show blot</v>
      </c>
      <c r="J6866" s="5" t="s">
        <v>13506</v>
      </c>
      <c r="L6866" s="11">
        <v>3.7349639145671518</v>
      </c>
      <c r="N6866" s="12"/>
    </row>
    <row r="6867" spans="1:14" s="5" customFormat="1" ht="15" customHeight="1" x14ac:dyDescent="0.25">
      <c r="A6867" s="9" t="s">
        <v>13507</v>
      </c>
      <c r="C6867" s="9" t="str">
        <f>HYPERLINK("http://www.ncbi.nlm.nih.gov/protein/30794382","Slc16a10")</f>
        <v>Slc16a10</v>
      </c>
      <c r="D6867" s="10">
        <f t="shared" si="107"/>
        <v>3.7349639145671518</v>
      </c>
      <c r="F6867" s="8" t="str">
        <f>HYPERLINK("https://esbl.nhlbi.nih.gov/Databases/mpkFractions/proteomic_fractions_log_files/Yang_log_img/30794382.jpg","show blot")</f>
        <v>show blot</v>
      </c>
      <c r="H6867" s="8" t="str">
        <f>HYPERLINK("https://esbl.nhlbi.nih.gov/Databases/mpkFractions/proteomic_fractions_linear_files/Yang_linear_img/30794382.jpg","show blot")</f>
        <v>show blot</v>
      </c>
      <c r="J6867" s="5" t="s">
        <v>13508</v>
      </c>
      <c r="L6867" s="11">
        <v>3.7349639145671518</v>
      </c>
      <c r="N6867" s="12"/>
    </row>
    <row r="6868" spans="1:14" s="5" customFormat="1" ht="15" customHeight="1" x14ac:dyDescent="0.25">
      <c r="A6868" s="9" t="s">
        <v>13509</v>
      </c>
      <c r="C6868" s="9" t="str">
        <f>HYPERLINK("http://www.ncbi.nlm.nih.gov/protein/114326474","Slc1a5")</f>
        <v>Slc1a5</v>
      </c>
      <c r="D6868" s="10">
        <f t="shared" si="107"/>
        <v>3.831301167314086</v>
      </c>
      <c r="F6868" s="8" t="str">
        <f>HYPERLINK("https://esbl.nhlbi.nih.gov/Databases/mpkFractions/proteomic_fractions_log_files/Yang_log_img/114326474.jpg","show blot")</f>
        <v>show blot</v>
      </c>
      <c r="H6868" s="8" t="str">
        <f>HYPERLINK("https://esbl.nhlbi.nih.gov/Databases/mpkFractions/proteomic_fractions_linear_files/Yang_linear_img/114326474.jpg","show blot")</f>
        <v>show blot</v>
      </c>
      <c r="J6868" s="5" t="s">
        <v>13510</v>
      </c>
      <c r="L6868" s="11">
        <v>3.831301167314086</v>
      </c>
      <c r="N6868" s="12"/>
    </row>
    <row r="6869" spans="1:14" s="5" customFormat="1" ht="15" customHeight="1" x14ac:dyDescent="0.25">
      <c r="A6869" s="9" t="s">
        <v>13511</v>
      </c>
      <c r="C6869" s="9" t="str">
        <f>HYPERLINK("http://www.ncbi.nlm.nih.gov/protein/42741686","Slc23a1")</f>
        <v>Slc23a1</v>
      </c>
      <c r="D6869" s="10">
        <f t="shared" si="107"/>
        <v>3.0721933193849429</v>
      </c>
      <c r="F6869" s="8" t="str">
        <f>HYPERLINK("https://esbl.nhlbi.nih.gov/Databases/mpkFractions/proteomic_fractions_log_files/Yang_log_img/42741686.jpg","show blot")</f>
        <v>show blot</v>
      </c>
      <c r="H6869" s="8" t="str">
        <f>HYPERLINK("https://esbl.nhlbi.nih.gov/Databases/mpkFractions/proteomic_fractions_linear_files/Yang_linear_img/42741686.jpg","show blot")</f>
        <v>show blot</v>
      </c>
      <c r="J6869" s="5" t="s">
        <v>13512</v>
      </c>
      <c r="L6869" s="11">
        <v>3.0721933193849429</v>
      </c>
      <c r="N6869" s="12"/>
    </row>
    <row r="6870" spans="1:14" s="5" customFormat="1" ht="15" customHeight="1" x14ac:dyDescent="0.25">
      <c r="A6870" s="9" t="s">
        <v>13513</v>
      </c>
      <c r="C6870" s="9" t="str">
        <f>HYPERLINK("http://www.ncbi.nlm.nih.gov/protein/23943838","Slc25a1")</f>
        <v>Slc25a1</v>
      </c>
      <c r="D6870" s="10">
        <f t="shared" si="107"/>
        <v>5.9488164266973644</v>
      </c>
      <c r="F6870" s="8" t="str">
        <f>HYPERLINK("https://esbl.nhlbi.nih.gov/Databases/mpkFractions/proteomic_fractions_log_files/Yang_log_img/23943838.jpg","show blot")</f>
        <v>show blot</v>
      </c>
      <c r="H6870" s="8" t="str">
        <f>HYPERLINK("https://esbl.nhlbi.nih.gov/Databases/mpkFractions/proteomic_fractions_linear_files/Yang_linear_img/23943838.jpg","show blot")</f>
        <v>show blot</v>
      </c>
      <c r="J6870" s="5" t="s">
        <v>13514</v>
      </c>
      <c r="L6870" s="11">
        <v>5.9488164266973644</v>
      </c>
      <c r="N6870" s="12"/>
    </row>
    <row r="6871" spans="1:14" s="5" customFormat="1" ht="15" customHeight="1" x14ac:dyDescent="0.25">
      <c r="A6871" s="9" t="s">
        <v>13515</v>
      </c>
      <c r="C6871" s="9" t="str">
        <f>HYPERLINK("http://www.ncbi.nlm.nih.gov/protein/254826790","Slc25a10")</f>
        <v>Slc25a10</v>
      </c>
      <c r="D6871" s="10">
        <f t="shared" si="107"/>
        <v>5.9612991148792878</v>
      </c>
      <c r="F6871" s="8" t="str">
        <f>HYPERLINK("https://esbl.nhlbi.nih.gov/Databases/mpkFractions/proteomic_fractions_log_files/Yang_log_img/254826790.jpg","show blot")</f>
        <v>show blot</v>
      </c>
      <c r="H6871" s="8" t="str">
        <f>HYPERLINK("https://esbl.nhlbi.nih.gov/Databases/mpkFractions/proteomic_fractions_linear_files/Yang_linear_img/254826790.jpg","show blot")</f>
        <v>show blot</v>
      </c>
      <c r="J6871" s="5" t="s">
        <v>13516</v>
      </c>
      <c r="L6871" s="11">
        <v>5.9612991148792878</v>
      </c>
      <c r="N6871" s="12"/>
    </row>
    <row r="6872" spans="1:14" s="5" customFormat="1" ht="15" customHeight="1" x14ac:dyDescent="0.25">
      <c r="A6872" s="9" t="s">
        <v>13517</v>
      </c>
      <c r="C6872" s="9" t="str">
        <f>HYPERLINK("http://www.ncbi.nlm.nih.gov/protein/21312994","Slc25a11")</f>
        <v>Slc25a11</v>
      </c>
      <c r="D6872" s="10">
        <f t="shared" si="107"/>
        <v>6.129958023856247</v>
      </c>
      <c r="F6872" s="8" t="str">
        <f>HYPERLINK("https://esbl.nhlbi.nih.gov/Databases/mpkFractions/proteomic_fractions_log_files/Yang_log_img/21312994.jpg","show blot")</f>
        <v>show blot</v>
      </c>
      <c r="H6872" s="8" t="str">
        <f>HYPERLINK("https://esbl.nhlbi.nih.gov/Databases/mpkFractions/proteomic_fractions_linear_files/Yang_linear_img/21312994.jpg","show blot")</f>
        <v>show blot</v>
      </c>
      <c r="J6872" s="5" t="s">
        <v>13518</v>
      </c>
      <c r="L6872" s="11">
        <v>6.129958023856247</v>
      </c>
      <c r="N6872" s="12"/>
    </row>
    <row r="6873" spans="1:14" s="5" customFormat="1" ht="15" customHeight="1" x14ac:dyDescent="0.25">
      <c r="A6873" s="9" t="s">
        <v>13519</v>
      </c>
      <c r="C6873" s="9" t="str">
        <f>HYPERLINK("http://www.ncbi.nlm.nih.gov/protein/27369581","Slc25a12")</f>
        <v>Slc25a12</v>
      </c>
      <c r="D6873" s="10">
        <f t="shared" si="107"/>
        <v>5.5725135426643861</v>
      </c>
      <c r="F6873" s="8" t="str">
        <f>HYPERLINK("https://esbl.nhlbi.nih.gov/Databases/mpkFractions/proteomic_fractions_log_files/Yang_log_img/27369581.jpg","show blot")</f>
        <v>show blot</v>
      </c>
      <c r="H6873" s="8" t="str">
        <f>HYPERLINK("https://esbl.nhlbi.nih.gov/Databases/mpkFractions/proteomic_fractions_linear_files/Yang_linear_img/27369581.jpg","show blot")</f>
        <v>show blot</v>
      </c>
      <c r="J6873" s="5" t="s">
        <v>13520</v>
      </c>
      <c r="L6873" s="11">
        <v>5.5725135426643861</v>
      </c>
      <c r="N6873" s="12"/>
    </row>
    <row r="6874" spans="1:14" s="5" customFormat="1" ht="15" customHeight="1" x14ac:dyDescent="0.25">
      <c r="A6874" s="9" t="s">
        <v>13521</v>
      </c>
      <c r="C6874" s="9" t="str">
        <f>HYPERLINK("http://www.ncbi.nlm.nih.gov/protein/294832028","Slc25a13")</f>
        <v>Slc25a13</v>
      </c>
      <c r="D6874" s="10">
        <f t="shared" si="107"/>
        <v>5.7374641770437389</v>
      </c>
      <c r="F6874" s="8" t="str">
        <f>HYPERLINK("https://esbl.nhlbi.nih.gov/Databases/mpkFractions/proteomic_fractions_log_files/Yang_log_img/294832028.jpg","show blot")</f>
        <v>show blot</v>
      </c>
      <c r="H6874" s="8" t="str">
        <f>HYPERLINK("https://esbl.nhlbi.nih.gov/Databases/mpkFractions/proteomic_fractions_linear_files/Yang_linear_img/294832028.jpg","show blot")</f>
        <v>show blot</v>
      </c>
      <c r="J6874" s="5" t="s">
        <v>13522</v>
      </c>
      <c r="L6874" s="11">
        <v>5.7374641770437389</v>
      </c>
      <c r="N6874" s="12"/>
    </row>
    <row r="6875" spans="1:14" s="5" customFormat="1" ht="15" customHeight="1" x14ac:dyDescent="0.25">
      <c r="A6875" s="9" t="s">
        <v>13523</v>
      </c>
      <c r="C6875" s="9" t="str">
        <f>HYPERLINK("http://www.ncbi.nlm.nih.gov/protein/7657583","Slc25a13")</f>
        <v>Slc25a13</v>
      </c>
      <c r="D6875" s="10">
        <f t="shared" si="107"/>
        <v>5.7374641770437389</v>
      </c>
      <c r="F6875" s="8" t="str">
        <f>HYPERLINK("https://esbl.nhlbi.nih.gov/Databases/mpkFractions/proteomic_fractions_log_files/Yang_log_img/7657583.jpg","show blot")</f>
        <v>show blot</v>
      </c>
      <c r="H6875" s="8" t="str">
        <f>HYPERLINK("https://esbl.nhlbi.nih.gov/Databases/mpkFractions/proteomic_fractions_linear_files/Yang_linear_img/7657583.jpg","show blot")</f>
        <v>show blot</v>
      </c>
      <c r="J6875" s="5" t="s">
        <v>13524</v>
      </c>
      <c r="L6875" s="11">
        <v>5.7374641770437389</v>
      </c>
      <c r="N6875" s="12"/>
    </row>
    <row r="6876" spans="1:14" s="5" customFormat="1" ht="15" customHeight="1" x14ac:dyDescent="0.25">
      <c r="A6876" s="9" t="s">
        <v>13525</v>
      </c>
      <c r="C6876" s="9" t="str">
        <f>HYPERLINK("http://www.ncbi.nlm.nih.gov/protein/31044465","Slc25a15")</f>
        <v>Slc25a15</v>
      </c>
      <c r="D6876" s="10">
        <f t="shared" si="107"/>
        <v>3.3815143725191832</v>
      </c>
      <c r="F6876" s="8" t="str">
        <f>HYPERLINK("https://esbl.nhlbi.nih.gov/Databases/mpkFractions/proteomic_fractions_log_files/Yang_log_img/31044465.jpg","show blot")</f>
        <v>show blot</v>
      </c>
      <c r="H6876" s="8" t="str">
        <f>HYPERLINK("https://esbl.nhlbi.nih.gov/Databases/mpkFractions/proteomic_fractions_linear_files/Yang_linear_img/31044465.jpg","show blot")</f>
        <v>show blot</v>
      </c>
      <c r="J6876" s="5" t="s">
        <v>13526</v>
      </c>
      <c r="L6876" s="11">
        <v>3.3815143725191832</v>
      </c>
      <c r="N6876" s="12"/>
    </row>
    <row r="6877" spans="1:14" s="5" customFormat="1" ht="15" customHeight="1" x14ac:dyDescent="0.25">
      <c r="A6877" s="9" t="s">
        <v>13527</v>
      </c>
      <c r="C6877" s="9" t="str">
        <f>HYPERLINK("http://www.ncbi.nlm.nih.gov/protein/30424808","Slc25a16")</f>
        <v>Slc25a16</v>
      </c>
      <c r="D6877" s="10">
        <f t="shared" si="107"/>
        <v>4.0013500790246814</v>
      </c>
      <c r="F6877" s="8" t="str">
        <f>HYPERLINK("https://esbl.nhlbi.nih.gov/Databases/mpkFractions/proteomic_fractions_log_files/Yang_log_img/30424808.jpg","show blot")</f>
        <v>show blot</v>
      </c>
      <c r="H6877" s="8" t="str">
        <f>HYPERLINK("https://esbl.nhlbi.nih.gov/Databases/mpkFractions/proteomic_fractions_linear_files/Yang_linear_img/30424808.jpg","show blot")</f>
        <v>show blot</v>
      </c>
      <c r="J6877" s="5" t="s">
        <v>13528</v>
      </c>
      <c r="L6877" s="11">
        <v>4.0013500790246814</v>
      </c>
      <c r="N6877" s="12"/>
    </row>
    <row r="6878" spans="1:14" s="5" customFormat="1" ht="15" customHeight="1" x14ac:dyDescent="0.25">
      <c r="A6878" s="9" t="s">
        <v>13529</v>
      </c>
      <c r="C6878" s="9" t="str">
        <f>HYPERLINK("http://www.ncbi.nlm.nih.gov/protein/29789024","Slc25a17")</f>
        <v>Slc25a17</v>
      </c>
      <c r="D6878" s="10">
        <f t="shared" si="107"/>
        <v>4.4430494761225479</v>
      </c>
      <c r="F6878" s="8" t="str">
        <f>HYPERLINK("https://esbl.nhlbi.nih.gov/Databases/mpkFractions/proteomic_fractions_log_files/Yang_log_img/29789024.jpg","show blot")</f>
        <v>show blot</v>
      </c>
      <c r="H6878" s="8" t="str">
        <f>HYPERLINK("https://esbl.nhlbi.nih.gov/Databases/mpkFractions/proteomic_fractions_linear_files/Yang_linear_img/29789024.jpg","show blot")</f>
        <v>show blot</v>
      </c>
      <c r="J6878" s="5" t="s">
        <v>13530</v>
      </c>
      <c r="L6878" s="11">
        <v>4.4430494761225479</v>
      </c>
      <c r="N6878" s="12"/>
    </row>
    <row r="6879" spans="1:14" s="5" customFormat="1" ht="15" customHeight="1" x14ac:dyDescent="0.25">
      <c r="A6879" s="9" t="s">
        <v>13531</v>
      </c>
      <c r="C6879" s="9" t="str">
        <f>HYPERLINK("http://www.ncbi.nlm.nih.gov/protein/10048462","Slc25a20")</f>
        <v>Slc25a20</v>
      </c>
      <c r="D6879" s="10">
        <f t="shared" si="107"/>
        <v>5.2665597710032142</v>
      </c>
      <c r="F6879" s="8" t="str">
        <f>HYPERLINK("https://esbl.nhlbi.nih.gov/Databases/mpkFractions/proteomic_fractions_log_files/Yang_log_img/10048462.jpg","show blot")</f>
        <v>show blot</v>
      </c>
      <c r="H6879" s="8" t="str">
        <f>HYPERLINK("https://esbl.nhlbi.nih.gov/Databases/mpkFractions/proteomic_fractions_linear_files/Yang_linear_img/10048462.jpg","show blot")</f>
        <v>show blot</v>
      </c>
      <c r="J6879" s="5" t="s">
        <v>13532</v>
      </c>
      <c r="L6879" s="11">
        <v>5.2665597710032142</v>
      </c>
      <c r="N6879" s="12"/>
    </row>
    <row r="6880" spans="1:14" s="5" customFormat="1" ht="15" customHeight="1" x14ac:dyDescent="0.25">
      <c r="A6880" s="9" t="s">
        <v>13533</v>
      </c>
      <c r="C6880" s="9" t="str">
        <f>HYPERLINK("http://www.ncbi.nlm.nih.gov/protein/294831970","Slc25a22")</f>
        <v>Slc25a22</v>
      </c>
      <c r="D6880" s="10">
        <f t="shared" si="107"/>
        <v>4.1494863799973922</v>
      </c>
      <c r="F6880" s="8" t="str">
        <f>HYPERLINK("https://esbl.nhlbi.nih.gov/Databases/mpkFractions/proteomic_fractions_log_files/Yang_log_img/294831970.jpg","show blot")</f>
        <v>show blot</v>
      </c>
      <c r="H6880" s="8" t="str">
        <f>HYPERLINK("https://esbl.nhlbi.nih.gov/Databases/mpkFractions/proteomic_fractions_linear_files/Yang_linear_img/294831970.jpg","show blot")</f>
        <v>show blot</v>
      </c>
      <c r="J6880" s="5" t="s">
        <v>13534</v>
      </c>
      <c r="L6880" s="11">
        <v>4.1494863799973922</v>
      </c>
      <c r="N6880" s="12"/>
    </row>
    <row r="6881" spans="1:14" s="5" customFormat="1" ht="15" customHeight="1" x14ac:dyDescent="0.25">
      <c r="A6881" s="9" t="s">
        <v>13535</v>
      </c>
      <c r="C6881" s="9" t="str">
        <f>HYPERLINK("http://www.ncbi.nlm.nih.gov/protein/27369998","Slc25a24")</f>
        <v>Slc25a24</v>
      </c>
      <c r="D6881" s="10">
        <f t="shared" si="107"/>
        <v>5.1724360086756924</v>
      </c>
      <c r="F6881" s="8" t="str">
        <f>HYPERLINK("https://esbl.nhlbi.nih.gov/Databases/mpkFractions/proteomic_fractions_log_files/Yang_log_img/27369998.jpg","show blot")</f>
        <v>show blot</v>
      </c>
      <c r="H6881" s="8" t="str">
        <f>HYPERLINK("https://esbl.nhlbi.nih.gov/Databases/mpkFractions/proteomic_fractions_linear_files/Yang_linear_img/27369998.jpg","show blot")</f>
        <v>show blot</v>
      </c>
      <c r="J6881" s="5" t="s">
        <v>13536</v>
      </c>
      <c r="L6881" s="11">
        <v>5.1724360086756924</v>
      </c>
      <c r="N6881" s="12"/>
    </row>
    <row r="6882" spans="1:14" s="5" customFormat="1" ht="15" customHeight="1" x14ac:dyDescent="0.25">
      <c r="A6882" s="9" t="s">
        <v>13537</v>
      </c>
      <c r="C6882" s="9" t="str">
        <f>HYPERLINK("http://www.ncbi.nlm.nih.gov/protein/27754081","Slc25a26")</f>
        <v>Slc25a26</v>
      </c>
      <c r="D6882" s="10">
        <f t="shared" si="107"/>
        <v>2.7154829945318508</v>
      </c>
      <c r="F6882" s="8" t="str">
        <f>HYPERLINK("https://esbl.nhlbi.nih.gov/Databases/mpkFractions/proteomic_fractions_log_files/Yang_log_img/27754081.jpg","show blot")</f>
        <v>show blot</v>
      </c>
      <c r="H6882" s="8" t="str">
        <f>HYPERLINK("https://esbl.nhlbi.nih.gov/Databases/mpkFractions/proteomic_fractions_linear_files/Yang_linear_img/27754081.jpg","show blot")</f>
        <v>show blot</v>
      </c>
      <c r="J6882" s="5" t="s">
        <v>13538</v>
      </c>
      <c r="L6882" s="11">
        <v>2.7154829945318508</v>
      </c>
      <c r="N6882" s="12"/>
    </row>
    <row r="6883" spans="1:14" s="5" customFormat="1" ht="15" customHeight="1" x14ac:dyDescent="0.25">
      <c r="A6883" s="9" t="s">
        <v>13539</v>
      </c>
      <c r="C6883" s="9" t="str">
        <f>HYPERLINK("http://www.ncbi.nlm.nih.gov/protein/21312006","Slc25a27")</f>
        <v>Slc25a27</v>
      </c>
      <c r="D6883" s="10">
        <f t="shared" si="107"/>
        <v>4.1710197103035114</v>
      </c>
      <c r="F6883" s="8" t="str">
        <f>HYPERLINK("https://esbl.nhlbi.nih.gov/Databases/mpkFractions/proteomic_fractions_log_files/Yang_log_img/21312006.jpg","show blot")</f>
        <v>show blot</v>
      </c>
      <c r="H6883" s="8" t="str">
        <f>HYPERLINK("https://esbl.nhlbi.nih.gov/Databases/mpkFractions/proteomic_fractions_linear_files/Yang_linear_img/21312006.jpg","show blot")</f>
        <v>show blot</v>
      </c>
      <c r="J6883" s="5" t="s">
        <v>13540</v>
      </c>
      <c r="L6883" s="11">
        <v>4.1710197103035114</v>
      </c>
      <c r="N6883" s="12"/>
    </row>
    <row r="6884" spans="1:14" s="5" customFormat="1" ht="15" customHeight="1" x14ac:dyDescent="0.25">
      <c r="A6884" s="9" t="s">
        <v>13541</v>
      </c>
      <c r="C6884" s="9" t="str">
        <f>HYPERLINK("http://www.ncbi.nlm.nih.gov/protein/31044469","Slc25a29")</f>
        <v>Slc25a29</v>
      </c>
      <c r="D6884" s="10">
        <f t="shared" si="107"/>
        <v>3.2510632112725761</v>
      </c>
      <c r="F6884" s="8" t="str">
        <f>HYPERLINK("https://esbl.nhlbi.nih.gov/Databases/mpkFractions/proteomic_fractions_log_files/Yang_log_img/31044469.jpg","show blot")</f>
        <v>show blot</v>
      </c>
      <c r="H6884" s="8" t="str">
        <f>HYPERLINK("https://esbl.nhlbi.nih.gov/Databases/mpkFractions/proteomic_fractions_linear_files/Yang_linear_img/31044469.jpg","show blot")</f>
        <v>show blot</v>
      </c>
      <c r="J6884" s="5" t="s">
        <v>13542</v>
      </c>
      <c r="L6884" s="11">
        <v>3.2510632112725761</v>
      </c>
      <c r="N6884" s="12"/>
    </row>
    <row r="6885" spans="1:14" s="5" customFormat="1" ht="15" customHeight="1" x14ac:dyDescent="0.25">
      <c r="A6885" s="9" t="s">
        <v>13543</v>
      </c>
      <c r="C6885" s="9" t="str">
        <f>HYPERLINK("http://www.ncbi.nlm.nih.gov/protein/19526818","Slc25a3")</f>
        <v>Slc25a3</v>
      </c>
      <c r="D6885" s="10">
        <f t="shared" si="107"/>
        <v>7.2221524437844664</v>
      </c>
      <c r="F6885" s="8" t="str">
        <f>HYPERLINK("https://esbl.nhlbi.nih.gov/Databases/mpkFractions/proteomic_fractions_log_files/Yang_log_img/19526818.jpg","show blot")</f>
        <v>show blot</v>
      </c>
      <c r="H6885" s="8" t="str">
        <f>HYPERLINK("https://esbl.nhlbi.nih.gov/Databases/mpkFractions/proteomic_fractions_linear_files/Yang_linear_img/19526818.jpg","show blot")</f>
        <v>show blot</v>
      </c>
      <c r="J6885" s="5" t="s">
        <v>13544</v>
      </c>
      <c r="L6885" s="11">
        <v>7.2221524437844664</v>
      </c>
      <c r="N6885" s="12"/>
    </row>
    <row r="6886" spans="1:14" s="5" customFormat="1" ht="15" customHeight="1" x14ac:dyDescent="0.25">
      <c r="A6886" s="9" t="s">
        <v>13545</v>
      </c>
      <c r="C6886" s="9" t="str">
        <f>HYPERLINK("http://www.ncbi.nlm.nih.gov/protein/13385736","Slc25a30")</f>
        <v>Slc25a30</v>
      </c>
      <c r="D6886" s="10">
        <f t="shared" si="107"/>
        <v>3.2644271728305569</v>
      </c>
      <c r="F6886" s="8" t="str">
        <f>HYPERLINK("https://esbl.nhlbi.nih.gov/Databases/mpkFractions/proteomic_fractions_log_files/Yang_log_img/13385736.jpg","show blot")</f>
        <v>show blot</v>
      </c>
      <c r="H6886" s="8" t="str">
        <f>HYPERLINK("https://esbl.nhlbi.nih.gov/Databases/mpkFractions/proteomic_fractions_linear_files/Yang_linear_img/13385736.jpg","show blot")</f>
        <v>show blot</v>
      </c>
      <c r="J6886" s="5" t="s">
        <v>13546</v>
      </c>
      <c r="L6886" s="11">
        <v>3.2644271728305569</v>
      </c>
      <c r="N6886" s="12"/>
    </row>
    <row r="6887" spans="1:14" s="5" customFormat="1" ht="15" customHeight="1" x14ac:dyDescent="0.25">
      <c r="A6887" s="9" t="s">
        <v>13547</v>
      </c>
      <c r="C6887" s="9" t="str">
        <f>HYPERLINK("http://www.ncbi.nlm.nih.gov/protein/254692892","Slc25a31")</f>
        <v>Slc25a31</v>
      </c>
      <c r="D6887" s="10">
        <f t="shared" si="107"/>
        <v>6.7196136839703779</v>
      </c>
      <c r="F6887" s="8" t="str">
        <f>HYPERLINK("https://esbl.nhlbi.nih.gov/Databases/mpkFractions/proteomic_fractions_log_files/Yang_log_img/254692892.jpg","show blot")</f>
        <v>show blot</v>
      </c>
      <c r="H6887" s="8" t="str">
        <f>HYPERLINK("https://esbl.nhlbi.nih.gov/Databases/mpkFractions/proteomic_fractions_linear_files/Yang_linear_img/254692892.jpg","show blot")</f>
        <v>show blot</v>
      </c>
      <c r="J6887" s="5" t="s">
        <v>13548</v>
      </c>
      <c r="L6887" s="11">
        <v>6.7196136839703779</v>
      </c>
      <c r="N6887" s="12"/>
    </row>
    <row r="6888" spans="1:14" s="5" customFormat="1" ht="15" customHeight="1" x14ac:dyDescent="0.25">
      <c r="A6888" s="9" t="s">
        <v>13549</v>
      </c>
      <c r="C6888" s="9" t="str">
        <f>HYPERLINK("http://www.ncbi.nlm.nih.gov/protein/168480117","Slc25a32")</f>
        <v>Slc25a32</v>
      </c>
      <c r="D6888" s="10">
        <f t="shared" si="107"/>
        <v>2.7515463713253552</v>
      </c>
      <c r="F6888" s="8" t="str">
        <f>HYPERLINK("https://esbl.nhlbi.nih.gov/Databases/mpkFractions/proteomic_fractions_log_files/Yang_log_img/168480117.jpg","show blot")</f>
        <v>show blot</v>
      </c>
      <c r="H6888" s="8" t="str">
        <f>HYPERLINK("https://esbl.nhlbi.nih.gov/Databases/mpkFractions/proteomic_fractions_linear_files/Yang_linear_img/168480117.jpg","show blot")</f>
        <v>show blot</v>
      </c>
      <c r="J6888" s="5" t="s">
        <v>13550</v>
      </c>
      <c r="L6888" s="11">
        <v>2.7515463713253552</v>
      </c>
      <c r="N6888" s="12"/>
    </row>
    <row r="6889" spans="1:14" s="5" customFormat="1" ht="15" customHeight="1" x14ac:dyDescent="0.25">
      <c r="A6889" s="9" t="s">
        <v>13551</v>
      </c>
      <c r="C6889" s="9" t="str">
        <f>HYPERLINK("http://www.ncbi.nlm.nih.gov/protein/148747424","Slc25a4")</f>
        <v>Slc25a4</v>
      </c>
      <c r="D6889" s="10">
        <f t="shared" si="107"/>
        <v>6.9776016797982026</v>
      </c>
      <c r="F6889" s="8" t="str">
        <f>HYPERLINK("https://esbl.nhlbi.nih.gov/Databases/mpkFractions/proteomic_fractions_log_files/Yang_log_img/148747424.jpg","show blot")</f>
        <v>show blot</v>
      </c>
      <c r="H6889" s="8" t="str">
        <f>HYPERLINK("https://esbl.nhlbi.nih.gov/Databases/mpkFractions/proteomic_fractions_linear_files/Yang_linear_img/148747424.jpg","show blot")</f>
        <v>show blot</v>
      </c>
      <c r="J6889" s="5" t="s">
        <v>13552</v>
      </c>
      <c r="L6889" s="11">
        <v>6.9776016797982026</v>
      </c>
      <c r="N6889" s="12"/>
    </row>
    <row r="6890" spans="1:14" s="5" customFormat="1" ht="15" customHeight="1" x14ac:dyDescent="0.25">
      <c r="A6890" s="9" t="s">
        <v>13553</v>
      </c>
      <c r="C6890" s="9" t="str">
        <f>HYPERLINK("http://www.ncbi.nlm.nih.gov/protein/158749545","Slc25a40")</f>
        <v>Slc25a40</v>
      </c>
      <c r="D6890" s="10">
        <f t="shared" si="107"/>
        <v>3.8430886715841281</v>
      </c>
      <c r="F6890" s="8" t="str">
        <f>HYPERLINK("https://esbl.nhlbi.nih.gov/Databases/mpkFractions/proteomic_fractions_log_files/Yang_log_img/158749545.jpg","show blot")</f>
        <v>show blot</v>
      </c>
      <c r="H6890" s="8" t="str">
        <f>HYPERLINK("https://esbl.nhlbi.nih.gov/Databases/mpkFractions/proteomic_fractions_linear_files/Yang_linear_img/158749545.jpg","show blot")</f>
        <v>show blot</v>
      </c>
      <c r="J6890" s="5" t="s">
        <v>13554</v>
      </c>
      <c r="L6890" s="11">
        <v>3.8430886715841281</v>
      </c>
      <c r="N6890" s="12"/>
    </row>
    <row r="6891" spans="1:14" s="5" customFormat="1" ht="15" customHeight="1" x14ac:dyDescent="0.25">
      <c r="A6891" s="9" t="s">
        <v>13555</v>
      </c>
      <c r="C6891" s="9" t="str">
        <f>HYPERLINK("http://www.ncbi.nlm.nih.gov/protein/23956272","Slc25a45")</f>
        <v>Slc25a45</v>
      </c>
      <c r="D6891" s="10">
        <f t="shared" si="107"/>
        <v>2.7711592821603381</v>
      </c>
      <c r="F6891" s="8" t="str">
        <f>HYPERLINK("https://esbl.nhlbi.nih.gov/Databases/mpkFractions/proteomic_fractions_log_files/Yang_log_img/23956272.jpg","show blot")</f>
        <v>show blot</v>
      </c>
      <c r="H6891" s="8" t="str">
        <f>HYPERLINK("https://esbl.nhlbi.nih.gov/Databases/mpkFractions/proteomic_fractions_linear_files/Yang_linear_img/23956272.jpg","show blot")</f>
        <v>show blot</v>
      </c>
      <c r="J6891" s="5" t="s">
        <v>13556</v>
      </c>
      <c r="L6891" s="11">
        <v>2.7711592821603381</v>
      </c>
      <c r="N6891" s="12"/>
    </row>
    <row r="6892" spans="1:14" s="5" customFormat="1" ht="15" customHeight="1" x14ac:dyDescent="0.25">
      <c r="A6892" s="9" t="s">
        <v>13557</v>
      </c>
      <c r="C6892" s="9" t="str">
        <f>HYPERLINK("http://www.ncbi.nlm.nih.gov/protein/254692847","Slc25a48")</f>
        <v>Slc25a48</v>
      </c>
      <c r="D6892" s="10">
        <f t="shared" si="107"/>
        <v>4.1608378084508768</v>
      </c>
      <c r="F6892" s="8" t="str">
        <f>HYPERLINK("https://esbl.nhlbi.nih.gov/Databases/mpkFractions/proteomic_fractions_log_files/Yang_log_img/254692847.jpg","show blot")</f>
        <v>show blot</v>
      </c>
      <c r="H6892" s="8" t="str">
        <f>HYPERLINK("https://esbl.nhlbi.nih.gov/Databases/mpkFractions/proteomic_fractions_linear_files/Yang_linear_img/254692847.jpg","show blot")</f>
        <v>show blot</v>
      </c>
      <c r="J6892" s="5" t="s">
        <v>13558</v>
      </c>
      <c r="L6892" s="11">
        <v>4.1608378084508768</v>
      </c>
      <c r="N6892" s="12"/>
    </row>
    <row r="6893" spans="1:14" s="5" customFormat="1" ht="15" customHeight="1" x14ac:dyDescent="0.25">
      <c r="A6893" s="9" t="s">
        <v>13559</v>
      </c>
      <c r="C6893" s="9" t="str">
        <f>HYPERLINK("http://www.ncbi.nlm.nih.gov/protein/22094075","Slc25a5")</f>
        <v>Slc25a5</v>
      </c>
      <c r="D6893" s="10">
        <f t="shared" si="107"/>
        <v>7.0309170112724404</v>
      </c>
      <c r="F6893" s="8" t="str">
        <f>HYPERLINK("https://esbl.nhlbi.nih.gov/Databases/mpkFractions/proteomic_fractions_log_files/Yang_log_img/22094075.jpg","show blot")</f>
        <v>show blot</v>
      </c>
      <c r="H6893" s="8" t="str">
        <f>HYPERLINK("https://esbl.nhlbi.nih.gov/Databases/mpkFractions/proteomic_fractions_linear_files/Yang_linear_img/22094075.jpg","show blot")</f>
        <v>show blot</v>
      </c>
      <c r="J6893" s="5" t="s">
        <v>13560</v>
      </c>
      <c r="L6893" s="11">
        <v>7.0309170112724404</v>
      </c>
      <c r="N6893" s="12"/>
    </row>
    <row r="6894" spans="1:14" s="5" customFormat="1" ht="15" customHeight="1" x14ac:dyDescent="0.25">
      <c r="A6894" s="9" t="s">
        <v>13561</v>
      </c>
      <c r="C6894" s="9" t="str">
        <f>HYPERLINK("http://www.ncbi.nlm.nih.gov/protein/6755546","Slc27a1")</f>
        <v>Slc27a1</v>
      </c>
      <c r="D6894" s="10">
        <f t="shared" si="107"/>
        <v>2.7792949721549829</v>
      </c>
      <c r="F6894" s="8" t="str">
        <f>HYPERLINK("https://esbl.nhlbi.nih.gov/Databases/mpkFractions/proteomic_fractions_log_files/Yang_log_img/6755546.jpg","show blot")</f>
        <v>show blot</v>
      </c>
      <c r="H6894" s="8" t="str">
        <f>HYPERLINK("https://esbl.nhlbi.nih.gov/Databases/mpkFractions/proteomic_fractions_linear_files/Yang_linear_img/6755546.jpg","show blot")</f>
        <v>show blot</v>
      </c>
      <c r="J6894" s="5" t="s">
        <v>13562</v>
      </c>
      <c r="L6894" s="11">
        <v>2.7792949721549829</v>
      </c>
      <c r="N6894" s="12"/>
    </row>
    <row r="6895" spans="1:14" s="5" customFormat="1" ht="15" customHeight="1" x14ac:dyDescent="0.25">
      <c r="A6895" s="9" t="s">
        <v>13563</v>
      </c>
      <c r="C6895" s="9" t="str">
        <f>HYPERLINK("http://www.ncbi.nlm.nih.gov/protein/45597453","Slc27a4")</f>
        <v>Slc27a4</v>
      </c>
      <c r="D6895" s="10">
        <f t="shared" si="107"/>
        <v>3.824730522035058</v>
      </c>
      <c r="F6895" s="8" t="str">
        <f>HYPERLINK("https://esbl.nhlbi.nih.gov/Databases/mpkFractions/proteomic_fractions_log_files/Yang_log_img/45597453.jpg","show blot")</f>
        <v>show blot</v>
      </c>
      <c r="H6895" s="8" t="str">
        <f>HYPERLINK("https://esbl.nhlbi.nih.gov/Databases/mpkFractions/proteomic_fractions_linear_files/Yang_linear_img/45597453.jpg","show blot")</f>
        <v>show blot</v>
      </c>
      <c r="J6895" s="5" t="s">
        <v>13564</v>
      </c>
      <c r="L6895" s="11">
        <v>3.824730522035058</v>
      </c>
      <c r="N6895" s="12"/>
    </row>
    <row r="6896" spans="1:14" s="5" customFormat="1" ht="15" customHeight="1" x14ac:dyDescent="0.25">
      <c r="A6896" s="9" t="s">
        <v>13565</v>
      </c>
      <c r="C6896" s="9" t="str">
        <f>HYPERLINK("http://www.ncbi.nlm.nih.gov/protein/12584968","Slc29a1")</f>
        <v>Slc29a1</v>
      </c>
      <c r="D6896" s="10">
        <f t="shared" si="107"/>
        <v>2.2807412422120912</v>
      </c>
      <c r="F6896" s="8" t="str">
        <f>HYPERLINK("https://esbl.nhlbi.nih.gov/Databases/mpkFractions/proteomic_fractions_log_files/Yang_log_img/12584968.jpg","show blot")</f>
        <v>show blot</v>
      </c>
      <c r="H6896" s="8" t="str">
        <f>HYPERLINK("https://esbl.nhlbi.nih.gov/Databases/mpkFractions/proteomic_fractions_linear_files/Yang_linear_img/12584968.jpg","show blot")</f>
        <v>show blot</v>
      </c>
      <c r="J6896" s="5" t="s">
        <v>13566</v>
      </c>
      <c r="L6896" s="11">
        <v>2.2807412422120912</v>
      </c>
      <c r="N6896" s="12"/>
    </row>
    <row r="6897" spans="1:14" s="5" customFormat="1" ht="15" customHeight="1" x14ac:dyDescent="0.25">
      <c r="A6897" s="9" t="s">
        <v>13567</v>
      </c>
      <c r="C6897" s="9" t="str">
        <f>HYPERLINK("http://www.ncbi.nlm.nih.gov/protein/312283707","Slc29a1")</f>
        <v>Slc29a1</v>
      </c>
      <c r="D6897" s="10">
        <f t="shared" si="107"/>
        <v>2.2807412422120912</v>
      </c>
      <c r="F6897" s="8" t="str">
        <f>HYPERLINK("https://esbl.nhlbi.nih.gov/Databases/mpkFractions/proteomic_fractions_log_files/Yang_log_img/312283707.jpg","show blot")</f>
        <v>show blot</v>
      </c>
      <c r="H6897" s="8" t="str">
        <f>HYPERLINK("https://esbl.nhlbi.nih.gov/Databases/mpkFractions/proteomic_fractions_linear_files/Yang_linear_img/312283707.jpg","show blot")</f>
        <v>show blot</v>
      </c>
      <c r="J6897" s="5" t="s">
        <v>13568</v>
      </c>
      <c r="L6897" s="11">
        <v>2.2807412422120912</v>
      </c>
      <c r="N6897" s="12"/>
    </row>
    <row r="6898" spans="1:14" s="5" customFormat="1" ht="15" customHeight="1" x14ac:dyDescent="0.25">
      <c r="A6898" s="9" t="s">
        <v>13569</v>
      </c>
      <c r="C6898" s="9" t="str">
        <f>HYPERLINK("http://www.ncbi.nlm.nih.gov/protein/165377226","Slc2a1")</f>
        <v>Slc2a1</v>
      </c>
      <c r="D6898" s="10">
        <f t="shared" si="107"/>
        <v>4.7834619698305536</v>
      </c>
      <c r="F6898" s="8" t="str">
        <f>HYPERLINK("https://esbl.nhlbi.nih.gov/Databases/mpkFractions/proteomic_fractions_log_files/Yang_log_img/165377226.jpg","show blot")</f>
        <v>show blot</v>
      </c>
      <c r="H6898" s="8" t="str">
        <f>HYPERLINK("https://esbl.nhlbi.nih.gov/Databases/mpkFractions/proteomic_fractions_linear_files/Yang_linear_img/165377226.jpg","show blot")</f>
        <v>show blot</v>
      </c>
      <c r="J6898" s="5" t="s">
        <v>13570</v>
      </c>
      <c r="L6898" s="11">
        <v>4.7834619698305536</v>
      </c>
      <c r="N6898" s="12"/>
    </row>
    <row r="6899" spans="1:14" s="5" customFormat="1" ht="15" customHeight="1" x14ac:dyDescent="0.25">
      <c r="A6899" s="9" t="s">
        <v>13571</v>
      </c>
      <c r="C6899" s="9" t="str">
        <f>HYPERLINK("http://www.ncbi.nlm.nih.gov/protein/6678017","Slc30a1")</f>
        <v>Slc30a1</v>
      </c>
      <c r="D6899" s="10">
        <f t="shared" si="107"/>
        <v>3.1378775275806379</v>
      </c>
      <c r="F6899" s="8" t="str">
        <f>HYPERLINK("https://esbl.nhlbi.nih.gov/Databases/mpkFractions/proteomic_fractions_log_files/Yang_log_img/6678017.jpg","show blot")</f>
        <v>show blot</v>
      </c>
      <c r="H6899" s="8" t="str">
        <f>HYPERLINK("https://esbl.nhlbi.nih.gov/Databases/mpkFractions/proteomic_fractions_linear_files/Yang_linear_img/6678017.jpg","show blot")</f>
        <v>show blot</v>
      </c>
      <c r="J6899" s="5" t="s">
        <v>13572</v>
      </c>
      <c r="L6899" s="11">
        <v>3.1378775275806379</v>
      </c>
      <c r="N6899" s="12"/>
    </row>
    <row r="6900" spans="1:14" s="5" customFormat="1" ht="15" customHeight="1" x14ac:dyDescent="0.25">
      <c r="A6900" s="9" t="s">
        <v>13573</v>
      </c>
      <c r="C6900" s="9" t="str">
        <f>HYPERLINK("http://www.ncbi.nlm.nih.gov/protein/12963579","Slc30a7")</f>
        <v>Slc30a7</v>
      </c>
      <c r="D6900" s="10">
        <f t="shared" si="107"/>
        <v>4.7149266027022261</v>
      </c>
      <c r="F6900" s="8" t="str">
        <f>HYPERLINK("https://esbl.nhlbi.nih.gov/Databases/mpkFractions/proteomic_fractions_log_files/Yang_log_img/12963579.jpg","show blot")</f>
        <v>show blot</v>
      </c>
      <c r="H6900" s="8" t="str">
        <f>HYPERLINK("https://esbl.nhlbi.nih.gov/Databases/mpkFractions/proteomic_fractions_linear_files/Yang_linear_img/12963579.jpg","show blot")</f>
        <v>show blot</v>
      </c>
      <c r="J6900" s="5" t="s">
        <v>13574</v>
      </c>
      <c r="L6900" s="11">
        <v>4.7149266027022261</v>
      </c>
      <c r="N6900" s="12"/>
    </row>
    <row r="6901" spans="1:14" s="5" customFormat="1" ht="15" customHeight="1" x14ac:dyDescent="0.25">
      <c r="A6901" s="9" t="s">
        <v>13575</v>
      </c>
      <c r="C6901" s="9" t="str">
        <f>HYPERLINK("http://www.ncbi.nlm.nih.gov/protein/227116313","Slc31a1")</f>
        <v>Slc31a1</v>
      </c>
      <c r="D6901" s="10">
        <f t="shared" si="107"/>
        <v>2.868537574594606</v>
      </c>
      <c r="F6901" s="8" t="str">
        <f>HYPERLINK("https://esbl.nhlbi.nih.gov/Databases/mpkFractions/proteomic_fractions_log_files/Yang_log_img/227116313.jpg","show blot")</f>
        <v>show blot</v>
      </c>
      <c r="H6901" s="8" t="str">
        <f>HYPERLINK("https://esbl.nhlbi.nih.gov/Databases/mpkFractions/proteomic_fractions_linear_files/Yang_linear_img/227116313.jpg","show blot")</f>
        <v>show blot</v>
      </c>
      <c r="J6901" s="5" t="s">
        <v>13576</v>
      </c>
      <c r="L6901" s="11">
        <v>2.868537574594606</v>
      </c>
      <c r="N6901" s="12"/>
    </row>
    <row r="6902" spans="1:14" s="5" customFormat="1" ht="15" customHeight="1" x14ac:dyDescent="0.25">
      <c r="A6902" s="9" t="s">
        <v>13577</v>
      </c>
      <c r="C6902" s="9" t="str">
        <f>HYPERLINK("http://www.ncbi.nlm.nih.gov/protein/13384632","Slc31a2")</f>
        <v>Slc31a2</v>
      </c>
      <c r="D6902" s="10">
        <f t="shared" si="107"/>
        <v>2.478566495593844</v>
      </c>
      <c r="F6902" s="8" t="str">
        <f>HYPERLINK("https://esbl.nhlbi.nih.gov/Databases/mpkFractions/proteomic_fractions_log_files/Yang_log_img/13384632.jpg","show blot")</f>
        <v>show blot</v>
      </c>
      <c r="H6902" s="8" t="str">
        <f>HYPERLINK("https://esbl.nhlbi.nih.gov/Databases/mpkFractions/proteomic_fractions_linear_files/Yang_linear_img/13384632.jpg","show blot")</f>
        <v>show blot</v>
      </c>
      <c r="J6902" s="5" t="s">
        <v>13578</v>
      </c>
      <c r="L6902" s="11">
        <v>2.478566495593844</v>
      </c>
      <c r="N6902" s="12"/>
    </row>
    <row r="6903" spans="1:14" s="5" customFormat="1" ht="15" customHeight="1" x14ac:dyDescent="0.25">
      <c r="A6903" s="9" t="s">
        <v>13579</v>
      </c>
      <c r="C6903" s="9" t="str">
        <f>HYPERLINK("http://www.ncbi.nlm.nih.gov/protein/31543730","Slc33a1")</f>
        <v>Slc33a1</v>
      </c>
      <c r="D6903" s="10">
        <f t="shared" si="107"/>
        <v>4.1377016352173879</v>
      </c>
      <c r="F6903" s="8" t="str">
        <f>HYPERLINK("https://esbl.nhlbi.nih.gov/Databases/mpkFractions/proteomic_fractions_log_files/Yang_log_img/31543730.jpg","show blot")</f>
        <v>show blot</v>
      </c>
      <c r="H6903" s="8" t="str">
        <f>HYPERLINK("https://esbl.nhlbi.nih.gov/Databases/mpkFractions/proteomic_fractions_linear_files/Yang_linear_img/31543730.jpg","show blot")</f>
        <v>show blot</v>
      </c>
      <c r="J6903" s="5" t="s">
        <v>13580</v>
      </c>
      <c r="L6903" s="11">
        <v>4.1377016352173879</v>
      </c>
      <c r="N6903" s="12"/>
    </row>
    <row r="6904" spans="1:14" s="5" customFormat="1" ht="15" customHeight="1" x14ac:dyDescent="0.25">
      <c r="A6904" s="9" t="s">
        <v>13581</v>
      </c>
      <c r="C6904" s="9" t="str">
        <f>HYPERLINK("http://www.ncbi.nlm.nih.gov/protein/225543514","Slc35a1")</f>
        <v>Slc35a1</v>
      </c>
      <c r="D6904" s="10">
        <f t="shared" si="107"/>
        <v>3.1304610870514988</v>
      </c>
      <c r="F6904" s="8" t="str">
        <f>HYPERLINK("https://esbl.nhlbi.nih.gov/Databases/mpkFractions/proteomic_fractions_log_files/Yang_log_img/225543514.jpg","show blot")</f>
        <v>show blot</v>
      </c>
      <c r="H6904" s="8" t="str">
        <f>HYPERLINK("https://esbl.nhlbi.nih.gov/Databases/mpkFractions/proteomic_fractions_linear_files/Yang_linear_img/225543514.jpg","show blot")</f>
        <v>show blot</v>
      </c>
      <c r="J6904" s="5" t="s">
        <v>13582</v>
      </c>
      <c r="L6904" s="11">
        <v>3.1304610870514988</v>
      </c>
      <c r="N6904" s="12"/>
    </row>
    <row r="6905" spans="1:14" s="5" customFormat="1" ht="15" customHeight="1" x14ac:dyDescent="0.25">
      <c r="A6905" s="9" t="s">
        <v>13583</v>
      </c>
      <c r="C6905" s="9" t="str">
        <f>HYPERLINK("http://www.ncbi.nlm.nih.gov/protein/145279183","Slc35a2")</f>
        <v>Slc35a2</v>
      </c>
      <c r="D6905" s="10">
        <f t="shared" si="107"/>
        <v>2.8589218180115759</v>
      </c>
      <c r="F6905" s="8" t="str">
        <f>HYPERLINK("https://esbl.nhlbi.nih.gov/Databases/mpkFractions/proteomic_fractions_log_files/Yang_log_img/145279183.jpg","show blot")</f>
        <v>show blot</v>
      </c>
      <c r="H6905" s="8" t="str">
        <f>HYPERLINK("https://esbl.nhlbi.nih.gov/Databases/mpkFractions/proteomic_fractions_linear_files/Yang_linear_img/145279183.jpg","show blot")</f>
        <v>show blot</v>
      </c>
      <c r="J6905" s="5" t="s">
        <v>13584</v>
      </c>
      <c r="L6905" s="11">
        <v>2.8589218180115759</v>
      </c>
      <c r="N6905" s="12"/>
    </row>
    <row r="6906" spans="1:14" s="5" customFormat="1" ht="15" customHeight="1" x14ac:dyDescent="0.25">
      <c r="A6906" s="9" t="s">
        <v>13585</v>
      </c>
      <c r="C6906" s="9" t="str">
        <f>HYPERLINK("http://www.ncbi.nlm.nih.gov/protein/145279202","Slc35a2")</f>
        <v>Slc35a2</v>
      </c>
      <c r="D6906" s="10">
        <f t="shared" si="107"/>
        <v>2.8589218180115759</v>
      </c>
      <c r="F6906" s="8" t="str">
        <f>HYPERLINK("https://esbl.nhlbi.nih.gov/Databases/mpkFractions/proteomic_fractions_log_files/Yang_log_img/145279202.jpg","show blot")</f>
        <v>show blot</v>
      </c>
      <c r="H6906" s="8" t="str">
        <f>HYPERLINK("https://esbl.nhlbi.nih.gov/Databases/mpkFractions/proteomic_fractions_linear_files/Yang_linear_img/145279202.jpg","show blot")</f>
        <v>show blot</v>
      </c>
      <c r="J6906" s="5" t="s">
        <v>13586</v>
      </c>
      <c r="L6906" s="11">
        <v>2.8589218180115759</v>
      </c>
      <c r="N6906" s="12"/>
    </row>
    <row r="6907" spans="1:14" s="5" customFormat="1" ht="15" customHeight="1" x14ac:dyDescent="0.25">
      <c r="A6907" s="9" t="s">
        <v>13587</v>
      </c>
      <c r="C6907" s="9" t="str">
        <f>HYPERLINK("http://www.ncbi.nlm.nih.gov/protein/21450281","Slc35a3")</f>
        <v>Slc35a3</v>
      </c>
      <c r="D6907" s="10">
        <f t="shared" si="107"/>
        <v>3.5112175237294299</v>
      </c>
      <c r="F6907" s="8" t="str">
        <f>HYPERLINK("https://esbl.nhlbi.nih.gov/Databases/mpkFractions/proteomic_fractions_log_files/Yang_log_img/21450281.jpg","show blot")</f>
        <v>show blot</v>
      </c>
      <c r="H6907" s="8" t="str">
        <f>HYPERLINK("https://esbl.nhlbi.nih.gov/Databases/mpkFractions/proteomic_fractions_linear_files/Yang_linear_img/21450281.jpg","show blot")</f>
        <v>show blot</v>
      </c>
      <c r="J6907" s="5" t="s">
        <v>13588</v>
      </c>
      <c r="L6907" s="11">
        <v>3.5112175237294299</v>
      </c>
      <c r="N6907" s="12"/>
    </row>
    <row r="6908" spans="1:14" s="5" customFormat="1" ht="15" customHeight="1" x14ac:dyDescent="0.25">
      <c r="A6908" s="9" t="s">
        <v>13589</v>
      </c>
      <c r="C6908" s="9" t="str">
        <f>HYPERLINK("http://www.ncbi.nlm.nih.gov/protein/7949137","Slc35b1")</f>
        <v>Slc35b1</v>
      </c>
      <c r="D6908" s="10">
        <f t="shared" si="107"/>
        <v>2.9046264617629549</v>
      </c>
      <c r="F6908" s="8" t="str">
        <f>HYPERLINK("https://esbl.nhlbi.nih.gov/Databases/mpkFractions/proteomic_fractions_log_files/Yang_log_img/7949137.jpg","show blot")</f>
        <v>show blot</v>
      </c>
      <c r="H6908" s="8" t="str">
        <f>HYPERLINK("https://esbl.nhlbi.nih.gov/Databases/mpkFractions/proteomic_fractions_linear_files/Yang_linear_img/7949137.jpg","show blot")</f>
        <v>show blot</v>
      </c>
      <c r="J6908" s="5" t="s">
        <v>13590</v>
      </c>
      <c r="L6908" s="11">
        <v>2.9046264617629549</v>
      </c>
      <c r="N6908" s="12"/>
    </row>
    <row r="6909" spans="1:14" s="5" customFormat="1" ht="15" customHeight="1" x14ac:dyDescent="0.25">
      <c r="A6909" s="9" t="s">
        <v>13591</v>
      </c>
      <c r="C6909" s="9" t="str">
        <f>HYPERLINK("http://www.ncbi.nlm.nih.gov/protein/110625963","Slc35b2")</f>
        <v>Slc35b2</v>
      </c>
      <c r="D6909" s="10">
        <f t="shared" si="107"/>
        <v>5.3046237379525616</v>
      </c>
      <c r="F6909" s="8" t="str">
        <f>HYPERLINK("https://esbl.nhlbi.nih.gov/Databases/mpkFractions/proteomic_fractions_log_files/Yang_log_img/110625963.jpg","show blot")</f>
        <v>show blot</v>
      </c>
      <c r="H6909" s="8" t="str">
        <f>HYPERLINK("https://esbl.nhlbi.nih.gov/Databases/mpkFractions/proteomic_fractions_linear_files/Yang_linear_img/110625963.jpg","show blot")</f>
        <v>show blot</v>
      </c>
      <c r="J6909" s="5" t="s">
        <v>13592</v>
      </c>
      <c r="L6909" s="11">
        <v>5.3046237379525616</v>
      </c>
      <c r="N6909" s="12"/>
    </row>
    <row r="6910" spans="1:14" s="5" customFormat="1" ht="15" customHeight="1" x14ac:dyDescent="0.25">
      <c r="A6910" s="9" t="s">
        <v>13593</v>
      </c>
      <c r="C6910" s="9" t="str">
        <f>HYPERLINK("http://www.ncbi.nlm.nih.gov/protein/165377022","Slc35e1")</f>
        <v>Slc35e1</v>
      </c>
      <c r="D6910" s="10">
        <f t="shared" si="107"/>
        <v>2.714311574410186</v>
      </c>
      <c r="F6910" s="8" t="str">
        <f>HYPERLINK("https://esbl.nhlbi.nih.gov/Databases/mpkFractions/proteomic_fractions_log_files/Yang_log_img/165377022.jpg","show blot")</f>
        <v>show blot</v>
      </c>
      <c r="H6910" s="8" t="str">
        <f>HYPERLINK("https://esbl.nhlbi.nih.gov/Databases/mpkFractions/proteomic_fractions_linear_files/Yang_linear_img/165377022.jpg","show blot")</f>
        <v>show blot</v>
      </c>
      <c r="J6910" s="5" t="s">
        <v>13594</v>
      </c>
      <c r="L6910" s="11">
        <v>2.714311574410186</v>
      </c>
      <c r="N6910" s="12"/>
    </row>
    <row r="6911" spans="1:14" s="5" customFormat="1" ht="15" customHeight="1" x14ac:dyDescent="0.25">
      <c r="A6911" s="9" t="s">
        <v>13595</v>
      </c>
      <c r="C6911" s="9" t="str">
        <f>HYPERLINK("http://www.ncbi.nlm.nih.gov/protein/160333206","Slc35f2")</f>
        <v>Slc35f2</v>
      </c>
      <c r="D6911" s="10">
        <f t="shared" si="107"/>
        <v>3.5301783459337548</v>
      </c>
      <c r="F6911" s="8" t="str">
        <f>HYPERLINK("https://esbl.nhlbi.nih.gov/Databases/mpkFractions/proteomic_fractions_log_files/Yang_log_img/160333206.jpg","show blot")</f>
        <v>show blot</v>
      </c>
      <c r="H6911" s="8" t="str">
        <f>HYPERLINK("https://esbl.nhlbi.nih.gov/Databases/mpkFractions/proteomic_fractions_linear_files/Yang_linear_img/160333206.jpg","show blot")</f>
        <v>show blot</v>
      </c>
      <c r="J6911" s="5" t="s">
        <v>13596</v>
      </c>
      <c r="L6911" s="11">
        <v>3.5301783459337548</v>
      </c>
      <c r="N6911" s="12"/>
    </row>
    <row r="6912" spans="1:14" s="5" customFormat="1" ht="15" customHeight="1" x14ac:dyDescent="0.25">
      <c r="A6912" s="9" t="s">
        <v>13597</v>
      </c>
      <c r="C6912" s="9" t="str">
        <f>HYPERLINK("http://www.ncbi.nlm.nih.gov/protein/188497646","Slc35f6")</f>
        <v>Slc35f6</v>
      </c>
      <c r="D6912" s="10">
        <f t="shared" si="107"/>
        <v>4.8241454880645556</v>
      </c>
      <c r="F6912" s="8" t="str">
        <f>HYPERLINK("https://esbl.nhlbi.nih.gov/Databases/mpkFractions/proteomic_fractions_log_files/Yang_log_img/188497646.jpg","show blot")</f>
        <v>show blot</v>
      </c>
      <c r="H6912" s="8" t="str">
        <f>HYPERLINK("https://esbl.nhlbi.nih.gov/Databases/mpkFractions/proteomic_fractions_linear_files/Yang_linear_img/188497646.jpg","show blot")</f>
        <v>show blot</v>
      </c>
      <c r="J6912" s="5" t="s">
        <v>13598</v>
      </c>
      <c r="L6912" s="11">
        <v>4.8241454880645556</v>
      </c>
      <c r="N6912" s="12"/>
    </row>
    <row r="6913" spans="1:14" s="5" customFormat="1" ht="15" customHeight="1" x14ac:dyDescent="0.25">
      <c r="A6913" s="9" t="s">
        <v>13599</v>
      </c>
      <c r="C6913" s="9" t="str">
        <f>HYPERLINK("http://www.ncbi.nlm.nih.gov/protein/145207965","Slc36a1")</f>
        <v>Slc36a1</v>
      </c>
      <c r="D6913" s="10">
        <f t="shared" si="107"/>
        <v>1.938654411014725</v>
      </c>
      <c r="F6913" s="8" t="str">
        <f>HYPERLINK("https://esbl.nhlbi.nih.gov/Databases/mpkFractions/proteomic_fractions_log_files/Yang_log_img/145207965.jpg","show blot")</f>
        <v>show blot</v>
      </c>
      <c r="H6913" s="8" t="str">
        <f>HYPERLINK("https://esbl.nhlbi.nih.gov/Databases/mpkFractions/proteomic_fractions_linear_files/Yang_linear_img/145207965.jpg","show blot")</f>
        <v>show blot</v>
      </c>
      <c r="J6913" s="5" t="s">
        <v>13600</v>
      </c>
      <c r="L6913" s="11">
        <v>1.938654411014725</v>
      </c>
      <c r="N6913" s="12"/>
    </row>
    <row r="6914" spans="1:14" s="5" customFormat="1" ht="15" customHeight="1" x14ac:dyDescent="0.25">
      <c r="A6914" s="9" t="s">
        <v>13601</v>
      </c>
      <c r="C6914" s="9" t="str">
        <f>HYPERLINK("http://www.ncbi.nlm.nih.gov/protein/258645131","Slc38a10")</f>
        <v>Slc38a10</v>
      </c>
      <c r="D6914" s="10">
        <f t="shared" si="107"/>
        <v>2.350000557258662</v>
      </c>
      <c r="F6914" s="8" t="str">
        <f>HYPERLINK("https://esbl.nhlbi.nih.gov/Databases/mpkFractions/proteomic_fractions_log_files/Yang_log_img/258645131.jpg","show blot")</f>
        <v>show blot</v>
      </c>
      <c r="H6914" s="8" t="str">
        <f>HYPERLINK("https://esbl.nhlbi.nih.gov/Databases/mpkFractions/proteomic_fractions_linear_files/Yang_linear_img/258645131.jpg","show blot")</f>
        <v>show blot</v>
      </c>
      <c r="J6914" s="5" t="s">
        <v>13602</v>
      </c>
      <c r="L6914" s="11">
        <v>2.350000557258662</v>
      </c>
      <c r="N6914" s="12"/>
    </row>
    <row r="6915" spans="1:14" s="5" customFormat="1" ht="15" customHeight="1" x14ac:dyDescent="0.25">
      <c r="A6915" s="9" t="s">
        <v>13603</v>
      </c>
      <c r="C6915" s="9" t="str">
        <f>HYPERLINK("http://www.ncbi.nlm.nih.gov/protein/258645133","Slc38a10")</f>
        <v>Slc38a10</v>
      </c>
      <c r="D6915" s="10">
        <f t="shared" si="107"/>
        <v>2.350000557258662</v>
      </c>
      <c r="F6915" s="8" t="str">
        <f>HYPERLINK("https://esbl.nhlbi.nih.gov/Databases/mpkFractions/proteomic_fractions_log_files/Yang_log_img/258645133.jpg","show blot")</f>
        <v>show blot</v>
      </c>
      <c r="H6915" s="8" t="str">
        <f>HYPERLINK("https://esbl.nhlbi.nih.gov/Databases/mpkFractions/proteomic_fractions_linear_files/Yang_linear_img/258645133.jpg","show blot")</f>
        <v>show blot</v>
      </c>
      <c r="J6915" s="5" t="s">
        <v>13604</v>
      </c>
      <c r="L6915" s="11">
        <v>2.350000557258662</v>
      </c>
      <c r="N6915" s="12"/>
    </row>
    <row r="6916" spans="1:14" s="5" customFormat="1" ht="15" customHeight="1" x14ac:dyDescent="0.25">
      <c r="A6916" s="9" t="s">
        <v>13605</v>
      </c>
      <c r="C6916" s="9" t="str">
        <f>HYPERLINK("http://www.ncbi.nlm.nih.gov/protein/258645135","Slc38a10")</f>
        <v>Slc38a10</v>
      </c>
      <c r="D6916" s="10">
        <f t="shared" si="107"/>
        <v>2.350000557258662</v>
      </c>
      <c r="F6916" s="8" t="str">
        <f>HYPERLINK("https://esbl.nhlbi.nih.gov/Databases/mpkFractions/proteomic_fractions_log_files/Yang_log_img/258645135.jpg","show blot")</f>
        <v>show blot</v>
      </c>
      <c r="H6916" s="8" t="str">
        <f>HYPERLINK("https://esbl.nhlbi.nih.gov/Databases/mpkFractions/proteomic_fractions_linear_files/Yang_linear_img/258645135.jpg","show blot")</f>
        <v>show blot</v>
      </c>
      <c r="J6916" s="5" t="s">
        <v>13606</v>
      </c>
      <c r="L6916" s="11">
        <v>2.350000557258662</v>
      </c>
      <c r="N6916" s="12"/>
    </row>
    <row r="6917" spans="1:14" s="5" customFormat="1" ht="15" customHeight="1" x14ac:dyDescent="0.25">
      <c r="A6917" s="9" t="s">
        <v>13607</v>
      </c>
      <c r="C6917" s="9" t="str">
        <f>HYPERLINK("http://www.ncbi.nlm.nih.gov/protein/258645137","Slc38a10")</f>
        <v>Slc38a10</v>
      </c>
      <c r="D6917" s="10">
        <f t="shared" ref="D6917:D6980" si="108">L6917</f>
        <v>2.350000557258662</v>
      </c>
      <c r="F6917" s="8" t="str">
        <f>HYPERLINK("https://esbl.nhlbi.nih.gov/Databases/mpkFractions/proteomic_fractions_log_files/Yang_log_img/258645137.jpg","show blot")</f>
        <v>show blot</v>
      </c>
      <c r="H6917" s="8" t="str">
        <f>HYPERLINK("https://esbl.nhlbi.nih.gov/Databases/mpkFractions/proteomic_fractions_linear_files/Yang_linear_img/258645137.jpg","show blot")</f>
        <v>show blot</v>
      </c>
      <c r="J6917" s="5" t="s">
        <v>13608</v>
      </c>
      <c r="L6917" s="11">
        <v>2.350000557258662</v>
      </c>
      <c r="N6917" s="12"/>
    </row>
    <row r="6918" spans="1:14" s="5" customFormat="1" ht="15" customHeight="1" x14ac:dyDescent="0.25">
      <c r="A6918" s="9" t="s">
        <v>13609</v>
      </c>
      <c r="C6918" s="9" t="str">
        <f>HYPERLINK("http://www.ncbi.nlm.nih.gov/protein/27370116","Slc38a7")</f>
        <v>Slc38a7</v>
      </c>
      <c r="D6918" s="10">
        <f t="shared" si="108"/>
        <v>3.891640972624888</v>
      </c>
      <c r="F6918" s="8" t="str">
        <f>HYPERLINK("https://esbl.nhlbi.nih.gov/Databases/mpkFractions/proteomic_fractions_log_files/Yang_log_img/27370116.jpg","show blot")</f>
        <v>show blot</v>
      </c>
      <c r="H6918" s="8" t="str">
        <f>HYPERLINK("https://esbl.nhlbi.nih.gov/Databases/mpkFractions/proteomic_fractions_linear_files/Yang_linear_img/27370116.jpg","show blot")</f>
        <v>show blot</v>
      </c>
      <c r="J6918" s="5" t="s">
        <v>13610</v>
      </c>
      <c r="L6918" s="11">
        <v>3.891640972624888</v>
      </c>
      <c r="N6918" s="12"/>
    </row>
    <row r="6919" spans="1:14" s="5" customFormat="1" ht="15" customHeight="1" x14ac:dyDescent="0.25">
      <c r="A6919" s="9" t="s">
        <v>13611</v>
      </c>
      <c r="C6919" s="9" t="str">
        <f>HYPERLINK("http://www.ncbi.nlm.nih.gov/protein/262073041","Slc39a11")</f>
        <v>Slc39a11</v>
      </c>
      <c r="D6919" s="10">
        <f t="shared" si="108"/>
        <v>1.975891136401793</v>
      </c>
      <c r="F6919" s="8" t="str">
        <f>HYPERLINK("https://esbl.nhlbi.nih.gov/Databases/mpkFractions/proteomic_fractions_log_files/Yang_log_img/262073041.jpg","show blot")</f>
        <v>show blot</v>
      </c>
      <c r="H6919" s="8" t="str">
        <f>HYPERLINK("https://esbl.nhlbi.nih.gov/Databases/mpkFractions/proteomic_fractions_linear_files/Yang_linear_img/262073041.jpg","show blot")</f>
        <v>show blot</v>
      </c>
      <c r="J6919" s="5" t="s">
        <v>13612</v>
      </c>
      <c r="L6919" s="11">
        <v>1.975891136401793</v>
      </c>
      <c r="N6919" s="12"/>
    </row>
    <row r="6920" spans="1:14" s="5" customFormat="1" ht="15" customHeight="1" x14ac:dyDescent="0.25">
      <c r="A6920" s="9" t="s">
        <v>13613</v>
      </c>
      <c r="C6920" s="9" t="str">
        <f>HYPERLINK("http://www.ncbi.nlm.nih.gov/protein/262073043","Slc39a11")</f>
        <v>Slc39a11</v>
      </c>
      <c r="D6920" s="10">
        <f t="shared" si="108"/>
        <v>1.975891136401793</v>
      </c>
      <c r="F6920" s="8" t="str">
        <f>HYPERLINK("https://esbl.nhlbi.nih.gov/Databases/mpkFractions/proteomic_fractions_log_files/Yang_log_img/262073043.jpg","show blot")</f>
        <v>show blot</v>
      </c>
      <c r="H6920" s="8" t="str">
        <f>HYPERLINK("https://esbl.nhlbi.nih.gov/Databases/mpkFractions/proteomic_fractions_linear_files/Yang_linear_img/262073043.jpg","show blot")</f>
        <v>show blot</v>
      </c>
      <c r="J6920" s="5" t="s">
        <v>13614</v>
      </c>
      <c r="L6920" s="11">
        <v>1.975891136401793</v>
      </c>
      <c r="N6920" s="12"/>
    </row>
    <row r="6921" spans="1:14" s="5" customFormat="1" ht="15" customHeight="1" x14ac:dyDescent="0.25">
      <c r="A6921" s="9" t="s">
        <v>13615</v>
      </c>
      <c r="C6921" s="9" t="str">
        <f>HYPERLINK("http://www.ncbi.nlm.nih.gov/protein/118150670","Slc39a7")</f>
        <v>Slc39a7</v>
      </c>
      <c r="D6921" s="10">
        <f t="shared" si="108"/>
        <v>4.372085929225757</v>
      </c>
      <c r="F6921" s="8" t="str">
        <f>HYPERLINK("https://esbl.nhlbi.nih.gov/Databases/mpkFractions/proteomic_fractions_log_files/Yang_log_img/118150670.jpg","show blot")</f>
        <v>show blot</v>
      </c>
      <c r="H6921" s="8" t="str">
        <f>HYPERLINK("https://esbl.nhlbi.nih.gov/Databases/mpkFractions/proteomic_fractions_linear_files/Yang_linear_img/118150670.jpg","show blot")</f>
        <v>show blot</v>
      </c>
      <c r="J6921" s="5" t="s">
        <v>13616</v>
      </c>
      <c r="L6921" s="11">
        <v>4.372085929225757</v>
      </c>
      <c r="N6921" s="12"/>
    </row>
    <row r="6922" spans="1:14" s="5" customFormat="1" ht="15" customHeight="1" x14ac:dyDescent="0.25">
      <c r="A6922" s="9" t="s">
        <v>13617</v>
      </c>
      <c r="C6922" s="9" t="str">
        <f>HYPERLINK("http://www.ncbi.nlm.nih.gov/protein/238637277","Slc3a2")</f>
        <v>Slc3a2</v>
      </c>
      <c r="D6922" s="10">
        <f t="shared" si="108"/>
        <v>5.090172206885085</v>
      </c>
      <c r="F6922" s="8" t="str">
        <f>HYPERLINK("https://esbl.nhlbi.nih.gov/Databases/mpkFractions/proteomic_fractions_log_files/Yang_log_img/238637277.jpg","show blot")</f>
        <v>show blot</v>
      </c>
      <c r="H6922" s="8" t="str">
        <f>HYPERLINK("https://esbl.nhlbi.nih.gov/Databases/mpkFractions/proteomic_fractions_linear_files/Yang_linear_img/238637277.jpg","show blot")</f>
        <v>show blot</v>
      </c>
      <c r="J6922" s="5" t="s">
        <v>13618</v>
      </c>
      <c r="L6922" s="11">
        <v>5.090172206885085</v>
      </c>
      <c r="N6922" s="12"/>
    </row>
    <row r="6923" spans="1:14" s="5" customFormat="1" ht="15" customHeight="1" x14ac:dyDescent="0.25">
      <c r="A6923" s="9" t="s">
        <v>13619</v>
      </c>
      <c r="C6923" s="9" t="str">
        <f>HYPERLINK("http://www.ncbi.nlm.nih.gov/protein/238637279","Slc3a2")</f>
        <v>Slc3a2</v>
      </c>
      <c r="D6923" s="10">
        <f t="shared" si="108"/>
        <v>5.090172206885085</v>
      </c>
      <c r="F6923" s="8" t="str">
        <f>HYPERLINK("https://esbl.nhlbi.nih.gov/Databases/mpkFractions/proteomic_fractions_log_files/Yang_log_img/238637279.jpg","show blot")</f>
        <v>show blot</v>
      </c>
      <c r="H6923" s="8" t="str">
        <f>HYPERLINK("https://esbl.nhlbi.nih.gov/Databases/mpkFractions/proteomic_fractions_linear_files/Yang_linear_img/238637279.jpg","show blot")</f>
        <v>show blot</v>
      </c>
      <c r="J6923" s="5" t="s">
        <v>13620</v>
      </c>
      <c r="L6923" s="11">
        <v>5.090172206885085</v>
      </c>
      <c r="N6923" s="12"/>
    </row>
    <row r="6924" spans="1:14" s="5" customFormat="1" ht="15" customHeight="1" x14ac:dyDescent="0.25">
      <c r="A6924" s="9" t="s">
        <v>13621</v>
      </c>
      <c r="C6924" s="9" t="str">
        <f>HYPERLINK("http://www.ncbi.nlm.nih.gov/protein/124248585","Slc40a1")</f>
        <v>Slc40a1</v>
      </c>
      <c r="D6924" s="10">
        <f t="shared" si="108"/>
        <v>3.1486124809425649</v>
      </c>
      <c r="F6924" s="8" t="str">
        <f>HYPERLINK("https://esbl.nhlbi.nih.gov/Databases/mpkFractions/proteomic_fractions_log_files/Yang_log_img/124248585.jpg","show blot")</f>
        <v>show blot</v>
      </c>
      <c r="H6924" s="8" t="str">
        <f>HYPERLINK("https://esbl.nhlbi.nih.gov/Databases/mpkFractions/proteomic_fractions_linear_files/Yang_linear_img/124248585.jpg","show blot")</f>
        <v>show blot</v>
      </c>
      <c r="J6924" s="5" t="s">
        <v>13622</v>
      </c>
      <c r="L6924" s="11">
        <v>3.1486124809425649</v>
      </c>
      <c r="N6924" s="12"/>
    </row>
    <row r="6925" spans="1:14" s="5" customFormat="1" ht="15" customHeight="1" x14ac:dyDescent="0.25">
      <c r="A6925" s="9" t="s">
        <v>13623</v>
      </c>
      <c r="C6925" s="9" t="str">
        <f>HYPERLINK("http://www.ncbi.nlm.nih.gov/protein/313482803","Slc43a2")</f>
        <v>Slc43a2</v>
      </c>
      <c r="D6925" s="10">
        <f t="shared" si="108"/>
        <v>1.686174806095589</v>
      </c>
      <c r="F6925" s="8" t="str">
        <f>HYPERLINK("https://esbl.nhlbi.nih.gov/Databases/mpkFractions/proteomic_fractions_log_files/Yang_log_img/313482803.jpg","show blot")</f>
        <v>show blot</v>
      </c>
      <c r="H6925" s="8" t="str">
        <f>HYPERLINK("https://esbl.nhlbi.nih.gov/Databases/mpkFractions/proteomic_fractions_linear_files/Yang_linear_img/313482803.jpg","show blot")</f>
        <v>show blot</v>
      </c>
      <c r="J6925" s="5" t="s">
        <v>13624</v>
      </c>
      <c r="L6925" s="11">
        <v>1.686174806095589</v>
      </c>
      <c r="N6925" s="12"/>
    </row>
    <row r="6926" spans="1:14" s="5" customFormat="1" ht="15" customHeight="1" x14ac:dyDescent="0.25">
      <c r="A6926" s="9" t="s">
        <v>13625</v>
      </c>
      <c r="C6926" s="9" t="str">
        <f>HYPERLINK("http://www.ncbi.nlm.nih.gov/protein/227499980","Slc44a1")</f>
        <v>Slc44a1</v>
      </c>
      <c r="D6926" s="10">
        <f t="shared" si="108"/>
        <v>4.8691883449140496</v>
      </c>
      <c r="F6926" s="8" t="str">
        <f>HYPERLINK("https://esbl.nhlbi.nih.gov/Databases/mpkFractions/proteomic_fractions_log_files/Yang_log_img/227499980.jpg","show blot")</f>
        <v>show blot</v>
      </c>
      <c r="H6926" s="8" t="str">
        <f>HYPERLINK("https://esbl.nhlbi.nih.gov/Databases/mpkFractions/proteomic_fractions_linear_files/Yang_linear_img/227499980.jpg","show blot")</f>
        <v>show blot</v>
      </c>
      <c r="J6926" s="5" t="s">
        <v>13626</v>
      </c>
      <c r="L6926" s="11">
        <v>4.8691883449140496</v>
      </c>
      <c r="N6926" s="12"/>
    </row>
    <row r="6927" spans="1:14" s="5" customFormat="1" ht="15" customHeight="1" x14ac:dyDescent="0.25">
      <c r="A6927" s="9" t="s">
        <v>13627</v>
      </c>
      <c r="C6927" s="9" t="str">
        <f>HYPERLINK("http://www.ncbi.nlm.nih.gov/protein/227499988","Slc44a1")</f>
        <v>Slc44a1</v>
      </c>
      <c r="D6927" s="10">
        <f t="shared" si="108"/>
        <v>4.8691883449140496</v>
      </c>
      <c r="F6927" s="8" t="str">
        <f>HYPERLINK("https://esbl.nhlbi.nih.gov/Databases/mpkFractions/proteomic_fractions_log_files/Yang_log_img/227499988.jpg","show blot")</f>
        <v>show blot</v>
      </c>
      <c r="H6927" s="8" t="str">
        <f>HYPERLINK("https://esbl.nhlbi.nih.gov/Databases/mpkFractions/proteomic_fractions_linear_files/Yang_linear_img/227499988.jpg","show blot")</f>
        <v>show blot</v>
      </c>
      <c r="J6927" s="5" t="s">
        <v>13628</v>
      </c>
      <c r="L6927" s="11">
        <v>4.8691883449140496</v>
      </c>
      <c r="N6927" s="12"/>
    </row>
    <row r="6928" spans="1:14" s="5" customFormat="1" ht="15" customHeight="1" x14ac:dyDescent="0.25">
      <c r="A6928" s="9" t="s">
        <v>13629</v>
      </c>
      <c r="C6928" s="9" t="str">
        <f>HYPERLINK("http://www.ncbi.nlm.nih.gov/protein/22779895","Slc44a2")</f>
        <v>Slc44a2</v>
      </c>
      <c r="D6928" s="10">
        <f t="shared" si="108"/>
        <v>4.5424681480767539</v>
      </c>
      <c r="F6928" s="8" t="str">
        <f>HYPERLINK("https://esbl.nhlbi.nih.gov/Databases/mpkFractions/proteomic_fractions_log_files/Yang_log_img/22779895.jpg","show blot")</f>
        <v>show blot</v>
      </c>
      <c r="H6928" s="8" t="str">
        <f>HYPERLINK("https://esbl.nhlbi.nih.gov/Databases/mpkFractions/proteomic_fractions_linear_files/Yang_linear_img/22779895.jpg","show blot")</f>
        <v>show blot</v>
      </c>
      <c r="J6928" s="5" t="s">
        <v>13630</v>
      </c>
      <c r="L6928" s="11">
        <v>4.5424681480767539</v>
      </c>
      <c r="N6928" s="12"/>
    </row>
    <row r="6929" spans="1:14" s="5" customFormat="1" ht="15" customHeight="1" x14ac:dyDescent="0.25">
      <c r="A6929" s="9" t="s">
        <v>13631</v>
      </c>
      <c r="C6929" s="9" t="str">
        <f>HYPERLINK("http://www.ncbi.nlm.nih.gov/protein/312596932","Slc44a2")</f>
        <v>Slc44a2</v>
      </c>
      <c r="D6929" s="10">
        <f t="shared" si="108"/>
        <v>4.5424681480767539</v>
      </c>
      <c r="F6929" s="8" t="str">
        <f>HYPERLINK("https://esbl.nhlbi.nih.gov/Databases/mpkFractions/proteomic_fractions_log_files/Yang_log_img/312596932.jpg","show blot")</f>
        <v>show blot</v>
      </c>
      <c r="H6929" s="8" t="str">
        <f>HYPERLINK("https://esbl.nhlbi.nih.gov/Databases/mpkFractions/proteomic_fractions_linear_files/Yang_linear_img/312596932.jpg","show blot")</f>
        <v>show blot</v>
      </c>
      <c r="J6929" s="5" t="s">
        <v>13632</v>
      </c>
      <c r="L6929" s="11">
        <v>4.5424681480767539</v>
      </c>
      <c r="N6929" s="12"/>
    </row>
    <row r="6930" spans="1:14" s="5" customFormat="1" ht="15" customHeight="1" x14ac:dyDescent="0.25">
      <c r="A6930" s="9" t="s">
        <v>13633</v>
      </c>
      <c r="C6930" s="9" t="str">
        <f>HYPERLINK("http://www.ncbi.nlm.nih.gov/protein/225579159","Slc44a3")</f>
        <v>Slc44a3</v>
      </c>
      <c r="D6930" s="10">
        <f t="shared" si="108"/>
        <v>3.7108964125240038</v>
      </c>
      <c r="F6930" s="8" t="str">
        <f>HYPERLINK("https://esbl.nhlbi.nih.gov/Databases/mpkFractions/proteomic_fractions_log_files/Yang_log_img/225579159.jpg","show blot")</f>
        <v>show blot</v>
      </c>
      <c r="H6930" s="8" t="str">
        <f>HYPERLINK("https://esbl.nhlbi.nih.gov/Databases/mpkFractions/proteomic_fractions_linear_files/Yang_linear_img/225579159.jpg","show blot")</f>
        <v>show blot</v>
      </c>
      <c r="J6930" s="5" t="s">
        <v>13634</v>
      </c>
      <c r="L6930" s="11">
        <v>3.7108964125240038</v>
      </c>
      <c r="N6930" s="12"/>
    </row>
    <row r="6931" spans="1:14" s="5" customFormat="1" ht="15" customHeight="1" x14ac:dyDescent="0.25">
      <c r="A6931" s="9" t="s">
        <v>13635</v>
      </c>
      <c r="C6931" s="9" t="str">
        <f>HYPERLINK("http://www.ncbi.nlm.nih.gov/protein/12963733","Slc44a4")</f>
        <v>Slc44a4</v>
      </c>
      <c r="D6931" s="10">
        <f t="shared" si="108"/>
        <v>3.6244527053813629</v>
      </c>
      <c r="F6931" s="8" t="str">
        <f>HYPERLINK("https://esbl.nhlbi.nih.gov/Databases/mpkFractions/proteomic_fractions_log_files/Yang_log_img/12963733.jpg","show blot")</f>
        <v>show blot</v>
      </c>
      <c r="H6931" s="8" t="str">
        <f>HYPERLINK("https://esbl.nhlbi.nih.gov/Databases/mpkFractions/proteomic_fractions_linear_files/Yang_linear_img/12963733.jpg","show blot")</f>
        <v>show blot</v>
      </c>
      <c r="J6931" s="5" t="s">
        <v>13636</v>
      </c>
      <c r="L6931" s="11">
        <v>3.6244527053813629</v>
      </c>
      <c r="N6931" s="12"/>
    </row>
    <row r="6932" spans="1:14" s="5" customFormat="1" ht="15" customHeight="1" x14ac:dyDescent="0.25">
      <c r="A6932" s="9" t="s">
        <v>13637</v>
      </c>
      <c r="C6932" s="9" t="str">
        <f>HYPERLINK("http://www.ncbi.nlm.nih.gov/protein/225543517","Slc46a2")</f>
        <v>Slc46a2</v>
      </c>
      <c r="D6932" s="10">
        <f t="shared" si="108"/>
        <v>3.2174080119675539</v>
      </c>
      <c r="F6932" s="8" t="str">
        <f>HYPERLINK("https://esbl.nhlbi.nih.gov/Databases/mpkFractions/proteomic_fractions_log_files/Yang_log_img/225543517.jpg","show blot")</f>
        <v>show blot</v>
      </c>
      <c r="H6932" s="8" t="str">
        <f>HYPERLINK("https://esbl.nhlbi.nih.gov/Databases/mpkFractions/proteomic_fractions_linear_files/Yang_linear_img/225543517.jpg","show blot")</f>
        <v>show blot</v>
      </c>
      <c r="J6932" s="5" t="s">
        <v>13638</v>
      </c>
      <c r="L6932" s="11">
        <v>3.2174080119675539</v>
      </c>
      <c r="N6932" s="12"/>
    </row>
    <row r="6933" spans="1:14" s="5" customFormat="1" ht="15" customHeight="1" x14ac:dyDescent="0.25">
      <c r="A6933" s="9" t="s">
        <v>13639</v>
      </c>
      <c r="C6933" s="9" t="str">
        <f>HYPERLINK("http://www.ncbi.nlm.nih.gov/protein/85702045","Slc47a2")</f>
        <v>Slc47a2</v>
      </c>
      <c r="D6933" s="10">
        <f t="shared" si="108"/>
        <v>4.2778866930760326</v>
      </c>
      <c r="F6933" s="8" t="str">
        <f>HYPERLINK("https://esbl.nhlbi.nih.gov/Databases/mpkFractions/proteomic_fractions_log_files/Yang_log_img/85702045.jpg","show blot")</f>
        <v>show blot</v>
      </c>
      <c r="H6933" s="8" t="str">
        <f>HYPERLINK("https://esbl.nhlbi.nih.gov/Databases/mpkFractions/proteomic_fractions_linear_files/Yang_linear_img/85702045.jpg","show blot")</f>
        <v>show blot</v>
      </c>
      <c r="J6933" s="5" t="s">
        <v>13640</v>
      </c>
      <c r="L6933" s="11">
        <v>4.2778866930760326</v>
      </c>
      <c r="N6933" s="12"/>
    </row>
    <row r="6934" spans="1:14" s="5" customFormat="1" ht="15" customHeight="1" x14ac:dyDescent="0.25">
      <c r="A6934" s="9" t="s">
        <v>13641</v>
      </c>
      <c r="C6934" s="9" t="str">
        <f>HYPERLINK("http://www.ncbi.nlm.nih.gov/protein/155722992","Slc4a1ap")</f>
        <v>Slc4a1ap</v>
      </c>
      <c r="D6934" s="10">
        <f t="shared" si="108"/>
        <v>3.977837897730272</v>
      </c>
      <c r="F6934" s="8" t="str">
        <f>HYPERLINK("https://esbl.nhlbi.nih.gov/Databases/mpkFractions/proteomic_fractions_log_files/Yang_log_img/155722992.jpg","show blot")</f>
        <v>show blot</v>
      </c>
      <c r="H6934" s="8" t="str">
        <f>HYPERLINK("https://esbl.nhlbi.nih.gov/Databases/mpkFractions/proteomic_fractions_linear_files/Yang_linear_img/155722992.jpg","show blot")</f>
        <v>show blot</v>
      </c>
      <c r="J6934" s="5" t="s">
        <v>13642</v>
      </c>
      <c r="L6934" s="11">
        <v>3.977837897730272</v>
      </c>
      <c r="N6934" s="12"/>
    </row>
    <row r="6935" spans="1:14" s="5" customFormat="1" ht="15" customHeight="1" x14ac:dyDescent="0.25">
      <c r="A6935" s="9" t="s">
        <v>13643</v>
      </c>
      <c r="C6935" s="9" t="str">
        <f>HYPERLINK("http://www.ncbi.nlm.nih.gov/protein/359751389","Slc4a2")</f>
        <v>Slc4a2</v>
      </c>
      <c r="D6935" s="10">
        <f t="shared" si="108"/>
        <v>3.594213442897336</v>
      </c>
      <c r="F6935" s="8" t="str">
        <f>HYPERLINK("https://esbl.nhlbi.nih.gov/Databases/mpkFractions/proteomic_fractions_log_files/Yang_log_img/359751389.jpg","show blot")</f>
        <v>show blot</v>
      </c>
      <c r="H6935" s="8" t="str">
        <f>HYPERLINK("https://esbl.nhlbi.nih.gov/Databases/mpkFractions/proteomic_fractions_linear_files/Yang_linear_img/359751389.jpg","show blot")</f>
        <v>show blot</v>
      </c>
      <c r="J6935" s="5" t="s">
        <v>13644</v>
      </c>
      <c r="L6935" s="11">
        <v>3.594213442897336</v>
      </c>
      <c r="N6935" s="12"/>
    </row>
    <row r="6936" spans="1:14" s="5" customFormat="1" ht="15" customHeight="1" x14ac:dyDescent="0.25">
      <c r="A6936" s="9" t="s">
        <v>13645</v>
      </c>
      <c r="C6936" s="9" t="str">
        <f>HYPERLINK("http://www.ncbi.nlm.nih.gov/protein/161169001;359751389","Slc4a2")</f>
        <v>Slc4a2</v>
      </c>
      <c r="D6936" s="10">
        <f t="shared" si="108"/>
        <v>3.594213442897336</v>
      </c>
      <c r="F6936" s="8" t="str">
        <f>HYPERLINK("https://esbl.nhlbi.nih.gov/Databases/mpkFractions/proteomic_fractions_log_files/Yang_log_img/161169001;359751389.jpg","show blot")</f>
        <v>show blot</v>
      </c>
      <c r="H6936" s="8" t="str">
        <f>HYPERLINK("https://esbl.nhlbi.nih.gov/Databases/mpkFractions/proteomic_fractions_linear_files/Yang_linear_img/161169001;359751389.jpg","show blot")</f>
        <v>show blot</v>
      </c>
      <c r="J6936" s="5" t="s">
        <v>13644</v>
      </c>
      <c r="L6936" s="11">
        <v>3.594213442897336</v>
      </c>
      <c r="N6936" s="12"/>
    </row>
    <row r="6937" spans="1:14" s="5" customFormat="1" ht="15" customHeight="1" x14ac:dyDescent="0.25">
      <c r="A6937" s="9" t="s">
        <v>13646</v>
      </c>
      <c r="C6937" s="9" t="str">
        <f>HYPERLINK("http://www.ncbi.nlm.nih.gov/protein/165377246","Slc4a3")</f>
        <v>Slc4a3</v>
      </c>
      <c r="D6937" s="10">
        <f t="shared" si="108"/>
        <v>3.356545875515951</v>
      </c>
      <c r="F6937" s="8" t="str">
        <f>HYPERLINK("https://esbl.nhlbi.nih.gov/Databases/mpkFractions/proteomic_fractions_log_files/Yang_log_img/165377246.jpg","show blot")</f>
        <v>show blot</v>
      </c>
      <c r="H6937" s="8" t="str">
        <f>HYPERLINK("https://esbl.nhlbi.nih.gov/Databases/mpkFractions/proteomic_fractions_linear_files/Yang_linear_img/165377246.jpg","show blot")</f>
        <v>show blot</v>
      </c>
      <c r="J6937" s="5" t="s">
        <v>13647</v>
      </c>
      <c r="L6937" s="11">
        <v>3.356545875515951</v>
      </c>
      <c r="N6937" s="12"/>
    </row>
    <row r="6938" spans="1:14" s="5" customFormat="1" ht="15" customHeight="1" x14ac:dyDescent="0.25">
      <c r="A6938" s="9" t="s">
        <v>13648</v>
      </c>
      <c r="C6938" s="9" t="str">
        <f>HYPERLINK("http://www.ncbi.nlm.nih.gov/protein/133922580","Slc4a4")</f>
        <v>Slc4a4</v>
      </c>
      <c r="D6938" s="10">
        <f t="shared" si="108"/>
        <v>2.730080798761894</v>
      </c>
      <c r="F6938" s="8" t="str">
        <f>HYPERLINK("https://esbl.nhlbi.nih.gov/Databases/mpkFractions/proteomic_fractions_log_files/Yang_log_img/133922580.jpg","show blot")</f>
        <v>show blot</v>
      </c>
      <c r="H6938" s="8" t="str">
        <f>HYPERLINK("https://esbl.nhlbi.nih.gov/Databases/mpkFractions/proteomic_fractions_linear_files/Yang_linear_img/133922580.jpg","show blot")</f>
        <v>show blot</v>
      </c>
      <c r="J6938" s="5" t="s">
        <v>13649</v>
      </c>
      <c r="L6938" s="11">
        <v>2.730080798761894</v>
      </c>
      <c r="N6938" s="12"/>
    </row>
    <row r="6939" spans="1:14" s="5" customFormat="1" ht="15" customHeight="1" x14ac:dyDescent="0.25">
      <c r="A6939" s="9" t="s">
        <v>13650</v>
      </c>
      <c r="C6939" s="9" t="str">
        <f>HYPERLINK("http://www.ncbi.nlm.nih.gov/protein/210147430","Slc4a4")</f>
        <v>Slc4a4</v>
      </c>
      <c r="D6939" s="10">
        <f t="shared" si="108"/>
        <v>2.730080798761894</v>
      </c>
      <c r="F6939" s="8" t="str">
        <f>HYPERLINK("https://esbl.nhlbi.nih.gov/Databases/mpkFractions/proteomic_fractions_log_files/Yang_log_img/210147430.jpg","show blot")</f>
        <v>show blot</v>
      </c>
      <c r="H6939" s="8" t="str">
        <f>HYPERLINK("https://esbl.nhlbi.nih.gov/Databases/mpkFractions/proteomic_fractions_linear_files/Yang_linear_img/210147430.jpg","show blot")</f>
        <v>show blot</v>
      </c>
      <c r="J6939" s="5" t="s">
        <v>13651</v>
      </c>
      <c r="L6939" s="11">
        <v>2.730080798761894</v>
      </c>
      <c r="N6939" s="12"/>
    </row>
    <row r="6940" spans="1:14" s="5" customFormat="1" ht="15" customHeight="1" x14ac:dyDescent="0.25">
      <c r="A6940" s="9" t="s">
        <v>13652</v>
      </c>
      <c r="C6940" s="9" t="str">
        <f>HYPERLINK("http://www.ncbi.nlm.nih.gov/protein/308210768","Slc4a4")</f>
        <v>Slc4a4</v>
      </c>
      <c r="D6940" s="10">
        <f t="shared" si="108"/>
        <v>2.730080798761894</v>
      </c>
      <c r="F6940" s="8" t="str">
        <f>HYPERLINK("https://esbl.nhlbi.nih.gov/Databases/mpkFractions/proteomic_fractions_log_files/Yang_log_img/308210768.jpg","show blot")</f>
        <v>show blot</v>
      </c>
      <c r="H6940" s="8" t="str">
        <f>HYPERLINK("https://esbl.nhlbi.nih.gov/Databases/mpkFractions/proteomic_fractions_linear_files/Yang_linear_img/308210768.jpg","show blot")</f>
        <v>show blot</v>
      </c>
      <c r="J6940" s="5" t="s">
        <v>13653</v>
      </c>
      <c r="L6940" s="11">
        <v>2.730080798761894</v>
      </c>
      <c r="N6940" s="12"/>
    </row>
    <row r="6941" spans="1:14" s="5" customFormat="1" ht="15" customHeight="1" x14ac:dyDescent="0.25">
      <c r="A6941" s="9" t="s">
        <v>13654</v>
      </c>
      <c r="C6941" s="9" t="str">
        <f>HYPERLINK("http://www.ncbi.nlm.nih.gov/protein/117320529","Slc4a7")</f>
        <v>Slc4a7</v>
      </c>
      <c r="D6941" s="10">
        <f t="shared" si="108"/>
        <v>2.5916002385558232</v>
      </c>
      <c r="F6941" s="8" t="str">
        <f>HYPERLINK("https://esbl.nhlbi.nih.gov/Databases/mpkFractions/proteomic_fractions_log_files/Yang_log_img/117320529.jpg","show blot")</f>
        <v>show blot</v>
      </c>
      <c r="H6941" s="8" t="str">
        <f>HYPERLINK("https://esbl.nhlbi.nih.gov/Databases/mpkFractions/proteomic_fractions_linear_files/Yang_linear_img/117320529.jpg","show blot")</f>
        <v>show blot</v>
      </c>
      <c r="J6941" s="5" t="s">
        <v>13655</v>
      </c>
      <c r="L6941" s="11">
        <v>2.5916002385558232</v>
      </c>
      <c r="N6941" s="12"/>
    </row>
    <row r="6942" spans="1:14" s="5" customFormat="1" ht="15" customHeight="1" x14ac:dyDescent="0.25">
      <c r="A6942" s="9" t="s">
        <v>13656</v>
      </c>
      <c r="C6942" s="9" t="str">
        <f>HYPERLINK("http://www.ncbi.nlm.nih.gov/protein/22122353","Slc51a")</f>
        <v>Slc51a</v>
      </c>
      <c r="D6942" s="10">
        <f t="shared" si="108"/>
        <v>4.5006960851375322</v>
      </c>
      <c r="F6942" s="8" t="str">
        <f>HYPERLINK("https://esbl.nhlbi.nih.gov/Databases/mpkFractions/proteomic_fractions_log_files/Yang_log_img/22122353.jpg","show blot")</f>
        <v>show blot</v>
      </c>
      <c r="H6942" s="8" t="str">
        <f>HYPERLINK("https://esbl.nhlbi.nih.gov/Databases/mpkFractions/proteomic_fractions_linear_files/Yang_linear_img/22122353.jpg","show blot")</f>
        <v>show blot</v>
      </c>
      <c r="J6942" s="5" t="s">
        <v>13657</v>
      </c>
      <c r="L6942" s="11">
        <v>4.5006960851375322</v>
      </c>
      <c r="N6942" s="12"/>
    </row>
    <row r="6943" spans="1:14" s="5" customFormat="1" ht="15" customHeight="1" x14ac:dyDescent="0.25">
      <c r="A6943" s="9" t="s">
        <v>13658</v>
      </c>
      <c r="C6943" s="9" t="str">
        <f>HYPERLINK("http://www.ncbi.nlm.nih.gov/protein/148536859","Slc5a3")</f>
        <v>Slc5a3</v>
      </c>
      <c r="D6943" s="10">
        <f t="shared" si="108"/>
        <v>3.4919351767580902</v>
      </c>
      <c r="F6943" s="8" t="str">
        <f>HYPERLINK("https://esbl.nhlbi.nih.gov/Databases/mpkFractions/proteomic_fractions_log_files/Yang_log_img/148536859.jpg","show blot")</f>
        <v>show blot</v>
      </c>
      <c r="H6943" s="8" t="str">
        <f>HYPERLINK("https://esbl.nhlbi.nih.gov/Databases/mpkFractions/proteomic_fractions_linear_files/Yang_linear_img/148536859.jpg","show blot")</f>
        <v>show blot</v>
      </c>
      <c r="J6943" s="5" t="s">
        <v>13659</v>
      </c>
      <c r="L6943" s="11">
        <v>3.4919351767580902</v>
      </c>
      <c r="N6943" s="12"/>
    </row>
    <row r="6944" spans="1:14" s="5" customFormat="1" ht="15" customHeight="1" x14ac:dyDescent="0.25">
      <c r="A6944" s="9" t="s">
        <v>13660</v>
      </c>
      <c r="C6944" s="9" t="str">
        <f>HYPERLINK("http://www.ncbi.nlm.nih.gov/protein/31982828","Slc6a6")</f>
        <v>Slc6a6</v>
      </c>
      <c r="D6944" s="10">
        <f t="shared" si="108"/>
        <v>4.0005823906582343</v>
      </c>
      <c r="F6944" s="8" t="str">
        <f>HYPERLINK("https://esbl.nhlbi.nih.gov/Databases/mpkFractions/proteomic_fractions_log_files/Yang_log_img/31982828.jpg","show blot")</f>
        <v>show blot</v>
      </c>
      <c r="H6944" s="8" t="str">
        <f>HYPERLINK("https://esbl.nhlbi.nih.gov/Databases/mpkFractions/proteomic_fractions_linear_files/Yang_linear_img/31982828.jpg","show blot")</f>
        <v>show blot</v>
      </c>
      <c r="J6944" s="5" t="s">
        <v>13661</v>
      </c>
      <c r="L6944" s="11">
        <v>4.0005823906582343</v>
      </c>
      <c r="N6944" s="12"/>
    </row>
    <row r="6945" spans="1:14" s="5" customFormat="1" ht="15" customHeight="1" x14ac:dyDescent="0.25">
      <c r="A6945" s="9" t="s">
        <v>13662</v>
      </c>
      <c r="C6945" s="9" t="str">
        <f>HYPERLINK("http://www.ncbi.nlm.nih.gov/protein/161016790","Slc7a1")</f>
        <v>Slc7a1</v>
      </c>
      <c r="D6945" s="10">
        <f t="shared" si="108"/>
        <v>4.6031284811567073</v>
      </c>
      <c r="F6945" s="8" t="str">
        <f>HYPERLINK("https://esbl.nhlbi.nih.gov/Databases/mpkFractions/proteomic_fractions_log_files/Yang_log_img/161016790.jpg","show blot")</f>
        <v>show blot</v>
      </c>
      <c r="H6945" s="8" t="str">
        <f>HYPERLINK("https://esbl.nhlbi.nih.gov/Databases/mpkFractions/proteomic_fractions_linear_files/Yang_linear_img/161016790.jpg","show blot")</f>
        <v>show blot</v>
      </c>
      <c r="J6945" s="5" t="s">
        <v>13663</v>
      </c>
      <c r="L6945" s="11">
        <v>4.6031284811567073</v>
      </c>
      <c r="N6945" s="12"/>
    </row>
    <row r="6946" spans="1:14" s="5" customFormat="1" ht="15" customHeight="1" x14ac:dyDescent="0.25">
      <c r="A6946" s="9" t="s">
        <v>13664</v>
      </c>
      <c r="C6946" s="9" t="str">
        <f>HYPERLINK("http://www.ncbi.nlm.nih.gov/protein/6756011","Slc7a11")</f>
        <v>Slc7a11</v>
      </c>
      <c r="D6946" s="10">
        <f t="shared" si="108"/>
        <v>2.6972451984206929</v>
      </c>
      <c r="F6946" s="8" t="str">
        <f>HYPERLINK("https://esbl.nhlbi.nih.gov/Databases/mpkFractions/proteomic_fractions_log_files/Yang_log_img/6756011.jpg","show blot")</f>
        <v>show blot</v>
      </c>
      <c r="H6946" s="8" t="str">
        <f>HYPERLINK("https://esbl.nhlbi.nih.gov/Databases/mpkFractions/proteomic_fractions_linear_files/Yang_linear_img/6756011.jpg","show blot")</f>
        <v>show blot</v>
      </c>
      <c r="J6946" s="5" t="s">
        <v>13665</v>
      </c>
      <c r="L6946" s="11">
        <v>2.6972451984206929</v>
      </c>
      <c r="N6946" s="12"/>
    </row>
    <row r="6947" spans="1:14" s="5" customFormat="1" ht="15" customHeight="1" x14ac:dyDescent="0.25">
      <c r="A6947" s="9" t="s">
        <v>13666</v>
      </c>
      <c r="C6947" s="9" t="str">
        <f>HYPERLINK("http://www.ncbi.nlm.nih.gov/protein/113680233","Slc7a2")</f>
        <v>Slc7a2</v>
      </c>
      <c r="D6947" s="10">
        <f t="shared" si="108"/>
        <v>3.119242271413377</v>
      </c>
      <c r="F6947" s="8" t="str">
        <f>HYPERLINK("https://esbl.nhlbi.nih.gov/Databases/mpkFractions/proteomic_fractions_log_files/Yang_log_img/113680233.jpg","show blot")</f>
        <v>show blot</v>
      </c>
      <c r="H6947" s="8" t="str">
        <f>HYPERLINK("https://esbl.nhlbi.nih.gov/Databases/mpkFractions/proteomic_fractions_linear_files/Yang_linear_img/113680233.jpg","show blot")</f>
        <v>show blot</v>
      </c>
      <c r="J6947" s="5" t="s">
        <v>13667</v>
      </c>
      <c r="L6947" s="11">
        <v>3.119242271413377</v>
      </c>
      <c r="N6947" s="12"/>
    </row>
    <row r="6948" spans="1:14" s="5" customFormat="1" ht="15" customHeight="1" x14ac:dyDescent="0.25">
      <c r="A6948" s="9" t="s">
        <v>13668</v>
      </c>
      <c r="C6948" s="9" t="str">
        <f>HYPERLINK("http://www.ncbi.nlm.nih.gov/protein/31982764","Slc7a5")</f>
        <v>Slc7a5</v>
      </c>
      <c r="D6948" s="10">
        <f t="shared" si="108"/>
        <v>4.1737004111793157</v>
      </c>
      <c r="F6948" s="8" t="str">
        <f>HYPERLINK("https://esbl.nhlbi.nih.gov/Databases/mpkFractions/proteomic_fractions_log_files/Yang_log_img/31982764.jpg","show blot")</f>
        <v>show blot</v>
      </c>
      <c r="H6948" s="8" t="str">
        <f>HYPERLINK("https://esbl.nhlbi.nih.gov/Databases/mpkFractions/proteomic_fractions_linear_files/Yang_linear_img/31982764.jpg","show blot")</f>
        <v>show blot</v>
      </c>
      <c r="J6948" s="5" t="s">
        <v>13669</v>
      </c>
      <c r="L6948" s="11">
        <v>4.1737004111793157</v>
      </c>
      <c r="N6948" s="12"/>
    </row>
    <row r="6949" spans="1:14" s="5" customFormat="1" ht="15" customHeight="1" x14ac:dyDescent="0.25">
      <c r="A6949" s="9" t="s">
        <v>13670</v>
      </c>
      <c r="C6949" s="9" t="str">
        <f>HYPERLINK("http://www.ncbi.nlm.nih.gov/protein/57222272","Slc7a6os")</f>
        <v>Slc7a6os</v>
      </c>
      <c r="D6949" s="10">
        <f t="shared" si="108"/>
        <v>4.0613795899763829</v>
      </c>
      <c r="F6949" s="8" t="str">
        <f>HYPERLINK("https://esbl.nhlbi.nih.gov/Databases/mpkFractions/proteomic_fractions_log_files/Yang_log_img/57222272.jpg","show blot")</f>
        <v>show blot</v>
      </c>
      <c r="H6949" s="8" t="str">
        <f>HYPERLINK("https://esbl.nhlbi.nih.gov/Databases/mpkFractions/proteomic_fractions_linear_files/Yang_linear_img/57222272.jpg","show blot")</f>
        <v>show blot</v>
      </c>
      <c r="J6949" s="5" t="s">
        <v>13671</v>
      </c>
      <c r="L6949" s="11">
        <v>4.0613795899763829</v>
      </c>
      <c r="N6949" s="12"/>
    </row>
    <row r="6950" spans="1:14" s="5" customFormat="1" ht="15" customHeight="1" x14ac:dyDescent="0.25">
      <c r="A6950" s="9" t="s">
        <v>13672</v>
      </c>
      <c r="C6950" s="9" t="str">
        <f>HYPERLINK("http://www.ncbi.nlm.nih.gov/protein/8567404","Slc9a1")</f>
        <v>Slc9a1</v>
      </c>
      <c r="D6950" s="10">
        <f t="shared" si="108"/>
        <v>2.4865681136650322</v>
      </c>
      <c r="F6950" s="8" t="str">
        <f>HYPERLINK("https://esbl.nhlbi.nih.gov/Databases/mpkFractions/proteomic_fractions_log_files/Yang_log_img/8567404.jpg","show blot")</f>
        <v>show blot</v>
      </c>
      <c r="H6950" s="8" t="str">
        <f>HYPERLINK("https://esbl.nhlbi.nih.gov/Databases/mpkFractions/proteomic_fractions_linear_files/Yang_linear_img/8567404.jpg","show blot")</f>
        <v>show blot</v>
      </c>
      <c r="J6950" s="5" t="s">
        <v>13673</v>
      </c>
      <c r="L6950" s="11">
        <v>2.4865681136650322</v>
      </c>
      <c r="N6950" s="12"/>
    </row>
    <row r="6951" spans="1:14" s="5" customFormat="1" ht="15" customHeight="1" x14ac:dyDescent="0.25">
      <c r="A6951" s="9" t="s">
        <v>13674</v>
      </c>
      <c r="C6951" s="9" t="str">
        <f>HYPERLINK("http://www.ncbi.nlm.nih.gov/protein/6755566","Slc9a3r1")</f>
        <v>Slc9a3r1</v>
      </c>
      <c r="D6951" s="10">
        <f t="shared" si="108"/>
        <v>6.4838862856167134</v>
      </c>
      <c r="F6951" s="8" t="str">
        <f>HYPERLINK("https://esbl.nhlbi.nih.gov/Databases/mpkFractions/proteomic_fractions_log_files/Yang_log_img/6755566.jpg","show blot")</f>
        <v>show blot</v>
      </c>
      <c r="H6951" s="8" t="str">
        <f>HYPERLINK("https://esbl.nhlbi.nih.gov/Databases/mpkFractions/proteomic_fractions_linear_files/Yang_linear_img/6755566.jpg","show blot")</f>
        <v>show blot</v>
      </c>
      <c r="J6951" s="5" t="s">
        <v>13675</v>
      </c>
      <c r="L6951" s="11">
        <v>6.4838862856167134</v>
      </c>
      <c r="N6951" s="12"/>
    </row>
    <row r="6952" spans="1:14" s="5" customFormat="1" ht="15" customHeight="1" x14ac:dyDescent="0.25">
      <c r="A6952" s="9" t="s">
        <v>13676</v>
      </c>
      <c r="C6952" s="9" t="str">
        <f>HYPERLINK("http://www.ncbi.nlm.nih.gov/protein/84490391","Slfn4")</f>
        <v>Slfn4</v>
      </c>
      <c r="D6952" s="10">
        <f t="shared" si="108"/>
        <v>4.7300971056796657</v>
      </c>
      <c r="F6952" s="8" t="str">
        <f>HYPERLINK("https://esbl.nhlbi.nih.gov/Databases/mpkFractions/proteomic_fractions_log_files/Yang_log_img/84490391.jpg","show blot")</f>
        <v>show blot</v>
      </c>
      <c r="H6952" s="8" t="str">
        <f>HYPERLINK("https://esbl.nhlbi.nih.gov/Databases/mpkFractions/proteomic_fractions_linear_files/Yang_linear_img/84490391.jpg","show blot")</f>
        <v>show blot</v>
      </c>
      <c r="J6952" s="5" t="s">
        <v>13677</v>
      </c>
      <c r="L6952" s="11">
        <v>4.7300971056796657</v>
      </c>
      <c r="N6952" s="12"/>
    </row>
    <row r="6953" spans="1:14" s="5" customFormat="1" ht="15" customHeight="1" x14ac:dyDescent="0.25">
      <c r="A6953" s="9" t="s">
        <v>13678</v>
      </c>
      <c r="C6953" s="9" t="str">
        <f>HYPERLINK("http://www.ncbi.nlm.nih.gov/protein/268370030","Slfn8")</f>
        <v>Slfn8</v>
      </c>
      <c r="D6953" s="10">
        <f t="shared" si="108"/>
        <v>3.5589593156896031</v>
      </c>
      <c r="F6953" s="8" t="str">
        <f>HYPERLINK("https://esbl.nhlbi.nih.gov/Databases/mpkFractions/proteomic_fractions_log_files/Yang_log_img/268370030.jpg","show blot")</f>
        <v>show blot</v>
      </c>
      <c r="H6953" s="8" t="str">
        <f>HYPERLINK("https://esbl.nhlbi.nih.gov/Databases/mpkFractions/proteomic_fractions_linear_files/Yang_linear_img/268370030.jpg","show blot")</f>
        <v>show blot</v>
      </c>
      <c r="J6953" s="5" t="s">
        <v>13679</v>
      </c>
      <c r="L6953" s="11">
        <v>3.5589593156896031</v>
      </c>
      <c r="N6953" s="12"/>
    </row>
    <row r="6954" spans="1:14" s="5" customFormat="1" ht="15" customHeight="1" x14ac:dyDescent="0.25">
      <c r="A6954" s="9" t="s">
        <v>13680</v>
      </c>
      <c r="C6954" s="9" t="str">
        <f>HYPERLINK("http://www.ncbi.nlm.nih.gov/protein/116089296","Slfn9")</f>
        <v>Slfn9</v>
      </c>
      <c r="D6954" s="10">
        <f t="shared" si="108"/>
        <v>3.887064588946505</v>
      </c>
      <c r="F6954" s="8" t="str">
        <f>HYPERLINK("https://esbl.nhlbi.nih.gov/Databases/mpkFractions/proteomic_fractions_log_files/Yang_log_img/116089296.jpg","show blot")</f>
        <v>show blot</v>
      </c>
      <c r="H6954" s="8" t="str">
        <f>HYPERLINK("https://esbl.nhlbi.nih.gov/Databases/mpkFractions/proteomic_fractions_linear_files/Yang_linear_img/116089296.jpg","show blot")</f>
        <v>show blot</v>
      </c>
      <c r="J6954" s="5" t="s">
        <v>13681</v>
      </c>
      <c r="L6954" s="11">
        <v>3.887064588946505</v>
      </c>
      <c r="N6954" s="12"/>
    </row>
    <row r="6955" spans="1:14" s="5" customFormat="1" ht="15" customHeight="1" x14ac:dyDescent="0.25">
      <c r="A6955" s="9" t="s">
        <v>13682</v>
      </c>
      <c r="C6955" s="9" t="str">
        <f>HYPERLINK("http://www.ncbi.nlm.nih.gov/protein/283046784","Slirp")</f>
        <v>Slirp</v>
      </c>
      <c r="D6955" s="10">
        <f t="shared" si="108"/>
        <v>4.5300267220673511</v>
      </c>
      <c r="F6955" s="8" t="str">
        <f>HYPERLINK("https://esbl.nhlbi.nih.gov/Databases/mpkFractions/proteomic_fractions_log_files/Yang_log_img/283046784.jpg","show blot")</f>
        <v>show blot</v>
      </c>
      <c r="H6955" s="8" t="str">
        <f>HYPERLINK("https://esbl.nhlbi.nih.gov/Databases/mpkFractions/proteomic_fractions_linear_files/Yang_linear_img/283046784.jpg","show blot")</f>
        <v>show blot</v>
      </c>
      <c r="J6955" s="5" t="s">
        <v>13683</v>
      </c>
      <c r="L6955" s="11">
        <v>4.5300267220673511</v>
      </c>
      <c r="N6955" s="12"/>
    </row>
    <row r="6956" spans="1:14" s="5" customFormat="1" ht="15" customHeight="1" x14ac:dyDescent="0.25">
      <c r="A6956" s="9" t="s">
        <v>13684</v>
      </c>
      <c r="C6956" s="9" t="str">
        <f>HYPERLINK("http://www.ncbi.nlm.nih.gov/protein/257467552","Slk")</f>
        <v>Slk</v>
      </c>
      <c r="D6956" s="10">
        <f t="shared" si="108"/>
        <v>5.6082107635316722</v>
      </c>
      <c r="F6956" s="8" t="str">
        <f>HYPERLINK("https://esbl.nhlbi.nih.gov/Databases/mpkFractions/proteomic_fractions_log_files/Yang_log_img/257467552.jpg","show blot")</f>
        <v>show blot</v>
      </c>
      <c r="H6956" s="8" t="str">
        <f>HYPERLINK("https://esbl.nhlbi.nih.gov/Databases/mpkFractions/proteomic_fractions_linear_files/Yang_linear_img/257467552.jpg","show blot")</f>
        <v>show blot</v>
      </c>
      <c r="J6956" s="5" t="s">
        <v>13685</v>
      </c>
      <c r="L6956" s="11">
        <v>5.6082107635316722</v>
      </c>
      <c r="N6956" s="12"/>
    </row>
    <row r="6957" spans="1:14" s="5" customFormat="1" ht="15" customHeight="1" x14ac:dyDescent="0.25">
      <c r="A6957" s="9" t="s">
        <v>13686</v>
      </c>
      <c r="C6957" s="9" t="str">
        <f>HYPERLINK("http://www.ncbi.nlm.nih.gov/protein/257467554","Slk")</f>
        <v>Slk</v>
      </c>
      <c r="D6957" s="10">
        <f t="shared" si="108"/>
        <v>5.6082107635316722</v>
      </c>
      <c r="F6957" s="8" t="str">
        <f>HYPERLINK("https://esbl.nhlbi.nih.gov/Databases/mpkFractions/proteomic_fractions_log_files/Yang_log_img/257467554.jpg","show blot")</f>
        <v>show blot</v>
      </c>
      <c r="H6957" s="8" t="str">
        <f>HYPERLINK("https://esbl.nhlbi.nih.gov/Databases/mpkFractions/proteomic_fractions_linear_files/Yang_linear_img/257467554.jpg","show blot")</f>
        <v>show blot</v>
      </c>
      <c r="J6957" s="5" t="s">
        <v>13687</v>
      </c>
      <c r="L6957" s="11">
        <v>5.6082107635316722</v>
      </c>
      <c r="N6957" s="12"/>
    </row>
    <row r="6958" spans="1:14" s="5" customFormat="1" ht="15" customHeight="1" x14ac:dyDescent="0.25">
      <c r="A6958" s="9" t="s">
        <v>13688</v>
      </c>
      <c r="C6958" s="9" t="str">
        <f>HYPERLINK("http://www.ncbi.nlm.nih.gov/protein/13384954","Slmo2")</f>
        <v>Slmo2</v>
      </c>
      <c r="D6958" s="10">
        <f t="shared" si="108"/>
        <v>2.6116672849241178</v>
      </c>
      <c r="F6958" s="8" t="str">
        <f>HYPERLINK("https://esbl.nhlbi.nih.gov/Databases/mpkFractions/proteomic_fractions_log_files/Yang_log_img/13384954.jpg","show blot")</f>
        <v>show blot</v>
      </c>
      <c r="H6958" s="8" t="str">
        <f>HYPERLINK("https://esbl.nhlbi.nih.gov/Databases/mpkFractions/proteomic_fractions_linear_files/Yang_linear_img/13384954.jpg","show blot")</f>
        <v>show blot</v>
      </c>
      <c r="J6958" s="5" t="s">
        <v>13689</v>
      </c>
      <c r="L6958" s="11">
        <v>2.6116672849241178</v>
      </c>
      <c r="N6958" s="12"/>
    </row>
    <row r="6959" spans="1:14" s="5" customFormat="1" ht="15" customHeight="1" x14ac:dyDescent="0.25">
      <c r="A6959" s="9" t="s">
        <v>13690</v>
      </c>
      <c r="C6959" s="9" t="str">
        <f>HYPERLINK("http://www.ncbi.nlm.nih.gov/protein/31543220","Smad1")</f>
        <v>Smad1</v>
      </c>
      <c r="D6959" s="10">
        <f t="shared" si="108"/>
        <v>3.840424958583688</v>
      </c>
      <c r="F6959" s="8" t="str">
        <f>HYPERLINK("https://esbl.nhlbi.nih.gov/Databases/mpkFractions/proteomic_fractions_log_files/Yang_log_img/31543220.jpg","show blot")</f>
        <v>show blot</v>
      </c>
      <c r="H6959" s="8" t="str">
        <f>HYPERLINK("https://esbl.nhlbi.nih.gov/Databases/mpkFractions/proteomic_fractions_linear_files/Yang_linear_img/31543220.jpg","show blot")</f>
        <v>show blot</v>
      </c>
      <c r="J6959" s="5" t="s">
        <v>13691</v>
      </c>
      <c r="L6959" s="11">
        <v>3.840424958583688</v>
      </c>
      <c r="N6959" s="12"/>
    </row>
    <row r="6960" spans="1:14" s="5" customFormat="1" ht="15" customHeight="1" x14ac:dyDescent="0.25">
      <c r="A6960" s="9" t="s">
        <v>13692</v>
      </c>
      <c r="C6960" s="9" t="str">
        <f>HYPERLINK("http://www.ncbi.nlm.nih.gov/protein/31560568","Smad2")</f>
        <v>Smad2</v>
      </c>
      <c r="D6960" s="10">
        <f t="shared" si="108"/>
        <v>4.7578598151927904</v>
      </c>
      <c r="F6960" s="8" t="str">
        <f>HYPERLINK("https://esbl.nhlbi.nih.gov/Databases/mpkFractions/proteomic_fractions_log_files/Yang_log_img/31560568.jpg","show blot")</f>
        <v>show blot</v>
      </c>
      <c r="H6960" s="8" t="str">
        <f>HYPERLINK("https://esbl.nhlbi.nih.gov/Databases/mpkFractions/proteomic_fractions_linear_files/Yang_linear_img/31560568.jpg","show blot")</f>
        <v>show blot</v>
      </c>
      <c r="J6960" s="5" t="s">
        <v>13693</v>
      </c>
      <c r="L6960" s="11">
        <v>4.7578598151927904</v>
      </c>
      <c r="N6960" s="12"/>
    </row>
    <row r="6961" spans="1:14" s="5" customFormat="1" ht="15" customHeight="1" x14ac:dyDescent="0.25">
      <c r="A6961" s="9" t="s">
        <v>13694</v>
      </c>
      <c r="C6961" s="9" t="str">
        <f>HYPERLINK("http://www.ncbi.nlm.nih.gov/protein/254675249","Smad3")</f>
        <v>Smad3</v>
      </c>
      <c r="D6961" s="10">
        <f t="shared" si="108"/>
        <v>4.2083182473871874</v>
      </c>
      <c r="F6961" s="8" t="str">
        <f>HYPERLINK("https://esbl.nhlbi.nih.gov/Databases/mpkFractions/proteomic_fractions_log_files/Yang_log_img/254675249.jpg","show blot")</f>
        <v>show blot</v>
      </c>
      <c r="H6961" s="8" t="str">
        <f>HYPERLINK("https://esbl.nhlbi.nih.gov/Databases/mpkFractions/proteomic_fractions_linear_files/Yang_linear_img/254675249.jpg","show blot")</f>
        <v>show blot</v>
      </c>
      <c r="J6961" s="5" t="s">
        <v>13695</v>
      </c>
      <c r="L6961" s="11">
        <v>4.2083182473871874</v>
      </c>
      <c r="N6961" s="12"/>
    </row>
    <row r="6962" spans="1:14" s="5" customFormat="1" ht="15" customHeight="1" x14ac:dyDescent="0.25">
      <c r="A6962" s="9" t="s">
        <v>13696</v>
      </c>
      <c r="C6962" s="9" t="str">
        <f>HYPERLINK("http://www.ncbi.nlm.nih.gov/protein/255708405","Smad5")</f>
        <v>Smad5</v>
      </c>
      <c r="D6962" s="10">
        <f t="shared" si="108"/>
        <v>3.840424958583688</v>
      </c>
      <c r="F6962" s="8" t="str">
        <f>HYPERLINK("https://esbl.nhlbi.nih.gov/Databases/mpkFractions/proteomic_fractions_log_files/Yang_log_img/255708405.jpg","show blot")</f>
        <v>show blot</v>
      </c>
      <c r="H6962" s="8" t="str">
        <f>HYPERLINK("https://esbl.nhlbi.nih.gov/Databases/mpkFractions/proteomic_fractions_linear_files/Yang_linear_img/255708405.jpg","show blot")</f>
        <v>show blot</v>
      </c>
      <c r="J6962" s="5" t="s">
        <v>13697</v>
      </c>
      <c r="L6962" s="11">
        <v>3.840424958583688</v>
      </c>
      <c r="N6962" s="12"/>
    </row>
    <row r="6963" spans="1:14" s="5" customFormat="1" ht="15" customHeight="1" x14ac:dyDescent="0.25">
      <c r="A6963" s="9" t="s">
        <v>13698</v>
      </c>
      <c r="C6963" s="9" t="str">
        <f>HYPERLINK("http://www.ncbi.nlm.nih.gov/protein/84490384","Smad9")</f>
        <v>Smad9</v>
      </c>
      <c r="D6963" s="10">
        <f t="shared" si="108"/>
        <v>4.0414708495725824</v>
      </c>
      <c r="F6963" s="8" t="str">
        <f>HYPERLINK("https://esbl.nhlbi.nih.gov/Databases/mpkFractions/proteomic_fractions_log_files/Yang_log_img/84490384.jpg","show blot")</f>
        <v>show blot</v>
      </c>
      <c r="H6963" s="8" t="str">
        <f>HYPERLINK("https://esbl.nhlbi.nih.gov/Databases/mpkFractions/proteomic_fractions_linear_files/Yang_linear_img/84490384.jpg","show blot")</f>
        <v>show blot</v>
      </c>
      <c r="J6963" s="5" t="s">
        <v>13699</v>
      </c>
      <c r="L6963" s="11">
        <v>4.0414708495725824</v>
      </c>
      <c r="N6963" s="12"/>
    </row>
    <row r="6964" spans="1:14" s="5" customFormat="1" ht="15" customHeight="1" x14ac:dyDescent="0.25">
      <c r="A6964" s="9" t="s">
        <v>13700</v>
      </c>
      <c r="C6964" s="9" t="str">
        <f>HYPERLINK("http://www.ncbi.nlm.nih.gov/protein/262050608","Smarca1")</f>
        <v>Smarca1</v>
      </c>
      <c r="D6964" s="10">
        <f t="shared" si="108"/>
        <v>4.1831881193517431</v>
      </c>
      <c r="F6964" s="8" t="str">
        <f>HYPERLINK("https://esbl.nhlbi.nih.gov/Databases/mpkFractions/proteomic_fractions_log_files/Yang_log_img/262050608.jpg","show blot")</f>
        <v>show blot</v>
      </c>
      <c r="H6964" s="8" t="str">
        <f>HYPERLINK("https://esbl.nhlbi.nih.gov/Databases/mpkFractions/proteomic_fractions_linear_files/Yang_linear_img/262050608.jpg","show blot")</f>
        <v>show blot</v>
      </c>
      <c r="J6964" s="5" t="s">
        <v>13701</v>
      </c>
      <c r="L6964" s="11">
        <v>4.1831881193517431</v>
      </c>
      <c r="N6964" s="12"/>
    </row>
    <row r="6965" spans="1:14" s="5" customFormat="1" ht="15" customHeight="1" x14ac:dyDescent="0.25">
      <c r="A6965" s="9" t="s">
        <v>13702</v>
      </c>
      <c r="C6965" s="9" t="str">
        <f>HYPERLINK("http://www.ncbi.nlm.nih.gov/protein/21313112","Smarca2")</f>
        <v>Smarca2</v>
      </c>
      <c r="D6965" s="10">
        <f t="shared" si="108"/>
        <v>3.2384609953805992</v>
      </c>
      <c r="F6965" s="8" t="str">
        <f>HYPERLINK("https://esbl.nhlbi.nih.gov/Databases/mpkFractions/proteomic_fractions_log_files/Yang_log_img/21313112.jpg","show blot")</f>
        <v>show blot</v>
      </c>
      <c r="H6965" s="8" t="str">
        <f>HYPERLINK("https://esbl.nhlbi.nih.gov/Databases/mpkFractions/proteomic_fractions_linear_files/Yang_linear_img/21313112.jpg","show blot")</f>
        <v>show blot</v>
      </c>
      <c r="J6965" s="5" t="s">
        <v>13703</v>
      </c>
      <c r="L6965" s="11">
        <v>3.2384609953805992</v>
      </c>
      <c r="N6965" s="12"/>
    </row>
    <row r="6966" spans="1:14" s="5" customFormat="1" ht="15" customHeight="1" x14ac:dyDescent="0.25">
      <c r="A6966" s="9" t="s">
        <v>13704</v>
      </c>
      <c r="C6966" s="9" t="str">
        <f>HYPERLINK("http://www.ncbi.nlm.nih.gov/protein/51593084","Smarca2")</f>
        <v>Smarca2</v>
      </c>
      <c r="D6966" s="10">
        <f t="shared" si="108"/>
        <v>3.2384609953805992</v>
      </c>
      <c r="F6966" s="8" t="str">
        <f>HYPERLINK("https://esbl.nhlbi.nih.gov/Databases/mpkFractions/proteomic_fractions_log_files/Yang_log_img/51593084.jpg","show blot")</f>
        <v>show blot</v>
      </c>
      <c r="H6966" s="8" t="str">
        <f>HYPERLINK("https://esbl.nhlbi.nih.gov/Databases/mpkFractions/proteomic_fractions_linear_files/Yang_linear_img/51593084.jpg","show blot")</f>
        <v>show blot</v>
      </c>
      <c r="J6966" s="5" t="s">
        <v>13705</v>
      </c>
      <c r="L6966" s="11">
        <v>3.2384609953805992</v>
      </c>
      <c r="N6966" s="12"/>
    </row>
    <row r="6967" spans="1:14" s="5" customFormat="1" ht="15" customHeight="1" x14ac:dyDescent="0.25">
      <c r="A6967" s="9" t="s">
        <v>13706</v>
      </c>
      <c r="C6967" s="9" t="str">
        <f>HYPERLINK("http://www.ncbi.nlm.nih.gov/protein/291463269","Smarca4")</f>
        <v>Smarca4</v>
      </c>
      <c r="D6967" s="10">
        <f t="shared" si="108"/>
        <v>4.3830634454668829</v>
      </c>
      <c r="F6967" s="8" t="str">
        <f>HYPERLINK("https://esbl.nhlbi.nih.gov/Databases/mpkFractions/proteomic_fractions_log_files/Yang_log_img/291463269.jpg","show blot")</f>
        <v>show blot</v>
      </c>
      <c r="H6967" s="8" t="str">
        <f>HYPERLINK("https://esbl.nhlbi.nih.gov/Databases/mpkFractions/proteomic_fractions_linear_files/Yang_linear_img/291463269.jpg","show blot")</f>
        <v>show blot</v>
      </c>
      <c r="J6967" s="5" t="s">
        <v>13707</v>
      </c>
      <c r="L6967" s="11">
        <v>4.3830634454668829</v>
      </c>
      <c r="N6967" s="12"/>
    </row>
    <row r="6968" spans="1:14" s="5" customFormat="1" ht="15" customHeight="1" x14ac:dyDescent="0.25">
      <c r="A6968" s="9" t="s">
        <v>13708</v>
      </c>
      <c r="C6968" s="9" t="str">
        <f>HYPERLINK("http://www.ncbi.nlm.nih.gov/protein/291463271","Smarca4")</f>
        <v>Smarca4</v>
      </c>
      <c r="D6968" s="10">
        <f t="shared" si="108"/>
        <v>4.3830634454668829</v>
      </c>
      <c r="F6968" s="8" t="str">
        <f>HYPERLINK("https://esbl.nhlbi.nih.gov/Databases/mpkFractions/proteomic_fractions_log_files/Yang_log_img/291463271.jpg","show blot")</f>
        <v>show blot</v>
      </c>
      <c r="H6968" s="8" t="str">
        <f>HYPERLINK("https://esbl.nhlbi.nih.gov/Databases/mpkFractions/proteomic_fractions_linear_files/Yang_linear_img/291463271.jpg","show blot")</f>
        <v>show blot</v>
      </c>
      <c r="J6968" s="5" t="s">
        <v>13709</v>
      </c>
      <c r="L6968" s="11">
        <v>4.3830634454668829</v>
      </c>
      <c r="N6968" s="12"/>
    </row>
    <row r="6969" spans="1:14" s="5" customFormat="1" ht="15" customHeight="1" x14ac:dyDescent="0.25">
      <c r="A6969" s="9" t="s">
        <v>13710</v>
      </c>
      <c r="C6969" s="9" t="str">
        <f>HYPERLINK("http://www.ncbi.nlm.nih.gov/protein/76253779","Smarca4")</f>
        <v>Smarca4</v>
      </c>
      <c r="D6969" s="10">
        <f t="shared" si="108"/>
        <v>4.3830634454668829</v>
      </c>
      <c r="F6969" s="8" t="str">
        <f>HYPERLINK("https://esbl.nhlbi.nih.gov/Databases/mpkFractions/proteomic_fractions_log_files/Yang_log_img/76253779.jpg","show blot")</f>
        <v>show blot</v>
      </c>
      <c r="H6969" s="8" t="str">
        <f>HYPERLINK("https://esbl.nhlbi.nih.gov/Databases/mpkFractions/proteomic_fractions_linear_files/Yang_linear_img/76253779.jpg","show blot")</f>
        <v>show blot</v>
      </c>
      <c r="J6969" s="5" t="s">
        <v>13711</v>
      </c>
      <c r="L6969" s="11">
        <v>4.3830634454668829</v>
      </c>
      <c r="N6969" s="12"/>
    </row>
    <row r="6970" spans="1:14" s="5" customFormat="1" ht="15" customHeight="1" x14ac:dyDescent="0.25">
      <c r="A6970" s="9" t="s">
        <v>13712</v>
      </c>
      <c r="C6970" s="9" t="str">
        <f>HYPERLINK("http://www.ncbi.nlm.nih.gov/protein/40254124","Smarca5")</f>
        <v>Smarca5</v>
      </c>
      <c r="D6970" s="10">
        <f t="shared" si="108"/>
        <v>4.9646875211861383</v>
      </c>
      <c r="F6970" s="8" t="str">
        <f>HYPERLINK("https://esbl.nhlbi.nih.gov/Databases/mpkFractions/proteomic_fractions_log_files/Yang_log_img/40254124.jpg","show blot")</f>
        <v>show blot</v>
      </c>
      <c r="H6970" s="8" t="str">
        <f>HYPERLINK("https://esbl.nhlbi.nih.gov/Databases/mpkFractions/proteomic_fractions_linear_files/Yang_linear_img/40254124.jpg","show blot")</f>
        <v>show blot</v>
      </c>
      <c r="J6970" s="5" t="s">
        <v>13713</v>
      </c>
      <c r="L6970" s="11">
        <v>4.9646875211861383</v>
      </c>
      <c r="N6970" s="12"/>
    </row>
    <row r="6971" spans="1:14" s="5" customFormat="1" ht="15" customHeight="1" x14ac:dyDescent="0.25">
      <c r="A6971" s="9" t="s">
        <v>13714</v>
      </c>
      <c r="C6971" s="9" t="str">
        <f>HYPERLINK("http://www.ncbi.nlm.nih.gov/protein/358438428","Smarcad1")</f>
        <v>Smarcad1</v>
      </c>
      <c r="D6971" s="10">
        <f t="shared" si="108"/>
        <v>3.2933205533097629</v>
      </c>
      <c r="F6971" s="8" t="str">
        <f>HYPERLINK("https://esbl.nhlbi.nih.gov/Databases/mpkFractions/proteomic_fractions_log_files/Yang_log_img/358438428.jpg","show blot")</f>
        <v>show blot</v>
      </c>
      <c r="H6971" s="8" t="str">
        <f>HYPERLINK("https://esbl.nhlbi.nih.gov/Databases/mpkFractions/proteomic_fractions_linear_files/Yang_linear_img/358438428.jpg","show blot")</f>
        <v>show blot</v>
      </c>
      <c r="J6971" s="5" t="s">
        <v>13715</v>
      </c>
      <c r="L6971" s="11">
        <v>3.2933205533097629</v>
      </c>
      <c r="N6971" s="12"/>
    </row>
    <row r="6972" spans="1:14" s="5" customFormat="1" ht="15" customHeight="1" x14ac:dyDescent="0.25">
      <c r="A6972" s="9" t="s">
        <v>13716</v>
      </c>
      <c r="C6972" s="9" t="str">
        <f>HYPERLINK("http://www.ncbi.nlm.nih.gov/protein/62543565","Smarcad1")</f>
        <v>Smarcad1</v>
      </c>
      <c r="D6972" s="10">
        <f t="shared" si="108"/>
        <v>3.2933205533097629</v>
      </c>
      <c r="F6972" s="8" t="str">
        <f>HYPERLINK("https://esbl.nhlbi.nih.gov/Databases/mpkFractions/proteomic_fractions_log_files/Yang_log_img/62543565.jpg","show blot")</f>
        <v>show blot</v>
      </c>
      <c r="H6972" s="8" t="str">
        <f>HYPERLINK("https://esbl.nhlbi.nih.gov/Databases/mpkFractions/proteomic_fractions_linear_files/Yang_linear_img/62543565.jpg","show blot")</f>
        <v>show blot</v>
      </c>
      <c r="J6972" s="5" t="s">
        <v>13715</v>
      </c>
      <c r="L6972" s="11">
        <v>3.2933205533097629</v>
      </c>
      <c r="N6972" s="12"/>
    </row>
    <row r="6973" spans="1:14" s="5" customFormat="1" ht="15" customHeight="1" x14ac:dyDescent="0.25">
      <c r="A6973" s="9" t="s">
        <v>13717</v>
      </c>
      <c r="C6973" s="9" t="str">
        <f>HYPERLINK("http://www.ncbi.nlm.nih.gov/protein/229577278","Smarcal1")</f>
        <v>Smarcal1</v>
      </c>
      <c r="D6973" s="10">
        <f t="shared" si="108"/>
        <v>2.017930184399614</v>
      </c>
      <c r="F6973" s="8" t="str">
        <f>HYPERLINK("https://esbl.nhlbi.nih.gov/Databases/mpkFractions/proteomic_fractions_log_files/Yang_log_img/229577278.jpg","show blot")</f>
        <v>show blot</v>
      </c>
      <c r="H6973" s="8" t="str">
        <f>HYPERLINK("https://esbl.nhlbi.nih.gov/Databases/mpkFractions/proteomic_fractions_linear_files/Yang_linear_img/229577278.jpg","show blot")</f>
        <v>show blot</v>
      </c>
      <c r="J6973" s="5" t="s">
        <v>13718</v>
      </c>
      <c r="L6973" s="11">
        <v>2.017930184399614</v>
      </c>
      <c r="N6973" s="12"/>
    </row>
    <row r="6974" spans="1:14" s="5" customFormat="1" ht="15" customHeight="1" x14ac:dyDescent="0.25">
      <c r="A6974" s="9" t="s">
        <v>13719</v>
      </c>
      <c r="C6974" s="9" t="str">
        <f>HYPERLINK("http://www.ncbi.nlm.nih.gov/protein/112421097","Smarcc1")</f>
        <v>Smarcc1</v>
      </c>
      <c r="D6974" s="10">
        <f t="shared" si="108"/>
        <v>4.8105845075971301</v>
      </c>
      <c r="F6974" s="8" t="str">
        <f>HYPERLINK("https://esbl.nhlbi.nih.gov/Databases/mpkFractions/proteomic_fractions_log_files/Yang_log_img/112421097.jpg","show blot")</f>
        <v>show blot</v>
      </c>
      <c r="H6974" s="8" t="str">
        <f>HYPERLINK("https://esbl.nhlbi.nih.gov/Databases/mpkFractions/proteomic_fractions_linear_files/Yang_linear_img/112421097.jpg","show blot")</f>
        <v>show blot</v>
      </c>
      <c r="J6974" s="5" t="s">
        <v>13720</v>
      </c>
      <c r="L6974" s="11">
        <v>4.8105845075971301</v>
      </c>
      <c r="N6974" s="12"/>
    </row>
    <row r="6975" spans="1:14" s="5" customFormat="1" ht="15" customHeight="1" x14ac:dyDescent="0.25">
      <c r="A6975" s="9" t="s">
        <v>13721</v>
      </c>
      <c r="C6975" s="9" t="str">
        <f>HYPERLINK("http://www.ncbi.nlm.nih.gov/protein/166235123","Smarcc2")</f>
        <v>Smarcc2</v>
      </c>
      <c r="D6975" s="10">
        <f t="shared" si="108"/>
        <v>4.6471137349374194</v>
      </c>
      <c r="F6975" s="8" t="str">
        <f>HYPERLINK("https://esbl.nhlbi.nih.gov/Databases/mpkFractions/proteomic_fractions_log_files/Yang_log_img/166235123.jpg","show blot")</f>
        <v>show blot</v>
      </c>
      <c r="H6975" s="8" t="str">
        <f>HYPERLINK("https://esbl.nhlbi.nih.gov/Databases/mpkFractions/proteomic_fractions_linear_files/Yang_linear_img/166235123.jpg","show blot")</f>
        <v>show blot</v>
      </c>
      <c r="J6975" s="5" t="s">
        <v>13722</v>
      </c>
      <c r="L6975" s="11">
        <v>4.6471137349374194</v>
      </c>
      <c r="N6975" s="12"/>
    </row>
    <row r="6976" spans="1:14" s="5" customFormat="1" ht="15" customHeight="1" x14ac:dyDescent="0.25">
      <c r="A6976" s="9" t="s">
        <v>13723</v>
      </c>
      <c r="C6976" s="9" t="str">
        <f>HYPERLINK("http://www.ncbi.nlm.nih.gov/protein/166235125","Smarcc2")</f>
        <v>Smarcc2</v>
      </c>
      <c r="D6976" s="10">
        <f t="shared" si="108"/>
        <v>4.6471137349374194</v>
      </c>
      <c r="F6976" s="8" t="str">
        <f>HYPERLINK("https://esbl.nhlbi.nih.gov/Databases/mpkFractions/proteomic_fractions_log_files/Yang_log_img/166235125.jpg","show blot")</f>
        <v>show blot</v>
      </c>
      <c r="H6976" s="8" t="str">
        <f>HYPERLINK("https://esbl.nhlbi.nih.gov/Databases/mpkFractions/proteomic_fractions_linear_files/Yang_linear_img/166235125.jpg","show blot")</f>
        <v>show blot</v>
      </c>
      <c r="J6976" s="5" t="s">
        <v>13724</v>
      </c>
      <c r="L6976" s="11">
        <v>4.6471137349374194</v>
      </c>
      <c r="N6976" s="12"/>
    </row>
    <row r="6977" spans="1:14" s="5" customFormat="1" ht="15" customHeight="1" x14ac:dyDescent="0.25">
      <c r="A6977" s="9" t="s">
        <v>13725</v>
      </c>
      <c r="C6977" s="9" t="str">
        <f>HYPERLINK("http://www.ncbi.nlm.nih.gov/protein/37718972","Smarcc2")</f>
        <v>Smarcc2</v>
      </c>
      <c r="D6977" s="10">
        <f t="shared" si="108"/>
        <v>4.6471137349374194</v>
      </c>
      <c r="F6977" s="8" t="str">
        <f>HYPERLINK("https://esbl.nhlbi.nih.gov/Databases/mpkFractions/proteomic_fractions_log_files/Yang_log_img/37718972.jpg","show blot")</f>
        <v>show blot</v>
      </c>
      <c r="H6977" s="8" t="str">
        <f>HYPERLINK("https://esbl.nhlbi.nih.gov/Databases/mpkFractions/proteomic_fractions_linear_files/Yang_linear_img/37718972.jpg","show blot")</f>
        <v>show blot</v>
      </c>
      <c r="J6977" s="5" t="s">
        <v>13726</v>
      </c>
      <c r="L6977" s="11">
        <v>4.6471137349374194</v>
      </c>
      <c r="N6977" s="12"/>
    </row>
    <row r="6978" spans="1:14" s="5" customFormat="1" ht="15" customHeight="1" x14ac:dyDescent="0.25">
      <c r="A6978" s="9" t="s">
        <v>13727</v>
      </c>
      <c r="C6978" s="9" t="str">
        <f>HYPERLINK("http://www.ncbi.nlm.nih.gov/protein/125347396","Smarcd1")</f>
        <v>Smarcd1</v>
      </c>
      <c r="D6978" s="10">
        <f t="shared" si="108"/>
        <v>3.618572981523795</v>
      </c>
      <c r="F6978" s="8" t="str">
        <f>HYPERLINK("https://esbl.nhlbi.nih.gov/Databases/mpkFractions/proteomic_fractions_log_files/Yang_log_img/125347396.jpg","show blot")</f>
        <v>show blot</v>
      </c>
      <c r="H6978" s="8" t="str">
        <f>HYPERLINK("https://esbl.nhlbi.nih.gov/Databases/mpkFractions/proteomic_fractions_linear_files/Yang_linear_img/125347396.jpg","show blot")</f>
        <v>show blot</v>
      </c>
      <c r="J6978" s="5" t="s">
        <v>13728</v>
      </c>
      <c r="L6978" s="11">
        <v>3.618572981523795</v>
      </c>
      <c r="N6978" s="12"/>
    </row>
    <row r="6979" spans="1:14" s="5" customFormat="1" ht="15" customHeight="1" x14ac:dyDescent="0.25">
      <c r="A6979" s="9" t="s">
        <v>13729</v>
      </c>
      <c r="C6979" s="9" t="str">
        <f>HYPERLINK("http://www.ncbi.nlm.nih.gov/protein/194328771","Smarcd2")</f>
        <v>Smarcd2</v>
      </c>
      <c r="D6979" s="10">
        <f t="shared" si="108"/>
        <v>3.6475644821145981</v>
      </c>
      <c r="F6979" s="8" t="str">
        <f>HYPERLINK("https://esbl.nhlbi.nih.gov/Databases/mpkFractions/proteomic_fractions_log_files/Yang_log_img/194328771.jpg","show blot")</f>
        <v>show blot</v>
      </c>
      <c r="H6979" s="8" t="str">
        <f>HYPERLINK("https://esbl.nhlbi.nih.gov/Databases/mpkFractions/proteomic_fractions_linear_files/Yang_linear_img/194328771.jpg","show blot")</f>
        <v>show blot</v>
      </c>
      <c r="J6979" s="5" t="s">
        <v>13730</v>
      </c>
      <c r="L6979" s="11">
        <v>3.6475644821145981</v>
      </c>
      <c r="N6979" s="12"/>
    </row>
    <row r="6980" spans="1:14" s="5" customFormat="1" ht="15" customHeight="1" x14ac:dyDescent="0.25">
      <c r="A6980" s="9" t="s">
        <v>13731</v>
      </c>
      <c r="C6980" s="9" t="str">
        <f>HYPERLINK("http://www.ncbi.nlm.nih.gov/protein/194328773","Smarcd2")</f>
        <v>Smarcd2</v>
      </c>
      <c r="D6980" s="10">
        <f t="shared" si="108"/>
        <v>3.6475644821145981</v>
      </c>
      <c r="F6980" s="8" t="str">
        <f>HYPERLINK("https://esbl.nhlbi.nih.gov/Databases/mpkFractions/proteomic_fractions_log_files/Yang_log_img/194328773.jpg","show blot")</f>
        <v>show blot</v>
      </c>
      <c r="H6980" s="8" t="str">
        <f>HYPERLINK("https://esbl.nhlbi.nih.gov/Databases/mpkFractions/proteomic_fractions_linear_files/Yang_linear_img/194328773.jpg","show blot")</f>
        <v>show blot</v>
      </c>
      <c r="J6980" s="5" t="s">
        <v>13732</v>
      </c>
      <c r="L6980" s="11">
        <v>3.6475644821145981</v>
      </c>
      <c r="N6980" s="12"/>
    </row>
    <row r="6981" spans="1:14" s="5" customFormat="1" ht="15" customHeight="1" x14ac:dyDescent="0.25">
      <c r="A6981" s="9" t="s">
        <v>13733</v>
      </c>
      <c r="C6981" s="9" t="str">
        <f>HYPERLINK("http://www.ncbi.nlm.nih.gov/protein/77404373","Smarcd3")</f>
        <v>Smarcd3</v>
      </c>
      <c r="D6981" s="10">
        <f t="shared" ref="D6981:D7044" si="109">L6981</f>
        <v>3.6416382855924878</v>
      </c>
      <c r="F6981" s="8" t="str">
        <f>HYPERLINK("https://esbl.nhlbi.nih.gov/Databases/mpkFractions/proteomic_fractions_log_files/Yang_log_img/77404373.jpg","show blot")</f>
        <v>show blot</v>
      </c>
      <c r="H6981" s="8" t="str">
        <f>HYPERLINK("https://esbl.nhlbi.nih.gov/Databases/mpkFractions/proteomic_fractions_linear_files/Yang_linear_img/77404373.jpg","show blot")</f>
        <v>show blot</v>
      </c>
      <c r="J6981" s="5" t="s">
        <v>13734</v>
      </c>
      <c r="L6981" s="11">
        <v>3.6416382855924878</v>
      </c>
      <c r="N6981" s="12"/>
    </row>
    <row r="6982" spans="1:14" s="5" customFormat="1" ht="15" customHeight="1" x14ac:dyDescent="0.25">
      <c r="A6982" s="9" t="s">
        <v>13735</v>
      </c>
      <c r="C6982" s="9" t="str">
        <f>HYPERLINK("http://www.ncbi.nlm.nih.gov/protein/10181166","Smarce1")</f>
        <v>Smarce1</v>
      </c>
      <c r="D6982" s="10">
        <f t="shared" si="109"/>
        <v>4.8416433049606464</v>
      </c>
      <c r="F6982" s="8" t="str">
        <f>HYPERLINK("https://esbl.nhlbi.nih.gov/Databases/mpkFractions/proteomic_fractions_log_files/Yang_log_img/10181166.jpg","show blot")</f>
        <v>show blot</v>
      </c>
      <c r="H6982" s="8" t="str">
        <f>HYPERLINK("https://esbl.nhlbi.nih.gov/Databases/mpkFractions/proteomic_fractions_linear_files/Yang_linear_img/10181166.jpg","show blot")</f>
        <v>show blot</v>
      </c>
      <c r="J6982" s="5" t="s">
        <v>13736</v>
      </c>
      <c r="L6982" s="11">
        <v>4.8416433049606464</v>
      </c>
      <c r="N6982" s="12"/>
    </row>
    <row r="6983" spans="1:14" s="5" customFormat="1" ht="15" customHeight="1" x14ac:dyDescent="0.25">
      <c r="A6983" s="9" t="s">
        <v>13737</v>
      </c>
      <c r="C6983" s="9" t="str">
        <f>HYPERLINK("http://www.ncbi.nlm.nih.gov/protein/258613892","Smc1a")</f>
        <v>Smc1a</v>
      </c>
      <c r="D6983" s="10">
        <f t="shared" si="109"/>
        <v>4.7047676806752898</v>
      </c>
      <c r="F6983" s="8" t="str">
        <f>HYPERLINK("https://esbl.nhlbi.nih.gov/Databases/mpkFractions/proteomic_fractions_log_files/Yang_log_img/258613892.jpg","show blot")</f>
        <v>show blot</v>
      </c>
      <c r="H6983" s="8" t="str">
        <f>HYPERLINK("https://esbl.nhlbi.nih.gov/Databases/mpkFractions/proteomic_fractions_linear_files/Yang_linear_img/258613892.jpg","show blot")</f>
        <v>show blot</v>
      </c>
      <c r="J6983" s="5" t="s">
        <v>13738</v>
      </c>
      <c r="L6983" s="11">
        <v>4.7047676806752898</v>
      </c>
      <c r="N6983" s="12"/>
    </row>
    <row r="6984" spans="1:14" s="5" customFormat="1" ht="15" customHeight="1" x14ac:dyDescent="0.25">
      <c r="A6984" s="9" t="s">
        <v>13739</v>
      </c>
      <c r="C6984" s="9" t="str">
        <f>HYPERLINK("http://www.ncbi.nlm.nih.gov/protein/62990166","Smc2")</f>
        <v>Smc2</v>
      </c>
      <c r="D6984" s="10">
        <f t="shared" si="109"/>
        <v>5.1269970052507139</v>
      </c>
      <c r="F6984" s="8" t="str">
        <f>HYPERLINK("https://esbl.nhlbi.nih.gov/Databases/mpkFractions/proteomic_fractions_log_files/Yang_log_img/62990166.jpg","show blot")</f>
        <v>show blot</v>
      </c>
      <c r="H6984" s="8" t="str">
        <f>HYPERLINK("https://esbl.nhlbi.nih.gov/Databases/mpkFractions/proteomic_fractions_linear_files/Yang_linear_img/62990166.jpg","show blot")</f>
        <v>show blot</v>
      </c>
      <c r="J6984" s="5" t="s">
        <v>13740</v>
      </c>
      <c r="L6984" s="11">
        <v>5.1269970052507139</v>
      </c>
      <c r="N6984" s="12"/>
    </row>
    <row r="6985" spans="1:14" s="5" customFormat="1" ht="15" customHeight="1" x14ac:dyDescent="0.25">
      <c r="A6985" s="9" t="s">
        <v>13741</v>
      </c>
      <c r="C6985" s="9" t="str">
        <f>HYPERLINK("http://www.ncbi.nlm.nih.gov/protein/36031035","Smc3")</f>
        <v>Smc3</v>
      </c>
      <c r="D6985" s="10">
        <f t="shared" si="109"/>
        <v>5.1102464904287688</v>
      </c>
      <c r="F6985" s="8" t="str">
        <f>HYPERLINK("https://esbl.nhlbi.nih.gov/Databases/mpkFractions/proteomic_fractions_log_files/Yang_log_img/36031035.jpg","show blot")</f>
        <v>show blot</v>
      </c>
      <c r="H6985" s="8" t="str">
        <f>HYPERLINK("https://esbl.nhlbi.nih.gov/Databases/mpkFractions/proteomic_fractions_linear_files/Yang_linear_img/36031035.jpg","show blot")</f>
        <v>show blot</v>
      </c>
      <c r="J6985" s="5" t="s">
        <v>13742</v>
      </c>
      <c r="L6985" s="11">
        <v>5.1102464904287688</v>
      </c>
      <c r="N6985" s="12"/>
    </row>
    <row r="6986" spans="1:14" s="5" customFormat="1" ht="15" customHeight="1" x14ac:dyDescent="0.25">
      <c r="A6986" s="9" t="s">
        <v>13743</v>
      </c>
      <c r="C6986" s="9" t="str">
        <f>HYPERLINK("http://www.ncbi.nlm.nih.gov/protein/29789347","Smc4")</f>
        <v>Smc4</v>
      </c>
      <c r="D6986" s="10">
        <f t="shared" si="109"/>
        <v>5.0199996245594356</v>
      </c>
      <c r="F6986" s="8" t="str">
        <f>HYPERLINK("https://esbl.nhlbi.nih.gov/Databases/mpkFractions/proteomic_fractions_log_files/Yang_log_img/29789347.jpg","show blot")</f>
        <v>show blot</v>
      </c>
      <c r="H6986" s="8" t="str">
        <f>HYPERLINK("https://esbl.nhlbi.nih.gov/Databases/mpkFractions/proteomic_fractions_linear_files/Yang_linear_img/29789347.jpg","show blot")</f>
        <v>show blot</v>
      </c>
      <c r="J6986" s="5" t="s">
        <v>13744</v>
      </c>
      <c r="L6986" s="11">
        <v>5.0199996245594356</v>
      </c>
      <c r="N6986" s="12"/>
    </row>
    <row r="6987" spans="1:14" s="5" customFormat="1" ht="15" customHeight="1" x14ac:dyDescent="0.25">
      <c r="A6987" s="9" t="s">
        <v>13745</v>
      </c>
      <c r="C6987" s="9" t="str">
        <f>HYPERLINK("http://www.ncbi.nlm.nih.gov/protein/148839318","Smchd1")</f>
        <v>Smchd1</v>
      </c>
      <c r="D6987" s="10">
        <f t="shared" si="109"/>
        <v>4.1137657497498514</v>
      </c>
      <c r="F6987" s="8" t="str">
        <f>HYPERLINK("https://esbl.nhlbi.nih.gov/Databases/mpkFractions/proteomic_fractions_log_files/Yang_log_img/148839318.jpg","show blot")</f>
        <v>show blot</v>
      </c>
      <c r="H6987" s="8" t="str">
        <f>HYPERLINK("https://esbl.nhlbi.nih.gov/Databases/mpkFractions/proteomic_fractions_linear_files/Yang_linear_img/148839318.jpg","show blot")</f>
        <v>show blot</v>
      </c>
      <c r="J6987" s="5" t="s">
        <v>13746</v>
      </c>
      <c r="L6987" s="11">
        <v>4.1137657497498514</v>
      </c>
      <c r="N6987" s="12"/>
    </row>
    <row r="6988" spans="1:14" s="5" customFormat="1" ht="15" customHeight="1" x14ac:dyDescent="0.25">
      <c r="A6988" s="9" t="s">
        <v>13747</v>
      </c>
      <c r="C6988" s="9" t="str">
        <f>HYPERLINK("http://www.ncbi.nlm.nih.gov/protein/281427239","Smco1")</f>
        <v>Smco1</v>
      </c>
      <c r="D6988" s="10">
        <f t="shared" si="109"/>
        <v>4.300909360900758</v>
      </c>
      <c r="F6988" s="8" t="str">
        <f>HYPERLINK("https://esbl.nhlbi.nih.gov/Databases/mpkFractions/proteomic_fractions_log_files/Yang_log_img/281427239.jpg","show blot")</f>
        <v>show blot</v>
      </c>
      <c r="H6988" s="8" t="str">
        <f>HYPERLINK("https://esbl.nhlbi.nih.gov/Databases/mpkFractions/proteomic_fractions_linear_files/Yang_linear_img/281427239.jpg","show blot")</f>
        <v>show blot</v>
      </c>
      <c r="J6988" s="5" t="s">
        <v>13748</v>
      </c>
      <c r="L6988" s="11">
        <v>4.300909360900758</v>
      </c>
      <c r="N6988" s="12"/>
    </row>
    <row r="6989" spans="1:14" s="5" customFormat="1" ht="15" customHeight="1" x14ac:dyDescent="0.25">
      <c r="A6989" s="9" t="s">
        <v>13749</v>
      </c>
      <c r="C6989" s="9" t="str">
        <f>HYPERLINK("http://www.ncbi.nlm.nih.gov/protein/58037137","Smdt1")</f>
        <v>Smdt1</v>
      </c>
      <c r="D6989" s="10">
        <f t="shared" si="109"/>
        <v>4.1321508176649102</v>
      </c>
      <c r="F6989" s="8" t="str">
        <f>HYPERLINK("https://esbl.nhlbi.nih.gov/Databases/mpkFractions/proteomic_fractions_log_files/Yang_log_img/58037137.jpg","show blot")</f>
        <v>show blot</v>
      </c>
      <c r="H6989" s="8" t="str">
        <f>HYPERLINK("https://esbl.nhlbi.nih.gov/Databases/mpkFractions/proteomic_fractions_linear_files/Yang_linear_img/58037137.jpg","show blot")</f>
        <v>show blot</v>
      </c>
      <c r="J6989" s="5" t="s">
        <v>13750</v>
      </c>
      <c r="L6989" s="11">
        <v>4.1321508176649102</v>
      </c>
      <c r="N6989" s="12"/>
    </row>
    <row r="6990" spans="1:14" s="5" customFormat="1" ht="15" customHeight="1" x14ac:dyDescent="0.25">
      <c r="A6990" s="9" t="s">
        <v>13751</v>
      </c>
      <c r="C6990" s="9" t="str">
        <f>HYPERLINK("http://www.ncbi.nlm.nih.gov/protein/237649040","Smek1")</f>
        <v>Smek1</v>
      </c>
      <c r="D6990" s="10">
        <f t="shared" si="109"/>
        <v>4.950936300101862</v>
      </c>
      <c r="F6990" s="8" t="str">
        <f>HYPERLINK("https://esbl.nhlbi.nih.gov/Databases/mpkFractions/proteomic_fractions_log_files/Yang_log_img/237649040.jpg","show blot")</f>
        <v>show blot</v>
      </c>
      <c r="H6990" s="8" t="str">
        <f>HYPERLINK("https://esbl.nhlbi.nih.gov/Databases/mpkFractions/proteomic_fractions_linear_files/Yang_linear_img/237649040.jpg","show blot")</f>
        <v>show blot</v>
      </c>
      <c r="J6990" s="5" t="s">
        <v>13752</v>
      </c>
      <c r="L6990" s="11">
        <v>4.950936300101862</v>
      </c>
      <c r="N6990" s="12"/>
    </row>
    <row r="6991" spans="1:14" s="5" customFormat="1" ht="15" customHeight="1" x14ac:dyDescent="0.25">
      <c r="A6991" s="9" t="s">
        <v>13753</v>
      </c>
      <c r="C6991" s="9" t="str">
        <f>HYPERLINK("http://www.ncbi.nlm.nih.gov/protein/46849745","Smek1")</f>
        <v>Smek1</v>
      </c>
      <c r="D6991" s="10">
        <f t="shared" si="109"/>
        <v>4.950936300101862</v>
      </c>
      <c r="F6991" s="8" t="str">
        <f>HYPERLINK("https://esbl.nhlbi.nih.gov/Databases/mpkFractions/proteomic_fractions_log_files/Yang_log_img/46849745.jpg","show blot")</f>
        <v>show blot</v>
      </c>
      <c r="H6991" s="8" t="str">
        <f>HYPERLINK("https://esbl.nhlbi.nih.gov/Databases/mpkFractions/proteomic_fractions_linear_files/Yang_linear_img/46849745.jpg","show blot")</f>
        <v>show blot</v>
      </c>
      <c r="J6991" s="5" t="s">
        <v>13754</v>
      </c>
      <c r="L6991" s="11">
        <v>4.950936300101862</v>
      </c>
      <c r="N6991" s="12"/>
    </row>
    <row r="6992" spans="1:14" s="5" customFormat="1" ht="15" customHeight="1" x14ac:dyDescent="0.25">
      <c r="A6992" s="9" t="s">
        <v>13755</v>
      </c>
      <c r="C6992" s="9" t="str">
        <f>HYPERLINK("http://www.ncbi.nlm.nih.gov/protein/262231766","Smek2")</f>
        <v>Smek2</v>
      </c>
      <c r="D6992" s="10">
        <f t="shared" si="109"/>
        <v>4.6009690176703151</v>
      </c>
      <c r="F6992" s="8" t="str">
        <f>HYPERLINK("https://esbl.nhlbi.nih.gov/Databases/mpkFractions/proteomic_fractions_log_files/Yang_log_img/262231766.jpg","show blot")</f>
        <v>show blot</v>
      </c>
      <c r="H6992" s="8" t="str">
        <f>HYPERLINK("https://esbl.nhlbi.nih.gov/Databases/mpkFractions/proteomic_fractions_linear_files/Yang_linear_img/262231766.jpg","show blot")</f>
        <v>show blot</v>
      </c>
      <c r="J6992" s="5" t="s">
        <v>13756</v>
      </c>
      <c r="L6992" s="11">
        <v>4.6009690176703151</v>
      </c>
      <c r="N6992" s="12"/>
    </row>
    <row r="6993" spans="1:14" s="5" customFormat="1" ht="15" customHeight="1" x14ac:dyDescent="0.25">
      <c r="A6993" s="9" t="s">
        <v>13757</v>
      </c>
      <c r="C6993" s="9" t="str">
        <f>HYPERLINK("http://www.ncbi.nlm.nih.gov/protein/73532758","Smg1")</f>
        <v>Smg1</v>
      </c>
      <c r="D6993" s="10">
        <f t="shared" si="109"/>
        <v>4.0903905209000611</v>
      </c>
      <c r="F6993" s="8" t="str">
        <f>HYPERLINK("https://esbl.nhlbi.nih.gov/Databases/mpkFractions/proteomic_fractions_log_files/Yang_log_img/73532758.jpg","show blot")</f>
        <v>show blot</v>
      </c>
      <c r="H6993" s="8" t="str">
        <f>HYPERLINK("https://esbl.nhlbi.nih.gov/Databases/mpkFractions/proteomic_fractions_linear_files/Yang_linear_img/73532758.jpg","show blot")</f>
        <v>show blot</v>
      </c>
      <c r="J6993" s="5" t="s">
        <v>13758</v>
      </c>
      <c r="L6993" s="11">
        <v>4.0903905209000611</v>
      </c>
      <c r="N6993" s="12"/>
    </row>
    <row r="6994" spans="1:14" s="5" customFormat="1" ht="15" customHeight="1" x14ac:dyDescent="0.25">
      <c r="A6994" s="9" t="s">
        <v>13759</v>
      </c>
      <c r="C6994" s="9" t="str">
        <f>HYPERLINK("http://www.ncbi.nlm.nih.gov/protein/112807193","Smg5")</f>
        <v>Smg5</v>
      </c>
      <c r="D6994" s="10">
        <f t="shared" si="109"/>
        <v>1.266759684271628</v>
      </c>
      <c r="F6994" s="8" t="str">
        <f>HYPERLINK("https://esbl.nhlbi.nih.gov/Databases/mpkFractions/proteomic_fractions_log_files/Yang_log_img/112807193.jpg","show blot")</f>
        <v>show blot</v>
      </c>
      <c r="H6994" s="8" t="str">
        <f>HYPERLINK("https://esbl.nhlbi.nih.gov/Databases/mpkFractions/proteomic_fractions_linear_files/Yang_linear_img/112807193.jpg","show blot")</f>
        <v>show blot</v>
      </c>
      <c r="J6994" s="5" t="s">
        <v>13760</v>
      </c>
      <c r="L6994" s="11">
        <v>1.266759684271628</v>
      </c>
      <c r="N6994" s="12"/>
    </row>
    <row r="6995" spans="1:14" s="5" customFormat="1" ht="15" customHeight="1" x14ac:dyDescent="0.25">
      <c r="A6995" s="9" t="s">
        <v>13761</v>
      </c>
      <c r="C6995" s="9" t="str">
        <f>HYPERLINK("http://www.ncbi.nlm.nih.gov/protein/50582545","Smg6")</f>
        <v>Smg6</v>
      </c>
      <c r="D6995" s="10">
        <f t="shared" si="109"/>
        <v>1.1775364999298621</v>
      </c>
      <c r="F6995" s="8" t="str">
        <f>HYPERLINK("https://esbl.nhlbi.nih.gov/Databases/mpkFractions/proteomic_fractions_log_files/Yang_log_img/50582545.jpg","show blot")</f>
        <v>show blot</v>
      </c>
      <c r="H6995" s="8" t="str">
        <f>HYPERLINK("https://esbl.nhlbi.nih.gov/Databases/mpkFractions/proteomic_fractions_linear_files/Yang_linear_img/50582545.jpg","show blot")</f>
        <v>show blot</v>
      </c>
      <c r="J6995" s="5" t="s">
        <v>13762</v>
      </c>
      <c r="L6995" s="11">
        <v>1.1775364999298621</v>
      </c>
      <c r="N6995" s="12"/>
    </row>
    <row r="6996" spans="1:14" s="5" customFormat="1" ht="15" customHeight="1" x14ac:dyDescent="0.25">
      <c r="A6996" s="9" t="s">
        <v>13763</v>
      </c>
      <c r="C6996" s="9" t="str">
        <f>HYPERLINK("http://www.ncbi.nlm.nih.gov/protein/23956216","Smg8")</f>
        <v>Smg8</v>
      </c>
      <c r="D6996" s="10">
        <f t="shared" si="109"/>
        <v>3.195328432403008</v>
      </c>
      <c r="F6996" s="8" t="str">
        <f>HYPERLINK("https://esbl.nhlbi.nih.gov/Databases/mpkFractions/proteomic_fractions_log_files/Yang_log_img/23956216.jpg","show blot")</f>
        <v>show blot</v>
      </c>
      <c r="H6996" s="8" t="str">
        <f>HYPERLINK("https://esbl.nhlbi.nih.gov/Databases/mpkFractions/proteomic_fractions_linear_files/Yang_linear_img/23956216.jpg","show blot")</f>
        <v>show blot</v>
      </c>
      <c r="J6996" s="5" t="s">
        <v>13764</v>
      </c>
      <c r="L6996" s="11">
        <v>3.195328432403008</v>
      </c>
      <c r="N6996" s="12"/>
    </row>
    <row r="6997" spans="1:14" s="5" customFormat="1" ht="15" customHeight="1" x14ac:dyDescent="0.25">
      <c r="A6997" s="9" t="s">
        <v>13765</v>
      </c>
      <c r="C6997" s="9" t="str">
        <f>HYPERLINK("http://www.ncbi.nlm.nih.gov/protein/21312548","Smg9")</f>
        <v>Smg9</v>
      </c>
      <c r="D6997" s="10">
        <f t="shared" si="109"/>
        <v>3.6122438909453929</v>
      </c>
      <c r="F6997" s="8" t="str">
        <f>HYPERLINK("https://esbl.nhlbi.nih.gov/Databases/mpkFractions/proteomic_fractions_log_files/Yang_log_img/21312548.jpg","show blot")</f>
        <v>show blot</v>
      </c>
      <c r="H6997" s="8" t="str">
        <f>HYPERLINK("https://esbl.nhlbi.nih.gov/Databases/mpkFractions/proteomic_fractions_linear_files/Yang_linear_img/21312548.jpg","show blot")</f>
        <v>show blot</v>
      </c>
      <c r="J6997" s="5" t="s">
        <v>13766</v>
      </c>
      <c r="L6997" s="11">
        <v>3.6122438909453929</v>
      </c>
      <c r="N6997" s="12"/>
    </row>
    <row r="6998" spans="1:14" s="5" customFormat="1" ht="15" customHeight="1" x14ac:dyDescent="0.25">
      <c r="A6998" s="9" t="s">
        <v>13767</v>
      </c>
      <c r="C6998" s="9" t="str">
        <f>HYPERLINK("http://www.ncbi.nlm.nih.gov/protein/254910949","Smim1")</f>
        <v>Smim1</v>
      </c>
      <c r="D6998" s="10">
        <f t="shared" si="109"/>
        <v>3.9741243901038819</v>
      </c>
      <c r="F6998" s="8" t="str">
        <f>HYPERLINK("https://esbl.nhlbi.nih.gov/Databases/mpkFractions/proteomic_fractions_log_files/Yang_log_img/254910949.jpg","show blot")</f>
        <v>show blot</v>
      </c>
      <c r="H6998" s="8" t="str">
        <f>HYPERLINK("https://esbl.nhlbi.nih.gov/Databases/mpkFractions/proteomic_fractions_linear_files/Yang_linear_img/254910949.jpg","show blot")</f>
        <v>show blot</v>
      </c>
      <c r="J6998" s="5" t="s">
        <v>13768</v>
      </c>
      <c r="L6998" s="11">
        <v>3.9741243901038819</v>
      </c>
      <c r="N6998" s="12"/>
    </row>
    <row r="6999" spans="1:14" s="5" customFormat="1" ht="15" customHeight="1" x14ac:dyDescent="0.25">
      <c r="A6999" s="9" t="s">
        <v>13769</v>
      </c>
      <c r="C6999" s="9" t="str">
        <f>HYPERLINK("http://www.ncbi.nlm.nih.gov/protein/13384892","Smim12")</f>
        <v>Smim12</v>
      </c>
      <c r="D6999" s="10">
        <f t="shared" si="109"/>
        <v>1.738203806099599</v>
      </c>
      <c r="F6999" s="8" t="str">
        <f>HYPERLINK("https://esbl.nhlbi.nih.gov/Databases/mpkFractions/proteomic_fractions_log_files/Yang_log_img/13384892.jpg","show blot")</f>
        <v>show blot</v>
      </c>
      <c r="H6999" s="8" t="str">
        <f>HYPERLINK("https://esbl.nhlbi.nih.gov/Databases/mpkFractions/proteomic_fractions_linear_files/Yang_linear_img/13384892.jpg","show blot")</f>
        <v>show blot</v>
      </c>
      <c r="J6999" s="5" t="s">
        <v>13770</v>
      </c>
      <c r="L6999" s="11">
        <v>1.738203806099599</v>
      </c>
      <c r="N6999" s="12"/>
    </row>
    <row r="7000" spans="1:14" s="5" customFormat="1" ht="15" customHeight="1" x14ac:dyDescent="0.25">
      <c r="A7000" s="9" t="s">
        <v>13771</v>
      </c>
      <c r="C7000" s="9" t="str">
        <f>HYPERLINK("http://www.ncbi.nlm.nih.gov/protein/224177530","Smim20")</f>
        <v>Smim20</v>
      </c>
      <c r="D7000" s="10">
        <f t="shared" si="109"/>
        <v>4.3999997970018638</v>
      </c>
      <c r="F7000" s="8" t="str">
        <f>HYPERLINK("https://esbl.nhlbi.nih.gov/Databases/mpkFractions/proteomic_fractions_log_files/Yang_log_img/224177530.jpg","show blot")</f>
        <v>show blot</v>
      </c>
      <c r="H7000" s="8" t="str">
        <f>HYPERLINK("https://esbl.nhlbi.nih.gov/Databases/mpkFractions/proteomic_fractions_linear_files/Yang_linear_img/224177530.jpg","show blot")</f>
        <v>show blot</v>
      </c>
      <c r="J7000" s="5" t="s">
        <v>13772</v>
      </c>
      <c r="L7000" s="11">
        <v>4.3999997970018638</v>
      </c>
      <c r="N7000" s="12"/>
    </row>
    <row r="7001" spans="1:14" s="5" customFormat="1" ht="15" customHeight="1" x14ac:dyDescent="0.25">
      <c r="A7001" s="9" t="s">
        <v>13773</v>
      </c>
      <c r="C7001" s="9" t="str">
        <f>HYPERLINK("http://www.ncbi.nlm.nih.gov/protein/359374252","Smim22")</f>
        <v>Smim22</v>
      </c>
      <c r="D7001" s="10">
        <f t="shared" si="109"/>
        <v>4.5690067640865371</v>
      </c>
      <c r="F7001" s="8" t="str">
        <f>HYPERLINK("https://esbl.nhlbi.nih.gov/Databases/mpkFractions/proteomic_fractions_log_files/Yang_log_img/359374252.jpg","show blot")</f>
        <v>show blot</v>
      </c>
      <c r="H7001" s="8" t="str">
        <f>HYPERLINK("https://esbl.nhlbi.nih.gov/Databases/mpkFractions/proteomic_fractions_linear_files/Yang_linear_img/359374252.jpg","show blot")</f>
        <v>show blot</v>
      </c>
      <c r="J7001" s="5" t="s">
        <v>13774</v>
      </c>
      <c r="L7001" s="11">
        <v>4.5690067640865371</v>
      </c>
      <c r="N7001" s="12"/>
    </row>
    <row r="7002" spans="1:14" s="5" customFormat="1" ht="15" customHeight="1" x14ac:dyDescent="0.25">
      <c r="A7002" s="9" t="s">
        <v>13775</v>
      </c>
      <c r="C7002" s="9" t="str">
        <f>HYPERLINK("http://www.ncbi.nlm.nih.gov/protein/359374254","Smim22")</f>
        <v>Smim22</v>
      </c>
      <c r="D7002" s="10">
        <f t="shared" si="109"/>
        <v>4.5690067640865371</v>
      </c>
      <c r="F7002" s="8" t="str">
        <f>HYPERLINK("https://esbl.nhlbi.nih.gov/Databases/mpkFractions/proteomic_fractions_log_files/Yang_log_img/359374254.jpg","show blot")</f>
        <v>show blot</v>
      </c>
      <c r="H7002" s="8" t="str">
        <f>HYPERLINK("https://esbl.nhlbi.nih.gov/Databases/mpkFractions/proteomic_fractions_linear_files/Yang_linear_img/359374254.jpg","show blot")</f>
        <v>show blot</v>
      </c>
      <c r="J7002" s="5" t="s">
        <v>13776</v>
      </c>
      <c r="L7002" s="11">
        <v>4.5690067640865371</v>
      </c>
      <c r="N7002" s="12"/>
    </row>
    <row r="7003" spans="1:14" s="5" customFormat="1" ht="15" customHeight="1" x14ac:dyDescent="0.25">
      <c r="A7003" s="9" t="s">
        <v>13777</v>
      </c>
      <c r="C7003" s="9" t="str">
        <f>HYPERLINK("http://www.ncbi.nlm.nih.gov/protein/27369485","Smim7")</f>
        <v>Smim7</v>
      </c>
      <c r="D7003" s="10">
        <f t="shared" si="109"/>
        <v>4.1627482161375404</v>
      </c>
      <c r="F7003" s="8" t="str">
        <f>HYPERLINK("https://esbl.nhlbi.nih.gov/Databases/mpkFractions/proteomic_fractions_log_files/Yang_log_img/27369485.jpg","show blot")</f>
        <v>show blot</v>
      </c>
      <c r="H7003" s="8" t="str">
        <f>HYPERLINK("https://esbl.nhlbi.nih.gov/Databases/mpkFractions/proteomic_fractions_linear_files/Yang_linear_img/27369485.jpg","show blot")</f>
        <v>show blot</v>
      </c>
      <c r="J7003" s="5" t="s">
        <v>13778</v>
      </c>
      <c r="L7003" s="11">
        <v>4.1627482161375404</v>
      </c>
      <c r="N7003" s="12"/>
    </row>
    <row r="7004" spans="1:14" s="5" customFormat="1" ht="15" customHeight="1" x14ac:dyDescent="0.25">
      <c r="A7004" s="9" t="s">
        <v>13779</v>
      </c>
      <c r="C7004" s="9" t="str">
        <f>HYPERLINK("http://www.ncbi.nlm.nih.gov/protein/6755580","Smn1")</f>
        <v>Smn1</v>
      </c>
      <c r="D7004" s="10">
        <f t="shared" si="109"/>
        <v>4.1401244529420902</v>
      </c>
      <c r="F7004" s="8" t="str">
        <f>HYPERLINK("https://esbl.nhlbi.nih.gov/Databases/mpkFractions/proteomic_fractions_log_files/Yang_log_img/6755580.jpg","show blot")</f>
        <v>show blot</v>
      </c>
      <c r="H7004" s="8" t="str">
        <f>HYPERLINK("https://esbl.nhlbi.nih.gov/Databases/mpkFractions/proteomic_fractions_linear_files/Yang_linear_img/6755580.jpg","show blot")</f>
        <v>show blot</v>
      </c>
      <c r="J7004" s="5" t="s">
        <v>13780</v>
      </c>
      <c r="L7004" s="11">
        <v>4.1401244529420902</v>
      </c>
      <c r="N7004" s="12"/>
    </row>
    <row r="7005" spans="1:14" s="5" customFormat="1" ht="15" customHeight="1" x14ac:dyDescent="0.25">
      <c r="A7005" s="9" t="s">
        <v>13781</v>
      </c>
      <c r="C7005" s="9" t="str">
        <f>HYPERLINK("http://www.ncbi.nlm.nih.gov/protein/27369569","Smndc1")</f>
        <v>Smndc1</v>
      </c>
      <c r="D7005" s="10">
        <f t="shared" si="109"/>
        <v>3.7033058287691549</v>
      </c>
      <c r="F7005" s="8" t="str">
        <f>HYPERLINK("https://esbl.nhlbi.nih.gov/Databases/mpkFractions/proteomic_fractions_log_files/Yang_log_img/27369569.jpg","show blot")</f>
        <v>show blot</v>
      </c>
      <c r="H7005" s="8" t="str">
        <f>HYPERLINK("https://esbl.nhlbi.nih.gov/Databases/mpkFractions/proteomic_fractions_linear_files/Yang_linear_img/27369569.jpg","show blot")</f>
        <v>show blot</v>
      </c>
      <c r="J7005" s="5" t="s">
        <v>13782</v>
      </c>
      <c r="L7005" s="11">
        <v>3.7033058287691549</v>
      </c>
      <c r="N7005" s="12"/>
    </row>
    <row r="7006" spans="1:14" s="5" customFormat="1" ht="15" customHeight="1" x14ac:dyDescent="0.25">
      <c r="A7006" s="9" t="s">
        <v>13783</v>
      </c>
      <c r="C7006" s="9" t="str">
        <f>HYPERLINK("http://www.ncbi.nlm.nih.gov/protein/6678031","Smpd2")</f>
        <v>Smpd2</v>
      </c>
      <c r="D7006" s="10">
        <f t="shared" si="109"/>
        <v>3.412913976243622</v>
      </c>
      <c r="F7006" s="8" t="str">
        <f>HYPERLINK("https://esbl.nhlbi.nih.gov/Databases/mpkFractions/proteomic_fractions_log_files/Yang_log_img/6678031.jpg","show blot")</f>
        <v>show blot</v>
      </c>
      <c r="H7006" s="8" t="str">
        <f>HYPERLINK("https://esbl.nhlbi.nih.gov/Databases/mpkFractions/proteomic_fractions_linear_files/Yang_linear_img/6678031.jpg","show blot")</f>
        <v>show blot</v>
      </c>
      <c r="J7006" s="5" t="s">
        <v>13784</v>
      </c>
      <c r="L7006" s="11">
        <v>3.412913976243622</v>
      </c>
      <c r="N7006" s="12"/>
    </row>
    <row r="7007" spans="1:14" s="5" customFormat="1" ht="15" customHeight="1" x14ac:dyDescent="0.25">
      <c r="A7007" s="9" t="s">
        <v>13785</v>
      </c>
      <c r="C7007" s="9" t="str">
        <f>HYPERLINK("http://www.ncbi.nlm.nih.gov/protein/257196240","Smpd4")</f>
        <v>Smpd4</v>
      </c>
      <c r="D7007" s="10">
        <f t="shared" si="109"/>
        <v>3.7950872039581478</v>
      </c>
      <c r="F7007" s="8" t="str">
        <f>HYPERLINK("https://esbl.nhlbi.nih.gov/Databases/mpkFractions/proteomic_fractions_log_files/Yang_log_img/257196240.jpg","show blot")</f>
        <v>show blot</v>
      </c>
      <c r="H7007" s="8" t="str">
        <f>HYPERLINK("https://esbl.nhlbi.nih.gov/Databases/mpkFractions/proteomic_fractions_linear_files/Yang_linear_img/257196240.jpg","show blot")</f>
        <v>show blot</v>
      </c>
      <c r="J7007" s="5" t="s">
        <v>13786</v>
      </c>
      <c r="L7007" s="11">
        <v>3.7950872039581478</v>
      </c>
      <c r="N7007" s="12"/>
    </row>
    <row r="7008" spans="1:14" s="5" customFormat="1" ht="15" customHeight="1" x14ac:dyDescent="0.25">
      <c r="A7008" s="9" t="s">
        <v>13787</v>
      </c>
      <c r="C7008" s="9" t="str">
        <f>HYPERLINK("http://www.ncbi.nlm.nih.gov/protein/257196243","Smpd4")</f>
        <v>Smpd4</v>
      </c>
      <c r="D7008" s="10">
        <f t="shared" si="109"/>
        <v>3.7950872039581478</v>
      </c>
      <c r="F7008" s="8" t="str">
        <f>HYPERLINK("https://esbl.nhlbi.nih.gov/Databases/mpkFractions/proteomic_fractions_log_files/Yang_log_img/257196243.jpg","show blot")</f>
        <v>show blot</v>
      </c>
      <c r="H7008" s="8" t="str">
        <f>HYPERLINK("https://esbl.nhlbi.nih.gov/Databases/mpkFractions/proteomic_fractions_linear_files/Yang_linear_img/257196243.jpg","show blot")</f>
        <v>show blot</v>
      </c>
      <c r="J7008" s="5" t="s">
        <v>13788</v>
      </c>
      <c r="L7008" s="11">
        <v>3.7950872039581478</v>
      </c>
      <c r="N7008" s="12"/>
    </row>
    <row r="7009" spans="1:14" s="5" customFormat="1" ht="15" customHeight="1" x14ac:dyDescent="0.25">
      <c r="A7009" s="9" t="s">
        <v>13789</v>
      </c>
      <c r="C7009" s="9" t="str">
        <f>HYPERLINK("http://www.ncbi.nlm.nih.gov/protein/257196245","Smpd4")</f>
        <v>Smpd4</v>
      </c>
      <c r="D7009" s="10">
        <f t="shared" si="109"/>
        <v>3.7950872039581478</v>
      </c>
      <c r="F7009" s="8" t="str">
        <f>HYPERLINK("https://esbl.nhlbi.nih.gov/Databases/mpkFractions/proteomic_fractions_log_files/Yang_log_img/257196245.jpg","show blot")</f>
        <v>show blot</v>
      </c>
      <c r="H7009" s="8" t="str">
        <f>HYPERLINK("https://esbl.nhlbi.nih.gov/Databases/mpkFractions/proteomic_fractions_linear_files/Yang_linear_img/257196245.jpg","show blot")</f>
        <v>show blot</v>
      </c>
      <c r="J7009" s="5" t="s">
        <v>13790</v>
      </c>
      <c r="L7009" s="11">
        <v>3.7950872039581478</v>
      </c>
      <c r="N7009" s="12"/>
    </row>
    <row r="7010" spans="1:14" s="5" customFormat="1" ht="15" customHeight="1" x14ac:dyDescent="0.25">
      <c r="A7010" s="9" t="s">
        <v>13791</v>
      </c>
      <c r="C7010" s="9" t="str">
        <f>HYPERLINK("http://www.ncbi.nlm.nih.gov/protein/257196247","Smpd4")</f>
        <v>Smpd4</v>
      </c>
      <c r="D7010" s="10">
        <f t="shared" si="109"/>
        <v>3.7950872039581478</v>
      </c>
      <c r="F7010" s="8" t="str">
        <f>HYPERLINK("https://esbl.nhlbi.nih.gov/Databases/mpkFractions/proteomic_fractions_log_files/Yang_log_img/257196247.jpg","show blot")</f>
        <v>show blot</v>
      </c>
      <c r="H7010" s="8" t="str">
        <f>HYPERLINK("https://esbl.nhlbi.nih.gov/Databases/mpkFractions/proteomic_fractions_linear_files/Yang_linear_img/257196247.jpg","show blot")</f>
        <v>show blot</v>
      </c>
      <c r="J7010" s="5" t="s">
        <v>13792</v>
      </c>
      <c r="L7010" s="11">
        <v>3.7950872039581478</v>
      </c>
      <c r="N7010" s="12"/>
    </row>
    <row r="7011" spans="1:14" s="5" customFormat="1" ht="15" customHeight="1" x14ac:dyDescent="0.25">
      <c r="A7011" s="9" t="s">
        <v>13793</v>
      </c>
      <c r="C7011" s="9" t="str">
        <f>HYPERLINK("http://www.ncbi.nlm.nih.gov/protein/19527104","Smpdl3b")</f>
        <v>Smpdl3b</v>
      </c>
      <c r="D7011" s="10">
        <f t="shared" si="109"/>
        <v>3.396596832378723</v>
      </c>
      <c r="F7011" s="8" t="str">
        <f>HYPERLINK("https://esbl.nhlbi.nih.gov/Databases/mpkFractions/proteomic_fractions_log_files/Yang_log_img/19527104.jpg","show blot")</f>
        <v>show blot</v>
      </c>
      <c r="H7011" s="8" t="str">
        <f>HYPERLINK("https://esbl.nhlbi.nih.gov/Databases/mpkFractions/proteomic_fractions_linear_files/Yang_linear_img/19527104.jpg","show blot")</f>
        <v>show blot</v>
      </c>
      <c r="J7011" s="5" t="s">
        <v>13794</v>
      </c>
      <c r="L7011" s="11">
        <v>3.396596832378723</v>
      </c>
      <c r="N7011" s="12"/>
    </row>
    <row r="7012" spans="1:14" s="5" customFormat="1" ht="15" customHeight="1" x14ac:dyDescent="0.25">
      <c r="A7012" s="9" t="s">
        <v>13795</v>
      </c>
      <c r="C7012" s="9" t="str">
        <f>HYPERLINK("http://www.ncbi.nlm.nih.gov/protein/226529455","Smtn")</f>
        <v>Smtn</v>
      </c>
      <c r="D7012" s="10">
        <f t="shared" si="109"/>
        <v>1.226275742603854</v>
      </c>
      <c r="F7012" s="8" t="str">
        <f>HYPERLINK("https://esbl.nhlbi.nih.gov/Databases/mpkFractions/proteomic_fractions_log_files/Yang_log_img/226529455.jpg","show blot")</f>
        <v>show blot</v>
      </c>
      <c r="H7012" s="8" t="str">
        <f>HYPERLINK("https://esbl.nhlbi.nih.gov/Databases/mpkFractions/proteomic_fractions_linear_files/Yang_linear_img/226529455.jpg","show blot")</f>
        <v>show blot</v>
      </c>
      <c r="J7012" s="5" t="s">
        <v>13796</v>
      </c>
      <c r="L7012" s="11">
        <v>1.226275742603854</v>
      </c>
      <c r="N7012" s="12"/>
    </row>
    <row r="7013" spans="1:14" s="5" customFormat="1" ht="15" customHeight="1" x14ac:dyDescent="0.25">
      <c r="A7013" s="9" t="s">
        <v>13797</v>
      </c>
      <c r="C7013" s="9" t="str">
        <f>HYPERLINK("http://www.ncbi.nlm.nih.gov/protein/227430367","Smu1")</f>
        <v>Smu1</v>
      </c>
      <c r="D7013" s="10">
        <f t="shared" si="109"/>
        <v>4.0240863739446091</v>
      </c>
      <c r="F7013" s="8" t="str">
        <f>HYPERLINK("https://esbl.nhlbi.nih.gov/Databases/mpkFractions/proteomic_fractions_log_files/Yang_log_img/227430367.jpg","show blot")</f>
        <v>show blot</v>
      </c>
      <c r="H7013" s="8" t="str">
        <f>HYPERLINK("https://esbl.nhlbi.nih.gov/Databases/mpkFractions/proteomic_fractions_linear_files/Yang_linear_img/227430367.jpg","show blot")</f>
        <v>show blot</v>
      </c>
      <c r="J7013" s="5" t="s">
        <v>13798</v>
      </c>
      <c r="L7013" s="11">
        <v>4.0240863739446091</v>
      </c>
      <c r="N7013" s="12"/>
    </row>
    <row r="7014" spans="1:14" s="5" customFormat="1" ht="15" customHeight="1" x14ac:dyDescent="0.25">
      <c r="A7014" s="9" t="s">
        <v>13799</v>
      </c>
      <c r="C7014" s="9" t="str">
        <f>HYPERLINK("http://www.ncbi.nlm.nih.gov/protein/40254179","Smug1")</f>
        <v>Smug1</v>
      </c>
      <c r="D7014" s="10">
        <f t="shared" si="109"/>
        <v>3.4644187074816921</v>
      </c>
      <c r="F7014" s="8" t="str">
        <f>HYPERLINK("https://esbl.nhlbi.nih.gov/Databases/mpkFractions/proteomic_fractions_log_files/Yang_log_img/40254179.jpg","show blot")</f>
        <v>show blot</v>
      </c>
      <c r="H7014" s="8" t="str">
        <f>HYPERLINK("https://esbl.nhlbi.nih.gov/Databases/mpkFractions/proteomic_fractions_linear_files/Yang_linear_img/40254179.jpg","show blot")</f>
        <v>show blot</v>
      </c>
      <c r="J7014" s="5" t="s">
        <v>13800</v>
      </c>
      <c r="L7014" s="11">
        <v>3.4644187074816921</v>
      </c>
      <c r="N7014" s="12"/>
    </row>
    <row r="7015" spans="1:14" s="5" customFormat="1" ht="15" customHeight="1" x14ac:dyDescent="0.25">
      <c r="A7015" s="9" t="s">
        <v>13801</v>
      </c>
      <c r="C7015" s="9" t="str">
        <f>HYPERLINK("http://www.ncbi.nlm.nih.gov/protein/254939680","Smurf2")</f>
        <v>Smurf2</v>
      </c>
      <c r="D7015" s="10">
        <f t="shared" si="109"/>
        <v>2.2922560713564759</v>
      </c>
      <c r="F7015" s="8" t="str">
        <f>HYPERLINK("https://esbl.nhlbi.nih.gov/Databases/mpkFractions/proteomic_fractions_log_files/Yang_log_img/254939680.jpg","show blot")</f>
        <v>show blot</v>
      </c>
      <c r="H7015" s="8" t="str">
        <f>HYPERLINK("https://esbl.nhlbi.nih.gov/Databases/mpkFractions/proteomic_fractions_linear_files/Yang_linear_img/254939680.jpg","show blot")</f>
        <v>show blot</v>
      </c>
      <c r="J7015" s="5" t="s">
        <v>13802</v>
      </c>
      <c r="L7015" s="11">
        <v>2.2922560713564759</v>
      </c>
      <c r="N7015" s="12"/>
    </row>
    <row r="7016" spans="1:14" s="5" customFormat="1" ht="15" customHeight="1" x14ac:dyDescent="0.25">
      <c r="A7016" s="9" t="s">
        <v>13803</v>
      </c>
      <c r="C7016" s="9" t="str">
        <f>HYPERLINK("http://www.ncbi.nlm.nih.gov/protein/21312378","Smyd3")</f>
        <v>Smyd3</v>
      </c>
      <c r="D7016" s="10">
        <f t="shared" si="109"/>
        <v>3.9426945015793931</v>
      </c>
      <c r="F7016" s="8" t="str">
        <f>HYPERLINK("https://esbl.nhlbi.nih.gov/Databases/mpkFractions/proteomic_fractions_log_files/Yang_log_img/21312378.jpg","show blot")</f>
        <v>show blot</v>
      </c>
      <c r="H7016" s="8" t="str">
        <f>HYPERLINK("https://esbl.nhlbi.nih.gov/Databases/mpkFractions/proteomic_fractions_linear_files/Yang_linear_img/21312378.jpg","show blot")</f>
        <v>show blot</v>
      </c>
      <c r="J7016" s="5" t="s">
        <v>13804</v>
      </c>
      <c r="L7016" s="11">
        <v>3.9426945015793931</v>
      </c>
      <c r="N7016" s="12"/>
    </row>
    <row r="7017" spans="1:14" s="5" customFormat="1" ht="15" customHeight="1" x14ac:dyDescent="0.25">
      <c r="A7017" s="9" t="s">
        <v>13805</v>
      </c>
      <c r="C7017" s="9" t="str">
        <f>HYPERLINK("http://www.ncbi.nlm.nih.gov/protein/154689581","Smyd5")</f>
        <v>Smyd5</v>
      </c>
      <c r="D7017" s="10">
        <f t="shared" si="109"/>
        <v>4.7654474964167877</v>
      </c>
      <c r="F7017" s="8" t="str">
        <f>HYPERLINK("https://esbl.nhlbi.nih.gov/Databases/mpkFractions/proteomic_fractions_log_files/Yang_log_img/154689581.jpg","show blot")</f>
        <v>show blot</v>
      </c>
      <c r="H7017" s="8" t="str">
        <f>HYPERLINK("https://esbl.nhlbi.nih.gov/Databases/mpkFractions/proteomic_fractions_linear_files/Yang_linear_img/154689581.jpg","show blot")</f>
        <v>show blot</v>
      </c>
      <c r="J7017" s="5" t="s">
        <v>13806</v>
      </c>
      <c r="L7017" s="11">
        <v>4.7654474964167877</v>
      </c>
      <c r="N7017" s="12"/>
    </row>
    <row r="7018" spans="1:14" s="5" customFormat="1" ht="15" customHeight="1" x14ac:dyDescent="0.25">
      <c r="A7018" s="9" t="s">
        <v>13807</v>
      </c>
      <c r="C7018" s="9" t="str">
        <f>HYPERLINK("http://www.ncbi.nlm.nih.gov/protein/295317330;6678049","Snap23")</f>
        <v>Snap23</v>
      </c>
      <c r="D7018" s="10">
        <f t="shared" si="109"/>
        <v>5.0773449216120614</v>
      </c>
      <c r="F7018" s="8" t="str">
        <f>HYPERLINK("https://esbl.nhlbi.nih.gov/Databases/mpkFractions/proteomic_fractions_log_files/Yang_log_img/295317330;6678049.jpg","show blot")</f>
        <v>show blot</v>
      </c>
      <c r="H7018" s="8" t="str">
        <f>HYPERLINK("https://esbl.nhlbi.nih.gov/Databases/mpkFractions/proteomic_fractions_linear_files/Yang_linear_img/295317330;6678049.jpg","show blot")</f>
        <v>show blot</v>
      </c>
      <c r="J7018" s="5" t="s">
        <v>13808</v>
      </c>
      <c r="L7018" s="11">
        <v>5.0773449216120614</v>
      </c>
      <c r="N7018" s="12"/>
    </row>
    <row r="7019" spans="1:14" s="5" customFormat="1" ht="15" customHeight="1" x14ac:dyDescent="0.25">
      <c r="A7019" s="9" t="s">
        <v>13809</v>
      </c>
      <c r="C7019" s="9" t="str">
        <f>HYPERLINK("http://www.ncbi.nlm.nih.gov/protein/6678049","Snap23")</f>
        <v>Snap23</v>
      </c>
      <c r="D7019" s="10">
        <f t="shared" si="109"/>
        <v>5.0773449216120614</v>
      </c>
      <c r="F7019" s="8" t="str">
        <f>HYPERLINK("https://esbl.nhlbi.nih.gov/Databases/mpkFractions/proteomic_fractions_log_files/Yang_log_img/6678049.jpg","show blot")</f>
        <v>show blot</v>
      </c>
      <c r="H7019" s="8" t="str">
        <f>HYPERLINK("https://esbl.nhlbi.nih.gov/Databases/mpkFractions/proteomic_fractions_linear_files/Yang_linear_img/6678049.jpg","show blot")</f>
        <v>show blot</v>
      </c>
      <c r="J7019" s="5" t="s">
        <v>13808</v>
      </c>
      <c r="L7019" s="11">
        <v>5.0773449216120614</v>
      </c>
      <c r="N7019" s="12"/>
    </row>
    <row r="7020" spans="1:14" s="5" customFormat="1" ht="15" customHeight="1" x14ac:dyDescent="0.25">
      <c r="A7020" s="9" t="s">
        <v>13810</v>
      </c>
      <c r="C7020" s="9" t="str">
        <f>HYPERLINK("http://www.ncbi.nlm.nih.gov/protein/295317325","Snap23")</f>
        <v>Snap23</v>
      </c>
      <c r="D7020" s="10">
        <f t="shared" si="109"/>
        <v>5.0773449216120614</v>
      </c>
      <c r="F7020" s="8" t="str">
        <f>HYPERLINK("https://esbl.nhlbi.nih.gov/Databases/mpkFractions/proteomic_fractions_log_files/Yang_log_img/295317325.jpg","show blot")</f>
        <v>show blot</v>
      </c>
      <c r="H7020" s="8" t="str">
        <f>HYPERLINK("https://esbl.nhlbi.nih.gov/Databases/mpkFractions/proteomic_fractions_linear_files/Yang_linear_img/295317325.jpg","show blot")</f>
        <v>show blot</v>
      </c>
      <c r="J7020" s="5" t="s">
        <v>13811</v>
      </c>
      <c r="L7020" s="11">
        <v>5.0773449216120614</v>
      </c>
      <c r="N7020" s="12"/>
    </row>
    <row r="7021" spans="1:14" s="5" customFormat="1" ht="15" customHeight="1" x14ac:dyDescent="0.25">
      <c r="A7021" s="9" t="s">
        <v>13812</v>
      </c>
      <c r="C7021" s="9" t="str">
        <f>HYPERLINK("http://www.ncbi.nlm.nih.gov/protein/6755588","Snap25")</f>
        <v>Snap25</v>
      </c>
      <c r="D7021" s="10">
        <f t="shared" si="109"/>
        <v>4.4880418712813963</v>
      </c>
      <c r="F7021" s="8" t="str">
        <f>HYPERLINK("https://esbl.nhlbi.nih.gov/Databases/mpkFractions/proteomic_fractions_log_files/Yang_log_img/6755588.jpg","show blot")</f>
        <v>show blot</v>
      </c>
      <c r="H7021" s="8" t="str">
        <f>HYPERLINK("https://esbl.nhlbi.nih.gov/Databases/mpkFractions/proteomic_fractions_linear_files/Yang_linear_img/6755588.jpg","show blot")</f>
        <v>show blot</v>
      </c>
      <c r="J7021" s="5" t="s">
        <v>13813</v>
      </c>
      <c r="L7021" s="11">
        <v>4.4880418712813963</v>
      </c>
      <c r="N7021" s="12"/>
    </row>
    <row r="7022" spans="1:14" s="5" customFormat="1" ht="15" customHeight="1" x14ac:dyDescent="0.25">
      <c r="A7022" s="9" t="s">
        <v>13814</v>
      </c>
      <c r="C7022" s="9" t="str">
        <f>HYPERLINK("http://www.ncbi.nlm.nih.gov/protein/139948568","Snap29")</f>
        <v>Snap29</v>
      </c>
      <c r="D7022" s="10">
        <f t="shared" si="109"/>
        <v>4.7752418743404634</v>
      </c>
      <c r="F7022" s="8" t="str">
        <f>HYPERLINK("https://esbl.nhlbi.nih.gov/Databases/mpkFractions/proteomic_fractions_log_files/Yang_log_img/139948568.jpg","show blot")</f>
        <v>show blot</v>
      </c>
      <c r="H7022" s="8" t="str">
        <f>HYPERLINK("https://esbl.nhlbi.nih.gov/Databases/mpkFractions/proteomic_fractions_linear_files/Yang_linear_img/139948568.jpg","show blot")</f>
        <v>show blot</v>
      </c>
      <c r="J7022" s="5" t="s">
        <v>13815</v>
      </c>
      <c r="L7022" s="11">
        <v>4.7752418743404634</v>
      </c>
      <c r="N7022" s="12"/>
    </row>
    <row r="7023" spans="1:14" s="5" customFormat="1" ht="15" customHeight="1" x14ac:dyDescent="0.25">
      <c r="A7023" s="9" t="s">
        <v>13816</v>
      </c>
      <c r="C7023" s="9" t="str">
        <f>HYPERLINK("http://www.ncbi.nlm.nih.gov/protein/21362303","Snap47")</f>
        <v>Snap47</v>
      </c>
      <c r="D7023" s="10">
        <f t="shared" si="109"/>
        <v>4.2358884503359393</v>
      </c>
      <c r="F7023" s="8" t="str">
        <f>HYPERLINK("https://esbl.nhlbi.nih.gov/Databases/mpkFractions/proteomic_fractions_log_files/Yang_log_img/21362303.jpg","show blot")</f>
        <v>show blot</v>
      </c>
      <c r="H7023" s="8" t="str">
        <f>HYPERLINK("https://esbl.nhlbi.nih.gov/Databases/mpkFractions/proteomic_fractions_linear_files/Yang_linear_img/21362303.jpg","show blot")</f>
        <v>show blot</v>
      </c>
      <c r="J7023" s="5" t="s">
        <v>13817</v>
      </c>
      <c r="L7023" s="11">
        <v>4.2358884503359393</v>
      </c>
      <c r="N7023" s="12"/>
    </row>
    <row r="7024" spans="1:14" s="5" customFormat="1" ht="15" customHeight="1" x14ac:dyDescent="0.25">
      <c r="A7024" s="9" t="s">
        <v>13818</v>
      </c>
      <c r="C7024" s="9" t="str">
        <f>HYPERLINK("http://www.ncbi.nlm.nih.gov/protein/7305507","Snap91")</f>
        <v>Snap91</v>
      </c>
      <c r="D7024" s="10">
        <f t="shared" si="109"/>
        <v>3.169077663928499</v>
      </c>
      <c r="F7024" s="8" t="str">
        <f>HYPERLINK("https://esbl.nhlbi.nih.gov/Databases/mpkFractions/proteomic_fractions_log_files/Yang_log_img/7305507.jpg","show blot")</f>
        <v>show blot</v>
      </c>
      <c r="H7024" s="8" t="str">
        <f>HYPERLINK("https://esbl.nhlbi.nih.gov/Databases/mpkFractions/proteomic_fractions_linear_files/Yang_linear_img/7305507.jpg","show blot")</f>
        <v>show blot</v>
      </c>
      <c r="J7024" s="5" t="s">
        <v>13819</v>
      </c>
      <c r="L7024" s="11">
        <v>3.169077663928499</v>
      </c>
      <c r="N7024" s="12"/>
    </row>
    <row r="7025" spans="1:14" s="5" customFormat="1" ht="15" customHeight="1" x14ac:dyDescent="0.25">
      <c r="A7025" s="9" t="s">
        <v>13820</v>
      </c>
      <c r="C7025" s="9" t="str">
        <f>HYPERLINK("http://www.ncbi.nlm.nih.gov/protein/19923056","Snapin")</f>
        <v>Snapin</v>
      </c>
      <c r="D7025" s="10">
        <f t="shared" si="109"/>
        <v>5.1325351191295256</v>
      </c>
      <c r="F7025" s="8" t="str">
        <f>HYPERLINK("https://esbl.nhlbi.nih.gov/Databases/mpkFractions/proteomic_fractions_log_files/Yang_log_img/19923056.jpg","show blot")</f>
        <v>show blot</v>
      </c>
      <c r="H7025" s="8" t="str">
        <f>HYPERLINK("https://esbl.nhlbi.nih.gov/Databases/mpkFractions/proteomic_fractions_linear_files/Yang_linear_img/19923056.jpg","show blot")</f>
        <v>show blot</v>
      </c>
      <c r="J7025" s="5" t="s">
        <v>13821</v>
      </c>
      <c r="L7025" s="11">
        <v>5.1325351191295256</v>
      </c>
      <c r="N7025" s="12"/>
    </row>
    <row r="7026" spans="1:14" s="5" customFormat="1" ht="15" customHeight="1" x14ac:dyDescent="0.25">
      <c r="A7026" s="9" t="s">
        <v>13822</v>
      </c>
      <c r="C7026" s="9" t="str">
        <f>HYPERLINK("http://www.ncbi.nlm.nih.gov/protein/77404392","Snd1")</f>
        <v>Snd1</v>
      </c>
      <c r="D7026" s="10">
        <f t="shared" si="109"/>
        <v>5.8725975083531079</v>
      </c>
      <c r="F7026" s="8" t="str">
        <f>HYPERLINK("https://esbl.nhlbi.nih.gov/Databases/mpkFractions/proteomic_fractions_log_files/Yang_log_img/77404392.jpg","show blot")</f>
        <v>show blot</v>
      </c>
      <c r="H7026" s="8" t="str">
        <f>HYPERLINK("https://esbl.nhlbi.nih.gov/Databases/mpkFractions/proteomic_fractions_linear_files/Yang_linear_img/77404392.jpg","show blot")</f>
        <v>show blot</v>
      </c>
      <c r="J7026" s="5" t="s">
        <v>13823</v>
      </c>
      <c r="L7026" s="11">
        <v>5.8725975083531079</v>
      </c>
      <c r="N7026" s="12"/>
    </row>
    <row r="7027" spans="1:14" s="5" customFormat="1" ht="15" customHeight="1" x14ac:dyDescent="0.25">
      <c r="A7027" s="9" t="s">
        <v>13824</v>
      </c>
      <c r="C7027" s="9" t="str">
        <f>HYPERLINK("http://www.ncbi.nlm.nih.gov/protein/15809002","Snf8")</f>
        <v>Snf8</v>
      </c>
      <c r="D7027" s="10">
        <f t="shared" si="109"/>
        <v>5.2307405680863024</v>
      </c>
      <c r="F7027" s="8" t="str">
        <f>HYPERLINK("https://esbl.nhlbi.nih.gov/Databases/mpkFractions/proteomic_fractions_log_files/Yang_log_img/15809002.jpg","show blot")</f>
        <v>show blot</v>
      </c>
      <c r="H7027" s="8" t="str">
        <f>HYPERLINK("https://esbl.nhlbi.nih.gov/Databases/mpkFractions/proteomic_fractions_linear_files/Yang_linear_img/15809002.jpg","show blot")</f>
        <v>show blot</v>
      </c>
      <c r="J7027" s="5" t="s">
        <v>13825</v>
      </c>
      <c r="L7027" s="11">
        <v>5.2307405680863024</v>
      </c>
      <c r="N7027" s="12"/>
    </row>
    <row r="7028" spans="1:14" s="5" customFormat="1" ht="15" customHeight="1" x14ac:dyDescent="0.25">
      <c r="A7028" s="9" t="s">
        <v>13826</v>
      </c>
      <c r="C7028" s="9" t="str">
        <f>HYPERLINK("http://www.ncbi.nlm.nih.gov/protein/40018610","Snrnp200")</f>
        <v>Snrnp200</v>
      </c>
      <c r="D7028" s="10">
        <f t="shared" si="109"/>
        <v>5.2589167828575034</v>
      </c>
      <c r="F7028" s="8" t="str">
        <f>HYPERLINK("https://esbl.nhlbi.nih.gov/Databases/mpkFractions/proteomic_fractions_log_files/Yang_log_img/40018610.jpg","show blot")</f>
        <v>show blot</v>
      </c>
      <c r="H7028" s="8" t="str">
        <f>HYPERLINK("https://esbl.nhlbi.nih.gov/Databases/mpkFractions/proteomic_fractions_linear_files/Yang_linear_img/40018610.jpg","show blot")</f>
        <v>show blot</v>
      </c>
      <c r="J7028" s="5" t="s">
        <v>13827</v>
      </c>
      <c r="L7028" s="11">
        <v>5.2589167828575034</v>
      </c>
      <c r="N7028" s="12"/>
    </row>
    <row r="7029" spans="1:14" s="5" customFormat="1" ht="15" customHeight="1" x14ac:dyDescent="0.25">
      <c r="A7029" s="9" t="s">
        <v>13828</v>
      </c>
      <c r="C7029" s="9" t="str">
        <f>HYPERLINK("http://www.ncbi.nlm.nih.gov/protein/27228990","Snrnp27")</f>
        <v>Snrnp27</v>
      </c>
      <c r="D7029" s="10">
        <f t="shared" si="109"/>
        <v>2.3137562469478512</v>
      </c>
      <c r="F7029" s="8" t="str">
        <f>HYPERLINK("https://esbl.nhlbi.nih.gov/Databases/mpkFractions/proteomic_fractions_log_files/Yang_log_img/27228990.jpg","show blot")</f>
        <v>show blot</v>
      </c>
      <c r="H7029" s="8" t="str">
        <f>HYPERLINK("https://esbl.nhlbi.nih.gov/Databases/mpkFractions/proteomic_fractions_linear_files/Yang_linear_img/27228990.jpg","show blot")</f>
        <v>show blot</v>
      </c>
      <c r="J7029" s="5" t="s">
        <v>13829</v>
      </c>
      <c r="L7029" s="11">
        <v>2.3137562469478512</v>
      </c>
      <c r="N7029" s="12"/>
    </row>
    <row r="7030" spans="1:14" s="5" customFormat="1" ht="15" customHeight="1" x14ac:dyDescent="0.25">
      <c r="A7030" s="9" t="s">
        <v>13830</v>
      </c>
      <c r="C7030" s="9" t="str">
        <f>HYPERLINK("http://www.ncbi.nlm.nih.gov/protein/115298670","Snrnp40")</f>
        <v>Snrnp40</v>
      </c>
      <c r="D7030" s="10">
        <f t="shared" si="109"/>
        <v>5.4084635780301484</v>
      </c>
      <c r="F7030" s="8" t="str">
        <f>HYPERLINK("https://esbl.nhlbi.nih.gov/Databases/mpkFractions/proteomic_fractions_log_files/Yang_log_img/115298670.jpg","show blot")</f>
        <v>show blot</v>
      </c>
      <c r="H7030" s="8" t="str">
        <f>HYPERLINK("https://esbl.nhlbi.nih.gov/Databases/mpkFractions/proteomic_fractions_linear_files/Yang_linear_img/115298670.jpg","show blot")</f>
        <v>show blot</v>
      </c>
      <c r="J7030" s="5" t="s">
        <v>13831</v>
      </c>
      <c r="L7030" s="11">
        <v>5.4084635780301484</v>
      </c>
      <c r="N7030" s="12"/>
    </row>
    <row r="7031" spans="1:14" s="5" customFormat="1" ht="15" customHeight="1" x14ac:dyDescent="0.25">
      <c r="A7031" s="9" t="s">
        <v>13832</v>
      </c>
      <c r="C7031" s="9" t="str">
        <f>HYPERLINK("http://www.ncbi.nlm.nih.gov/protein/67846113","Snrnp70")</f>
        <v>Snrnp70</v>
      </c>
      <c r="D7031" s="10">
        <f t="shared" si="109"/>
        <v>5.0006999984838068</v>
      </c>
      <c r="F7031" s="8" t="str">
        <f>HYPERLINK("https://esbl.nhlbi.nih.gov/Databases/mpkFractions/proteomic_fractions_log_files/Yang_log_img/67846113.jpg","show blot")</f>
        <v>show blot</v>
      </c>
      <c r="H7031" s="8" t="str">
        <f>HYPERLINK("https://esbl.nhlbi.nih.gov/Databases/mpkFractions/proteomic_fractions_linear_files/Yang_linear_img/67846113.jpg","show blot")</f>
        <v>show blot</v>
      </c>
      <c r="J7031" s="5" t="s">
        <v>13833</v>
      </c>
      <c r="L7031" s="11">
        <v>5.0006999984838068</v>
      </c>
      <c r="N7031" s="12"/>
    </row>
    <row r="7032" spans="1:14" s="5" customFormat="1" ht="15" customHeight="1" x14ac:dyDescent="0.25">
      <c r="A7032" s="9" t="s">
        <v>13834</v>
      </c>
      <c r="C7032" s="9" t="str">
        <f>HYPERLINK("http://www.ncbi.nlm.nih.gov/protein/114052106","Snrpa")</f>
        <v>Snrpa</v>
      </c>
      <c r="D7032" s="10">
        <f t="shared" si="109"/>
        <v>5.4500692431358582</v>
      </c>
      <c r="F7032" s="8" t="str">
        <f>HYPERLINK("https://esbl.nhlbi.nih.gov/Databases/mpkFractions/proteomic_fractions_log_files/Yang_log_img/114052106.jpg","show blot")</f>
        <v>show blot</v>
      </c>
      <c r="H7032" s="8" t="str">
        <f>HYPERLINK("https://esbl.nhlbi.nih.gov/Databases/mpkFractions/proteomic_fractions_linear_files/Yang_linear_img/114052106.jpg","show blot")</f>
        <v>show blot</v>
      </c>
      <c r="J7032" s="5" t="s">
        <v>13835</v>
      </c>
      <c r="L7032" s="11">
        <v>5.4500692431358582</v>
      </c>
      <c r="N7032" s="12"/>
    </row>
    <row r="7033" spans="1:14" s="5" customFormat="1" ht="15" customHeight="1" x14ac:dyDescent="0.25">
      <c r="A7033" s="9" t="s">
        <v>13836</v>
      </c>
      <c r="C7033" s="9" t="str">
        <f>HYPERLINK("http://www.ncbi.nlm.nih.gov/protein/228480232","Snrpa1")</f>
        <v>Snrpa1</v>
      </c>
      <c r="D7033" s="10">
        <f t="shared" si="109"/>
        <v>5.8445905759665813</v>
      </c>
      <c r="F7033" s="8" t="str">
        <f>HYPERLINK("https://esbl.nhlbi.nih.gov/Databases/mpkFractions/proteomic_fractions_log_files/Yang_log_img/228480232.jpg","show blot")</f>
        <v>show blot</v>
      </c>
      <c r="H7033" s="8" t="str">
        <f>HYPERLINK("https://esbl.nhlbi.nih.gov/Databases/mpkFractions/proteomic_fractions_linear_files/Yang_linear_img/228480232.jpg","show blot")</f>
        <v>show blot</v>
      </c>
      <c r="J7033" s="5" t="s">
        <v>13837</v>
      </c>
      <c r="L7033" s="11">
        <v>5.8445905759665813</v>
      </c>
      <c r="N7033" s="12"/>
    </row>
    <row r="7034" spans="1:14" s="5" customFormat="1" ht="15" customHeight="1" x14ac:dyDescent="0.25">
      <c r="A7034" s="9" t="s">
        <v>13838</v>
      </c>
      <c r="C7034" s="9" t="str">
        <f>HYPERLINK("http://www.ncbi.nlm.nih.gov/protein/6678053","Snrpb")</f>
        <v>Snrpb</v>
      </c>
      <c r="D7034" s="10">
        <f t="shared" si="109"/>
        <v>6.0067193128707652</v>
      </c>
      <c r="F7034" s="8" t="str">
        <f>HYPERLINK("https://esbl.nhlbi.nih.gov/Databases/mpkFractions/proteomic_fractions_log_files/Yang_log_img/6678053.jpg","show blot")</f>
        <v>show blot</v>
      </c>
      <c r="H7034" s="8" t="str">
        <f>HYPERLINK("https://esbl.nhlbi.nih.gov/Databases/mpkFractions/proteomic_fractions_linear_files/Yang_linear_img/6678053.jpg","show blot")</f>
        <v>show blot</v>
      </c>
      <c r="J7034" s="5" t="s">
        <v>13839</v>
      </c>
      <c r="L7034" s="11">
        <v>6.0067193128707652</v>
      </c>
      <c r="N7034" s="12"/>
    </row>
    <row r="7035" spans="1:14" s="5" customFormat="1" ht="15" customHeight="1" x14ac:dyDescent="0.25">
      <c r="A7035" s="9" t="s">
        <v>13840</v>
      </c>
      <c r="C7035" s="9" t="str">
        <f>HYPERLINK("http://www.ncbi.nlm.nih.gov/protein/23956110","Snrpb2")</f>
        <v>Snrpb2</v>
      </c>
      <c r="D7035" s="10">
        <f t="shared" si="109"/>
        <v>4.9782241915395096</v>
      </c>
      <c r="F7035" s="8" t="str">
        <f>HYPERLINK("https://esbl.nhlbi.nih.gov/Databases/mpkFractions/proteomic_fractions_log_files/Yang_log_img/23956110.jpg","show blot")</f>
        <v>show blot</v>
      </c>
      <c r="H7035" s="8" t="str">
        <f>HYPERLINK("https://esbl.nhlbi.nih.gov/Databases/mpkFractions/proteomic_fractions_linear_files/Yang_linear_img/23956110.jpg","show blot")</f>
        <v>show blot</v>
      </c>
      <c r="J7035" s="5" t="s">
        <v>13841</v>
      </c>
      <c r="L7035" s="11">
        <v>4.9782241915395096</v>
      </c>
      <c r="N7035" s="12"/>
    </row>
    <row r="7036" spans="1:14" s="5" customFormat="1" ht="15" customHeight="1" x14ac:dyDescent="0.25">
      <c r="A7036" s="9" t="s">
        <v>13842</v>
      </c>
      <c r="C7036" s="9" t="str">
        <f>HYPERLINK("http://www.ncbi.nlm.nih.gov/protein/6755596","Snrpc")</f>
        <v>Snrpc</v>
      </c>
      <c r="D7036" s="10">
        <f t="shared" si="109"/>
        <v>3.7953748616164069</v>
      </c>
      <c r="F7036" s="8" t="str">
        <f>HYPERLINK("https://esbl.nhlbi.nih.gov/Databases/mpkFractions/proteomic_fractions_log_files/Yang_log_img/6755596.jpg","show blot")</f>
        <v>show blot</v>
      </c>
      <c r="H7036" s="8" t="str">
        <f>HYPERLINK("https://esbl.nhlbi.nih.gov/Databases/mpkFractions/proteomic_fractions_linear_files/Yang_linear_img/6755596.jpg","show blot")</f>
        <v>show blot</v>
      </c>
      <c r="J7036" s="5" t="s">
        <v>13843</v>
      </c>
      <c r="L7036" s="11">
        <v>3.7953748616164069</v>
      </c>
      <c r="N7036" s="12"/>
    </row>
    <row r="7037" spans="1:14" s="5" customFormat="1" ht="15" customHeight="1" x14ac:dyDescent="0.25">
      <c r="A7037" s="9" t="s">
        <v>13844</v>
      </c>
      <c r="C7037" s="9" t="str">
        <f>HYPERLINK("http://www.ncbi.nlm.nih.gov/protein/6678055","Snrpd1")</f>
        <v>Snrpd1</v>
      </c>
      <c r="D7037" s="10">
        <f t="shared" si="109"/>
        <v>6.4026503881165819</v>
      </c>
      <c r="F7037" s="8" t="str">
        <f>HYPERLINK("https://esbl.nhlbi.nih.gov/Databases/mpkFractions/proteomic_fractions_log_files/Yang_log_img/6678055.jpg","show blot")</f>
        <v>show blot</v>
      </c>
      <c r="H7037" s="8" t="str">
        <f>HYPERLINK("https://esbl.nhlbi.nih.gov/Databases/mpkFractions/proteomic_fractions_linear_files/Yang_linear_img/6678055.jpg","show blot")</f>
        <v>show blot</v>
      </c>
      <c r="J7037" s="5" t="s">
        <v>13845</v>
      </c>
      <c r="L7037" s="11">
        <v>6.4026503881165819</v>
      </c>
      <c r="N7037" s="12"/>
    </row>
    <row r="7038" spans="1:14" s="5" customFormat="1" ht="15" customHeight="1" x14ac:dyDescent="0.25">
      <c r="A7038" s="9" t="s">
        <v>13846</v>
      </c>
      <c r="C7038" s="9" t="str">
        <f>HYPERLINK("http://www.ncbi.nlm.nih.gov/protein/58037145","Snrpd2")</f>
        <v>Snrpd2</v>
      </c>
      <c r="D7038" s="10">
        <f t="shared" si="109"/>
        <v>6.3610174908094841</v>
      </c>
      <c r="F7038" s="8" t="str">
        <f>HYPERLINK("https://esbl.nhlbi.nih.gov/Databases/mpkFractions/proteomic_fractions_log_files/Yang_log_img/58037145.jpg","show blot")</f>
        <v>show blot</v>
      </c>
      <c r="H7038" s="8" t="str">
        <f>HYPERLINK("https://esbl.nhlbi.nih.gov/Databases/mpkFractions/proteomic_fractions_linear_files/Yang_linear_img/58037145.jpg","show blot")</f>
        <v>show blot</v>
      </c>
      <c r="J7038" s="5" t="s">
        <v>13847</v>
      </c>
      <c r="L7038" s="11">
        <v>6.3610174908094841</v>
      </c>
      <c r="N7038" s="12"/>
    </row>
    <row r="7039" spans="1:14" s="5" customFormat="1" ht="15" customHeight="1" x14ac:dyDescent="0.25">
      <c r="A7039" s="9" t="s">
        <v>13848</v>
      </c>
      <c r="C7039" s="9" t="str">
        <f>HYPERLINK("http://www.ncbi.nlm.nih.gov/protein/13385598","Snrpd3")</f>
        <v>Snrpd3</v>
      </c>
      <c r="D7039" s="10">
        <f t="shared" si="109"/>
        <v>6.6756399411940262</v>
      </c>
      <c r="F7039" s="8" t="str">
        <f>HYPERLINK("https://esbl.nhlbi.nih.gov/Databases/mpkFractions/proteomic_fractions_log_files/Yang_log_img/13385598.jpg","show blot")</f>
        <v>show blot</v>
      </c>
      <c r="H7039" s="8" t="str">
        <f>HYPERLINK("https://esbl.nhlbi.nih.gov/Databases/mpkFractions/proteomic_fractions_linear_files/Yang_linear_img/13385598.jpg","show blot")</f>
        <v>show blot</v>
      </c>
      <c r="J7039" s="5" t="s">
        <v>13849</v>
      </c>
      <c r="L7039" s="11">
        <v>6.6756399411940262</v>
      </c>
      <c r="N7039" s="12"/>
    </row>
    <row r="7040" spans="1:14" s="5" customFormat="1" ht="15" customHeight="1" x14ac:dyDescent="0.25">
      <c r="A7040" s="9" t="s">
        <v>13850</v>
      </c>
      <c r="C7040" s="9" t="str">
        <f>HYPERLINK("http://www.ncbi.nlm.nih.gov/protein/27883844","Snrpe")</f>
        <v>Snrpe</v>
      </c>
      <c r="D7040" s="10">
        <f t="shared" si="109"/>
        <v>5.8898973203797391</v>
      </c>
      <c r="F7040" s="8" t="str">
        <f>HYPERLINK("https://esbl.nhlbi.nih.gov/Databases/mpkFractions/proteomic_fractions_log_files/Yang_log_img/27883844.jpg","show blot")</f>
        <v>show blot</v>
      </c>
      <c r="H7040" s="8" t="str">
        <f>HYPERLINK("https://esbl.nhlbi.nih.gov/Databases/mpkFractions/proteomic_fractions_linear_files/Yang_linear_img/27883844.jpg","show blot")</f>
        <v>show blot</v>
      </c>
      <c r="J7040" s="5" t="s">
        <v>13851</v>
      </c>
      <c r="L7040" s="11">
        <v>5.8898973203797391</v>
      </c>
      <c r="N7040" s="12"/>
    </row>
    <row r="7041" spans="1:14" s="5" customFormat="1" ht="15" customHeight="1" x14ac:dyDescent="0.25">
      <c r="A7041" s="9" t="s">
        <v>13852</v>
      </c>
      <c r="C7041" s="9" t="str">
        <f>HYPERLINK("http://www.ncbi.nlm.nih.gov/protein/254028189","Snrpf")</f>
        <v>Snrpf</v>
      </c>
      <c r="D7041" s="10">
        <f t="shared" si="109"/>
        <v>6.112203428863487</v>
      </c>
      <c r="F7041" s="8" t="str">
        <f>HYPERLINK("https://esbl.nhlbi.nih.gov/Databases/mpkFractions/proteomic_fractions_log_files/Yang_log_img/254028189.jpg","show blot")</f>
        <v>show blot</v>
      </c>
      <c r="H7041" s="8" t="str">
        <f>HYPERLINK("https://esbl.nhlbi.nih.gov/Databases/mpkFractions/proteomic_fractions_linear_files/Yang_linear_img/254028189.jpg","show blot")</f>
        <v>show blot</v>
      </c>
      <c r="J7041" s="5" t="s">
        <v>13853</v>
      </c>
      <c r="L7041" s="11">
        <v>6.112203428863487</v>
      </c>
      <c r="N7041" s="12"/>
    </row>
    <row r="7042" spans="1:14" s="5" customFormat="1" ht="15" customHeight="1" x14ac:dyDescent="0.25">
      <c r="A7042" s="9" t="s">
        <v>13854</v>
      </c>
      <c r="C7042" s="9" t="str">
        <f>HYPERLINK("http://www.ncbi.nlm.nih.gov/protein/13385994","Snrpg")</f>
        <v>Snrpg</v>
      </c>
      <c r="D7042" s="10">
        <f t="shared" si="109"/>
        <v>5.1337383594427672</v>
      </c>
      <c r="F7042" s="8" t="str">
        <f>HYPERLINK("https://esbl.nhlbi.nih.gov/Databases/mpkFractions/proteomic_fractions_log_files/Yang_log_img/13385994.jpg","show blot")</f>
        <v>show blot</v>
      </c>
      <c r="H7042" s="8" t="str">
        <f>HYPERLINK("https://esbl.nhlbi.nih.gov/Databases/mpkFractions/proteomic_fractions_linear_files/Yang_linear_img/13385994.jpg","show blot")</f>
        <v>show blot</v>
      </c>
      <c r="J7042" s="5" t="s">
        <v>13855</v>
      </c>
      <c r="L7042" s="11">
        <v>5.1337383594427672</v>
      </c>
      <c r="N7042" s="12"/>
    </row>
    <row r="7043" spans="1:14" s="5" customFormat="1" ht="15" customHeight="1" x14ac:dyDescent="0.25">
      <c r="A7043" s="9" t="s">
        <v>13856</v>
      </c>
      <c r="C7043" s="9" t="str">
        <f>HYPERLINK("http://www.ncbi.nlm.nih.gov/protein/7305509","Snrpn")</f>
        <v>Snrpn</v>
      </c>
      <c r="D7043" s="10">
        <f t="shared" si="109"/>
        <v>6.0067193128707652</v>
      </c>
      <c r="F7043" s="8" t="str">
        <f>HYPERLINK("https://esbl.nhlbi.nih.gov/Databases/mpkFractions/proteomic_fractions_log_files/Yang_log_img/7305509.jpg","show blot")</f>
        <v>show blot</v>
      </c>
      <c r="H7043" s="8" t="str">
        <f>HYPERLINK("https://esbl.nhlbi.nih.gov/Databases/mpkFractions/proteomic_fractions_linear_files/Yang_linear_img/7305509.jpg","show blot")</f>
        <v>show blot</v>
      </c>
      <c r="J7043" s="5" t="s">
        <v>13857</v>
      </c>
      <c r="L7043" s="11">
        <v>6.0067193128707652</v>
      </c>
      <c r="N7043" s="12"/>
    </row>
    <row r="7044" spans="1:14" s="5" customFormat="1" ht="15" customHeight="1" x14ac:dyDescent="0.25">
      <c r="A7044" s="9" t="s">
        <v>13858</v>
      </c>
      <c r="C7044" s="9" t="str">
        <f>HYPERLINK("http://www.ncbi.nlm.nih.gov/protein/160333722","Snta1")</f>
        <v>Snta1</v>
      </c>
      <c r="D7044" s="10">
        <f t="shared" si="109"/>
        <v>3.8302023874758322</v>
      </c>
      <c r="F7044" s="8" t="str">
        <f>HYPERLINK("https://esbl.nhlbi.nih.gov/Databases/mpkFractions/proteomic_fractions_log_files/Yang_log_img/160333722.jpg","show blot")</f>
        <v>show blot</v>
      </c>
      <c r="H7044" s="8" t="str">
        <f>HYPERLINK("https://esbl.nhlbi.nih.gov/Databases/mpkFractions/proteomic_fractions_linear_files/Yang_linear_img/160333722.jpg","show blot")</f>
        <v>show blot</v>
      </c>
      <c r="J7044" s="5" t="s">
        <v>13859</v>
      </c>
      <c r="L7044" s="11">
        <v>3.8302023874758322</v>
      </c>
      <c r="N7044" s="12"/>
    </row>
    <row r="7045" spans="1:14" s="5" customFormat="1" ht="15" customHeight="1" x14ac:dyDescent="0.25">
      <c r="A7045" s="9" t="s">
        <v>13860</v>
      </c>
      <c r="C7045" s="9" t="str">
        <f>HYPERLINK("http://www.ncbi.nlm.nih.gov/protein/6678059","Sntb2")</f>
        <v>Sntb2</v>
      </c>
      <c r="D7045" s="10">
        <f t="shared" ref="D7045:D7108" si="110">L7045</f>
        <v>4.167179642296281</v>
      </c>
      <c r="F7045" s="8" t="str">
        <f>HYPERLINK("https://esbl.nhlbi.nih.gov/Databases/mpkFractions/proteomic_fractions_log_files/Yang_log_img/6678059.jpg","show blot")</f>
        <v>show blot</v>
      </c>
      <c r="H7045" s="8" t="str">
        <f>HYPERLINK("https://esbl.nhlbi.nih.gov/Databases/mpkFractions/proteomic_fractions_linear_files/Yang_linear_img/6678059.jpg","show blot")</f>
        <v>show blot</v>
      </c>
      <c r="J7045" s="5" t="s">
        <v>13861</v>
      </c>
      <c r="L7045" s="11">
        <v>4.167179642296281</v>
      </c>
      <c r="N7045" s="12"/>
    </row>
    <row r="7046" spans="1:14" s="5" customFormat="1" ht="15" customHeight="1" x14ac:dyDescent="0.25">
      <c r="A7046" s="9" t="s">
        <v>13862</v>
      </c>
      <c r="C7046" s="9" t="str">
        <f>HYPERLINK("http://www.ncbi.nlm.nih.gov/protein/146149191","Snw1")</f>
        <v>Snw1</v>
      </c>
      <c r="D7046" s="10">
        <f t="shared" si="110"/>
        <v>4.411542658609787</v>
      </c>
      <c r="F7046" s="8" t="str">
        <f>HYPERLINK("https://esbl.nhlbi.nih.gov/Databases/mpkFractions/proteomic_fractions_log_files/Yang_log_img/146149191.jpg","show blot")</f>
        <v>show blot</v>
      </c>
      <c r="H7046" s="8" t="str">
        <f>HYPERLINK("https://esbl.nhlbi.nih.gov/Databases/mpkFractions/proteomic_fractions_linear_files/Yang_linear_img/146149191.jpg","show blot")</f>
        <v>show blot</v>
      </c>
      <c r="J7046" s="5" t="s">
        <v>13863</v>
      </c>
      <c r="L7046" s="11">
        <v>4.411542658609787</v>
      </c>
      <c r="N7046" s="12"/>
    </row>
    <row r="7047" spans="1:14" s="5" customFormat="1" ht="15" customHeight="1" x14ac:dyDescent="0.25">
      <c r="A7047" s="9" t="s">
        <v>13864</v>
      </c>
      <c r="C7047" s="9" t="str">
        <f>HYPERLINK("http://www.ncbi.nlm.nih.gov/protein/71043944","Snx1")</f>
        <v>Snx1</v>
      </c>
      <c r="D7047" s="10">
        <f t="shared" si="110"/>
        <v>5.7474553793328109</v>
      </c>
      <c r="F7047" s="8" t="str">
        <f>HYPERLINK("https://esbl.nhlbi.nih.gov/Databases/mpkFractions/proteomic_fractions_log_files/Yang_log_img/71043944.jpg","show blot")</f>
        <v>show blot</v>
      </c>
      <c r="H7047" s="8" t="str">
        <f>HYPERLINK("https://esbl.nhlbi.nih.gov/Databases/mpkFractions/proteomic_fractions_linear_files/Yang_linear_img/71043944.jpg","show blot")</f>
        <v>show blot</v>
      </c>
      <c r="J7047" s="5" t="s">
        <v>13865</v>
      </c>
      <c r="L7047" s="11">
        <v>5.7474553793328109</v>
      </c>
      <c r="N7047" s="12"/>
    </row>
    <row r="7048" spans="1:14" s="5" customFormat="1" ht="15" customHeight="1" x14ac:dyDescent="0.25">
      <c r="A7048" s="9" t="s">
        <v>13866</v>
      </c>
      <c r="C7048" s="9" t="str">
        <f>HYPERLINK("http://www.ncbi.nlm.nih.gov/protein/160333829","Snx12")</f>
        <v>Snx12</v>
      </c>
      <c r="D7048" s="10">
        <f t="shared" si="110"/>
        <v>5.8073121503555596</v>
      </c>
      <c r="F7048" s="8" t="str">
        <f>HYPERLINK("https://esbl.nhlbi.nih.gov/Databases/mpkFractions/proteomic_fractions_log_files/Yang_log_img/160333829.jpg","show blot")</f>
        <v>show blot</v>
      </c>
      <c r="H7048" s="8" t="str">
        <f>HYPERLINK("https://esbl.nhlbi.nih.gov/Databases/mpkFractions/proteomic_fractions_linear_files/Yang_linear_img/160333829.jpg","show blot")</f>
        <v>show blot</v>
      </c>
      <c r="J7048" s="5" t="s">
        <v>13867</v>
      </c>
      <c r="L7048" s="11">
        <v>5.8073121503555596</v>
      </c>
      <c r="N7048" s="12"/>
    </row>
    <row r="7049" spans="1:14" s="5" customFormat="1" ht="15" customHeight="1" x14ac:dyDescent="0.25">
      <c r="A7049" s="9" t="s">
        <v>13868</v>
      </c>
      <c r="C7049" s="9" t="str">
        <f>HYPERLINK("http://www.ncbi.nlm.nih.gov/protein/160333832","Snx12")</f>
        <v>Snx12</v>
      </c>
      <c r="D7049" s="10">
        <f t="shared" si="110"/>
        <v>5.8073121503555596</v>
      </c>
      <c r="F7049" s="8" t="str">
        <f>HYPERLINK("https://esbl.nhlbi.nih.gov/Databases/mpkFractions/proteomic_fractions_log_files/Yang_log_img/160333832.jpg","show blot")</f>
        <v>show blot</v>
      </c>
      <c r="H7049" s="8" t="str">
        <f>HYPERLINK("https://esbl.nhlbi.nih.gov/Databases/mpkFractions/proteomic_fractions_linear_files/Yang_linear_img/160333832.jpg","show blot")</f>
        <v>show blot</v>
      </c>
      <c r="J7049" s="5" t="s">
        <v>13869</v>
      </c>
      <c r="L7049" s="11">
        <v>5.8073121503555596</v>
      </c>
      <c r="N7049" s="12"/>
    </row>
    <row r="7050" spans="1:14" s="5" customFormat="1" ht="15" customHeight="1" x14ac:dyDescent="0.25">
      <c r="A7050" s="9" t="s">
        <v>13870</v>
      </c>
      <c r="C7050" s="9" t="str">
        <f>HYPERLINK("http://www.ncbi.nlm.nih.gov/protein/160333835","Snx12")</f>
        <v>Snx12</v>
      </c>
      <c r="D7050" s="10">
        <f t="shared" si="110"/>
        <v>5.8073121503555596</v>
      </c>
      <c r="F7050" s="8" t="str">
        <f>HYPERLINK("https://esbl.nhlbi.nih.gov/Databases/mpkFractions/proteomic_fractions_log_files/Yang_log_img/160333835.jpg","show blot")</f>
        <v>show blot</v>
      </c>
      <c r="H7050" s="8" t="str">
        <f>HYPERLINK("https://esbl.nhlbi.nih.gov/Databases/mpkFractions/proteomic_fractions_linear_files/Yang_linear_img/160333835.jpg","show blot")</f>
        <v>show blot</v>
      </c>
      <c r="J7050" s="5" t="s">
        <v>13871</v>
      </c>
      <c r="L7050" s="11">
        <v>5.8073121503555596</v>
      </c>
      <c r="N7050" s="12"/>
    </row>
    <row r="7051" spans="1:14" s="5" customFormat="1" ht="15" customHeight="1" x14ac:dyDescent="0.25">
      <c r="A7051" s="9" t="s">
        <v>13872</v>
      </c>
      <c r="C7051" s="9" t="str">
        <f>HYPERLINK("http://www.ncbi.nlm.nih.gov/protein/238814328","Snx14")</f>
        <v>Snx14</v>
      </c>
      <c r="D7051" s="10">
        <f t="shared" si="110"/>
        <v>2.449813188279804</v>
      </c>
      <c r="F7051" s="8" t="str">
        <f>HYPERLINK("https://esbl.nhlbi.nih.gov/Databases/mpkFractions/proteomic_fractions_log_files/Yang_log_img/238814328.jpg","show blot")</f>
        <v>show blot</v>
      </c>
      <c r="H7051" s="8" t="str">
        <f>HYPERLINK("https://esbl.nhlbi.nih.gov/Databases/mpkFractions/proteomic_fractions_linear_files/Yang_linear_img/238814328.jpg","show blot")</f>
        <v>show blot</v>
      </c>
      <c r="J7051" s="5" t="s">
        <v>13873</v>
      </c>
      <c r="L7051" s="11">
        <v>2.449813188279804</v>
      </c>
      <c r="N7051" s="12"/>
    </row>
    <row r="7052" spans="1:14" s="5" customFormat="1" ht="15" customHeight="1" x14ac:dyDescent="0.25">
      <c r="A7052" s="9" t="s">
        <v>13874</v>
      </c>
      <c r="C7052" s="9" t="str">
        <f>HYPERLINK("http://www.ncbi.nlm.nih.gov/protein/24211031","Snx17")</f>
        <v>Snx17</v>
      </c>
      <c r="D7052" s="10">
        <f t="shared" si="110"/>
        <v>3.0608690587763241</v>
      </c>
      <c r="F7052" s="8" t="str">
        <f>HYPERLINK("https://esbl.nhlbi.nih.gov/Databases/mpkFractions/proteomic_fractions_log_files/Yang_log_img/24211031.jpg","show blot")</f>
        <v>show blot</v>
      </c>
      <c r="H7052" s="8" t="str">
        <f>HYPERLINK("https://esbl.nhlbi.nih.gov/Databases/mpkFractions/proteomic_fractions_linear_files/Yang_linear_img/24211031.jpg","show blot")</f>
        <v>show blot</v>
      </c>
      <c r="J7052" s="5" t="s">
        <v>13875</v>
      </c>
      <c r="L7052" s="11">
        <v>3.0608690587763241</v>
      </c>
      <c r="N7052" s="12"/>
    </row>
    <row r="7053" spans="1:14" s="5" customFormat="1" ht="15" customHeight="1" x14ac:dyDescent="0.25">
      <c r="A7053" s="9" t="s">
        <v>13876</v>
      </c>
      <c r="C7053" s="9" t="str">
        <f>HYPERLINK("http://www.ncbi.nlm.nih.gov/protein/91598596","Snx18")</f>
        <v>Snx18</v>
      </c>
      <c r="D7053" s="10">
        <f t="shared" si="110"/>
        <v>3.4556772181531099</v>
      </c>
      <c r="F7053" s="8" t="str">
        <f>HYPERLINK("https://esbl.nhlbi.nih.gov/Databases/mpkFractions/proteomic_fractions_log_files/Yang_log_img/91598596.jpg","show blot")</f>
        <v>show blot</v>
      </c>
      <c r="H7053" s="8" t="str">
        <f>HYPERLINK("https://esbl.nhlbi.nih.gov/Databases/mpkFractions/proteomic_fractions_linear_files/Yang_linear_img/91598596.jpg","show blot")</f>
        <v>show blot</v>
      </c>
      <c r="J7053" s="5" t="s">
        <v>13877</v>
      </c>
      <c r="L7053" s="11">
        <v>3.4556772181531099</v>
      </c>
      <c r="N7053" s="12"/>
    </row>
    <row r="7054" spans="1:14" s="5" customFormat="1" ht="15" customHeight="1" x14ac:dyDescent="0.25">
      <c r="A7054" s="9" t="s">
        <v>13878</v>
      </c>
      <c r="C7054" s="9" t="str">
        <f>HYPERLINK("http://www.ncbi.nlm.nih.gov/protein/13385878","Snx2")</f>
        <v>Snx2</v>
      </c>
      <c r="D7054" s="10">
        <f t="shared" si="110"/>
        <v>5.8157054372052208</v>
      </c>
      <c r="F7054" s="8" t="str">
        <f>HYPERLINK("https://esbl.nhlbi.nih.gov/Databases/mpkFractions/proteomic_fractions_log_files/Yang_log_img/13385878.jpg","show blot")</f>
        <v>show blot</v>
      </c>
      <c r="H7054" s="8" t="str">
        <f>HYPERLINK("https://esbl.nhlbi.nih.gov/Databases/mpkFractions/proteomic_fractions_linear_files/Yang_linear_img/13385878.jpg","show blot")</f>
        <v>show blot</v>
      </c>
      <c r="J7054" s="5" t="s">
        <v>13879</v>
      </c>
      <c r="L7054" s="11">
        <v>5.8157054372052208</v>
      </c>
      <c r="N7054" s="12"/>
    </row>
    <row r="7055" spans="1:14" s="5" customFormat="1" ht="15" customHeight="1" x14ac:dyDescent="0.25">
      <c r="A7055" s="9" t="s">
        <v>13880</v>
      </c>
      <c r="C7055" s="9" t="str">
        <f>HYPERLINK("http://www.ncbi.nlm.nih.gov/protein/110625874","Snx21")</f>
        <v>Snx21</v>
      </c>
      <c r="D7055" s="10">
        <f t="shared" si="110"/>
        <v>3.0044269929874972</v>
      </c>
      <c r="F7055" s="8" t="str">
        <f>HYPERLINK("https://esbl.nhlbi.nih.gov/Databases/mpkFractions/proteomic_fractions_log_files/Yang_log_img/110625874.jpg","show blot")</f>
        <v>show blot</v>
      </c>
      <c r="H7055" s="8" t="str">
        <f>HYPERLINK("https://esbl.nhlbi.nih.gov/Databases/mpkFractions/proteomic_fractions_linear_files/Yang_linear_img/110625874.jpg","show blot")</f>
        <v>show blot</v>
      </c>
      <c r="J7055" s="5" t="s">
        <v>13881</v>
      </c>
      <c r="L7055" s="11">
        <v>3.0044269929874972</v>
      </c>
      <c r="N7055" s="12"/>
    </row>
    <row r="7056" spans="1:14" s="5" customFormat="1" ht="15" customHeight="1" x14ac:dyDescent="0.25">
      <c r="A7056" s="9" t="s">
        <v>13882</v>
      </c>
      <c r="C7056" s="9" t="str">
        <f>HYPERLINK("http://www.ncbi.nlm.nih.gov/protein/21313014","Snx24")</f>
        <v>Snx24</v>
      </c>
      <c r="D7056" s="10">
        <f t="shared" si="110"/>
        <v>3.2317003441014411</v>
      </c>
      <c r="F7056" s="8" t="str">
        <f>HYPERLINK("https://esbl.nhlbi.nih.gov/Databases/mpkFractions/proteomic_fractions_log_files/Yang_log_img/21313014.jpg","show blot")</f>
        <v>show blot</v>
      </c>
      <c r="H7056" s="8" t="str">
        <f>HYPERLINK("https://esbl.nhlbi.nih.gov/Databases/mpkFractions/proteomic_fractions_linear_files/Yang_linear_img/21313014.jpg","show blot")</f>
        <v>show blot</v>
      </c>
      <c r="J7056" s="5" t="s">
        <v>13883</v>
      </c>
      <c r="L7056" s="11">
        <v>3.2317003441014411</v>
      </c>
      <c r="N7056" s="12"/>
    </row>
    <row r="7057" spans="1:14" s="5" customFormat="1" ht="15" customHeight="1" x14ac:dyDescent="0.25">
      <c r="A7057" s="9" t="s">
        <v>13884</v>
      </c>
      <c r="C7057" s="9" t="str">
        <f>HYPERLINK("http://www.ncbi.nlm.nih.gov/protein/126722910","Snx27")</f>
        <v>Snx27</v>
      </c>
      <c r="D7057" s="10">
        <f t="shared" si="110"/>
        <v>4.3432652092107116</v>
      </c>
      <c r="F7057" s="8" t="str">
        <f>HYPERLINK("https://esbl.nhlbi.nih.gov/Databases/mpkFractions/proteomic_fractions_log_files/Yang_log_img/126722910.jpg","show blot")</f>
        <v>show blot</v>
      </c>
      <c r="H7057" s="8" t="str">
        <f>HYPERLINK("https://esbl.nhlbi.nih.gov/Databases/mpkFractions/proteomic_fractions_linear_files/Yang_linear_img/126722910.jpg","show blot")</f>
        <v>show blot</v>
      </c>
      <c r="J7057" s="5" t="s">
        <v>13885</v>
      </c>
      <c r="L7057" s="11">
        <v>4.3432652092107116</v>
      </c>
      <c r="N7057" s="12"/>
    </row>
    <row r="7058" spans="1:14" s="5" customFormat="1" ht="15" customHeight="1" x14ac:dyDescent="0.25">
      <c r="A7058" s="9" t="s">
        <v>13886</v>
      </c>
      <c r="C7058" s="9" t="str">
        <f>HYPERLINK("http://www.ncbi.nlm.nih.gov/protein/126723792","Snx27")</f>
        <v>Snx27</v>
      </c>
      <c r="D7058" s="10">
        <f t="shared" si="110"/>
        <v>4.3432652092107116</v>
      </c>
      <c r="F7058" s="8" t="str">
        <f>HYPERLINK("https://esbl.nhlbi.nih.gov/Databases/mpkFractions/proteomic_fractions_log_files/Yang_log_img/126723792.jpg","show blot")</f>
        <v>show blot</v>
      </c>
      <c r="H7058" s="8" t="str">
        <f>HYPERLINK("https://esbl.nhlbi.nih.gov/Databases/mpkFractions/proteomic_fractions_linear_files/Yang_linear_img/126723792.jpg","show blot")</f>
        <v>show blot</v>
      </c>
      <c r="J7058" s="5" t="s">
        <v>13887</v>
      </c>
      <c r="L7058" s="11">
        <v>4.3432652092107116</v>
      </c>
      <c r="N7058" s="12"/>
    </row>
    <row r="7059" spans="1:14" s="5" customFormat="1" ht="15" customHeight="1" x14ac:dyDescent="0.25">
      <c r="A7059" s="9" t="s">
        <v>13888</v>
      </c>
      <c r="C7059" s="9" t="str">
        <f>HYPERLINK("http://www.ncbi.nlm.nih.gov/protein/343790938","Snx29")</f>
        <v>Snx29</v>
      </c>
      <c r="D7059" s="10">
        <f t="shared" si="110"/>
        <v>3.924284627066009</v>
      </c>
      <c r="F7059" s="8" t="str">
        <f>HYPERLINK("https://esbl.nhlbi.nih.gov/Databases/mpkFractions/proteomic_fractions_log_files/Yang_log_img/343790938.jpg","show blot")</f>
        <v>show blot</v>
      </c>
      <c r="H7059" s="8" t="str">
        <f>HYPERLINK("https://esbl.nhlbi.nih.gov/Databases/mpkFractions/proteomic_fractions_linear_files/Yang_linear_img/343790938.jpg","show blot")</f>
        <v>show blot</v>
      </c>
      <c r="J7059" s="5" t="s">
        <v>13889</v>
      </c>
      <c r="L7059" s="11">
        <v>3.924284627066009</v>
      </c>
      <c r="N7059" s="12"/>
    </row>
    <row r="7060" spans="1:14" s="5" customFormat="1" ht="15" customHeight="1" x14ac:dyDescent="0.25">
      <c r="A7060" s="9" t="s">
        <v>13890</v>
      </c>
      <c r="C7060" s="9" t="str">
        <f>HYPERLINK("http://www.ncbi.nlm.nih.gov/protein/31560433","Snx3")</f>
        <v>Snx3</v>
      </c>
      <c r="D7060" s="10">
        <f t="shared" si="110"/>
        <v>6.0662631380363434</v>
      </c>
      <c r="F7060" s="8" t="str">
        <f>HYPERLINK("https://esbl.nhlbi.nih.gov/Databases/mpkFractions/proteomic_fractions_log_files/Yang_log_img/31560433.jpg","show blot")</f>
        <v>show blot</v>
      </c>
      <c r="H7060" s="8" t="str">
        <f>HYPERLINK("https://esbl.nhlbi.nih.gov/Databases/mpkFractions/proteomic_fractions_linear_files/Yang_linear_img/31560433.jpg","show blot")</f>
        <v>show blot</v>
      </c>
      <c r="J7060" s="5" t="s">
        <v>13891</v>
      </c>
      <c r="L7060" s="11">
        <v>6.0662631380363434</v>
      </c>
      <c r="N7060" s="12"/>
    </row>
    <row r="7061" spans="1:14" s="5" customFormat="1" ht="15" customHeight="1" x14ac:dyDescent="0.25">
      <c r="A7061" s="9" t="s">
        <v>13892</v>
      </c>
      <c r="C7061" s="9" t="str">
        <f>HYPERLINK("http://www.ncbi.nlm.nih.gov/protein/66792896","Snx32")</f>
        <v>Snx32</v>
      </c>
      <c r="D7061" s="10">
        <f t="shared" si="110"/>
        <v>4.0753159683721716</v>
      </c>
      <c r="F7061" s="8" t="str">
        <f>HYPERLINK("https://esbl.nhlbi.nih.gov/Databases/mpkFractions/proteomic_fractions_log_files/Yang_log_img/66792896.jpg","show blot")</f>
        <v>show blot</v>
      </c>
      <c r="H7061" s="8" t="str">
        <f>HYPERLINK("https://esbl.nhlbi.nih.gov/Databases/mpkFractions/proteomic_fractions_linear_files/Yang_linear_img/66792896.jpg","show blot")</f>
        <v>show blot</v>
      </c>
      <c r="J7061" s="5" t="s">
        <v>13893</v>
      </c>
      <c r="L7061" s="11">
        <v>4.0753159683721716</v>
      </c>
      <c r="N7061" s="12"/>
    </row>
    <row r="7062" spans="1:14" s="5" customFormat="1" ht="15" customHeight="1" x14ac:dyDescent="0.25">
      <c r="A7062" s="9" t="s">
        <v>13894</v>
      </c>
      <c r="C7062" s="9" t="str">
        <f>HYPERLINK("http://www.ncbi.nlm.nih.gov/protein/18017596","Snx4")</f>
        <v>Snx4</v>
      </c>
      <c r="D7062" s="10">
        <f t="shared" si="110"/>
        <v>4.9787358552889227</v>
      </c>
      <c r="F7062" s="8" t="str">
        <f>HYPERLINK("https://esbl.nhlbi.nih.gov/Databases/mpkFractions/proteomic_fractions_log_files/Yang_log_img/18017596.jpg","show blot")</f>
        <v>show blot</v>
      </c>
      <c r="H7062" s="8" t="str">
        <f>HYPERLINK("https://esbl.nhlbi.nih.gov/Databases/mpkFractions/proteomic_fractions_linear_files/Yang_linear_img/18017596.jpg","show blot")</f>
        <v>show blot</v>
      </c>
      <c r="J7062" s="5" t="s">
        <v>13895</v>
      </c>
      <c r="L7062" s="11">
        <v>4.9787358552889227</v>
      </c>
      <c r="N7062" s="12"/>
    </row>
    <row r="7063" spans="1:14" s="5" customFormat="1" ht="15" customHeight="1" x14ac:dyDescent="0.25">
      <c r="A7063" s="9" t="s">
        <v>13896</v>
      </c>
      <c r="C7063" s="9" t="str">
        <f>HYPERLINK("http://www.ncbi.nlm.nih.gov/protein/18034769","Snx5")</f>
        <v>Snx5</v>
      </c>
      <c r="D7063" s="10">
        <f t="shared" si="110"/>
        <v>5.4513470223249492</v>
      </c>
      <c r="F7063" s="8" t="str">
        <f>HYPERLINK("https://esbl.nhlbi.nih.gov/Databases/mpkFractions/proteomic_fractions_log_files/Yang_log_img/18034769.jpg","show blot")</f>
        <v>show blot</v>
      </c>
      <c r="H7063" s="8" t="str">
        <f>HYPERLINK("https://esbl.nhlbi.nih.gov/Databases/mpkFractions/proteomic_fractions_linear_files/Yang_linear_img/18034769.jpg","show blot")</f>
        <v>show blot</v>
      </c>
      <c r="J7063" s="5" t="s">
        <v>13897</v>
      </c>
      <c r="L7063" s="11">
        <v>5.4513470223249492</v>
      </c>
      <c r="N7063" s="12"/>
    </row>
    <row r="7064" spans="1:14" s="5" customFormat="1" ht="15" customHeight="1" x14ac:dyDescent="0.25">
      <c r="A7064" s="9" t="s">
        <v>13898</v>
      </c>
      <c r="C7064" s="9" t="str">
        <f>HYPERLINK("http://www.ncbi.nlm.nih.gov/protein/27754031","Snx6")</f>
        <v>Snx6</v>
      </c>
      <c r="D7064" s="10">
        <f t="shared" si="110"/>
        <v>5.6100199065731742</v>
      </c>
      <c r="F7064" s="8" t="str">
        <f>HYPERLINK("https://esbl.nhlbi.nih.gov/Databases/mpkFractions/proteomic_fractions_log_files/Yang_log_img/27754031.jpg","show blot")</f>
        <v>show blot</v>
      </c>
      <c r="H7064" s="8" t="str">
        <f>HYPERLINK("https://esbl.nhlbi.nih.gov/Databases/mpkFractions/proteomic_fractions_linear_files/Yang_linear_img/27754031.jpg","show blot")</f>
        <v>show blot</v>
      </c>
      <c r="J7064" s="5" t="s">
        <v>13899</v>
      </c>
      <c r="L7064" s="11">
        <v>5.6100199065731742</v>
      </c>
      <c r="N7064" s="12"/>
    </row>
    <row r="7065" spans="1:14" s="5" customFormat="1" ht="15" customHeight="1" x14ac:dyDescent="0.25">
      <c r="A7065" s="9" t="s">
        <v>13900</v>
      </c>
      <c r="C7065" s="9" t="str">
        <f>HYPERLINK("http://www.ncbi.nlm.nih.gov/protein/297747313","Snx7")</f>
        <v>Snx7</v>
      </c>
      <c r="D7065" s="10">
        <f t="shared" si="110"/>
        <v>4.155696244672539</v>
      </c>
      <c r="F7065" s="8" t="str">
        <f>HYPERLINK("https://esbl.nhlbi.nih.gov/Databases/mpkFractions/proteomic_fractions_log_files/Yang_log_img/297747313.jpg","show blot")</f>
        <v>show blot</v>
      </c>
      <c r="H7065" s="8" t="str">
        <f>HYPERLINK("https://esbl.nhlbi.nih.gov/Databases/mpkFractions/proteomic_fractions_linear_files/Yang_linear_img/297747313.jpg","show blot")</f>
        <v>show blot</v>
      </c>
      <c r="J7065" s="5" t="s">
        <v>13901</v>
      </c>
      <c r="L7065" s="11">
        <v>4.155696244672539</v>
      </c>
      <c r="N7065" s="12"/>
    </row>
    <row r="7066" spans="1:14" s="5" customFormat="1" ht="15" customHeight="1" x14ac:dyDescent="0.25">
      <c r="A7066" s="9" t="s">
        <v>13902</v>
      </c>
      <c r="C7066" s="9" t="str">
        <f>HYPERLINK("http://www.ncbi.nlm.nih.gov/protein/297747317","Snx7")</f>
        <v>Snx7</v>
      </c>
      <c r="D7066" s="10">
        <f t="shared" si="110"/>
        <v>4.155696244672539</v>
      </c>
      <c r="F7066" s="8" t="str">
        <f>HYPERLINK("https://esbl.nhlbi.nih.gov/Databases/mpkFractions/proteomic_fractions_log_files/Yang_log_img/297747317.jpg","show blot")</f>
        <v>show blot</v>
      </c>
      <c r="H7066" s="8" t="str">
        <f>HYPERLINK("https://esbl.nhlbi.nih.gov/Databases/mpkFractions/proteomic_fractions_linear_files/Yang_linear_img/297747317.jpg","show blot")</f>
        <v>show blot</v>
      </c>
      <c r="J7066" s="5" t="s">
        <v>13903</v>
      </c>
      <c r="L7066" s="11">
        <v>4.155696244672539</v>
      </c>
      <c r="N7066" s="12"/>
    </row>
    <row r="7067" spans="1:14" s="5" customFormat="1" ht="15" customHeight="1" x14ac:dyDescent="0.25">
      <c r="A7067" s="9" t="s">
        <v>13904</v>
      </c>
      <c r="C7067" s="9" t="str">
        <f>HYPERLINK("http://www.ncbi.nlm.nih.gov/protein/26986581","Snx8")</f>
        <v>Snx8</v>
      </c>
      <c r="D7067" s="10">
        <f t="shared" si="110"/>
        <v>3.6779238347540248</v>
      </c>
      <c r="F7067" s="8" t="str">
        <f>HYPERLINK("https://esbl.nhlbi.nih.gov/Databases/mpkFractions/proteomic_fractions_log_files/Yang_log_img/26986581.jpg","show blot")</f>
        <v>show blot</v>
      </c>
      <c r="H7067" s="8" t="str">
        <f>HYPERLINK("https://esbl.nhlbi.nih.gov/Databases/mpkFractions/proteomic_fractions_linear_files/Yang_linear_img/26986581.jpg","show blot")</f>
        <v>show blot</v>
      </c>
      <c r="J7067" s="5" t="s">
        <v>13905</v>
      </c>
      <c r="L7067" s="11">
        <v>3.6779238347540248</v>
      </c>
      <c r="N7067" s="12"/>
    </row>
    <row r="7068" spans="1:14" s="5" customFormat="1" ht="15" customHeight="1" x14ac:dyDescent="0.25">
      <c r="A7068" s="9" t="s">
        <v>13906</v>
      </c>
      <c r="C7068" s="9" t="str">
        <f>HYPERLINK("http://www.ncbi.nlm.nih.gov/protein/29568084","Snx9")</f>
        <v>Snx9</v>
      </c>
      <c r="D7068" s="10">
        <f t="shared" si="110"/>
        <v>4.7441737631642598</v>
      </c>
      <c r="F7068" s="8" t="str">
        <f>HYPERLINK("https://esbl.nhlbi.nih.gov/Databases/mpkFractions/proteomic_fractions_log_files/Yang_log_img/29568084.jpg","show blot")</f>
        <v>show blot</v>
      </c>
      <c r="H7068" s="8" t="str">
        <f>HYPERLINK("https://esbl.nhlbi.nih.gov/Databases/mpkFractions/proteomic_fractions_linear_files/Yang_linear_img/29568084.jpg","show blot")</f>
        <v>show blot</v>
      </c>
      <c r="J7068" s="5" t="s">
        <v>13907</v>
      </c>
      <c r="L7068" s="11">
        <v>4.7441737631642598</v>
      </c>
      <c r="N7068" s="12"/>
    </row>
    <row r="7069" spans="1:14" s="5" customFormat="1" ht="15" customHeight="1" x14ac:dyDescent="0.25">
      <c r="A7069" s="9" t="s">
        <v>13908</v>
      </c>
      <c r="C7069" s="9" t="str">
        <f>HYPERLINK("http://www.ncbi.nlm.nih.gov/protein/84619697","Soat1")</f>
        <v>Soat1</v>
      </c>
      <c r="D7069" s="10">
        <f t="shared" si="110"/>
        <v>4.1922548222229281</v>
      </c>
      <c r="F7069" s="8" t="str">
        <f>HYPERLINK("https://esbl.nhlbi.nih.gov/Databases/mpkFractions/proteomic_fractions_log_files/Yang_log_img/84619697.jpg","show blot")</f>
        <v>show blot</v>
      </c>
      <c r="H7069" s="8" t="str">
        <f>HYPERLINK("https://esbl.nhlbi.nih.gov/Databases/mpkFractions/proteomic_fractions_linear_files/Yang_linear_img/84619697.jpg","show blot")</f>
        <v>show blot</v>
      </c>
      <c r="J7069" s="5" t="s">
        <v>13909</v>
      </c>
      <c r="L7069" s="11">
        <v>4.1922548222229281</v>
      </c>
      <c r="N7069" s="12"/>
    </row>
    <row r="7070" spans="1:14" s="5" customFormat="1" ht="15" customHeight="1" x14ac:dyDescent="0.25">
      <c r="A7070" s="9" t="s">
        <v>13910</v>
      </c>
      <c r="C7070" s="9" t="str">
        <f>HYPERLINK("http://www.ncbi.nlm.nih.gov/protein/45597447","Sod1")</f>
        <v>Sod1</v>
      </c>
      <c r="D7070" s="10">
        <f t="shared" si="110"/>
        <v>6.6067238094527729</v>
      </c>
      <c r="F7070" s="8" t="str">
        <f>HYPERLINK("https://esbl.nhlbi.nih.gov/Databases/mpkFractions/proteomic_fractions_log_files/Yang_log_img/45597447.jpg","show blot")</f>
        <v>show blot</v>
      </c>
      <c r="H7070" s="8" t="str">
        <f>HYPERLINK("https://esbl.nhlbi.nih.gov/Databases/mpkFractions/proteomic_fractions_linear_files/Yang_linear_img/45597447.jpg","show blot")</f>
        <v>show blot</v>
      </c>
      <c r="J7070" s="5" t="s">
        <v>13911</v>
      </c>
      <c r="L7070" s="11">
        <v>6.6067238094527729</v>
      </c>
      <c r="N7070" s="12"/>
    </row>
    <row r="7071" spans="1:14" s="5" customFormat="1" ht="15" customHeight="1" x14ac:dyDescent="0.25">
      <c r="A7071" s="9" t="s">
        <v>13912</v>
      </c>
      <c r="C7071" s="9" t="str">
        <f>HYPERLINK("http://www.ncbi.nlm.nih.gov/protein/31980762","Sod2")</f>
        <v>Sod2</v>
      </c>
      <c r="D7071" s="10">
        <f t="shared" si="110"/>
        <v>5.939910330467832</v>
      </c>
      <c r="F7071" s="8" t="str">
        <f>HYPERLINK("https://esbl.nhlbi.nih.gov/Databases/mpkFractions/proteomic_fractions_log_files/Yang_log_img/31980762.jpg","show blot")</f>
        <v>show blot</v>
      </c>
      <c r="H7071" s="8" t="str">
        <f>HYPERLINK("https://esbl.nhlbi.nih.gov/Databases/mpkFractions/proteomic_fractions_linear_files/Yang_linear_img/31980762.jpg","show blot")</f>
        <v>show blot</v>
      </c>
      <c r="J7071" s="5" t="s">
        <v>13913</v>
      </c>
      <c r="L7071" s="11">
        <v>5.939910330467832</v>
      </c>
      <c r="N7071" s="12"/>
    </row>
    <row r="7072" spans="1:14" s="5" customFormat="1" ht="15" customHeight="1" x14ac:dyDescent="0.25">
      <c r="A7072" s="9" t="s">
        <v>13914</v>
      </c>
      <c r="C7072" s="9" t="str">
        <f>HYPERLINK("http://www.ncbi.nlm.nih.gov/protein/124358955","Son")</f>
        <v>Son</v>
      </c>
      <c r="D7072" s="10">
        <f t="shared" si="110"/>
        <v>3.115009560150761</v>
      </c>
      <c r="F7072" s="8" t="str">
        <f>HYPERLINK("https://esbl.nhlbi.nih.gov/Databases/mpkFractions/proteomic_fractions_log_files/Yang_log_img/124358955.jpg","show blot")</f>
        <v>show blot</v>
      </c>
      <c r="H7072" s="8" t="str">
        <f>HYPERLINK("https://esbl.nhlbi.nih.gov/Databases/mpkFractions/proteomic_fractions_linear_files/Yang_linear_img/124358955.jpg","show blot")</f>
        <v>show blot</v>
      </c>
      <c r="J7072" s="5" t="s">
        <v>13915</v>
      </c>
      <c r="L7072" s="11">
        <v>3.115009560150761</v>
      </c>
      <c r="N7072" s="12"/>
    </row>
    <row r="7073" spans="1:14" s="5" customFormat="1" ht="15" customHeight="1" x14ac:dyDescent="0.25">
      <c r="A7073" s="9" t="s">
        <v>13916</v>
      </c>
      <c r="C7073" s="9" t="str">
        <f>HYPERLINK("http://www.ncbi.nlm.nih.gov/protein/124378037","Son")</f>
        <v>Son</v>
      </c>
      <c r="D7073" s="10">
        <f t="shared" si="110"/>
        <v>3.115009560150761</v>
      </c>
      <c r="F7073" s="8" t="str">
        <f>HYPERLINK("https://esbl.nhlbi.nih.gov/Databases/mpkFractions/proteomic_fractions_log_files/Yang_log_img/124378037.jpg","show blot")</f>
        <v>show blot</v>
      </c>
      <c r="H7073" s="8" t="str">
        <f>HYPERLINK("https://esbl.nhlbi.nih.gov/Databases/mpkFractions/proteomic_fractions_linear_files/Yang_linear_img/124378037.jpg","show blot")</f>
        <v>show blot</v>
      </c>
      <c r="J7073" s="5" t="s">
        <v>13917</v>
      </c>
      <c r="L7073" s="11">
        <v>3.115009560150761</v>
      </c>
      <c r="N7073" s="12"/>
    </row>
    <row r="7074" spans="1:14" s="5" customFormat="1" ht="15" customHeight="1" x14ac:dyDescent="0.25">
      <c r="A7074" s="9" t="s">
        <v>13918</v>
      </c>
      <c r="C7074" s="9" t="str">
        <f>HYPERLINK("http://www.ncbi.nlm.nih.gov/protein/78000154","Sorbs1")</f>
        <v>Sorbs1</v>
      </c>
      <c r="D7074" s="10">
        <f t="shared" si="110"/>
        <v>2.6215700670144568</v>
      </c>
      <c r="F7074" s="8" t="str">
        <f>HYPERLINK("https://esbl.nhlbi.nih.gov/Databases/mpkFractions/proteomic_fractions_log_files/Yang_log_img/78000154.jpg","show blot")</f>
        <v>show blot</v>
      </c>
      <c r="H7074" s="8" t="str">
        <f>HYPERLINK("https://esbl.nhlbi.nih.gov/Databases/mpkFractions/proteomic_fractions_linear_files/Yang_linear_img/78000154.jpg","show blot")</f>
        <v>show blot</v>
      </c>
      <c r="J7074" s="5" t="s">
        <v>13919</v>
      </c>
      <c r="L7074" s="11">
        <v>2.6215700670144568</v>
      </c>
      <c r="N7074" s="12"/>
    </row>
    <row r="7075" spans="1:14" s="5" customFormat="1" ht="15" customHeight="1" x14ac:dyDescent="0.25">
      <c r="A7075" s="9" t="s">
        <v>13920</v>
      </c>
      <c r="C7075" s="9" t="str">
        <f>HYPERLINK("http://www.ncbi.nlm.nih.gov/protein/78000173","Sorbs1")</f>
        <v>Sorbs1</v>
      </c>
      <c r="D7075" s="10">
        <f t="shared" si="110"/>
        <v>2.6215700670144568</v>
      </c>
      <c r="F7075" s="8" t="str">
        <f>HYPERLINK("https://esbl.nhlbi.nih.gov/Databases/mpkFractions/proteomic_fractions_log_files/Yang_log_img/78000173.jpg","show blot")</f>
        <v>show blot</v>
      </c>
      <c r="H7075" s="8" t="str">
        <f>HYPERLINK("https://esbl.nhlbi.nih.gov/Databases/mpkFractions/proteomic_fractions_linear_files/Yang_linear_img/78000173.jpg","show blot")</f>
        <v>show blot</v>
      </c>
      <c r="J7075" s="5" t="s">
        <v>13921</v>
      </c>
      <c r="L7075" s="11">
        <v>2.6215700670144568</v>
      </c>
      <c r="N7075" s="12"/>
    </row>
    <row r="7076" spans="1:14" s="5" customFormat="1" ht="15" customHeight="1" x14ac:dyDescent="0.25">
      <c r="A7076" s="9" t="s">
        <v>13922</v>
      </c>
      <c r="C7076" s="9" t="str">
        <f>HYPERLINK("http://www.ncbi.nlm.nih.gov/protein/78000175","Sorbs1")</f>
        <v>Sorbs1</v>
      </c>
      <c r="D7076" s="10">
        <f t="shared" si="110"/>
        <v>2.6215700670144568</v>
      </c>
      <c r="F7076" s="8" t="str">
        <f>HYPERLINK("https://esbl.nhlbi.nih.gov/Databases/mpkFractions/proteomic_fractions_log_files/Yang_log_img/78000175.jpg","show blot")</f>
        <v>show blot</v>
      </c>
      <c r="H7076" s="8" t="str">
        <f>HYPERLINK("https://esbl.nhlbi.nih.gov/Databases/mpkFractions/proteomic_fractions_linear_files/Yang_linear_img/78000175.jpg","show blot")</f>
        <v>show blot</v>
      </c>
      <c r="J7076" s="5" t="s">
        <v>13923</v>
      </c>
      <c r="L7076" s="11">
        <v>2.6215700670144568</v>
      </c>
      <c r="N7076" s="12"/>
    </row>
    <row r="7077" spans="1:14" s="5" customFormat="1" ht="15" customHeight="1" x14ac:dyDescent="0.25">
      <c r="A7077" s="9" t="s">
        <v>13924</v>
      </c>
      <c r="C7077" s="9" t="str">
        <f>HYPERLINK("http://www.ncbi.nlm.nih.gov/protein/78000177","Sorbs1")</f>
        <v>Sorbs1</v>
      </c>
      <c r="D7077" s="10">
        <f t="shared" si="110"/>
        <v>2.6215700670144568</v>
      </c>
      <c r="F7077" s="8" t="str">
        <f>HYPERLINK("https://esbl.nhlbi.nih.gov/Databases/mpkFractions/proteomic_fractions_log_files/Yang_log_img/78000177.jpg","show blot")</f>
        <v>show blot</v>
      </c>
      <c r="H7077" s="8" t="str">
        <f>HYPERLINK("https://esbl.nhlbi.nih.gov/Databases/mpkFractions/proteomic_fractions_linear_files/Yang_linear_img/78000177.jpg","show blot")</f>
        <v>show blot</v>
      </c>
      <c r="J7077" s="5" t="s">
        <v>13925</v>
      </c>
      <c r="L7077" s="11">
        <v>2.6215700670144568</v>
      </c>
      <c r="N7077" s="12"/>
    </row>
    <row r="7078" spans="1:14" s="5" customFormat="1" ht="15" customHeight="1" x14ac:dyDescent="0.25">
      <c r="A7078" s="9" t="s">
        <v>13926</v>
      </c>
      <c r="C7078" s="9" t="str">
        <f>HYPERLINK("http://www.ncbi.nlm.nih.gov/protein/78000179","Sorbs1")</f>
        <v>Sorbs1</v>
      </c>
      <c r="D7078" s="10">
        <f t="shared" si="110"/>
        <v>2.6215700670144568</v>
      </c>
      <c r="F7078" s="8" t="str">
        <f>HYPERLINK("https://esbl.nhlbi.nih.gov/Databases/mpkFractions/proteomic_fractions_log_files/Yang_log_img/78000179.jpg","show blot")</f>
        <v>show blot</v>
      </c>
      <c r="H7078" s="8" t="str">
        <f>HYPERLINK("https://esbl.nhlbi.nih.gov/Databases/mpkFractions/proteomic_fractions_linear_files/Yang_linear_img/78000179.jpg","show blot")</f>
        <v>show blot</v>
      </c>
      <c r="J7078" s="5" t="s">
        <v>13927</v>
      </c>
      <c r="L7078" s="11">
        <v>2.6215700670144568</v>
      </c>
      <c r="N7078" s="12"/>
    </row>
    <row r="7079" spans="1:14" s="5" customFormat="1" ht="15" customHeight="1" x14ac:dyDescent="0.25">
      <c r="A7079" s="9" t="s">
        <v>13928</v>
      </c>
      <c r="C7079" s="9" t="str">
        <f>HYPERLINK("http://www.ncbi.nlm.nih.gov/protein/327315368","Sorbs2")</f>
        <v>Sorbs2</v>
      </c>
      <c r="D7079" s="10">
        <f t="shared" si="110"/>
        <v>2.7408597610970031</v>
      </c>
      <c r="F7079" s="8" t="str">
        <f>HYPERLINK("https://esbl.nhlbi.nih.gov/Databases/mpkFractions/proteomic_fractions_log_files/Yang_log_img/327315368.jpg","show blot")</f>
        <v>show blot</v>
      </c>
      <c r="H7079" s="8" t="str">
        <f>HYPERLINK("https://esbl.nhlbi.nih.gov/Databases/mpkFractions/proteomic_fractions_linear_files/Yang_linear_img/327315368.jpg","show blot")</f>
        <v>show blot</v>
      </c>
      <c r="J7079" s="5" t="s">
        <v>13929</v>
      </c>
      <c r="L7079" s="11">
        <v>2.7408597610970031</v>
      </c>
      <c r="N7079" s="12"/>
    </row>
    <row r="7080" spans="1:14" s="5" customFormat="1" ht="15" customHeight="1" x14ac:dyDescent="0.25">
      <c r="A7080" s="9" t="s">
        <v>13930</v>
      </c>
      <c r="C7080" s="9" t="str">
        <f>HYPERLINK("http://www.ncbi.nlm.nih.gov/protein/327315370","Sorbs2")</f>
        <v>Sorbs2</v>
      </c>
      <c r="D7080" s="10">
        <f t="shared" si="110"/>
        <v>2.7408597610970031</v>
      </c>
      <c r="F7080" s="8" t="str">
        <f>HYPERLINK("https://esbl.nhlbi.nih.gov/Databases/mpkFractions/proteomic_fractions_log_files/Yang_log_img/327315370.jpg","show blot")</f>
        <v>show blot</v>
      </c>
      <c r="H7080" s="8" t="str">
        <f>HYPERLINK("https://esbl.nhlbi.nih.gov/Databases/mpkFractions/proteomic_fractions_linear_files/Yang_linear_img/327315370.jpg","show blot")</f>
        <v>show blot</v>
      </c>
      <c r="J7080" s="5" t="s">
        <v>13931</v>
      </c>
      <c r="L7080" s="11">
        <v>2.7408597610970031</v>
      </c>
      <c r="N7080" s="12"/>
    </row>
    <row r="7081" spans="1:14" s="5" customFormat="1" ht="15" customHeight="1" x14ac:dyDescent="0.25">
      <c r="A7081" s="9" t="s">
        <v>13932</v>
      </c>
      <c r="C7081" s="9" t="str">
        <f>HYPERLINK("http://www.ncbi.nlm.nih.gov/protein/406719571","Sorbs3")</f>
        <v>Sorbs3</v>
      </c>
      <c r="D7081" s="10">
        <f t="shared" si="110"/>
        <v>5.0167771797017666</v>
      </c>
      <c r="F7081" s="8" t="str">
        <f>HYPERLINK("https://esbl.nhlbi.nih.gov/Databases/mpkFractions/proteomic_fractions_log_files/Yang_log_img/406719571.jpg","show blot")</f>
        <v>show blot</v>
      </c>
      <c r="H7081" s="8" t="str">
        <f>HYPERLINK("https://esbl.nhlbi.nih.gov/Databases/mpkFractions/proteomic_fractions_linear_files/Yang_linear_img/406719571.jpg","show blot")</f>
        <v>show blot</v>
      </c>
      <c r="J7081" s="5" t="s">
        <v>13933</v>
      </c>
      <c r="L7081" s="11">
        <v>5.0167771797017666</v>
      </c>
      <c r="N7081" s="12"/>
    </row>
    <row r="7082" spans="1:14" s="5" customFormat="1" ht="15" customHeight="1" x14ac:dyDescent="0.25">
      <c r="A7082" s="9" t="s">
        <v>13934</v>
      </c>
      <c r="C7082" s="9" t="str">
        <f>HYPERLINK("http://www.ncbi.nlm.nih.gov/protein/406719575","Sorbs3")</f>
        <v>Sorbs3</v>
      </c>
      <c r="D7082" s="10">
        <f t="shared" si="110"/>
        <v>5.0167771797017666</v>
      </c>
      <c r="F7082" s="8" t="str">
        <f>HYPERLINK("https://esbl.nhlbi.nih.gov/Databases/mpkFractions/proteomic_fractions_log_files/Yang_log_img/406719575.jpg","show blot")</f>
        <v>show blot</v>
      </c>
      <c r="H7082" s="8" t="str">
        <f>HYPERLINK("https://esbl.nhlbi.nih.gov/Databases/mpkFractions/proteomic_fractions_linear_files/Yang_linear_img/406719575.jpg","show blot")</f>
        <v>show blot</v>
      </c>
      <c r="J7082" s="5" t="s">
        <v>13935</v>
      </c>
      <c r="L7082" s="11">
        <v>5.0167771797017666</v>
      </c>
      <c r="N7082" s="12"/>
    </row>
    <row r="7083" spans="1:14" s="5" customFormat="1" ht="15" customHeight="1" x14ac:dyDescent="0.25">
      <c r="A7083" s="9" t="s">
        <v>13936</v>
      </c>
      <c r="C7083" s="9" t="str">
        <f>HYPERLINK("http://www.ncbi.nlm.nih.gov/protein/6755504","Sorbs3")</f>
        <v>Sorbs3</v>
      </c>
      <c r="D7083" s="10">
        <f t="shared" si="110"/>
        <v>5.0167771797017666</v>
      </c>
      <c r="F7083" s="8" t="str">
        <f>HYPERLINK("https://esbl.nhlbi.nih.gov/Databases/mpkFractions/proteomic_fractions_log_files/Yang_log_img/6755504.jpg","show blot")</f>
        <v>show blot</v>
      </c>
      <c r="H7083" s="8" t="str">
        <f>HYPERLINK("https://esbl.nhlbi.nih.gov/Databases/mpkFractions/proteomic_fractions_linear_files/Yang_linear_img/6755504.jpg","show blot")</f>
        <v>show blot</v>
      </c>
      <c r="J7083" s="5" t="s">
        <v>13937</v>
      </c>
      <c r="L7083" s="11">
        <v>5.0167771797017666</v>
      </c>
      <c r="N7083" s="12"/>
    </row>
    <row r="7084" spans="1:14" s="5" customFormat="1" ht="15" customHeight="1" x14ac:dyDescent="0.25">
      <c r="A7084" s="9" t="s">
        <v>13938</v>
      </c>
      <c r="C7084" s="9" t="str">
        <f>HYPERLINK("http://www.ncbi.nlm.nih.gov/protein/22128627","Sord")</f>
        <v>Sord</v>
      </c>
      <c r="D7084" s="10">
        <f t="shared" si="110"/>
        <v>5.1360511339113826</v>
      </c>
      <c r="F7084" s="8" t="str">
        <f>HYPERLINK("https://esbl.nhlbi.nih.gov/Databases/mpkFractions/proteomic_fractions_log_files/Yang_log_img/22128627.jpg","show blot")</f>
        <v>show blot</v>
      </c>
      <c r="H7084" s="8" t="str">
        <f>HYPERLINK("https://esbl.nhlbi.nih.gov/Databases/mpkFractions/proteomic_fractions_linear_files/Yang_linear_img/22128627.jpg","show blot")</f>
        <v>show blot</v>
      </c>
      <c r="J7084" s="5" t="s">
        <v>13939</v>
      </c>
      <c r="L7084" s="11">
        <v>5.1360511339113826</v>
      </c>
      <c r="N7084" s="12"/>
    </row>
    <row r="7085" spans="1:14" s="5" customFormat="1" ht="15" customHeight="1" x14ac:dyDescent="0.25">
      <c r="A7085" s="9" t="s">
        <v>13940</v>
      </c>
      <c r="C7085" s="9" t="str">
        <f>HYPERLINK("http://www.ncbi.nlm.nih.gov/protein/110625645","Sorl1")</f>
        <v>Sorl1</v>
      </c>
      <c r="D7085" s="10">
        <f t="shared" si="110"/>
        <v>4.0211935177947726</v>
      </c>
      <c r="F7085" s="8" t="str">
        <f>HYPERLINK("https://esbl.nhlbi.nih.gov/Databases/mpkFractions/proteomic_fractions_log_files/Yang_log_img/110625645.jpg","show blot")</f>
        <v>show blot</v>
      </c>
      <c r="H7085" s="8" t="str">
        <f>HYPERLINK("https://esbl.nhlbi.nih.gov/Databases/mpkFractions/proteomic_fractions_linear_files/Yang_linear_img/110625645.jpg","show blot")</f>
        <v>show blot</v>
      </c>
      <c r="J7085" s="5" t="s">
        <v>13941</v>
      </c>
      <c r="L7085" s="11">
        <v>4.0211935177947726</v>
      </c>
      <c r="N7085" s="12"/>
    </row>
    <row r="7086" spans="1:14" s="5" customFormat="1" ht="15" customHeight="1" x14ac:dyDescent="0.25">
      <c r="A7086" s="9" t="s">
        <v>13942</v>
      </c>
      <c r="C7086" s="9" t="str">
        <f>HYPERLINK("http://www.ncbi.nlm.nih.gov/protein/34610211","Sort1")</f>
        <v>Sort1</v>
      </c>
      <c r="D7086" s="10">
        <f t="shared" si="110"/>
        <v>3.789426089125703</v>
      </c>
      <c r="F7086" s="8" t="str">
        <f>HYPERLINK("https://esbl.nhlbi.nih.gov/Databases/mpkFractions/proteomic_fractions_log_files/Yang_log_img/34610211.jpg","show blot")</f>
        <v>show blot</v>
      </c>
      <c r="H7086" s="8" t="str">
        <f>HYPERLINK("https://esbl.nhlbi.nih.gov/Databases/mpkFractions/proteomic_fractions_linear_files/Yang_linear_img/34610211.jpg","show blot")</f>
        <v>show blot</v>
      </c>
      <c r="J7086" s="5" t="s">
        <v>13943</v>
      </c>
      <c r="L7086" s="11">
        <v>3.789426089125703</v>
      </c>
      <c r="N7086" s="12"/>
    </row>
    <row r="7087" spans="1:14" s="5" customFormat="1" ht="15" customHeight="1" x14ac:dyDescent="0.25">
      <c r="A7087" s="9" t="s">
        <v>13944</v>
      </c>
      <c r="C7087" s="9" t="str">
        <f>HYPERLINK("http://www.ncbi.nlm.nih.gov/protein/409264681","Sort1")</f>
        <v>Sort1</v>
      </c>
      <c r="D7087" s="10">
        <f t="shared" si="110"/>
        <v>3.789426089125703</v>
      </c>
      <c r="F7087" s="8" t="str">
        <f>HYPERLINK("https://esbl.nhlbi.nih.gov/Databases/mpkFractions/proteomic_fractions_log_files/Yang_log_img/409264681.jpg","show blot")</f>
        <v>show blot</v>
      </c>
      <c r="H7087" s="8" t="str">
        <f>HYPERLINK("https://esbl.nhlbi.nih.gov/Databases/mpkFractions/proteomic_fractions_linear_files/Yang_linear_img/409264681.jpg","show blot")</f>
        <v>show blot</v>
      </c>
      <c r="J7087" s="5" t="s">
        <v>13945</v>
      </c>
      <c r="L7087" s="11">
        <v>3.789426089125703</v>
      </c>
      <c r="N7087" s="12"/>
    </row>
    <row r="7088" spans="1:14" s="5" customFormat="1" ht="15" customHeight="1" x14ac:dyDescent="0.25">
      <c r="A7088" s="9" t="s">
        <v>13946</v>
      </c>
      <c r="C7088" s="9" t="str">
        <f>HYPERLINK("http://www.ncbi.nlm.nih.gov/protein/117414170","Sos1")</f>
        <v>Sos1</v>
      </c>
      <c r="D7088" s="10">
        <f t="shared" si="110"/>
        <v>3.1371474509027588</v>
      </c>
      <c r="F7088" s="8" t="str">
        <f>HYPERLINK("https://esbl.nhlbi.nih.gov/Databases/mpkFractions/proteomic_fractions_log_files/Yang_log_img/117414170.jpg","show blot")</f>
        <v>show blot</v>
      </c>
      <c r="H7088" s="8" t="str">
        <f>HYPERLINK("https://esbl.nhlbi.nih.gov/Databases/mpkFractions/proteomic_fractions_linear_files/Yang_linear_img/117414170.jpg","show blot")</f>
        <v>show blot</v>
      </c>
      <c r="J7088" s="5" t="s">
        <v>13947</v>
      </c>
      <c r="L7088" s="11">
        <v>3.1371474509027588</v>
      </c>
      <c r="N7088" s="12"/>
    </row>
    <row r="7089" spans="1:14" s="5" customFormat="1" ht="15" customHeight="1" x14ac:dyDescent="0.25">
      <c r="A7089" s="9" t="s">
        <v>13948</v>
      </c>
      <c r="C7089" s="9" t="str">
        <f>HYPERLINK("http://www.ncbi.nlm.nih.gov/protein/30424924","Sowahb")</f>
        <v>Sowahb</v>
      </c>
      <c r="D7089" s="10">
        <f t="shared" si="110"/>
        <v>2.3270084392120989</v>
      </c>
      <c r="F7089" s="8" t="str">
        <f>HYPERLINK("https://esbl.nhlbi.nih.gov/Databases/mpkFractions/proteomic_fractions_log_files/Yang_log_img/30424924.jpg","show blot")</f>
        <v>show blot</v>
      </c>
      <c r="H7089" s="8" t="str">
        <f>HYPERLINK("https://esbl.nhlbi.nih.gov/Databases/mpkFractions/proteomic_fractions_linear_files/Yang_linear_img/30424924.jpg","show blot")</f>
        <v>show blot</v>
      </c>
      <c r="J7089" s="5" t="s">
        <v>13949</v>
      </c>
      <c r="L7089" s="11">
        <v>2.3270084392120989</v>
      </c>
      <c r="N7089" s="12"/>
    </row>
    <row r="7090" spans="1:14" s="5" customFormat="1" ht="15" customHeight="1" x14ac:dyDescent="0.25">
      <c r="A7090" s="9" t="s">
        <v>13950</v>
      </c>
      <c r="C7090" s="9" t="str">
        <f>HYPERLINK("http://www.ncbi.nlm.nih.gov/protein/187173282","Sowahc")</f>
        <v>Sowahc</v>
      </c>
      <c r="D7090" s="10">
        <f t="shared" si="110"/>
        <v>2.9008864010804278</v>
      </c>
      <c r="F7090" s="8" t="str">
        <f>HYPERLINK("https://esbl.nhlbi.nih.gov/Databases/mpkFractions/proteomic_fractions_log_files/Yang_log_img/187173282.jpg","show blot")</f>
        <v>show blot</v>
      </c>
      <c r="H7090" s="8" t="str">
        <f>HYPERLINK("https://esbl.nhlbi.nih.gov/Databases/mpkFractions/proteomic_fractions_linear_files/Yang_linear_img/187173282.jpg","show blot")</f>
        <v>show blot</v>
      </c>
      <c r="J7090" s="5" t="s">
        <v>13951</v>
      </c>
      <c r="L7090" s="11">
        <v>2.9008864010804278</v>
      </c>
      <c r="N7090" s="12"/>
    </row>
    <row r="7091" spans="1:14" s="5" customFormat="1" ht="15" customHeight="1" x14ac:dyDescent="0.25">
      <c r="A7091" s="9" t="s">
        <v>13952</v>
      </c>
      <c r="C7091" s="9" t="str">
        <f>HYPERLINK("http://www.ncbi.nlm.nih.gov/protein/119226255","Sp1")</f>
        <v>Sp1</v>
      </c>
      <c r="D7091" s="10">
        <f t="shared" si="110"/>
        <v>2.9962090583715728</v>
      </c>
      <c r="F7091" s="8" t="str">
        <f>HYPERLINK("https://esbl.nhlbi.nih.gov/Databases/mpkFractions/proteomic_fractions_log_files/Yang_log_img/119226255.jpg","show blot")</f>
        <v>show blot</v>
      </c>
      <c r="H7091" s="8" t="str">
        <f>HYPERLINK("https://esbl.nhlbi.nih.gov/Databases/mpkFractions/proteomic_fractions_linear_files/Yang_linear_img/119226255.jpg","show blot")</f>
        <v>show blot</v>
      </c>
      <c r="J7091" s="5" t="s">
        <v>13953</v>
      </c>
      <c r="L7091" s="11">
        <v>2.9962090583715728</v>
      </c>
      <c r="N7091" s="12"/>
    </row>
    <row r="7092" spans="1:14" s="5" customFormat="1" ht="15" customHeight="1" x14ac:dyDescent="0.25">
      <c r="A7092" s="9" t="s">
        <v>13954</v>
      </c>
      <c r="C7092" s="9" t="str">
        <f>HYPERLINK("http://www.ncbi.nlm.nih.gov/protein/148747279","Spag1")</f>
        <v>Spag1</v>
      </c>
      <c r="D7092" s="10">
        <f t="shared" si="110"/>
        <v>1.553426367858826</v>
      </c>
      <c r="F7092" s="8" t="str">
        <f>HYPERLINK("https://esbl.nhlbi.nih.gov/Databases/mpkFractions/proteomic_fractions_log_files/Yang_log_img/148747279.jpg","show blot")</f>
        <v>show blot</v>
      </c>
      <c r="H7092" s="8" t="str">
        <f>HYPERLINK("https://esbl.nhlbi.nih.gov/Databases/mpkFractions/proteomic_fractions_linear_files/Yang_linear_img/148747279.jpg","show blot")</f>
        <v>show blot</v>
      </c>
      <c r="J7092" s="5" t="s">
        <v>13955</v>
      </c>
      <c r="L7092" s="11">
        <v>1.553426367858826</v>
      </c>
      <c r="N7092" s="12"/>
    </row>
    <row r="7093" spans="1:14" s="5" customFormat="1" ht="15" customHeight="1" x14ac:dyDescent="0.25">
      <c r="A7093" s="9" t="s">
        <v>13956</v>
      </c>
      <c r="C7093" s="9" t="str">
        <f>HYPERLINK("http://www.ncbi.nlm.nih.gov/protein/162287182","Spag17")</f>
        <v>Spag17</v>
      </c>
      <c r="D7093" s="10">
        <f t="shared" si="110"/>
        <v>2.626812471171081</v>
      </c>
      <c r="F7093" s="8" t="str">
        <f>HYPERLINK("https://esbl.nhlbi.nih.gov/Databases/mpkFractions/proteomic_fractions_log_files/Yang_log_img/162287182.jpg","show blot")</f>
        <v>show blot</v>
      </c>
      <c r="H7093" s="8" t="str">
        <f>HYPERLINK("https://esbl.nhlbi.nih.gov/Databases/mpkFractions/proteomic_fractions_linear_files/Yang_linear_img/162287182.jpg","show blot")</f>
        <v>show blot</v>
      </c>
      <c r="J7093" s="5" t="s">
        <v>13957</v>
      </c>
      <c r="L7093" s="11">
        <v>2.626812471171081</v>
      </c>
      <c r="N7093" s="12"/>
    </row>
    <row r="7094" spans="1:14" s="5" customFormat="1" ht="15" customHeight="1" x14ac:dyDescent="0.25">
      <c r="A7094" s="9" t="s">
        <v>13958</v>
      </c>
      <c r="C7094" s="9" t="str">
        <f>HYPERLINK("http://www.ncbi.nlm.nih.gov/protein/264681516","Spag7")</f>
        <v>Spag7</v>
      </c>
      <c r="D7094" s="10">
        <f t="shared" si="110"/>
        <v>5.2755483566241006</v>
      </c>
      <c r="F7094" s="8" t="str">
        <f>HYPERLINK("https://esbl.nhlbi.nih.gov/Databases/mpkFractions/proteomic_fractions_log_files/Yang_log_img/264681516.jpg","show blot")</f>
        <v>show blot</v>
      </c>
      <c r="H7094" s="8" t="str">
        <f>HYPERLINK("https://esbl.nhlbi.nih.gov/Databases/mpkFractions/proteomic_fractions_linear_files/Yang_linear_img/264681516.jpg","show blot")</f>
        <v>show blot</v>
      </c>
      <c r="J7094" s="5" t="s">
        <v>13959</v>
      </c>
      <c r="L7094" s="11">
        <v>5.2755483566241006</v>
      </c>
      <c r="N7094" s="12"/>
    </row>
    <row r="7095" spans="1:14" s="5" customFormat="1" ht="15" customHeight="1" x14ac:dyDescent="0.25">
      <c r="A7095" s="9" t="s">
        <v>13960</v>
      </c>
      <c r="C7095" s="9" t="str">
        <f>HYPERLINK("http://www.ncbi.nlm.nih.gov/protein/264681518","Spag7")</f>
        <v>Spag7</v>
      </c>
      <c r="D7095" s="10">
        <f t="shared" si="110"/>
        <v>5.2755483566241006</v>
      </c>
      <c r="F7095" s="8" t="str">
        <f>HYPERLINK("https://esbl.nhlbi.nih.gov/Databases/mpkFractions/proteomic_fractions_log_files/Yang_log_img/264681518.jpg","show blot")</f>
        <v>show blot</v>
      </c>
      <c r="H7095" s="8" t="str">
        <f>HYPERLINK("https://esbl.nhlbi.nih.gov/Databases/mpkFractions/proteomic_fractions_linear_files/Yang_linear_img/264681518.jpg","show blot")</f>
        <v>show blot</v>
      </c>
      <c r="J7095" s="5" t="s">
        <v>13961</v>
      </c>
      <c r="L7095" s="11">
        <v>5.2755483566241006</v>
      </c>
      <c r="N7095" s="12"/>
    </row>
    <row r="7096" spans="1:14" s="5" customFormat="1" ht="15" customHeight="1" x14ac:dyDescent="0.25">
      <c r="A7096" s="9" t="s">
        <v>13962</v>
      </c>
      <c r="C7096" s="9" t="str">
        <f>HYPERLINK("http://www.ncbi.nlm.nih.gov/protein/312836821","Spag9")</f>
        <v>Spag9</v>
      </c>
      <c r="D7096" s="10">
        <f t="shared" si="110"/>
        <v>4.5882225994325729</v>
      </c>
      <c r="F7096" s="8" t="str">
        <f>HYPERLINK("https://esbl.nhlbi.nih.gov/Databases/mpkFractions/proteomic_fractions_log_files/Yang_log_img/312836821.jpg","show blot")</f>
        <v>show blot</v>
      </c>
      <c r="H7096" s="8" t="str">
        <f>HYPERLINK("https://esbl.nhlbi.nih.gov/Databases/mpkFractions/proteomic_fractions_linear_files/Yang_linear_img/312836821.jpg","show blot")</f>
        <v>show blot</v>
      </c>
      <c r="J7096" s="5" t="s">
        <v>13963</v>
      </c>
      <c r="L7096" s="11">
        <v>4.5882225994325729</v>
      </c>
      <c r="N7096" s="12"/>
    </row>
    <row r="7097" spans="1:14" s="5" customFormat="1" ht="15" customHeight="1" x14ac:dyDescent="0.25">
      <c r="A7097" s="9" t="s">
        <v>13964</v>
      </c>
      <c r="C7097" s="9" t="str">
        <f>HYPERLINK("http://www.ncbi.nlm.nih.gov/protein/312836823","Spag9")</f>
        <v>Spag9</v>
      </c>
      <c r="D7097" s="10">
        <f t="shared" si="110"/>
        <v>4.5882225994325729</v>
      </c>
      <c r="F7097" s="8" t="str">
        <f>HYPERLINK("https://esbl.nhlbi.nih.gov/Databases/mpkFractions/proteomic_fractions_log_files/Yang_log_img/312836823.jpg","show blot")</f>
        <v>show blot</v>
      </c>
      <c r="H7097" s="8" t="str">
        <f>HYPERLINK("https://esbl.nhlbi.nih.gov/Databases/mpkFractions/proteomic_fractions_linear_files/Yang_linear_img/312836823.jpg","show blot")</f>
        <v>show blot</v>
      </c>
      <c r="J7097" s="5" t="s">
        <v>13965</v>
      </c>
      <c r="L7097" s="11">
        <v>4.5882225994325729</v>
      </c>
      <c r="N7097" s="12"/>
    </row>
    <row r="7098" spans="1:14" s="5" customFormat="1" ht="15" customHeight="1" x14ac:dyDescent="0.25">
      <c r="A7098" s="9" t="s">
        <v>13966</v>
      </c>
      <c r="C7098" s="9" t="str">
        <f>HYPERLINK("http://www.ncbi.nlm.nih.gov/protein/312836825","Spag9")</f>
        <v>Spag9</v>
      </c>
      <c r="D7098" s="10">
        <f t="shared" si="110"/>
        <v>4.5882225994325729</v>
      </c>
      <c r="F7098" s="8" t="str">
        <f>HYPERLINK("https://esbl.nhlbi.nih.gov/Databases/mpkFractions/proteomic_fractions_log_files/Yang_log_img/312836825.jpg","show blot")</f>
        <v>show blot</v>
      </c>
      <c r="H7098" s="8" t="str">
        <f>HYPERLINK("https://esbl.nhlbi.nih.gov/Databases/mpkFractions/proteomic_fractions_linear_files/Yang_linear_img/312836825.jpg","show blot")</f>
        <v>show blot</v>
      </c>
      <c r="J7098" s="5" t="s">
        <v>13967</v>
      </c>
      <c r="L7098" s="11">
        <v>4.5882225994325729</v>
      </c>
      <c r="N7098" s="12"/>
    </row>
    <row r="7099" spans="1:14" s="5" customFormat="1" ht="15" customHeight="1" x14ac:dyDescent="0.25">
      <c r="A7099" s="9" t="s">
        <v>13968</v>
      </c>
      <c r="C7099" s="9" t="str">
        <f>HYPERLINK("http://www.ncbi.nlm.nih.gov/protein/70887772","Spag9")</f>
        <v>Spag9</v>
      </c>
      <c r="D7099" s="10">
        <f t="shared" si="110"/>
        <v>4.5882225994325729</v>
      </c>
      <c r="F7099" s="8" t="str">
        <f>HYPERLINK("https://esbl.nhlbi.nih.gov/Databases/mpkFractions/proteomic_fractions_log_files/Yang_log_img/70887772.jpg","show blot")</f>
        <v>show blot</v>
      </c>
      <c r="H7099" s="8" t="str">
        <f>HYPERLINK("https://esbl.nhlbi.nih.gov/Databases/mpkFractions/proteomic_fractions_linear_files/Yang_linear_img/70887772.jpg","show blot")</f>
        <v>show blot</v>
      </c>
      <c r="J7099" s="5" t="s">
        <v>13969</v>
      </c>
      <c r="L7099" s="11">
        <v>4.5882225994325729</v>
      </c>
      <c r="N7099" s="12"/>
    </row>
    <row r="7100" spans="1:14" s="5" customFormat="1" ht="15" customHeight="1" x14ac:dyDescent="0.25">
      <c r="A7100" s="9" t="s">
        <v>13970</v>
      </c>
      <c r="C7100" s="9" t="str">
        <f>HYPERLINK("http://www.ncbi.nlm.nih.gov/protein/70887776","Spag9")</f>
        <v>Spag9</v>
      </c>
      <c r="D7100" s="10">
        <f t="shared" si="110"/>
        <v>4.5882225994325729</v>
      </c>
      <c r="F7100" s="8" t="str">
        <f>HYPERLINK("https://esbl.nhlbi.nih.gov/Databases/mpkFractions/proteomic_fractions_log_files/Yang_log_img/70887776.jpg","show blot")</f>
        <v>show blot</v>
      </c>
      <c r="H7100" s="8" t="str">
        <f>HYPERLINK("https://esbl.nhlbi.nih.gov/Databases/mpkFractions/proteomic_fractions_linear_files/Yang_linear_img/70887776.jpg","show blot")</f>
        <v>show blot</v>
      </c>
      <c r="J7100" s="5" t="s">
        <v>13971</v>
      </c>
      <c r="L7100" s="11">
        <v>4.5882225994325729</v>
      </c>
      <c r="N7100" s="12"/>
    </row>
    <row r="7101" spans="1:14" s="5" customFormat="1" ht="15" customHeight="1" x14ac:dyDescent="0.25">
      <c r="A7101" s="9" t="s">
        <v>13972</v>
      </c>
      <c r="C7101" s="9" t="str">
        <f>HYPERLINK("http://www.ncbi.nlm.nih.gov/protein/70887778","Spag9")</f>
        <v>Spag9</v>
      </c>
      <c r="D7101" s="10">
        <f t="shared" si="110"/>
        <v>4.5882225994325729</v>
      </c>
      <c r="F7101" s="8" t="str">
        <f>HYPERLINK("https://esbl.nhlbi.nih.gov/Databases/mpkFractions/proteomic_fractions_log_files/Yang_log_img/70887778.jpg","show blot")</f>
        <v>show blot</v>
      </c>
      <c r="H7101" s="8" t="str">
        <f>HYPERLINK("https://esbl.nhlbi.nih.gov/Databases/mpkFractions/proteomic_fractions_linear_files/Yang_linear_img/70887778.jpg","show blot")</f>
        <v>show blot</v>
      </c>
      <c r="J7101" s="5" t="s">
        <v>13973</v>
      </c>
      <c r="L7101" s="11">
        <v>4.5882225994325729</v>
      </c>
      <c r="N7101" s="12"/>
    </row>
    <row r="7102" spans="1:14" s="5" customFormat="1" ht="15" customHeight="1" x14ac:dyDescent="0.25">
      <c r="A7102" s="9" t="s">
        <v>13974</v>
      </c>
      <c r="C7102" s="9" t="str">
        <f>HYPERLINK("http://www.ncbi.nlm.nih.gov/protein/70887784","Spag9")</f>
        <v>Spag9</v>
      </c>
      <c r="D7102" s="10">
        <f t="shared" si="110"/>
        <v>4.5882225994325729</v>
      </c>
      <c r="F7102" s="8" t="str">
        <f>HYPERLINK("https://esbl.nhlbi.nih.gov/Databases/mpkFractions/proteomic_fractions_log_files/Yang_log_img/70887784.jpg","show blot")</f>
        <v>show blot</v>
      </c>
      <c r="H7102" s="8" t="str">
        <f>HYPERLINK("https://esbl.nhlbi.nih.gov/Databases/mpkFractions/proteomic_fractions_linear_files/Yang_linear_img/70887784.jpg","show blot")</f>
        <v>show blot</v>
      </c>
      <c r="J7102" s="5" t="s">
        <v>13975</v>
      </c>
      <c r="L7102" s="11">
        <v>4.5882225994325729</v>
      </c>
      <c r="N7102" s="12"/>
    </row>
    <row r="7103" spans="1:14" s="5" customFormat="1" ht="15" customHeight="1" x14ac:dyDescent="0.25">
      <c r="A7103" s="9" t="s">
        <v>13976</v>
      </c>
      <c r="C7103" s="9" t="str">
        <f>HYPERLINK("http://www.ncbi.nlm.nih.gov/protein/244790106","Spast")</f>
        <v>Spast</v>
      </c>
      <c r="D7103" s="10">
        <f t="shared" si="110"/>
        <v>3.212489507491568</v>
      </c>
      <c r="F7103" s="8" t="str">
        <f>HYPERLINK("https://esbl.nhlbi.nih.gov/Databases/mpkFractions/proteomic_fractions_log_files/Yang_log_img/244790106.jpg","show blot")</f>
        <v>show blot</v>
      </c>
      <c r="H7103" s="8" t="str">
        <f>HYPERLINK("https://esbl.nhlbi.nih.gov/Databases/mpkFractions/proteomic_fractions_linear_files/Yang_linear_img/244790106.jpg","show blot")</f>
        <v>show blot</v>
      </c>
      <c r="J7103" s="5" t="s">
        <v>13977</v>
      </c>
      <c r="L7103" s="11">
        <v>3.212489507491568</v>
      </c>
      <c r="N7103" s="12"/>
    </row>
    <row r="7104" spans="1:14" s="5" customFormat="1" ht="15" customHeight="1" x14ac:dyDescent="0.25">
      <c r="A7104" s="9" t="s">
        <v>13978</v>
      </c>
      <c r="C7104" s="9" t="str">
        <f>HYPERLINK("http://www.ncbi.nlm.nih.gov/protein/244790112","Spast")</f>
        <v>Spast</v>
      </c>
      <c r="D7104" s="10">
        <f t="shared" si="110"/>
        <v>3.212489507491568</v>
      </c>
      <c r="F7104" s="8" t="str">
        <f>HYPERLINK("https://esbl.nhlbi.nih.gov/Databases/mpkFractions/proteomic_fractions_log_files/Yang_log_img/244790112.jpg","show blot")</f>
        <v>show blot</v>
      </c>
      <c r="H7104" s="8" t="str">
        <f>HYPERLINK("https://esbl.nhlbi.nih.gov/Databases/mpkFractions/proteomic_fractions_linear_files/Yang_linear_img/244790112.jpg","show blot")</f>
        <v>show blot</v>
      </c>
      <c r="J7104" s="5" t="s">
        <v>13979</v>
      </c>
      <c r="L7104" s="11">
        <v>3.212489507491568</v>
      </c>
      <c r="N7104" s="12"/>
    </row>
    <row r="7105" spans="1:14" s="5" customFormat="1" ht="15" customHeight="1" x14ac:dyDescent="0.25">
      <c r="A7105" s="9" t="s">
        <v>13980</v>
      </c>
      <c r="C7105" s="9" t="str">
        <f>HYPERLINK("http://www.ncbi.nlm.nih.gov/protein/242247225","Spata13")</f>
        <v>Spata13</v>
      </c>
      <c r="D7105" s="10">
        <f t="shared" si="110"/>
        <v>2.3330916197026919</v>
      </c>
      <c r="F7105" s="8" t="str">
        <f>HYPERLINK("https://esbl.nhlbi.nih.gov/Databases/mpkFractions/proteomic_fractions_log_files/Yang_log_img/242247225.jpg","show blot")</f>
        <v>show blot</v>
      </c>
      <c r="H7105" s="8" t="str">
        <f>HYPERLINK("https://esbl.nhlbi.nih.gov/Databases/mpkFractions/proteomic_fractions_linear_files/Yang_linear_img/242247225.jpg","show blot")</f>
        <v>show blot</v>
      </c>
      <c r="J7105" s="5" t="s">
        <v>13981</v>
      </c>
      <c r="L7105" s="11">
        <v>2.3330916197026919</v>
      </c>
      <c r="N7105" s="12"/>
    </row>
    <row r="7106" spans="1:14" s="5" customFormat="1" ht="15" customHeight="1" x14ac:dyDescent="0.25">
      <c r="A7106" s="9" t="s">
        <v>13982</v>
      </c>
      <c r="C7106" s="9" t="str">
        <f>HYPERLINK("http://www.ncbi.nlm.nih.gov/protein/254553468","Spata5")</f>
        <v>Spata5</v>
      </c>
      <c r="D7106" s="10">
        <f t="shared" si="110"/>
        <v>4.9233505865890601</v>
      </c>
      <c r="F7106" s="8" t="str">
        <f>HYPERLINK("https://esbl.nhlbi.nih.gov/Databases/mpkFractions/proteomic_fractions_log_files/Yang_log_img/254553468.jpg","show blot")</f>
        <v>show blot</v>
      </c>
      <c r="H7106" s="8" t="str">
        <f>HYPERLINK("https://esbl.nhlbi.nih.gov/Databases/mpkFractions/proteomic_fractions_linear_files/Yang_linear_img/254553468.jpg","show blot")</f>
        <v>show blot</v>
      </c>
      <c r="J7106" s="5" t="s">
        <v>13983</v>
      </c>
      <c r="L7106" s="11">
        <v>4.9233505865890601</v>
      </c>
      <c r="N7106" s="12"/>
    </row>
    <row r="7107" spans="1:14" s="5" customFormat="1" ht="15" customHeight="1" x14ac:dyDescent="0.25">
      <c r="A7107" s="9" t="s">
        <v>13984</v>
      </c>
      <c r="C7107" s="9" t="str">
        <f>HYPERLINK("http://www.ncbi.nlm.nih.gov/protein/254553470","Spata5")</f>
        <v>Spata5</v>
      </c>
      <c r="D7107" s="10">
        <f t="shared" si="110"/>
        <v>4.9233505865890601</v>
      </c>
      <c r="F7107" s="8" t="str">
        <f>HYPERLINK("https://esbl.nhlbi.nih.gov/Databases/mpkFractions/proteomic_fractions_log_files/Yang_log_img/254553470.jpg","show blot")</f>
        <v>show blot</v>
      </c>
      <c r="H7107" s="8" t="str">
        <f>HYPERLINK("https://esbl.nhlbi.nih.gov/Databases/mpkFractions/proteomic_fractions_linear_files/Yang_linear_img/254553470.jpg","show blot")</f>
        <v>show blot</v>
      </c>
      <c r="J7107" s="5" t="s">
        <v>13985</v>
      </c>
      <c r="L7107" s="11">
        <v>4.9233505865890601</v>
      </c>
      <c r="N7107" s="12"/>
    </row>
    <row r="7108" spans="1:14" s="5" customFormat="1" ht="15" customHeight="1" x14ac:dyDescent="0.25">
      <c r="A7108" s="9" t="s">
        <v>13986</v>
      </c>
      <c r="C7108" s="9" t="str">
        <f>HYPERLINK("http://www.ncbi.nlm.nih.gov/protein/20982833","Spats2")</f>
        <v>Spats2</v>
      </c>
      <c r="D7108" s="10">
        <f t="shared" si="110"/>
        <v>3.455126291838122</v>
      </c>
      <c r="F7108" s="8" t="str">
        <f>HYPERLINK("https://esbl.nhlbi.nih.gov/Databases/mpkFractions/proteomic_fractions_log_files/Yang_log_img/20982833.jpg","show blot")</f>
        <v>show blot</v>
      </c>
      <c r="H7108" s="8" t="str">
        <f>HYPERLINK("https://esbl.nhlbi.nih.gov/Databases/mpkFractions/proteomic_fractions_linear_files/Yang_linear_img/20982833.jpg","show blot")</f>
        <v>show blot</v>
      </c>
      <c r="J7108" s="5" t="s">
        <v>13987</v>
      </c>
      <c r="L7108" s="11">
        <v>3.455126291838122</v>
      </c>
      <c r="N7108" s="12"/>
    </row>
    <row r="7109" spans="1:14" s="5" customFormat="1" ht="15" customHeight="1" x14ac:dyDescent="0.25">
      <c r="A7109" s="9" t="s">
        <v>13988</v>
      </c>
      <c r="C7109" s="9" t="str">
        <f>HYPERLINK("http://www.ncbi.nlm.nih.gov/protein/21312862","Spc24")</f>
        <v>Spc24</v>
      </c>
      <c r="D7109" s="10">
        <f t="shared" ref="D7109:D7172" si="111">L7109</f>
        <v>3.7237839065461271</v>
      </c>
      <c r="F7109" s="8" t="str">
        <f>HYPERLINK("https://esbl.nhlbi.nih.gov/Databases/mpkFractions/proteomic_fractions_log_files/Yang_log_img/21312862.jpg","show blot")</f>
        <v>show blot</v>
      </c>
      <c r="H7109" s="8" t="str">
        <f>HYPERLINK("https://esbl.nhlbi.nih.gov/Databases/mpkFractions/proteomic_fractions_linear_files/Yang_linear_img/21312862.jpg","show blot")</f>
        <v>show blot</v>
      </c>
      <c r="J7109" s="5" t="s">
        <v>13989</v>
      </c>
      <c r="L7109" s="11">
        <v>3.7237839065461271</v>
      </c>
      <c r="N7109" s="12"/>
    </row>
    <row r="7110" spans="1:14" s="5" customFormat="1" ht="15" customHeight="1" x14ac:dyDescent="0.25">
      <c r="A7110" s="9" t="s">
        <v>13990</v>
      </c>
      <c r="C7110" s="9" t="str">
        <f>HYPERLINK("http://www.ncbi.nlm.nih.gov/protein/312283739;312283741","Spc25")</f>
        <v>Spc25</v>
      </c>
      <c r="D7110" s="10">
        <f t="shared" si="111"/>
        <v>3.235883516292581</v>
      </c>
      <c r="F7110" s="8" t="str">
        <f>HYPERLINK("https://esbl.nhlbi.nih.gov/Databases/mpkFractions/proteomic_fractions_log_files/Yang_log_img/312283739;312283741.jpg","show blot")</f>
        <v>show blot</v>
      </c>
      <c r="H7110" s="8" t="str">
        <f>HYPERLINK("https://esbl.nhlbi.nih.gov/Databases/mpkFractions/proteomic_fractions_linear_files/Yang_linear_img/312283739;312283741.jpg","show blot")</f>
        <v>show blot</v>
      </c>
      <c r="J7110" s="5" t="s">
        <v>13991</v>
      </c>
      <c r="L7110" s="11">
        <v>3.235883516292581</v>
      </c>
      <c r="N7110" s="12"/>
    </row>
    <row r="7111" spans="1:14" s="5" customFormat="1" ht="15" customHeight="1" x14ac:dyDescent="0.25">
      <c r="A7111" s="9" t="s">
        <v>13992</v>
      </c>
      <c r="C7111" s="9" t="str">
        <f>HYPERLINK("http://www.ncbi.nlm.nih.gov/protein/312283741","Spc25")</f>
        <v>Spc25</v>
      </c>
      <c r="D7111" s="10">
        <f t="shared" si="111"/>
        <v>3.235883516292581</v>
      </c>
      <c r="F7111" s="8" t="str">
        <f>HYPERLINK("https://esbl.nhlbi.nih.gov/Databases/mpkFractions/proteomic_fractions_log_files/Yang_log_img/312283741.jpg","show blot")</f>
        <v>show blot</v>
      </c>
      <c r="H7111" s="8" t="str">
        <f>HYPERLINK("https://esbl.nhlbi.nih.gov/Databases/mpkFractions/proteomic_fractions_linear_files/Yang_linear_img/312283741.jpg","show blot")</f>
        <v>show blot</v>
      </c>
      <c r="J7111" s="5" t="s">
        <v>13991</v>
      </c>
      <c r="L7111" s="11">
        <v>3.235883516292581</v>
      </c>
      <c r="N7111" s="12"/>
    </row>
    <row r="7112" spans="1:14" s="5" customFormat="1" ht="15" customHeight="1" x14ac:dyDescent="0.25">
      <c r="A7112" s="9" t="s">
        <v>13993</v>
      </c>
      <c r="C7112" s="9" t="str">
        <f>HYPERLINK("http://www.ncbi.nlm.nih.gov/protein/21313454","Spc25")</f>
        <v>Spc25</v>
      </c>
      <c r="D7112" s="10">
        <f t="shared" si="111"/>
        <v>3.235883516292581</v>
      </c>
      <c r="F7112" s="8" t="str">
        <f>HYPERLINK("https://esbl.nhlbi.nih.gov/Databases/mpkFractions/proteomic_fractions_log_files/Yang_log_img/21313454.jpg","show blot")</f>
        <v>show blot</v>
      </c>
      <c r="H7112" s="8" t="str">
        <f>HYPERLINK("https://esbl.nhlbi.nih.gov/Databases/mpkFractions/proteomic_fractions_linear_files/Yang_linear_img/21313454.jpg","show blot")</f>
        <v>show blot</v>
      </c>
      <c r="J7112" s="5" t="s">
        <v>13994</v>
      </c>
      <c r="L7112" s="11">
        <v>3.235883516292581</v>
      </c>
      <c r="N7112" s="12"/>
    </row>
    <row r="7113" spans="1:14" s="5" customFormat="1" ht="15" customHeight="1" x14ac:dyDescent="0.25">
      <c r="A7113" s="9" t="s">
        <v>13995</v>
      </c>
      <c r="C7113" s="9" t="str">
        <f>HYPERLINK("http://www.ncbi.nlm.nih.gov/protein/193788663","Spcs1")</f>
        <v>Spcs1</v>
      </c>
      <c r="D7113" s="10">
        <f t="shared" si="111"/>
        <v>3.9517940278583699</v>
      </c>
      <c r="F7113" s="8" t="str">
        <f>HYPERLINK("https://esbl.nhlbi.nih.gov/Databases/mpkFractions/proteomic_fractions_log_files/Yang_log_img/193788663.jpg","show blot")</f>
        <v>show blot</v>
      </c>
      <c r="H7113" s="8" t="str">
        <f>HYPERLINK("https://esbl.nhlbi.nih.gov/Databases/mpkFractions/proteomic_fractions_linear_files/Yang_linear_img/193788663.jpg","show blot")</f>
        <v>show blot</v>
      </c>
      <c r="J7113" s="5" t="s">
        <v>13996</v>
      </c>
      <c r="L7113" s="11">
        <v>3.9517940278583699</v>
      </c>
      <c r="N7113" s="12"/>
    </row>
    <row r="7114" spans="1:14" s="5" customFormat="1" ht="15" customHeight="1" x14ac:dyDescent="0.25">
      <c r="A7114" s="9" t="s">
        <v>13997</v>
      </c>
      <c r="C7114" s="9" t="str">
        <f>HYPERLINK("http://www.ncbi.nlm.nih.gov/protein/13385134","Spcs2")</f>
        <v>Spcs2</v>
      </c>
      <c r="D7114" s="10">
        <f t="shared" si="111"/>
        <v>4.7791051206842736</v>
      </c>
      <c r="F7114" s="8" t="str">
        <f>HYPERLINK("https://esbl.nhlbi.nih.gov/Databases/mpkFractions/proteomic_fractions_log_files/Yang_log_img/13385134.jpg","show blot")</f>
        <v>show blot</v>
      </c>
      <c r="H7114" s="8" t="str">
        <f>HYPERLINK("https://esbl.nhlbi.nih.gov/Databases/mpkFractions/proteomic_fractions_linear_files/Yang_linear_img/13385134.jpg","show blot")</f>
        <v>show blot</v>
      </c>
      <c r="J7114" s="5" t="s">
        <v>13998</v>
      </c>
      <c r="L7114" s="11">
        <v>4.7791051206842736</v>
      </c>
      <c r="N7114" s="12"/>
    </row>
    <row r="7115" spans="1:14" s="5" customFormat="1" ht="15" customHeight="1" x14ac:dyDescent="0.25">
      <c r="A7115" s="9" t="s">
        <v>13999</v>
      </c>
      <c r="C7115" s="9" t="str">
        <f>HYPERLINK("http://www.ncbi.nlm.nih.gov/protein/125988403","Spcs3")</f>
        <v>Spcs3</v>
      </c>
      <c r="D7115" s="10">
        <f t="shared" si="111"/>
        <v>5.5298591107252077</v>
      </c>
      <c r="F7115" s="8" t="str">
        <f>HYPERLINK("https://esbl.nhlbi.nih.gov/Databases/mpkFractions/proteomic_fractions_log_files/Yang_log_img/125988403.jpg","show blot")</f>
        <v>show blot</v>
      </c>
      <c r="H7115" s="8" t="str">
        <f>HYPERLINK("https://esbl.nhlbi.nih.gov/Databases/mpkFractions/proteomic_fractions_linear_files/Yang_linear_img/125988403.jpg","show blot")</f>
        <v>show blot</v>
      </c>
      <c r="J7115" s="5" t="s">
        <v>1156</v>
      </c>
      <c r="L7115" s="11">
        <v>5.5298591107252077</v>
      </c>
      <c r="N7115" s="12"/>
    </row>
    <row r="7116" spans="1:14" s="5" customFormat="1" ht="15" customHeight="1" x14ac:dyDescent="0.25">
      <c r="A7116" s="9" t="s">
        <v>14000</v>
      </c>
      <c r="C7116" s="9" t="str">
        <f>HYPERLINK("http://www.ncbi.nlm.nih.gov/protein/71979930","Specc1")</f>
        <v>Specc1</v>
      </c>
      <c r="D7116" s="10">
        <f t="shared" si="111"/>
        <v>2.999848568186386</v>
      </c>
      <c r="F7116" s="8" t="str">
        <f>HYPERLINK("https://esbl.nhlbi.nih.gov/Databases/mpkFractions/proteomic_fractions_log_files/Yang_log_img/71979930.jpg","show blot")</f>
        <v>show blot</v>
      </c>
      <c r="H7116" s="8" t="str">
        <f>HYPERLINK("https://esbl.nhlbi.nih.gov/Databases/mpkFractions/proteomic_fractions_linear_files/Yang_linear_img/71979930.jpg","show blot")</f>
        <v>show blot</v>
      </c>
      <c r="J7116" s="5" t="s">
        <v>14001</v>
      </c>
      <c r="L7116" s="11">
        <v>2.999848568186386</v>
      </c>
      <c r="N7116" s="12"/>
    </row>
    <row r="7117" spans="1:14" s="5" customFormat="1" ht="15" customHeight="1" x14ac:dyDescent="0.25">
      <c r="A7117" s="9" t="s">
        <v>14002</v>
      </c>
      <c r="C7117" s="9" t="str">
        <f>HYPERLINK("http://www.ncbi.nlm.nih.gov/protein/125991758","Spef2")</f>
        <v>Spef2</v>
      </c>
      <c r="D7117" s="10">
        <f t="shared" si="111"/>
        <v>3.5498224206280788</v>
      </c>
      <c r="F7117" s="8" t="str">
        <f>HYPERLINK("https://esbl.nhlbi.nih.gov/Databases/mpkFractions/proteomic_fractions_log_files/Yang_log_img/125991758.jpg","show blot")</f>
        <v>show blot</v>
      </c>
      <c r="H7117" s="8" t="str">
        <f>HYPERLINK("https://esbl.nhlbi.nih.gov/Databases/mpkFractions/proteomic_fractions_linear_files/Yang_linear_img/125991758.jpg","show blot")</f>
        <v>show blot</v>
      </c>
      <c r="J7117" s="5" t="s">
        <v>14003</v>
      </c>
      <c r="L7117" s="11">
        <v>3.5498224206280788</v>
      </c>
      <c r="N7117" s="12"/>
    </row>
    <row r="7118" spans="1:14" s="5" customFormat="1" ht="15" customHeight="1" x14ac:dyDescent="0.25">
      <c r="A7118" s="9" t="s">
        <v>14004</v>
      </c>
      <c r="C7118" s="9" t="str">
        <f>HYPERLINK("http://www.ncbi.nlm.nih.gov/protein/120587001","Spen")</f>
        <v>Spen</v>
      </c>
      <c r="D7118" s="10">
        <f t="shared" si="111"/>
        <v>2.158086820493359</v>
      </c>
      <c r="F7118" s="8" t="str">
        <f>HYPERLINK("https://esbl.nhlbi.nih.gov/Databases/mpkFractions/proteomic_fractions_log_files/Yang_log_img/120587001.jpg","show blot")</f>
        <v>show blot</v>
      </c>
      <c r="H7118" s="8" t="str">
        <f>HYPERLINK("https://esbl.nhlbi.nih.gov/Databases/mpkFractions/proteomic_fractions_linear_files/Yang_linear_img/120587001.jpg","show blot")</f>
        <v>show blot</v>
      </c>
      <c r="J7118" s="5" t="s">
        <v>14005</v>
      </c>
      <c r="L7118" s="11">
        <v>2.158086820493359</v>
      </c>
      <c r="N7118" s="12"/>
    </row>
    <row r="7119" spans="1:14" s="5" customFormat="1" ht="15" customHeight="1" x14ac:dyDescent="0.25">
      <c r="A7119" s="9" t="s">
        <v>14006</v>
      </c>
      <c r="C7119" s="9" t="str">
        <f>HYPERLINK("http://www.ncbi.nlm.nih.gov/protein/222418579;21450269","Spg20")</f>
        <v>Spg20</v>
      </c>
      <c r="D7119" s="10">
        <f t="shared" si="111"/>
        <v>4.0524398195311644</v>
      </c>
      <c r="F7119" s="8" t="str">
        <f>HYPERLINK("https://esbl.nhlbi.nih.gov/Databases/mpkFractions/proteomic_fractions_log_files/Yang_log_img/222418579;21450269.jpg","show blot")</f>
        <v>show blot</v>
      </c>
      <c r="H7119" s="8" t="str">
        <f>HYPERLINK("https://esbl.nhlbi.nih.gov/Databases/mpkFractions/proteomic_fractions_linear_files/Yang_linear_img/222418579;21450269.jpg","show blot")</f>
        <v>show blot</v>
      </c>
      <c r="J7119" s="5" t="s">
        <v>14007</v>
      </c>
      <c r="L7119" s="11">
        <v>4.0524398195311644</v>
      </c>
      <c r="N7119" s="12"/>
    </row>
    <row r="7120" spans="1:14" s="5" customFormat="1" ht="15" customHeight="1" x14ac:dyDescent="0.25">
      <c r="A7120" s="9" t="s">
        <v>14008</v>
      </c>
      <c r="C7120" s="9" t="str">
        <f>HYPERLINK("http://www.ncbi.nlm.nih.gov/protein/222418581","Spg20")</f>
        <v>Spg20</v>
      </c>
      <c r="D7120" s="10">
        <f t="shared" si="111"/>
        <v>4.0524398195311644</v>
      </c>
      <c r="F7120" s="8" t="str">
        <f>HYPERLINK("https://esbl.nhlbi.nih.gov/Databases/mpkFractions/proteomic_fractions_log_files/Yang_log_img/222418581.jpg","show blot")</f>
        <v>show blot</v>
      </c>
      <c r="H7120" s="8" t="str">
        <f>HYPERLINK("https://esbl.nhlbi.nih.gov/Databases/mpkFractions/proteomic_fractions_linear_files/Yang_linear_img/222418581.jpg","show blot")</f>
        <v>show blot</v>
      </c>
      <c r="J7120" s="5" t="s">
        <v>14009</v>
      </c>
      <c r="L7120" s="11">
        <v>4.0524398195311644</v>
      </c>
      <c r="N7120" s="12"/>
    </row>
    <row r="7121" spans="1:14" s="5" customFormat="1" ht="15" customHeight="1" x14ac:dyDescent="0.25">
      <c r="A7121" s="9" t="s">
        <v>14010</v>
      </c>
      <c r="C7121" s="9" t="str">
        <f>HYPERLINK("http://www.ncbi.nlm.nih.gov/protein/20070390","Spg21")</f>
        <v>Spg21</v>
      </c>
      <c r="D7121" s="10">
        <f t="shared" si="111"/>
        <v>4.6172654916422271</v>
      </c>
      <c r="F7121" s="8" t="str">
        <f>HYPERLINK("https://esbl.nhlbi.nih.gov/Databases/mpkFractions/proteomic_fractions_log_files/Yang_log_img/20070390.jpg","show blot")</f>
        <v>show blot</v>
      </c>
      <c r="H7121" s="8" t="str">
        <f>HYPERLINK("https://esbl.nhlbi.nih.gov/Databases/mpkFractions/proteomic_fractions_linear_files/Yang_linear_img/20070390.jpg","show blot")</f>
        <v>show blot</v>
      </c>
      <c r="J7121" s="5" t="s">
        <v>14011</v>
      </c>
      <c r="L7121" s="11">
        <v>4.6172654916422271</v>
      </c>
      <c r="N7121" s="12"/>
    </row>
    <row r="7122" spans="1:14" s="5" customFormat="1" ht="15" customHeight="1" x14ac:dyDescent="0.25">
      <c r="A7122" s="9" t="s">
        <v>14012</v>
      </c>
      <c r="C7122" s="9" t="str">
        <f>HYPERLINK("http://www.ncbi.nlm.nih.gov/protein/148539988","Spg7")</f>
        <v>Spg7</v>
      </c>
      <c r="D7122" s="10">
        <f t="shared" si="111"/>
        <v>3.2239126907885458</v>
      </c>
      <c r="F7122" s="8" t="str">
        <f>HYPERLINK("https://esbl.nhlbi.nih.gov/Databases/mpkFractions/proteomic_fractions_log_files/Yang_log_img/148539988.jpg","show blot")</f>
        <v>show blot</v>
      </c>
      <c r="H7122" s="8" t="str">
        <f>HYPERLINK("https://esbl.nhlbi.nih.gov/Databases/mpkFractions/proteomic_fractions_linear_files/Yang_linear_img/148539988.jpg","show blot")</f>
        <v>show blot</v>
      </c>
      <c r="J7122" s="5" t="s">
        <v>14013</v>
      </c>
      <c r="L7122" s="11">
        <v>3.2239126907885458</v>
      </c>
      <c r="N7122" s="12"/>
    </row>
    <row r="7123" spans="1:14" s="5" customFormat="1" ht="15" customHeight="1" x14ac:dyDescent="0.25">
      <c r="A7123" s="9" t="s">
        <v>14014</v>
      </c>
      <c r="C7123" s="9" t="str">
        <f>HYPERLINK("http://www.ncbi.nlm.nih.gov/protein/22094105","Sphk1")</f>
        <v>Sphk1</v>
      </c>
      <c r="D7123" s="10">
        <f t="shared" si="111"/>
        <v>2.6511124738848748</v>
      </c>
      <c r="F7123" s="8" t="str">
        <f>HYPERLINK("https://esbl.nhlbi.nih.gov/Databases/mpkFractions/proteomic_fractions_log_files/Yang_log_img/22094105.jpg","show blot")</f>
        <v>show blot</v>
      </c>
      <c r="H7123" s="8" t="str">
        <f>HYPERLINK("https://esbl.nhlbi.nih.gov/Databases/mpkFractions/proteomic_fractions_linear_files/Yang_linear_img/22094105.jpg","show blot")</f>
        <v>show blot</v>
      </c>
      <c r="J7123" s="5" t="s">
        <v>14015</v>
      </c>
      <c r="L7123" s="11">
        <v>2.6511124738848748</v>
      </c>
      <c r="N7123" s="12"/>
    </row>
    <row r="7124" spans="1:14" s="5" customFormat="1" ht="15" customHeight="1" x14ac:dyDescent="0.25">
      <c r="A7124" s="9" t="s">
        <v>14016</v>
      </c>
      <c r="C7124" s="9" t="str">
        <f>HYPERLINK("http://www.ncbi.nlm.nih.gov/protein/27532969;289191342","Sphk1")</f>
        <v>Sphk1</v>
      </c>
      <c r="D7124" s="10">
        <f t="shared" si="111"/>
        <v>2.6511124738848748</v>
      </c>
      <c r="F7124" s="8" t="str">
        <f>HYPERLINK("https://esbl.nhlbi.nih.gov/Databases/mpkFractions/proteomic_fractions_log_files/Yang_log_img/27532969;289191342.jpg","show blot")</f>
        <v>show blot</v>
      </c>
      <c r="H7124" s="8" t="str">
        <f>HYPERLINK("https://esbl.nhlbi.nih.gov/Databases/mpkFractions/proteomic_fractions_linear_files/Yang_linear_img/27532969;289191342.jpg","show blot")</f>
        <v>show blot</v>
      </c>
      <c r="J7124" s="5" t="s">
        <v>14017</v>
      </c>
      <c r="L7124" s="11">
        <v>2.6511124738848748</v>
      </c>
      <c r="N7124" s="12"/>
    </row>
    <row r="7125" spans="1:14" s="5" customFormat="1" ht="15" customHeight="1" x14ac:dyDescent="0.25">
      <c r="A7125" s="9" t="s">
        <v>14018</v>
      </c>
      <c r="C7125" s="9" t="str">
        <f>HYPERLINK("http://www.ncbi.nlm.nih.gov/protein/289191346","Sphk1")</f>
        <v>Sphk1</v>
      </c>
      <c r="D7125" s="10">
        <f t="shared" si="111"/>
        <v>2.6511124738848748</v>
      </c>
      <c r="F7125" s="8" t="str">
        <f>HYPERLINK("https://esbl.nhlbi.nih.gov/Databases/mpkFractions/proteomic_fractions_log_files/Yang_log_img/289191346.jpg","show blot")</f>
        <v>show blot</v>
      </c>
      <c r="H7125" s="8" t="str">
        <f>HYPERLINK("https://esbl.nhlbi.nih.gov/Databases/mpkFractions/proteomic_fractions_linear_files/Yang_linear_img/289191346.jpg","show blot")</f>
        <v>show blot</v>
      </c>
      <c r="J7125" s="5" t="s">
        <v>14019</v>
      </c>
      <c r="L7125" s="11">
        <v>2.6511124738848748</v>
      </c>
      <c r="N7125" s="12"/>
    </row>
    <row r="7126" spans="1:14" s="5" customFormat="1" ht="15" customHeight="1" x14ac:dyDescent="0.25">
      <c r="A7126" s="9" t="s">
        <v>14020</v>
      </c>
      <c r="C7126" s="9" t="str">
        <f>HYPERLINK("http://www.ncbi.nlm.nih.gov/protein/289191399","Sphk2")</f>
        <v>Sphk2</v>
      </c>
      <c r="D7126" s="10">
        <f t="shared" si="111"/>
        <v>4.2466160210962913</v>
      </c>
      <c r="F7126" s="8" t="str">
        <f>HYPERLINK("https://esbl.nhlbi.nih.gov/Databases/mpkFractions/proteomic_fractions_log_files/Yang_log_img/289191399.jpg","show blot")</f>
        <v>show blot</v>
      </c>
      <c r="H7126" s="8" t="str">
        <f>HYPERLINK("https://esbl.nhlbi.nih.gov/Databases/mpkFractions/proteomic_fractions_linear_files/Yang_linear_img/289191399.jpg","show blot")</f>
        <v>show blot</v>
      </c>
      <c r="J7126" s="5" t="s">
        <v>14021</v>
      </c>
      <c r="L7126" s="11">
        <v>4.2466160210962913</v>
      </c>
      <c r="N7126" s="12"/>
    </row>
    <row r="7127" spans="1:14" s="5" customFormat="1" ht="15" customHeight="1" x14ac:dyDescent="0.25">
      <c r="A7127" s="9" t="s">
        <v>14022</v>
      </c>
      <c r="C7127" s="9" t="str">
        <f>HYPERLINK("http://www.ncbi.nlm.nih.gov/protein/257196267","Spice1")</f>
        <v>Spice1</v>
      </c>
      <c r="D7127" s="10">
        <f t="shared" si="111"/>
        <v>1.9434532938964939</v>
      </c>
      <c r="F7127" s="8" t="str">
        <f>HYPERLINK("https://esbl.nhlbi.nih.gov/Databases/mpkFractions/proteomic_fractions_log_files/Yang_log_img/257196267.jpg","show blot")</f>
        <v>show blot</v>
      </c>
      <c r="H7127" s="8" t="str">
        <f>HYPERLINK("https://esbl.nhlbi.nih.gov/Databases/mpkFractions/proteomic_fractions_linear_files/Yang_linear_img/257196267.jpg","show blot")</f>
        <v>show blot</v>
      </c>
      <c r="J7127" s="5" t="s">
        <v>14023</v>
      </c>
      <c r="L7127" s="11">
        <v>1.9434532938964939</v>
      </c>
      <c r="N7127" s="12"/>
    </row>
    <row r="7128" spans="1:14" s="5" customFormat="1" ht="15" customHeight="1" x14ac:dyDescent="0.25">
      <c r="A7128" s="9" t="s">
        <v>14024</v>
      </c>
      <c r="C7128" s="9" t="str">
        <f>HYPERLINK("http://www.ncbi.nlm.nih.gov/protein/34328234","Spint1")</f>
        <v>Spint1</v>
      </c>
      <c r="D7128" s="10">
        <f t="shared" si="111"/>
        <v>3.4548467882872158</v>
      </c>
      <c r="F7128" s="8" t="str">
        <f>HYPERLINK("https://esbl.nhlbi.nih.gov/Databases/mpkFractions/proteomic_fractions_log_files/Yang_log_img/34328234.jpg","show blot")</f>
        <v>show blot</v>
      </c>
      <c r="H7128" s="8" t="str">
        <f>HYPERLINK("https://esbl.nhlbi.nih.gov/Databases/mpkFractions/proteomic_fractions_linear_files/Yang_linear_img/34328234.jpg","show blot")</f>
        <v>show blot</v>
      </c>
      <c r="J7128" s="5" t="s">
        <v>14025</v>
      </c>
      <c r="L7128" s="11">
        <v>3.4548467882872158</v>
      </c>
      <c r="N7128" s="12"/>
    </row>
    <row r="7129" spans="1:14" s="5" customFormat="1" ht="15" customHeight="1" x14ac:dyDescent="0.25">
      <c r="A7129" s="9" t="s">
        <v>14026</v>
      </c>
      <c r="C7129" s="9" t="str">
        <f>HYPERLINK("http://www.ncbi.nlm.nih.gov/protein/127139427","Spint2")</f>
        <v>Spint2</v>
      </c>
      <c r="D7129" s="10">
        <f t="shared" si="111"/>
        <v>3.722052626679432</v>
      </c>
      <c r="F7129" s="8" t="str">
        <f>HYPERLINK("https://esbl.nhlbi.nih.gov/Databases/mpkFractions/proteomic_fractions_log_files/Yang_log_img/127139427.jpg","show blot")</f>
        <v>show blot</v>
      </c>
      <c r="H7129" s="8" t="str">
        <f>HYPERLINK("https://esbl.nhlbi.nih.gov/Databases/mpkFractions/proteomic_fractions_linear_files/Yang_linear_img/127139427.jpg","show blot")</f>
        <v>show blot</v>
      </c>
      <c r="J7129" s="5" t="s">
        <v>14027</v>
      </c>
      <c r="L7129" s="11">
        <v>3.722052626679432</v>
      </c>
      <c r="N7129" s="12"/>
    </row>
    <row r="7130" spans="1:14" s="5" customFormat="1" ht="15" customHeight="1" x14ac:dyDescent="0.25">
      <c r="A7130" s="9" t="s">
        <v>14028</v>
      </c>
      <c r="C7130" s="9" t="str">
        <f>HYPERLINK("http://www.ncbi.nlm.nih.gov/protein/33563278","Spint2")</f>
        <v>Spint2</v>
      </c>
      <c r="D7130" s="10">
        <f t="shared" si="111"/>
        <v>3.722052626679432</v>
      </c>
      <c r="F7130" s="8" t="str">
        <f>HYPERLINK("https://esbl.nhlbi.nih.gov/Databases/mpkFractions/proteomic_fractions_log_files/Yang_log_img/33563278.jpg","show blot")</f>
        <v>show blot</v>
      </c>
      <c r="H7130" s="8" t="str">
        <f>HYPERLINK("https://esbl.nhlbi.nih.gov/Databases/mpkFractions/proteomic_fractions_linear_files/Yang_linear_img/33563278.jpg","show blot")</f>
        <v>show blot</v>
      </c>
      <c r="J7130" s="5" t="s">
        <v>14029</v>
      </c>
      <c r="L7130" s="11">
        <v>3.722052626679432</v>
      </c>
      <c r="N7130" s="12"/>
    </row>
    <row r="7131" spans="1:14" s="5" customFormat="1" ht="15" customHeight="1" x14ac:dyDescent="0.25">
      <c r="A7131" s="9" t="s">
        <v>14030</v>
      </c>
      <c r="C7131" s="9" t="str">
        <f>HYPERLINK("http://www.ncbi.nlm.nih.gov/protein/258645125","Sppl2a")</f>
        <v>Sppl2a</v>
      </c>
      <c r="D7131" s="10">
        <f t="shared" si="111"/>
        <v>3.503433161951905</v>
      </c>
      <c r="F7131" s="8" t="str">
        <f>HYPERLINK("https://esbl.nhlbi.nih.gov/Databases/mpkFractions/proteomic_fractions_log_files/Yang_log_img/258645125.jpg","show blot")</f>
        <v>show blot</v>
      </c>
      <c r="H7131" s="8" t="str">
        <f>HYPERLINK("https://esbl.nhlbi.nih.gov/Databases/mpkFractions/proteomic_fractions_linear_files/Yang_linear_img/258645125.jpg","show blot")</f>
        <v>show blot</v>
      </c>
      <c r="J7131" s="5" t="s">
        <v>14031</v>
      </c>
      <c r="L7131" s="11">
        <v>3.503433161951905</v>
      </c>
      <c r="N7131" s="12"/>
    </row>
    <row r="7132" spans="1:14" s="5" customFormat="1" ht="15" customHeight="1" x14ac:dyDescent="0.25">
      <c r="A7132" s="9" t="s">
        <v>14032</v>
      </c>
      <c r="C7132" s="9" t="str">
        <f>HYPERLINK("http://www.ncbi.nlm.nih.gov/protein/160333789","Spr")</f>
        <v>Spr</v>
      </c>
      <c r="D7132" s="10">
        <f t="shared" si="111"/>
        <v>5.9099238246073371</v>
      </c>
      <c r="F7132" s="8" t="str">
        <f>HYPERLINK("https://esbl.nhlbi.nih.gov/Databases/mpkFractions/proteomic_fractions_log_files/Yang_log_img/160333789.jpg","show blot")</f>
        <v>show blot</v>
      </c>
      <c r="H7132" s="8" t="str">
        <f>HYPERLINK("https://esbl.nhlbi.nih.gov/Databases/mpkFractions/proteomic_fractions_linear_files/Yang_linear_img/160333789.jpg","show blot")</f>
        <v>show blot</v>
      </c>
      <c r="J7132" s="5" t="s">
        <v>14033</v>
      </c>
      <c r="L7132" s="11">
        <v>5.9099238246073371</v>
      </c>
      <c r="N7132" s="12"/>
    </row>
    <row r="7133" spans="1:14" s="5" customFormat="1" ht="15" customHeight="1" x14ac:dyDescent="0.25">
      <c r="A7133" s="9" t="s">
        <v>14034</v>
      </c>
      <c r="C7133" s="9" t="str">
        <f>HYPERLINK("http://www.ncbi.nlm.nih.gov/protein/6678115","Sprr1a")</f>
        <v>Sprr1a</v>
      </c>
      <c r="D7133" s="10">
        <f t="shared" si="111"/>
        <v>4.826111053815362</v>
      </c>
      <c r="F7133" s="8" t="str">
        <f>HYPERLINK("https://esbl.nhlbi.nih.gov/Databases/mpkFractions/proteomic_fractions_log_files/Yang_log_img/6678115.jpg","show blot")</f>
        <v>show blot</v>
      </c>
      <c r="H7133" s="8" t="str">
        <f>HYPERLINK("https://esbl.nhlbi.nih.gov/Databases/mpkFractions/proteomic_fractions_linear_files/Yang_linear_img/6678115.jpg","show blot")</f>
        <v>show blot</v>
      </c>
      <c r="J7133" s="5" t="s">
        <v>14035</v>
      </c>
      <c r="L7133" s="11">
        <v>4.826111053815362</v>
      </c>
      <c r="N7133" s="12"/>
    </row>
    <row r="7134" spans="1:14" s="5" customFormat="1" ht="15" customHeight="1" x14ac:dyDescent="0.25">
      <c r="A7134" s="9" t="s">
        <v>14036</v>
      </c>
      <c r="C7134" s="9" t="str">
        <f>HYPERLINK("http://www.ncbi.nlm.nih.gov/protein/58037095","Spryd4")</f>
        <v>Spryd4</v>
      </c>
      <c r="D7134" s="10">
        <f t="shared" si="111"/>
        <v>3.973559284421988</v>
      </c>
      <c r="F7134" s="8" t="str">
        <f>HYPERLINK("https://esbl.nhlbi.nih.gov/Databases/mpkFractions/proteomic_fractions_log_files/Yang_log_img/58037095.jpg","show blot")</f>
        <v>show blot</v>
      </c>
      <c r="H7134" s="8" t="str">
        <f>HYPERLINK("https://esbl.nhlbi.nih.gov/Databases/mpkFractions/proteomic_fractions_linear_files/Yang_linear_img/58037095.jpg","show blot")</f>
        <v>show blot</v>
      </c>
      <c r="J7134" s="5" t="s">
        <v>14037</v>
      </c>
      <c r="L7134" s="11">
        <v>3.973559284421988</v>
      </c>
      <c r="N7134" s="12"/>
    </row>
    <row r="7135" spans="1:14" s="5" customFormat="1" ht="15" customHeight="1" x14ac:dyDescent="0.25">
      <c r="A7135" s="9" t="s">
        <v>14038</v>
      </c>
      <c r="C7135" s="9" t="str">
        <f>HYPERLINK("http://www.ncbi.nlm.nih.gov/protein/27228993","Spryd7")</f>
        <v>Spryd7</v>
      </c>
      <c r="D7135" s="10">
        <f t="shared" si="111"/>
        <v>4.5341035263353726</v>
      </c>
      <c r="F7135" s="8" t="str">
        <f>HYPERLINK("https://esbl.nhlbi.nih.gov/Databases/mpkFractions/proteomic_fractions_log_files/Yang_log_img/27228993.jpg","show blot")</f>
        <v>show blot</v>
      </c>
      <c r="H7135" s="8" t="str">
        <f>HYPERLINK("https://esbl.nhlbi.nih.gov/Databases/mpkFractions/proteomic_fractions_linear_files/Yang_linear_img/27228993.jpg","show blot")</f>
        <v>show blot</v>
      </c>
      <c r="J7135" s="5" t="s">
        <v>14039</v>
      </c>
      <c r="L7135" s="11">
        <v>4.5341035263353726</v>
      </c>
      <c r="N7135" s="12"/>
    </row>
    <row r="7136" spans="1:14" s="5" customFormat="1" ht="15" customHeight="1" x14ac:dyDescent="0.25">
      <c r="A7136" s="9" t="s">
        <v>14040</v>
      </c>
      <c r="C7136" s="9" t="str">
        <f>HYPERLINK("http://www.ncbi.nlm.nih.gov/protein/19526481","Spta1")</f>
        <v>Spta1</v>
      </c>
      <c r="D7136" s="10">
        <f t="shared" si="111"/>
        <v>3.9754333049197461</v>
      </c>
      <c r="F7136" s="8" t="str">
        <f>HYPERLINK("https://esbl.nhlbi.nih.gov/Databases/mpkFractions/proteomic_fractions_log_files/Yang_log_img/19526481.jpg","show blot")</f>
        <v>show blot</v>
      </c>
      <c r="H7136" s="8" t="str">
        <f>HYPERLINK("https://esbl.nhlbi.nih.gov/Databases/mpkFractions/proteomic_fractions_linear_files/Yang_linear_img/19526481.jpg","show blot")</f>
        <v>show blot</v>
      </c>
      <c r="J7136" s="5" t="s">
        <v>14041</v>
      </c>
      <c r="L7136" s="11">
        <v>3.9754333049197461</v>
      </c>
      <c r="N7136" s="12"/>
    </row>
    <row r="7137" spans="1:14" s="5" customFormat="1" ht="15" customHeight="1" x14ac:dyDescent="0.25">
      <c r="A7137" s="9" t="s">
        <v>14042</v>
      </c>
      <c r="C7137" s="9" t="str">
        <f>HYPERLINK("http://www.ncbi.nlm.nih.gov/protein/115496850","Sptan1")</f>
        <v>Sptan1</v>
      </c>
      <c r="D7137" s="10">
        <f t="shared" si="111"/>
        <v>5.9660855027785216</v>
      </c>
      <c r="F7137" s="8" t="str">
        <f>HYPERLINK("https://esbl.nhlbi.nih.gov/Databases/mpkFractions/proteomic_fractions_log_files/Yang_log_img/115496850.jpg","show blot")</f>
        <v>show blot</v>
      </c>
      <c r="H7137" s="8" t="str">
        <f>HYPERLINK("https://esbl.nhlbi.nih.gov/Databases/mpkFractions/proteomic_fractions_linear_files/Yang_linear_img/115496850.jpg","show blot")</f>
        <v>show blot</v>
      </c>
      <c r="J7137" s="5" t="s">
        <v>14043</v>
      </c>
      <c r="L7137" s="11">
        <v>5.9660855027785216</v>
      </c>
      <c r="N7137" s="12"/>
    </row>
    <row r="7138" spans="1:14" s="5" customFormat="1" ht="15" customHeight="1" x14ac:dyDescent="0.25">
      <c r="A7138" s="9" t="s">
        <v>14044</v>
      </c>
      <c r="C7138" s="9" t="str">
        <f>HYPERLINK("http://www.ncbi.nlm.nih.gov/protein/295054266","Sptan1")</f>
        <v>Sptan1</v>
      </c>
      <c r="D7138" s="10">
        <f t="shared" si="111"/>
        <v>5.9660855027785216</v>
      </c>
      <c r="F7138" s="8" t="str">
        <f>HYPERLINK("https://esbl.nhlbi.nih.gov/Databases/mpkFractions/proteomic_fractions_log_files/Yang_log_img/295054266.jpg","show blot")</f>
        <v>show blot</v>
      </c>
      <c r="H7138" s="8" t="str">
        <f>HYPERLINK("https://esbl.nhlbi.nih.gov/Databases/mpkFractions/proteomic_fractions_linear_files/Yang_linear_img/295054266.jpg","show blot")</f>
        <v>show blot</v>
      </c>
      <c r="J7138" s="5" t="s">
        <v>14045</v>
      </c>
      <c r="L7138" s="11">
        <v>5.9660855027785216</v>
      </c>
      <c r="N7138" s="12"/>
    </row>
    <row r="7139" spans="1:14" s="5" customFormat="1" ht="15" customHeight="1" x14ac:dyDescent="0.25">
      <c r="A7139" s="9" t="s">
        <v>14046</v>
      </c>
      <c r="C7139" s="9" t="str">
        <f>HYPERLINK("http://www.ncbi.nlm.nih.gov/protein/295054271","Sptan1")</f>
        <v>Sptan1</v>
      </c>
      <c r="D7139" s="10">
        <f t="shared" si="111"/>
        <v>5.9660855027785216</v>
      </c>
      <c r="F7139" s="8" t="str">
        <f>HYPERLINK("https://esbl.nhlbi.nih.gov/Databases/mpkFractions/proteomic_fractions_log_files/Yang_log_img/295054271.jpg","show blot")</f>
        <v>show blot</v>
      </c>
      <c r="H7139" s="8" t="str">
        <f>HYPERLINK("https://esbl.nhlbi.nih.gov/Databases/mpkFractions/proteomic_fractions_linear_files/Yang_linear_img/295054271.jpg","show blot")</f>
        <v>show blot</v>
      </c>
      <c r="J7139" s="5" t="s">
        <v>14047</v>
      </c>
      <c r="L7139" s="11">
        <v>5.9660855027785216</v>
      </c>
      <c r="N7139" s="12"/>
    </row>
    <row r="7140" spans="1:14" s="5" customFormat="1" ht="15" customHeight="1" x14ac:dyDescent="0.25">
      <c r="A7140" s="9" t="s">
        <v>14048</v>
      </c>
      <c r="C7140" s="9" t="str">
        <f>HYPERLINK("http://www.ncbi.nlm.nih.gov/protein/84490394","Sptb")</f>
        <v>Sptb</v>
      </c>
      <c r="D7140" s="10">
        <f t="shared" si="111"/>
        <v>4.0213993564455883</v>
      </c>
      <c r="F7140" s="8" t="str">
        <f>HYPERLINK("https://esbl.nhlbi.nih.gov/Databases/mpkFractions/proteomic_fractions_log_files/Yang_log_img/84490394.jpg","show blot")</f>
        <v>show blot</v>
      </c>
      <c r="H7140" s="8" t="str">
        <f>HYPERLINK("https://esbl.nhlbi.nih.gov/Databases/mpkFractions/proteomic_fractions_linear_files/Yang_linear_img/84490394.jpg","show blot")</f>
        <v>show blot</v>
      </c>
      <c r="J7140" s="5" t="s">
        <v>14049</v>
      </c>
      <c r="L7140" s="11">
        <v>4.0213993564455883</v>
      </c>
      <c r="N7140" s="12"/>
    </row>
    <row r="7141" spans="1:14" s="5" customFormat="1" ht="15" customHeight="1" x14ac:dyDescent="0.25">
      <c r="A7141" s="9" t="s">
        <v>14050</v>
      </c>
      <c r="C7141" s="9" t="str">
        <f>HYPERLINK("http://www.ncbi.nlm.nih.gov/protein/117938332","Sptbn1")</f>
        <v>Sptbn1</v>
      </c>
      <c r="D7141" s="10">
        <f t="shared" si="111"/>
        <v>5.5398327222080184</v>
      </c>
      <c r="F7141" s="8" t="str">
        <f>HYPERLINK("https://esbl.nhlbi.nih.gov/Databases/mpkFractions/proteomic_fractions_log_files/Yang_log_img/117938332.jpg","show blot")</f>
        <v>show blot</v>
      </c>
      <c r="H7141" s="8" t="str">
        <f>HYPERLINK("https://esbl.nhlbi.nih.gov/Databases/mpkFractions/proteomic_fractions_linear_files/Yang_linear_img/117938332.jpg","show blot")</f>
        <v>show blot</v>
      </c>
      <c r="J7141" s="5" t="s">
        <v>14051</v>
      </c>
      <c r="L7141" s="11">
        <v>5.5398327222080184</v>
      </c>
      <c r="N7141" s="12"/>
    </row>
    <row r="7142" spans="1:14" s="5" customFormat="1" ht="15" customHeight="1" x14ac:dyDescent="0.25">
      <c r="A7142" s="9" t="s">
        <v>14052</v>
      </c>
      <c r="C7142" s="9" t="str">
        <f>HYPERLINK("http://www.ncbi.nlm.nih.gov/protein/117938334","Sptbn1")</f>
        <v>Sptbn1</v>
      </c>
      <c r="D7142" s="10">
        <f t="shared" si="111"/>
        <v>5.5398327222080184</v>
      </c>
      <c r="F7142" s="8" t="str">
        <f>HYPERLINK("https://esbl.nhlbi.nih.gov/Databases/mpkFractions/proteomic_fractions_log_files/Yang_log_img/117938334.jpg","show blot")</f>
        <v>show blot</v>
      </c>
      <c r="H7142" s="8" t="str">
        <f>HYPERLINK("https://esbl.nhlbi.nih.gov/Databases/mpkFractions/proteomic_fractions_linear_files/Yang_linear_img/117938334.jpg","show blot")</f>
        <v>show blot</v>
      </c>
      <c r="J7142" s="5" t="s">
        <v>14053</v>
      </c>
      <c r="L7142" s="11">
        <v>5.5398327222080184</v>
      </c>
      <c r="N7142" s="12"/>
    </row>
    <row r="7143" spans="1:14" s="5" customFormat="1" ht="15" customHeight="1" x14ac:dyDescent="0.25">
      <c r="A7143" s="9" t="s">
        <v>14054</v>
      </c>
      <c r="C7143" s="9" t="str">
        <f>HYPERLINK("http://www.ncbi.nlm.nih.gov/protein/55926127","Sptbn2")</f>
        <v>Sptbn2</v>
      </c>
      <c r="D7143" s="10">
        <f t="shared" si="111"/>
        <v>5.6748221908140302</v>
      </c>
      <c r="F7143" s="8" t="str">
        <f>HYPERLINK("https://esbl.nhlbi.nih.gov/Databases/mpkFractions/proteomic_fractions_log_files/Yang_log_img/55926127.jpg","show blot")</f>
        <v>show blot</v>
      </c>
      <c r="H7143" s="8" t="str">
        <f>HYPERLINK("https://esbl.nhlbi.nih.gov/Databases/mpkFractions/proteomic_fractions_linear_files/Yang_linear_img/55926127.jpg","show blot")</f>
        <v>show blot</v>
      </c>
      <c r="J7143" s="5" t="s">
        <v>14055</v>
      </c>
      <c r="L7143" s="11">
        <v>5.6748221908140302</v>
      </c>
      <c r="N7143" s="12"/>
    </row>
    <row r="7144" spans="1:14" s="5" customFormat="1" ht="15" customHeight="1" x14ac:dyDescent="0.25">
      <c r="A7144" s="9" t="s">
        <v>14056</v>
      </c>
      <c r="C7144" s="9" t="str">
        <f>HYPERLINK("http://www.ncbi.nlm.nih.gov/protein/116174793","Sptbn4")</f>
        <v>Sptbn4</v>
      </c>
      <c r="D7144" s="10">
        <f t="shared" si="111"/>
        <v>4.3256172288756449</v>
      </c>
      <c r="F7144" s="8" t="str">
        <f>HYPERLINK("https://esbl.nhlbi.nih.gov/Databases/mpkFractions/proteomic_fractions_log_files/Yang_log_img/116174793.jpg","show blot")</f>
        <v>show blot</v>
      </c>
      <c r="H7144" s="8" t="str">
        <f>HYPERLINK("https://esbl.nhlbi.nih.gov/Databases/mpkFractions/proteomic_fractions_linear_files/Yang_linear_img/116174793.jpg","show blot")</f>
        <v>show blot</v>
      </c>
      <c r="J7144" s="5" t="s">
        <v>14057</v>
      </c>
      <c r="L7144" s="11">
        <v>4.3256172288756449</v>
      </c>
      <c r="N7144" s="12"/>
    </row>
    <row r="7145" spans="1:14" s="5" customFormat="1" ht="15" customHeight="1" x14ac:dyDescent="0.25">
      <c r="A7145" s="9" t="s">
        <v>14058</v>
      </c>
      <c r="C7145" s="9" t="str">
        <f>HYPERLINK("http://www.ncbi.nlm.nih.gov/protein/29244577","Sptlc1")</f>
        <v>Sptlc1</v>
      </c>
      <c r="D7145" s="10">
        <f t="shared" si="111"/>
        <v>4.5890181018861211</v>
      </c>
      <c r="F7145" s="8" t="str">
        <f>HYPERLINK("https://esbl.nhlbi.nih.gov/Databases/mpkFractions/proteomic_fractions_log_files/Yang_log_img/29244577.jpg","show blot")</f>
        <v>show blot</v>
      </c>
      <c r="H7145" s="8" t="str">
        <f>HYPERLINK("https://esbl.nhlbi.nih.gov/Databases/mpkFractions/proteomic_fractions_linear_files/Yang_linear_img/29244577.jpg","show blot")</f>
        <v>show blot</v>
      </c>
      <c r="J7145" s="5" t="s">
        <v>14059</v>
      </c>
      <c r="L7145" s="11">
        <v>4.5890181018861211</v>
      </c>
      <c r="N7145" s="12"/>
    </row>
    <row r="7146" spans="1:14" s="5" customFormat="1" ht="15" customHeight="1" x14ac:dyDescent="0.25">
      <c r="A7146" s="9" t="s">
        <v>14060</v>
      </c>
      <c r="C7146" s="9" t="str">
        <f>HYPERLINK("http://www.ncbi.nlm.nih.gov/protein/6755656","Sptlc2")</f>
        <v>Sptlc2</v>
      </c>
      <c r="D7146" s="10">
        <f t="shared" si="111"/>
        <v>4.3264380443765962</v>
      </c>
      <c r="F7146" s="8" t="str">
        <f>HYPERLINK("https://esbl.nhlbi.nih.gov/Databases/mpkFractions/proteomic_fractions_log_files/Yang_log_img/6755656.jpg","show blot")</f>
        <v>show blot</v>
      </c>
      <c r="H7146" s="8" t="str">
        <f>HYPERLINK("https://esbl.nhlbi.nih.gov/Databases/mpkFractions/proteomic_fractions_linear_files/Yang_linear_img/6755656.jpg","show blot")</f>
        <v>show blot</v>
      </c>
      <c r="J7146" s="5" t="s">
        <v>14061</v>
      </c>
      <c r="L7146" s="11">
        <v>4.3264380443765962</v>
      </c>
      <c r="N7146" s="12"/>
    </row>
    <row r="7147" spans="1:14" s="5" customFormat="1" ht="15" customHeight="1" x14ac:dyDescent="0.25">
      <c r="A7147" s="9" t="s">
        <v>14062</v>
      </c>
      <c r="C7147" s="9" t="str">
        <f>HYPERLINK("http://www.ncbi.nlm.nih.gov/protein/6678127","Sqle")</f>
        <v>Sqle</v>
      </c>
      <c r="D7147" s="10">
        <f t="shared" si="111"/>
        <v>2.4188862519900369</v>
      </c>
      <c r="F7147" s="8" t="str">
        <f>HYPERLINK("https://esbl.nhlbi.nih.gov/Databases/mpkFractions/proteomic_fractions_log_files/Yang_log_img/6678127.jpg","show blot")</f>
        <v>show blot</v>
      </c>
      <c r="H7147" s="8" t="str">
        <f>HYPERLINK("https://esbl.nhlbi.nih.gov/Databases/mpkFractions/proteomic_fractions_linear_files/Yang_linear_img/6678127.jpg","show blot")</f>
        <v>show blot</v>
      </c>
      <c r="J7147" s="5" t="s">
        <v>14063</v>
      </c>
      <c r="L7147" s="11">
        <v>2.4188862519900369</v>
      </c>
      <c r="N7147" s="12"/>
    </row>
    <row r="7148" spans="1:14" s="5" customFormat="1" ht="15" customHeight="1" x14ac:dyDescent="0.25">
      <c r="A7148" s="9" t="s">
        <v>14064</v>
      </c>
      <c r="C7148" s="9" t="str">
        <f>HYPERLINK("http://www.ncbi.nlm.nih.gov/protein/244790049","Sqrdl")</f>
        <v>Sqrdl</v>
      </c>
      <c r="D7148" s="10">
        <f t="shared" si="111"/>
        <v>5.6699425969434056</v>
      </c>
      <c r="F7148" s="8" t="str">
        <f>HYPERLINK("https://esbl.nhlbi.nih.gov/Databases/mpkFractions/proteomic_fractions_log_files/Yang_log_img/244790049.jpg","show blot")</f>
        <v>show blot</v>
      </c>
      <c r="H7148" s="8" t="str">
        <f>HYPERLINK("https://esbl.nhlbi.nih.gov/Databases/mpkFractions/proteomic_fractions_linear_files/Yang_linear_img/244790049.jpg","show blot")</f>
        <v>show blot</v>
      </c>
      <c r="J7148" s="5" t="s">
        <v>14065</v>
      </c>
      <c r="L7148" s="11">
        <v>5.6699425969434056</v>
      </c>
      <c r="N7148" s="12"/>
    </row>
    <row r="7149" spans="1:14" s="5" customFormat="1" ht="15" customHeight="1" x14ac:dyDescent="0.25">
      <c r="A7149" s="9" t="s">
        <v>14066</v>
      </c>
      <c r="C7149" s="9" t="str">
        <f>HYPERLINK("http://www.ncbi.nlm.nih.gov/protein/244790045;244790049","Sqrdl")</f>
        <v>Sqrdl</v>
      </c>
      <c r="D7149" s="10">
        <f t="shared" si="111"/>
        <v>5.6699425969434056</v>
      </c>
      <c r="F7149" s="8" t="str">
        <f>HYPERLINK("https://esbl.nhlbi.nih.gov/Databases/mpkFractions/proteomic_fractions_log_files/Yang_log_img/244790045;244790049.jpg","show blot")</f>
        <v>show blot</v>
      </c>
      <c r="H7149" s="8" t="str">
        <f>HYPERLINK("https://esbl.nhlbi.nih.gov/Databases/mpkFractions/proteomic_fractions_linear_files/Yang_linear_img/244790045;244790049.jpg","show blot")</f>
        <v>show blot</v>
      </c>
      <c r="J7149" s="5" t="s">
        <v>14065</v>
      </c>
      <c r="L7149" s="11">
        <v>5.6699425969434056</v>
      </c>
      <c r="N7149" s="12"/>
    </row>
    <row r="7150" spans="1:14" s="5" customFormat="1" ht="15" customHeight="1" x14ac:dyDescent="0.25">
      <c r="A7150" s="9" t="s">
        <v>14067</v>
      </c>
      <c r="C7150" s="9" t="str">
        <f>HYPERLINK("http://www.ncbi.nlm.nih.gov/protein/244790049;244790045","Sqrdl")</f>
        <v>Sqrdl</v>
      </c>
      <c r="D7150" s="10">
        <f t="shared" si="111"/>
        <v>5.6699425969434056</v>
      </c>
      <c r="F7150" s="8" t="str">
        <f>HYPERLINK("https://esbl.nhlbi.nih.gov/Databases/mpkFractions/proteomic_fractions_log_files/Yang_log_img/244790049;244790045.jpg","show blot")</f>
        <v>show blot</v>
      </c>
      <c r="H7150" s="8" t="str">
        <f>HYPERLINK("https://esbl.nhlbi.nih.gov/Databases/mpkFractions/proteomic_fractions_linear_files/Yang_linear_img/244790049;244790045.jpg","show blot")</f>
        <v>show blot</v>
      </c>
      <c r="J7150" s="5" t="s">
        <v>14065</v>
      </c>
      <c r="L7150" s="11">
        <v>5.6699425969434056</v>
      </c>
      <c r="N7150" s="12"/>
    </row>
    <row r="7151" spans="1:14" s="5" customFormat="1" ht="15" customHeight="1" x14ac:dyDescent="0.25">
      <c r="A7151" s="9" t="s">
        <v>14068</v>
      </c>
      <c r="C7151" s="9" t="str">
        <f>HYPERLINK("http://www.ncbi.nlm.nih.gov/protein/6754954","Sqstm1")</f>
        <v>Sqstm1</v>
      </c>
      <c r="D7151" s="10">
        <f t="shared" si="111"/>
        <v>4.0767421908536123</v>
      </c>
      <c r="F7151" s="8" t="str">
        <f>HYPERLINK("https://esbl.nhlbi.nih.gov/Databases/mpkFractions/proteomic_fractions_log_files/Yang_log_img/6754954.jpg","show blot")</f>
        <v>show blot</v>
      </c>
      <c r="H7151" s="8" t="str">
        <f>HYPERLINK("https://esbl.nhlbi.nih.gov/Databases/mpkFractions/proteomic_fractions_linear_files/Yang_linear_img/6754954.jpg","show blot")</f>
        <v>show blot</v>
      </c>
      <c r="J7151" s="5" t="s">
        <v>14069</v>
      </c>
      <c r="L7151" s="11">
        <v>4.0767421908536123</v>
      </c>
      <c r="N7151" s="12"/>
    </row>
    <row r="7152" spans="1:14" s="5" customFormat="1" ht="15" customHeight="1" x14ac:dyDescent="0.25">
      <c r="A7152" s="9" t="s">
        <v>14070</v>
      </c>
      <c r="C7152" s="9" t="str">
        <f>HYPERLINK("http://www.ncbi.nlm.nih.gov/protein/257096048","Sra1")</f>
        <v>Sra1</v>
      </c>
      <c r="D7152" s="10">
        <f t="shared" si="111"/>
        <v>4.4489054301546416</v>
      </c>
      <c r="F7152" s="8" t="str">
        <f>HYPERLINK("https://esbl.nhlbi.nih.gov/Databases/mpkFractions/proteomic_fractions_log_files/Yang_log_img/257096048.jpg","show blot")</f>
        <v>show blot</v>
      </c>
      <c r="H7152" s="8" t="str">
        <f>HYPERLINK("https://esbl.nhlbi.nih.gov/Databases/mpkFractions/proteomic_fractions_linear_files/Yang_linear_img/257096048.jpg","show blot")</f>
        <v>show blot</v>
      </c>
      <c r="J7152" s="5" t="s">
        <v>14071</v>
      </c>
      <c r="L7152" s="11">
        <v>4.4489054301546416</v>
      </c>
      <c r="N7152" s="12"/>
    </row>
    <row r="7153" spans="1:14" s="5" customFormat="1" ht="15" customHeight="1" x14ac:dyDescent="0.25">
      <c r="A7153" s="9" t="s">
        <v>14072</v>
      </c>
      <c r="C7153" s="9" t="str">
        <f>HYPERLINK("http://www.ncbi.nlm.nih.gov/protein/257096050","Sra1")</f>
        <v>Sra1</v>
      </c>
      <c r="D7153" s="10">
        <f t="shared" si="111"/>
        <v>4.4489054301546416</v>
      </c>
      <c r="F7153" s="8" t="str">
        <f>HYPERLINK("https://esbl.nhlbi.nih.gov/Databases/mpkFractions/proteomic_fractions_log_files/Yang_log_img/257096050.jpg","show blot")</f>
        <v>show blot</v>
      </c>
      <c r="H7153" s="8" t="str">
        <f>HYPERLINK("https://esbl.nhlbi.nih.gov/Databases/mpkFractions/proteomic_fractions_linear_files/Yang_linear_img/257096050.jpg","show blot")</f>
        <v>show blot</v>
      </c>
      <c r="J7153" s="5" t="s">
        <v>14073</v>
      </c>
      <c r="L7153" s="11">
        <v>4.4489054301546416</v>
      </c>
      <c r="N7153" s="12"/>
    </row>
    <row r="7154" spans="1:14" s="5" customFormat="1" ht="15" customHeight="1" x14ac:dyDescent="0.25">
      <c r="A7154" s="9" t="s">
        <v>14074</v>
      </c>
      <c r="C7154" s="9" t="str">
        <f>HYPERLINK("http://www.ncbi.nlm.nih.gov/protein/226443099","Srbd1")</f>
        <v>Srbd1</v>
      </c>
      <c r="D7154" s="10">
        <f t="shared" si="111"/>
        <v>2.6676227318138919</v>
      </c>
      <c r="F7154" s="8" t="str">
        <f>HYPERLINK("https://esbl.nhlbi.nih.gov/Databases/mpkFractions/proteomic_fractions_log_files/Yang_log_img/226443099.jpg","show blot")</f>
        <v>show blot</v>
      </c>
      <c r="H7154" s="8" t="str">
        <f>HYPERLINK("https://esbl.nhlbi.nih.gov/Databases/mpkFractions/proteomic_fractions_linear_files/Yang_linear_img/226443099.jpg","show blot")</f>
        <v>show blot</v>
      </c>
      <c r="J7154" s="5" t="s">
        <v>14075</v>
      </c>
      <c r="L7154" s="11">
        <v>2.6676227318138919</v>
      </c>
      <c r="N7154" s="12"/>
    </row>
    <row r="7155" spans="1:14" s="5" customFormat="1" ht="15" customHeight="1" x14ac:dyDescent="0.25">
      <c r="A7155" s="9" t="s">
        <v>14076</v>
      </c>
      <c r="C7155" s="9" t="str">
        <f>HYPERLINK("http://www.ncbi.nlm.nih.gov/protein/70794809","Src")</f>
        <v>Src</v>
      </c>
      <c r="D7155" s="10">
        <f t="shared" si="111"/>
        <v>5.4312150069329421</v>
      </c>
      <c r="F7155" s="8" t="str">
        <f>HYPERLINK("https://esbl.nhlbi.nih.gov/Databases/mpkFractions/proteomic_fractions_log_files/Yang_log_img/70794809.jpg","show blot")</f>
        <v>show blot</v>
      </c>
      <c r="H7155" s="8" t="str">
        <f>HYPERLINK("https://esbl.nhlbi.nih.gov/Databases/mpkFractions/proteomic_fractions_linear_files/Yang_linear_img/70794809.jpg","show blot")</f>
        <v>show blot</v>
      </c>
      <c r="J7155" s="5" t="s">
        <v>14077</v>
      </c>
      <c r="L7155" s="11">
        <v>5.4312150069329421</v>
      </c>
      <c r="N7155" s="12"/>
    </row>
    <row r="7156" spans="1:14" s="5" customFormat="1" ht="15" customHeight="1" x14ac:dyDescent="0.25">
      <c r="A7156" s="9" t="s">
        <v>14078</v>
      </c>
      <c r="C7156" s="9" t="str">
        <f>HYPERLINK("http://www.ncbi.nlm.nih.gov/protein/70794811","Src")</f>
        <v>Src</v>
      </c>
      <c r="D7156" s="10">
        <f t="shared" si="111"/>
        <v>5.4312150069329421</v>
      </c>
      <c r="F7156" s="8" t="str">
        <f>HYPERLINK("https://esbl.nhlbi.nih.gov/Databases/mpkFractions/proteomic_fractions_log_files/Yang_log_img/70794811.jpg","show blot")</f>
        <v>show blot</v>
      </c>
      <c r="H7156" s="8" t="str">
        <f>HYPERLINK("https://esbl.nhlbi.nih.gov/Databases/mpkFractions/proteomic_fractions_linear_files/Yang_linear_img/70794811.jpg","show blot")</f>
        <v>show blot</v>
      </c>
      <c r="J7156" s="5" t="s">
        <v>14079</v>
      </c>
      <c r="L7156" s="11">
        <v>5.4312150069329421</v>
      </c>
      <c r="N7156" s="12"/>
    </row>
    <row r="7157" spans="1:14" s="5" customFormat="1" ht="15" customHeight="1" x14ac:dyDescent="0.25">
      <c r="A7157" s="9" t="s">
        <v>14080</v>
      </c>
      <c r="C7157" s="9" t="str">
        <f>HYPERLINK("http://www.ncbi.nlm.nih.gov/protein/87044895","Srd5a1")</f>
        <v>Srd5a1</v>
      </c>
      <c r="D7157" s="10">
        <f t="shared" si="111"/>
        <v>4.1101465570119311</v>
      </c>
      <c r="F7157" s="8" t="str">
        <f>HYPERLINK("https://esbl.nhlbi.nih.gov/Databases/mpkFractions/proteomic_fractions_log_files/Yang_log_img/87044895.jpg","show blot")</f>
        <v>show blot</v>
      </c>
      <c r="H7157" s="8" t="str">
        <f>HYPERLINK("https://esbl.nhlbi.nih.gov/Databases/mpkFractions/proteomic_fractions_linear_files/Yang_linear_img/87044895.jpg","show blot")</f>
        <v>show blot</v>
      </c>
      <c r="J7157" s="5" t="s">
        <v>14081</v>
      </c>
      <c r="L7157" s="11">
        <v>4.1101465570119311</v>
      </c>
      <c r="N7157" s="12"/>
    </row>
    <row r="7158" spans="1:14" s="5" customFormat="1" ht="15" customHeight="1" x14ac:dyDescent="0.25">
      <c r="A7158" s="9" t="s">
        <v>14082</v>
      </c>
      <c r="C7158" s="9" t="str">
        <f>HYPERLINK("http://www.ncbi.nlm.nih.gov/protein/27881427","Srd5a3")</f>
        <v>Srd5a3</v>
      </c>
      <c r="D7158" s="10">
        <f t="shared" si="111"/>
        <v>2.0127262512838699</v>
      </c>
      <c r="F7158" s="8" t="str">
        <f>HYPERLINK("https://esbl.nhlbi.nih.gov/Databases/mpkFractions/proteomic_fractions_log_files/Yang_log_img/27881427.jpg","show blot")</f>
        <v>show blot</v>
      </c>
      <c r="H7158" s="8" t="str">
        <f>HYPERLINK("https://esbl.nhlbi.nih.gov/Databases/mpkFractions/proteomic_fractions_linear_files/Yang_linear_img/27881427.jpg","show blot")</f>
        <v>show blot</v>
      </c>
      <c r="J7158" s="5" t="s">
        <v>14083</v>
      </c>
      <c r="L7158" s="11">
        <v>2.0127262512838699</v>
      </c>
      <c r="N7158" s="12"/>
    </row>
    <row r="7159" spans="1:14" s="5" customFormat="1" ht="15" customHeight="1" x14ac:dyDescent="0.25">
      <c r="A7159" s="9" t="s">
        <v>14084</v>
      </c>
      <c r="C7159" s="9" t="str">
        <f>HYPERLINK("http://www.ncbi.nlm.nih.gov/protein/73661204","Srebf2")</f>
        <v>Srebf2</v>
      </c>
      <c r="D7159" s="10">
        <f t="shared" si="111"/>
        <v>3.145186035847312</v>
      </c>
      <c r="F7159" s="8" t="str">
        <f>HYPERLINK("https://esbl.nhlbi.nih.gov/Databases/mpkFractions/proteomic_fractions_log_files/Yang_log_img/73661204.jpg","show blot")</f>
        <v>show blot</v>
      </c>
      <c r="H7159" s="8" t="str">
        <f>HYPERLINK("https://esbl.nhlbi.nih.gov/Databases/mpkFractions/proteomic_fractions_linear_files/Yang_linear_img/73661204.jpg","show blot")</f>
        <v>show blot</v>
      </c>
      <c r="J7159" s="5" t="s">
        <v>14085</v>
      </c>
      <c r="L7159" s="11">
        <v>3.145186035847312</v>
      </c>
      <c r="N7159" s="12"/>
    </row>
    <row r="7160" spans="1:14" s="5" customFormat="1" ht="15" customHeight="1" x14ac:dyDescent="0.25">
      <c r="A7160" s="9" t="s">
        <v>14086</v>
      </c>
      <c r="C7160" s="9" t="str">
        <f>HYPERLINK("http://www.ncbi.nlm.nih.gov/protein/27369842","Srek1")</f>
        <v>Srek1</v>
      </c>
      <c r="D7160" s="10">
        <f t="shared" si="111"/>
        <v>3.174570921076489</v>
      </c>
      <c r="F7160" s="8" t="str">
        <f>HYPERLINK("https://esbl.nhlbi.nih.gov/Databases/mpkFractions/proteomic_fractions_log_files/Yang_log_img/27369842.jpg","show blot")</f>
        <v>show blot</v>
      </c>
      <c r="H7160" s="8" t="str">
        <f>HYPERLINK("https://esbl.nhlbi.nih.gov/Databases/mpkFractions/proteomic_fractions_linear_files/Yang_linear_img/27369842.jpg","show blot")</f>
        <v>show blot</v>
      </c>
      <c r="J7160" s="5" t="s">
        <v>14087</v>
      </c>
      <c r="L7160" s="11">
        <v>3.174570921076489</v>
      </c>
      <c r="N7160" s="12"/>
    </row>
    <row r="7161" spans="1:14" s="5" customFormat="1" ht="15" customHeight="1" x14ac:dyDescent="0.25">
      <c r="A7161" s="9" t="s">
        <v>14088</v>
      </c>
      <c r="C7161" s="9" t="str">
        <f>HYPERLINK("http://www.ncbi.nlm.nih.gov/protein/124486650","Srgap1")</f>
        <v>Srgap1</v>
      </c>
      <c r="D7161" s="10">
        <f t="shared" si="111"/>
        <v>3.699823967753356</v>
      </c>
      <c r="F7161" s="8" t="str">
        <f>HYPERLINK("https://esbl.nhlbi.nih.gov/Databases/mpkFractions/proteomic_fractions_log_files/Yang_log_img/124486650.jpg","show blot")</f>
        <v>show blot</v>
      </c>
      <c r="H7161" s="8" t="str">
        <f>HYPERLINK("https://esbl.nhlbi.nih.gov/Databases/mpkFractions/proteomic_fractions_linear_files/Yang_linear_img/124486650.jpg","show blot")</f>
        <v>show blot</v>
      </c>
      <c r="J7161" s="5" t="s">
        <v>14089</v>
      </c>
      <c r="L7161" s="11">
        <v>3.699823967753356</v>
      </c>
      <c r="N7161" s="12"/>
    </row>
    <row r="7162" spans="1:14" s="5" customFormat="1" ht="15" customHeight="1" x14ac:dyDescent="0.25">
      <c r="A7162" s="9" t="s">
        <v>14090</v>
      </c>
      <c r="C7162" s="9" t="str">
        <f>HYPERLINK("http://www.ncbi.nlm.nih.gov/protein/334724478","Srgap1")</f>
        <v>Srgap1</v>
      </c>
      <c r="D7162" s="10">
        <f t="shared" si="111"/>
        <v>3.699823967753356</v>
      </c>
      <c r="F7162" s="8" t="str">
        <f>HYPERLINK("https://esbl.nhlbi.nih.gov/Databases/mpkFractions/proteomic_fractions_log_files/Yang_log_img/334724478.jpg","show blot")</f>
        <v>show blot</v>
      </c>
      <c r="H7162" s="8" t="str">
        <f>HYPERLINK("https://esbl.nhlbi.nih.gov/Databases/mpkFractions/proteomic_fractions_linear_files/Yang_linear_img/334724478.jpg","show blot")</f>
        <v>show blot</v>
      </c>
      <c r="J7162" s="5" t="s">
        <v>14091</v>
      </c>
      <c r="L7162" s="11">
        <v>3.699823967753356</v>
      </c>
      <c r="N7162" s="12"/>
    </row>
    <row r="7163" spans="1:14" s="5" customFormat="1" ht="15" customHeight="1" x14ac:dyDescent="0.25">
      <c r="A7163" s="9" t="s">
        <v>14092</v>
      </c>
      <c r="C7163" s="9" t="str">
        <f>HYPERLINK("http://www.ncbi.nlm.nih.gov/protein/157951723","Srgap2")</f>
        <v>Srgap2</v>
      </c>
      <c r="D7163" s="10">
        <f t="shared" si="111"/>
        <v>3.713529514326817</v>
      </c>
      <c r="F7163" s="8" t="str">
        <f>HYPERLINK("https://esbl.nhlbi.nih.gov/Databases/mpkFractions/proteomic_fractions_log_files/Yang_log_img/157951723.jpg","show blot")</f>
        <v>show blot</v>
      </c>
      <c r="H7163" s="8" t="str">
        <f>HYPERLINK("https://esbl.nhlbi.nih.gov/Databases/mpkFractions/proteomic_fractions_linear_files/Yang_linear_img/157951723.jpg","show blot")</f>
        <v>show blot</v>
      </c>
      <c r="J7163" s="5" t="s">
        <v>14093</v>
      </c>
      <c r="L7163" s="11">
        <v>3.713529514326817</v>
      </c>
      <c r="N7163" s="12"/>
    </row>
    <row r="7164" spans="1:14" s="5" customFormat="1" ht="15" customHeight="1" x14ac:dyDescent="0.25">
      <c r="A7164" s="9" t="s">
        <v>14094</v>
      </c>
      <c r="C7164" s="9" t="str">
        <f>HYPERLINK("http://www.ncbi.nlm.nih.gov/protein/154090967","Srgap3")</f>
        <v>Srgap3</v>
      </c>
      <c r="D7164" s="10">
        <f t="shared" si="111"/>
        <v>2.4256661184896759</v>
      </c>
      <c r="F7164" s="8" t="str">
        <f>HYPERLINK("https://esbl.nhlbi.nih.gov/Databases/mpkFractions/proteomic_fractions_log_files/Yang_log_img/154090967.jpg","show blot")</f>
        <v>show blot</v>
      </c>
      <c r="H7164" s="8" t="str">
        <f>HYPERLINK("https://esbl.nhlbi.nih.gov/Databases/mpkFractions/proteomic_fractions_linear_files/Yang_linear_img/154090967.jpg","show blot")</f>
        <v>show blot</v>
      </c>
      <c r="J7164" s="5" t="s">
        <v>14095</v>
      </c>
      <c r="L7164" s="11">
        <v>2.4256661184896759</v>
      </c>
      <c r="N7164" s="12"/>
    </row>
    <row r="7165" spans="1:14" s="5" customFormat="1" ht="15" customHeight="1" x14ac:dyDescent="0.25">
      <c r="A7165" s="9" t="s">
        <v>14096</v>
      </c>
      <c r="C7165" s="9" t="str">
        <f>HYPERLINK("http://www.ncbi.nlm.nih.gov/protein/124430537","Sri")</f>
        <v>Sri</v>
      </c>
      <c r="D7165" s="10">
        <f t="shared" si="111"/>
        <v>6.3341248956526872</v>
      </c>
      <c r="F7165" s="8" t="str">
        <f>HYPERLINK("https://esbl.nhlbi.nih.gov/Databases/mpkFractions/proteomic_fractions_log_files/Yang_log_img/124430537.jpg","show blot")</f>
        <v>show blot</v>
      </c>
      <c r="H7165" s="8" t="str">
        <f>HYPERLINK("https://esbl.nhlbi.nih.gov/Databases/mpkFractions/proteomic_fractions_linear_files/Yang_linear_img/124430537.jpg","show blot")</f>
        <v>show blot</v>
      </c>
      <c r="J7165" s="5" t="s">
        <v>14097</v>
      </c>
      <c r="L7165" s="11">
        <v>6.3341248956526872</v>
      </c>
      <c r="N7165" s="12"/>
    </row>
    <row r="7166" spans="1:14" s="5" customFormat="1" ht="15" customHeight="1" x14ac:dyDescent="0.25">
      <c r="A7166" s="9" t="s">
        <v>14098</v>
      </c>
      <c r="C7166" s="9" t="str">
        <f>HYPERLINK("http://www.ncbi.nlm.nih.gov/protein/124430543","Sri")</f>
        <v>Sri</v>
      </c>
      <c r="D7166" s="10">
        <f t="shared" si="111"/>
        <v>6.3341248956526872</v>
      </c>
      <c r="F7166" s="8" t="str">
        <f>HYPERLINK("https://esbl.nhlbi.nih.gov/Databases/mpkFractions/proteomic_fractions_log_files/Yang_log_img/124430543.jpg","show blot")</f>
        <v>show blot</v>
      </c>
      <c r="H7166" s="8" t="str">
        <f>HYPERLINK("https://esbl.nhlbi.nih.gov/Databases/mpkFractions/proteomic_fractions_linear_files/Yang_linear_img/124430543.jpg","show blot")</f>
        <v>show blot</v>
      </c>
      <c r="J7166" s="5" t="s">
        <v>14099</v>
      </c>
      <c r="L7166" s="11">
        <v>6.3341248956526872</v>
      </c>
      <c r="N7166" s="12"/>
    </row>
    <row r="7167" spans="1:14" s="5" customFormat="1" ht="15" customHeight="1" x14ac:dyDescent="0.25">
      <c r="A7167" s="9" t="s">
        <v>14100</v>
      </c>
      <c r="C7167" s="9" t="str">
        <f>HYPERLINK("http://www.ncbi.nlm.nih.gov/protein/34328417","Srl")</f>
        <v>Srl</v>
      </c>
      <c r="D7167" s="10">
        <f t="shared" si="111"/>
        <v>3.2397909345882292</v>
      </c>
      <c r="F7167" s="8" t="str">
        <f>HYPERLINK("https://esbl.nhlbi.nih.gov/Databases/mpkFractions/proteomic_fractions_log_files/Yang_log_img/34328417.jpg","show blot")</f>
        <v>show blot</v>
      </c>
      <c r="H7167" s="8" t="str">
        <f>HYPERLINK("https://esbl.nhlbi.nih.gov/Databases/mpkFractions/proteomic_fractions_linear_files/Yang_linear_img/34328417.jpg","show blot")</f>
        <v>show blot</v>
      </c>
      <c r="J7167" s="5" t="s">
        <v>14101</v>
      </c>
      <c r="L7167" s="11">
        <v>3.2397909345882292</v>
      </c>
      <c r="N7167" s="12"/>
    </row>
    <row r="7168" spans="1:14" s="5" customFormat="1" ht="15" customHeight="1" x14ac:dyDescent="0.25">
      <c r="A7168" s="9" t="s">
        <v>14102</v>
      </c>
      <c r="C7168" s="9" t="str">
        <f>HYPERLINK("http://www.ncbi.nlm.nih.gov/protein/6678131","Srm")</f>
        <v>Srm</v>
      </c>
      <c r="D7168" s="10">
        <f t="shared" si="111"/>
        <v>5.6181859076216254</v>
      </c>
      <c r="F7168" s="8" t="str">
        <f>HYPERLINK("https://esbl.nhlbi.nih.gov/Databases/mpkFractions/proteomic_fractions_log_files/Yang_log_img/6678131.jpg","show blot")</f>
        <v>show blot</v>
      </c>
      <c r="H7168" s="8" t="str">
        <f>HYPERLINK("https://esbl.nhlbi.nih.gov/Databases/mpkFractions/proteomic_fractions_linear_files/Yang_linear_img/6678131.jpg","show blot")</f>
        <v>show blot</v>
      </c>
      <c r="J7168" s="5" t="s">
        <v>14103</v>
      </c>
      <c r="L7168" s="11">
        <v>5.6181859076216254</v>
      </c>
      <c r="N7168" s="12"/>
    </row>
    <row r="7169" spans="1:14" s="5" customFormat="1" ht="15" customHeight="1" x14ac:dyDescent="0.25">
      <c r="A7169" s="9" t="s">
        <v>14104</v>
      </c>
      <c r="C7169" s="9" t="str">
        <f>HYPERLINK("http://www.ncbi.nlm.nih.gov/protein/54287682","Srms")</f>
        <v>Srms</v>
      </c>
      <c r="D7169" s="10">
        <f t="shared" si="111"/>
        <v>4.6166530399740218</v>
      </c>
      <c r="F7169" s="8" t="str">
        <f>HYPERLINK("https://esbl.nhlbi.nih.gov/Databases/mpkFractions/proteomic_fractions_log_files/Yang_log_img/54287682.jpg","show blot")</f>
        <v>show blot</v>
      </c>
      <c r="H7169" s="8" t="str">
        <f>HYPERLINK("https://esbl.nhlbi.nih.gov/Databases/mpkFractions/proteomic_fractions_linear_files/Yang_linear_img/54287682.jpg","show blot")</f>
        <v>show blot</v>
      </c>
      <c r="J7169" s="5" t="s">
        <v>14105</v>
      </c>
      <c r="L7169" s="11">
        <v>4.6166530399740218</v>
      </c>
      <c r="N7169" s="12"/>
    </row>
    <row r="7170" spans="1:14" s="5" customFormat="1" ht="15" customHeight="1" x14ac:dyDescent="0.25">
      <c r="A7170" s="9" t="s">
        <v>14106</v>
      </c>
      <c r="C7170" s="9" t="str">
        <f>HYPERLINK("http://www.ncbi.nlm.nih.gov/protein/160333840","Srp19")</f>
        <v>Srp19</v>
      </c>
      <c r="D7170" s="10">
        <f t="shared" si="111"/>
        <v>5.233565615429602</v>
      </c>
      <c r="F7170" s="8" t="str">
        <f>HYPERLINK("https://esbl.nhlbi.nih.gov/Databases/mpkFractions/proteomic_fractions_log_files/Yang_log_img/160333840.jpg","show blot")</f>
        <v>show blot</v>
      </c>
      <c r="H7170" s="8" t="str">
        <f>HYPERLINK("https://esbl.nhlbi.nih.gov/Databases/mpkFractions/proteomic_fractions_linear_files/Yang_linear_img/160333840.jpg","show blot")</f>
        <v>show blot</v>
      </c>
      <c r="J7170" s="5" t="s">
        <v>14107</v>
      </c>
      <c r="L7170" s="11">
        <v>5.233565615429602</v>
      </c>
      <c r="N7170" s="12"/>
    </row>
    <row r="7171" spans="1:14" s="5" customFormat="1" ht="15" customHeight="1" x14ac:dyDescent="0.25">
      <c r="A7171" s="9" t="s">
        <v>14108</v>
      </c>
      <c r="C7171" s="9" t="str">
        <f>HYPERLINK("http://www.ncbi.nlm.nih.gov/protein/31981338;153791789","Srp54a")</f>
        <v>Srp54a</v>
      </c>
      <c r="D7171" s="10">
        <f t="shared" si="111"/>
        <v>3.777022980741557</v>
      </c>
      <c r="F7171" s="8" t="str">
        <f>HYPERLINK("https://esbl.nhlbi.nih.gov/Databases/mpkFractions/proteomic_fractions_log_files/Yang_log_img/31981338;153791789.jpg","show blot")</f>
        <v>show blot</v>
      </c>
      <c r="H7171" s="8" t="str">
        <f>HYPERLINK("https://esbl.nhlbi.nih.gov/Databases/mpkFractions/proteomic_fractions_linear_files/Yang_linear_img/31981338;153791789.jpg","show blot")</f>
        <v>show blot</v>
      </c>
      <c r="J7171" s="5" t="s">
        <v>14109</v>
      </c>
      <c r="L7171" s="11">
        <v>3.777022980741557</v>
      </c>
      <c r="N7171" s="12"/>
    </row>
    <row r="7172" spans="1:14" s="5" customFormat="1" ht="15" customHeight="1" x14ac:dyDescent="0.25">
      <c r="A7172" s="9" t="s">
        <v>14110</v>
      </c>
      <c r="C7172" s="9" t="str">
        <f>HYPERLINK("http://www.ncbi.nlm.nih.gov/protein/153791789","Srp54b")</f>
        <v>Srp54b</v>
      </c>
      <c r="D7172" s="10">
        <f t="shared" si="111"/>
        <v>5.1025825689261399</v>
      </c>
      <c r="F7172" s="8" t="str">
        <f>HYPERLINK("https://esbl.nhlbi.nih.gov/Databases/mpkFractions/proteomic_fractions_log_files/Yang_log_img/153791789.jpg","show blot")</f>
        <v>show blot</v>
      </c>
      <c r="H7172" s="8" t="str">
        <f>HYPERLINK("https://esbl.nhlbi.nih.gov/Databases/mpkFractions/proteomic_fractions_linear_files/Yang_linear_img/153791789.jpg","show blot")</f>
        <v>show blot</v>
      </c>
      <c r="J7172" s="5" t="s">
        <v>14109</v>
      </c>
      <c r="L7172" s="11">
        <v>5.1025825689261399</v>
      </c>
      <c r="N7172" s="12"/>
    </row>
    <row r="7173" spans="1:14" s="5" customFormat="1" ht="15" customHeight="1" x14ac:dyDescent="0.25">
      <c r="A7173" s="9" t="s">
        <v>14111</v>
      </c>
      <c r="C7173" s="9" t="str">
        <f>HYPERLINK("http://www.ncbi.nlm.nih.gov/protein/153791464","Srp54c")</f>
        <v>Srp54c</v>
      </c>
      <c r="D7173" s="10">
        <f t="shared" ref="D7173:D7236" si="112">L7173</f>
        <v>4.9634538189362054</v>
      </c>
      <c r="F7173" s="8" t="str">
        <f>HYPERLINK("https://esbl.nhlbi.nih.gov/Databases/mpkFractions/proteomic_fractions_log_files/Yang_log_img/153791464.jpg","show blot")</f>
        <v>show blot</v>
      </c>
      <c r="H7173" s="8" t="str">
        <f>HYPERLINK("https://esbl.nhlbi.nih.gov/Databases/mpkFractions/proteomic_fractions_linear_files/Yang_linear_img/153791464.jpg","show blot")</f>
        <v>show blot</v>
      </c>
      <c r="J7173" s="5" t="s">
        <v>14112</v>
      </c>
      <c r="L7173" s="11">
        <v>4.9634538189362054</v>
      </c>
      <c r="N7173" s="12"/>
    </row>
    <row r="7174" spans="1:14" s="5" customFormat="1" ht="15" customHeight="1" x14ac:dyDescent="0.25">
      <c r="A7174" s="9" t="s">
        <v>14113</v>
      </c>
      <c r="C7174" s="9" t="str">
        <f>HYPERLINK("http://www.ncbi.nlm.nih.gov/protein/47271535","Srp68")</f>
        <v>Srp68</v>
      </c>
      <c r="D7174" s="10">
        <f t="shared" si="112"/>
        <v>5.206924726054309</v>
      </c>
      <c r="F7174" s="8" t="str">
        <f>HYPERLINK("https://esbl.nhlbi.nih.gov/Databases/mpkFractions/proteomic_fractions_log_files/Yang_log_img/47271535.jpg","show blot")</f>
        <v>show blot</v>
      </c>
      <c r="H7174" s="8" t="str">
        <f>HYPERLINK("https://esbl.nhlbi.nih.gov/Databases/mpkFractions/proteomic_fractions_linear_files/Yang_linear_img/47271535.jpg","show blot")</f>
        <v>show blot</v>
      </c>
      <c r="J7174" s="5" t="s">
        <v>14114</v>
      </c>
      <c r="L7174" s="11">
        <v>5.206924726054309</v>
      </c>
      <c r="N7174" s="12"/>
    </row>
    <row r="7175" spans="1:14" s="5" customFormat="1" ht="15" customHeight="1" x14ac:dyDescent="0.25">
      <c r="A7175" s="9" t="s">
        <v>14115</v>
      </c>
      <c r="C7175" s="9" t="str">
        <f>HYPERLINK("http://www.ncbi.nlm.nih.gov/protein/118344452","Srp72")</f>
        <v>Srp72</v>
      </c>
      <c r="D7175" s="10">
        <f t="shared" si="112"/>
        <v>5.2590001326859062</v>
      </c>
      <c r="F7175" s="8" t="str">
        <f>HYPERLINK("https://esbl.nhlbi.nih.gov/Databases/mpkFractions/proteomic_fractions_log_files/Yang_log_img/118344452.jpg","show blot")</f>
        <v>show blot</v>
      </c>
      <c r="H7175" s="8" t="str">
        <f>HYPERLINK("https://esbl.nhlbi.nih.gov/Databases/mpkFractions/proteomic_fractions_linear_files/Yang_linear_img/118344452.jpg","show blot")</f>
        <v>show blot</v>
      </c>
      <c r="J7175" s="5" t="s">
        <v>14116</v>
      </c>
      <c r="L7175" s="11">
        <v>5.2590001326859062</v>
      </c>
      <c r="N7175" s="12"/>
    </row>
    <row r="7176" spans="1:14" s="5" customFormat="1" ht="15" customHeight="1" x14ac:dyDescent="0.25">
      <c r="A7176" s="9" t="s">
        <v>14117</v>
      </c>
      <c r="C7176" s="9" t="str">
        <f>HYPERLINK("http://www.ncbi.nlm.nih.gov/protein/6755662","Srp9")</f>
        <v>Srp9</v>
      </c>
      <c r="D7176" s="10">
        <f t="shared" si="112"/>
        <v>5.2200986986685267</v>
      </c>
      <c r="F7176" s="8" t="str">
        <f>HYPERLINK("https://esbl.nhlbi.nih.gov/Databases/mpkFractions/proteomic_fractions_log_files/Yang_log_img/6755662.jpg","show blot")</f>
        <v>show blot</v>
      </c>
      <c r="H7176" s="8" t="str">
        <f>HYPERLINK("https://esbl.nhlbi.nih.gov/Databases/mpkFractions/proteomic_fractions_linear_files/Yang_linear_img/6755662.jpg","show blot")</f>
        <v>show blot</v>
      </c>
      <c r="J7176" s="5" t="s">
        <v>14118</v>
      </c>
      <c r="L7176" s="11">
        <v>5.2200986986685267</v>
      </c>
      <c r="N7176" s="12"/>
    </row>
    <row r="7177" spans="1:14" s="5" customFormat="1" ht="15" customHeight="1" x14ac:dyDescent="0.25">
      <c r="A7177" s="9" t="s">
        <v>14119</v>
      </c>
      <c r="C7177" s="9" t="str">
        <f>HYPERLINK("http://www.ncbi.nlm.nih.gov/protein/31982726","Srpk1")</f>
        <v>Srpk1</v>
      </c>
      <c r="D7177" s="10">
        <f t="shared" si="112"/>
        <v>5.0290945695388114</v>
      </c>
      <c r="F7177" s="8" t="str">
        <f>HYPERLINK("https://esbl.nhlbi.nih.gov/Databases/mpkFractions/proteomic_fractions_log_files/Yang_log_img/31982726.jpg","show blot")</f>
        <v>show blot</v>
      </c>
      <c r="H7177" s="8" t="str">
        <f>HYPERLINK("https://esbl.nhlbi.nih.gov/Databases/mpkFractions/proteomic_fractions_linear_files/Yang_linear_img/31982726.jpg","show blot")</f>
        <v>show blot</v>
      </c>
      <c r="J7177" s="5" t="s">
        <v>14120</v>
      </c>
      <c r="L7177" s="11">
        <v>5.0290945695388114</v>
      </c>
      <c r="N7177" s="12"/>
    </row>
    <row r="7178" spans="1:14" s="5" customFormat="1" ht="15" customHeight="1" x14ac:dyDescent="0.25">
      <c r="A7178" s="9" t="s">
        <v>14121</v>
      </c>
      <c r="C7178" s="9" t="str">
        <f>HYPERLINK("http://www.ncbi.nlm.nih.gov/protein/47059480","Srpk2")</f>
        <v>Srpk2</v>
      </c>
      <c r="D7178" s="10">
        <f t="shared" si="112"/>
        <v>4.5507052151330729</v>
      </c>
      <c r="F7178" s="8" t="str">
        <f>HYPERLINK("https://esbl.nhlbi.nih.gov/Databases/mpkFractions/proteomic_fractions_log_files/Yang_log_img/47059480.jpg","show blot")</f>
        <v>show blot</v>
      </c>
      <c r="H7178" s="8" t="str">
        <f>HYPERLINK("https://esbl.nhlbi.nih.gov/Databases/mpkFractions/proteomic_fractions_linear_files/Yang_linear_img/47059480.jpg","show blot")</f>
        <v>show blot</v>
      </c>
      <c r="J7178" s="5" t="s">
        <v>14122</v>
      </c>
      <c r="L7178" s="11">
        <v>4.5507052151330729</v>
      </c>
      <c r="N7178" s="12"/>
    </row>
    <row r="7179" spans="1:14" s="5" customFormat="1" ht="15" customHeight="1" x14ac:dyDescent="0.25">
      <c r="A7179" s="9" t="s">
        <v>14123</v>
      </c>
      <c r="C7179" s="9" t="str">
        <f>HYPERLINK("http://www.ncbi.nlm.nih.gov/protein/9790111","Srpk3")</f>
        <v>Srpk3</v>
      </c>
      <c r="D7179" s="10">
        <f t="shared" si="112"/>
        <v>4.2306895083472957</v>
      </c>
      <c r="F7179" s="8" t="str">
        <f>HYPERLINK("https://esbl.nhlbi.nih.gov/Databases/mpkFractions/proteomic_fractions_log_files/Yang_log_img/9790111.jpg","show blot")</f>
        <v>show blot</v>
      </c>
      <c r="H7179" s="8" t="str">
        <f>HYPERLINK("https://esbl.nhlbi.nih.gov/Databases/mpkFractions/proteomic_fractions_linear_files/Yang_linear_img/9790111.jpg","show blot")</f>
        <v>show blot</v>
      </c>
      <c r="J7179" s="5" t="s">
        <v>14124</v>
      </c>
      <c r="L7179" s="11">
        <v>4.2306895083472957</v>
      </c>
      <c r="N7179" s="12"/>
    </row>
    <row r="7180" spans="1:14" s="5" customFormat="1" ht="15" customHeight="1" x14ac:dyDescent="0.25">
      <c r="A7180" s="9" t="s">
        <v>14125</v>
      </c>
      <c r="C7180" s="9" t="str">
        <f>HYPERLINK("http://www.ncbi.nlm.nih.gov/protein/27229036","Srpr")</f>
        <v>Srpr</v>
      </c>
      <c r="D7180" s="10">
        <f t="shared" si="112"/>
        <v>3.9859062854776708</v>
      </c>
      <c r="F7180" s="8" t="str">
        <f>HYPERLINK("https://esbl.nhlbi.nih.gov/Databases/mpkFractions/proteomic_fractions_log_files/Yang_log_img/27229036.jpg","show blot")</f>
        <v>show blot</v>
      </c>
      <c r="H7180" s="8" t="str">
        <f>HYPERLINK("https://esbl.nhlbi.nih.gov/Databases/mpkFractions/proteomic_fractions_linear_files/Yang_linear_img/27229036.jpg","show blot")</f>
        <v>show blot</v>
      </c>
      <c r="J7180" s="5" t="s">
        <v>14126</v>
      </c>
      <c r="L7180" s="11">
        <v>3.9859062854776708</v>
      </c>
      <c r="N7180" s="12"/>
    </row>
    <row r="7181" spans="1:14" s="5" customFormat="1" ht="15" customHeight="1" x14ac:dyDescent="0.25">
      <c r="A7181" s="9" t="s">
        <v>14127</v>
      </c>
      <c r="C7181" s="9" t="str">
        <f>HYPERLINK("http://www.ncbi.nlm.nih.gov/protein/6678137","Srprb")</f>
        <v>Srprb</v>
      </c>
      <c r="D7181" s="10">
        <f t="shared" si="112"/>
        <v>5.3335700228009166</v>
      </c>
      <c r="F7181" s="8" t="str">
        <f>HYPERLINK("https://esbl.nhlbi.nih.gov/Databases/mpkFractions/proteomic_fractions_log_files/Yang_log_img/6678137.jpg","show blot")</f>
        <v>show blot</v>
      </c>
      <c r="H7181" s="8" t="str">
        <f>HYPERLINK("https://esbl.nhlbi.nih.gov/Databases/mpkFractions/proteomic_fractions_linear_files/Yang_linear_img/6678137.jpg","show blot")</f>
        <v>show blot</v>
      </c>
      <c r="J7181" s="5" t="s">
        <v>14128</v>
      </c>
      <c r="L7181" s="11">
        <v>5.3335700228009166</v>
      </c>
      <c r="N7181" s="12"/>
    </row>
    <row r="7182" spans="1:14" s="5" customFormat="1" ht="15" customHeight="1" x14ac:dyDescent="0.25">
      <c r="A7182" s="9" t="s">
        <v>14129</v>
      </c>
      <c r="C7182" s="9" t="str">
        <f>HYPERLINK("http://www.ncbi.nlm.nih.gov/protein/7305521","Srr")</f>
        <v>Srr</v>
      </c>
      <c r="D7182" s="10">
        <f t="shared" si="112"/>
        <v>4.5722832755266083</v>
      </c>
      <c r="F7182" s="8" t="str">
        <f>HYPERLINK("https://esbl.nhlbi.nih.gov/Databases/mpkFractions/proteomic_fractions_log_files/Yang_log_img/7305521.jpg","show blot")</f>
        <v>show blot</v>
      </c>
      <c r="H7182" s="8" t="str">
        <f>HYPERLINK("https://esbl.nhlbi.nih.gov/Databases/mpkFractions/proteomic_fractions_linear_files/Yang_linear_img/7305521.jpg","show blot")</f>
        <v>show blot</v>
      </c>
      <c r="J7182" s="5" t="s">
        <v>14130</v>
      </c>
      <c r="L7182" s="11">
        <v>4.5722832755266083</v>
      </c>
      <c r="N7182" s="12"/>
    </row>
    <row r="7183" spans="1:14" s="5" customFormat="1" ht="15" customHeight="1" x14ac:dyDescent="0.25">
      <c r="A7183" s="9" t="s">
        <v>14131</v>
      </c>
      <c r="C7183" s="9" t="str">
        <f>HYPERLINK("http://www.ncbi.nlm.nih.gov/protein/194440682","Srrm1")</f>
        <v>Srrm1</v>
      </c>
      <c r="D7183" s="10">
        <f t="shared" si="112"/>
        <v>4.663444667361305</v>
      </c>
      <c r="F7183" s="8" t="str">
        <f>HYPERLINK("https://esbl.nhlbi.nih.gov/Databases/mpkFractions/proteomic_fractions_log_files/Yang_log_img/194440682.jpg","show blot")</f>
        <v>show blot</v>
      </c>
      <c r="H7183" s="8" t="str">
        <f>HYPERLINK("https://esbl.nhlbi.nih.gov/Databases/mpkFractions/proteomic_fractions_linear_files/Yang_linear_img/194440682.jpg","show blot")</f>
        <v>show blot</v>
      </c>
      <c r="J7183" s="5" t="s">
        <v>14132</v>
      </c>
      <c r="L7183" s="11">
        <v>4.663444667361305</v>
      </c>
      <c r="N7183" s="12"/>
    </row>
    <row r="7184" spans="1:14" s="5" customFormat="1" ht="15" customHeight="1" x14ac:dyDescent="0.25">
      <c r="A7184" s="9" t="s">
        <v>14133</v>
      </c>
      <c r="C7184" s="9" t="str">
        <f>HYPERLINK("http://www.ncbi.nlm.nih.gov/protein/194440687","Srrm1")</f>
        <v>Srrm1</v>
      </c>
      <c r="D7184" s="10">
        <f t="shared" si="112"/>
        <v>4.663444667361305</v>
      </c>
      <c r="F7184" s="8" t="str">
        <f>HYPERLINK("https://esbl.nhlbi.nih.gov/Databases/mpkFractions/proteomic_fractions_log_files/Yang_log_img/194440687.jpg","show blot")</f>
        <v>show blot</v>
      </c>
      <c r="H7184" s="8" t="str">
        <f>HYPERLINK("https://esbl.nhlbi.nih.gov/Databases/mpkFractions/proteomic_fractions_linear_files/Yang_linear_img/194440687.jpg","show blot")</f>
        <v>show blot</v>
      </c>
      <c r="J7184" s="5" t="s">
        <v>14134</v>
      </c>
      <c r="L7184" s="11">
        <v>4.663444667361305</v>
      </c>
      <c r="N7184" s="12"/>
    </row>
    <row r="7185" spans="1:14" s="5" customFormat="1" ht="15" customHeight="1" x14ac:dyDescent="0.25">
      <c r="A7185" s="9" t="s">
        <v>14135</v>
      </c>
      <c r="C7185" s="9" t="str">
        <f>HYPERLINK("http://www.ncbi.nlm.nih.gov/protein/126157504","Srrm2")</f>
        <v>Srrm2</v>
      </c>
      <c r="D7185" s="10">
        <f t="shared" si="112"/>
        <v>4.7170567436734672</v>
      </c>
      <c r="F7185" s="8" t="str">
        <f>HYPERLINK("https://esbl.nhlbi.nih.gov/Databases/mpkFractions/proteomic_fractions_log_files/Yang_log_img/126157504.jpg","show blot")</f>
        <v>show blot</v>
      </c>
      <c r="H7185" s="8" t="str">
        <f>HYPERLINK("https://esbl.nhlbi.nih.gov/Databases/mpkFractions/proteomic_fractions_linear_files/Yang_linear_img/126157504.jpg","show blot")</f>
        <v>show blot</v>
      </c>
      <c r="J7185" s="5" t="s">
        <v>14136</v>
      </c>
      <c r="L7185" s="11">
        <v>4.7170567436734672</v>
      </c>
      <c r="N7185" s="12"/>
    </row>
    <row r="7186" spans="1:14" s="5" customFormat="1" ht="15" customHeight="1" x14ac:dyDescent="0.25">
      <c r="A7186" s="9" t="s">
        <v>14137</v>
      </c>
      <c r="C7186" s="9" t="str">
        <f>HYPERLINK("http://www.ncbi.nlm.nih.gov/protein/13937395","Srrt")</f>
        <v>Srrt</v>
      </c>
      <c r="D7186" s="10">
        <f t="shared" si="112"/>
        <v>5.4884564819921469</v>
      </c>
      <c r="F7186" s="8" t="str">
        <f>HYPERLINK("https://esbl.nhlbi.nih.gov/Databases/mpkFractions/proteomic_fractions_log_files/Yang_log_img/13937395.jpg","show blot")</f>
        <v>show blot</v>
      </c>
      <c r="H7186" s="8" t="str">
        <f>HYPERLINK("https://esbl.nhlbi.nih.gov/Databases/mpkFractions/proteomic_fractions_linear_files/Yang_linear_img/13937395.jpg","show blot")</f>
        <v>show blot</v>
      </c>
      <c r="J7186" s="5" t="s">
        <v>14138</v>
      </c>
      <c r="L7186" s="11">
        <v>5.4884564819921469</v>
      </c>
      <c r="N7186" s="12"/>
    </row>
    <row r="7187" spans="1:14" s="5" customFormat="1" ht="15" customHeight="1" x14ac:dyDescent="0.25">
      <c r="A7187" s="9" t="s">
        <v>14139</v>
      </c>
      <c r="C7187" s="9" t="str">
        <f>HYPERLINK("http://www.ncbi.nlm.nih.gov/protein/158186670","Srrt")</f>
        <v>Srrt</v>
      </c>
      <c r="D7187" s="10">
        <f t="shared" si="112"/>
        <v>5.4884564819921469</v>
      </c>
      <c r="F7187" s="8" t="str">
        <f>HYPERLINK("https://esbl.nhlbi.nih.gov/Databases/mpkFractions/proteomic_fractions_log_files/Yang_log_img/158186670.jpg","show blot")</f>
        <v>show blot</v>
      </c>
      <c r="H7187" s="8" t="str">
        <f>HYPERLINK("https://esbl.nhlbi.nih.gov/Databases/mpkFractions/proteomic_fractions_linear_files/Yang_linear_img/158186670.jpg","show blot")</f>
        <v>show blot</v>
      </c>
      <c r="J7187" s="5" t="s">
        <v>14140</v>
      </c>
      <c r="L7187" s="11">
        <v>5.4884564819921469</v>
      </c>
      <c r="N7187" s="12"/>
    </row>
    <row r="7188" spans="1:14" s="5" customFormat="1" ht="15" customHeight="1" x14ac:dyDescent="0.25">
      <c r="A7188" s="9" t="s">
        <v>14141</v>
      </c>
      <c r="C7188" s="9" t="str">
        <f>HYPERLINK("http://www.ncbi.nlm.nih.gov/protein/158186674","Srrt")</f>
        <v>Srrt</v>
      </c>
      <c r="D7188" s="10">
        <f t="shared" si="112"/>
        <v>5.4884564819921469</v>
      </c>
      <c r="F7188" s="8" t="str">
        <f>HYPERLINK("https://esbl.nhlbi.nih.gov/Databases/mpkFractions/proteomic_fractions_log_files/Yang_log_img/158186674.jpg","show blot")</f>
        <v>show blot</v>
      </c>
      <c r="H7188" s="8" t="str">
        <f>HYPERLINK("https://esbl.nhlbi.nih.gov/Databases/mpkFractions/proteomic_fractions_linear_files/Yang_linear_img/158186674.jpg","show blot")</f>
        <v>show blot</v>
      </c>
      <c r="J7188" s="5" t="s">
        <v>14142</v>
      </c>
      <c r="L7188" s="11">
        <v>5.4884564819921469</v>
      </c>
      <c r="N7188" s="12"/>
    </row>
    <row r="7189" spans="1:14" s="5" customFormat="1" ht="15" customHeight="1" x14ac:dyDescent="0.25">
      <c r="A7189" s="9" t="s">
        <v>14143</v>
      </c>
      <c r="C7189" s="9" t="str">
        <f>HYPERLINK("http://www.ncbi.nlm.nih.gov/protein/118582271","Srsf1")</f>
        <v>Srsf1</v>
      </c>
      <c r="D7189" s="10">
        <f t="shared" si="112"/>
        <v>6.3187525846076449</v>
      </c>
      <c r="F7189" s="8" t="str">
        <f>HYPERLINK("https://esbl.nhlbi.nih.gov/Databases/mpkFractions/proteomic_fractions_log_files/Yang_log_img/118582271.jpg","show blot")</f>
        <v>show blot</v>
      </c>
      <c r="H7189" s="8" t="str">
        <f>HYPERLINK("https://esbl.nhlbi.nih.gov/Databases/mpkFractions/proteomic_fractions_linear_files/Yang_linear_img/118582271.jpg","show blot")</f>
        <v>show blot</v>
      </c>
      <c r="J7189" s="5" t="s">
        <v>14144</v>
      </c>
      <c r="L7189" s="11">
        <v>6.3187525846076449</v>
      </c>
      <c r="N7189" s="12"/>
    </row>
    <row r="7190" spans="1:14" s="5" customFormat="1" ht="15" customHeight="1" x14ac:dyDescent="0.25">
      <c r="A7190" s="9" t="s">
        <v>14145</v>
      </c>
      <c r="C7190" s="9" t="str">
        <f>HYPERLINK("http://www.ncbi.nlm.nih.gov/protein/34328400","Srsf1")</f>
        <v>Srsf1</v>
      </c>
      <c r="D7190" s="10">
        <f t="shared" si="112"/>
        <v>6.3187525846076449</v>
      </c>
      <c r="F7190" s="8" t="str">
        <f>HYPERLINK("https://esbl.nhlbi.nih.gov/Databases/mpkFractions/proteomic_fractions_log_files/Yang_log_img/34328400.jpg","show blot")</f>
        <v>show blot</v>
      </c>
      <c r="H7190" s="8" t="str">
        <f>HYPERLINK("https://esbl.nhlbi.nih.gov/Databases/mpkFractions/proteomic_fractions_linear_files/Yang_linear_img/34328400.jpg","show blot")</f>
        <v>show blot</v>
      </c>
      <c r="J7190" s="5" t="s">
        <v>14146</v>
      </c>
      <c r="L7190" s="11">
        <v>6.3187525846076449</v>
      </c>
      <c r="N7190" s="12"/>
    </row>
    <row r="7191" spans="1:14" s="5" customFormat="1" ht="15" customHeight="1" x14ac:dyDescent="0.25">
      <c r="A7191" s="9" t="s">
        <v>14147</v>
      </c>
      <c r="C7191" s="9" t="str">
        <f>HYPERLINK("http://www.ncbi.nlm.nih.gov/protein/545746418","Srsf10")</f>
        <v>Srsf10</v>
      </c>
      <c r="D7191" s="10">
        <f t="shared" si="112"/>
        <v>4.7240374216553711</v>
      </c>
      <c r="F7191" s="8" t="str">
        <f>HYPERLINK("https://esbl.nhlbi.nih.gov/Databases/mpkFractions/proteomic_fractions_log_files/Yang_log_img/545746418.jpg","show blot")</f>
        <v>show blot</v>
      </c>
      <c r="H7191" s="8" t="str">
        <f>HYPERLINK("https://esbl.nhlbi.nih.gov/Databases/mpkFractions/proteomic_fractions_linear_files/Yang_linear_img/545746418.jpg","show blot")</f>
        <v>show blot</v>
      </c>
      <c r="J7191" s="5" t="s">
        <v>14148</v>
      </c>
      <c r="L7191" s="11">
        <v>4.7240374216553711</v>
      </c>
      <c r="N7191" s="12"/>
    </row>
    <row r="7192" spans="1:14" s="5" customFormat="1" ht="15" customHeight="1" x14ac:dyDescent="0.25">
      <c r="A7192" s="9" t="s">
        <v>14149</v>
      </c>
      <c r="C7192" s="9" t="str">
        <f>HYPERLINK("http://www.ncbi.nlm.nih.gov/protein/545746420","Srsf10")</f>
        <v>Srsf10</v>
      </c>
      <c r="D7192" s="10">
        <f t="shared" si="112"/>
        <v>4.7240374216553711</v>
      </c>
      <c r="F7192" s="8" t="str">
        <f>HYPERLINK("https://esbl.nhlbi.nih.gov/Databases/mpkFractions/proteomic_fractions_log_files/Yang_log_img/545746420.jpg","show blot")</f>
        <v>show blot</v>
      </c>
      <c r="H7192" s="8" t="str">
        <f>HYPERLINK("https://esbl.nhlbi.nih.gov/Databases/mpkFractions/proteomic_fractions_linear_files/Yang_linear_img/545746420.jpg","show blot")</f>
        <v>show blot</v>
      </c>
      <c r="J7192" s="5" t="s">
        <v>14150</v>
      </c>
      <c r="L7192" s="11">
        <v>4.7240374216553711</v>
      </c>
      <c r="N7192" s="12"/>
    </row>
    <row r="7193" spans="1:14" s="5" customFormat="1" ht="15" customHeight="1" x14ac:dyDescent="0.25">
      <c r="A7193" s="9" t="s">
        <v>14151</v>
      </c>
      <c r="C7193" s="9" t="str">
        <f>HYPERLINK("http://www.ncbi.nlm.nih.gov/protein/122937372","Srsf10")</f>
        <v>Srsf10</v>
      </c>
      <c r="D7193" s="10">
        <f t="shared" si="112"/>
        <v>4.7240374216553711</v>
      </c>
      <c r="F7193" s="8" t="str">
        <f>HYPERLINK("https://esbl.nhlbi.nih.gov/Databases/mpkFractions/proteomic_fractions_log_files/Yang_log_img/122937372.jpg","show blot")</f>
        <v>show blot</v>
      </c>
      <c r="H7193" s="8" t="str">
        <f>HYPERLINK("https://esbl.nhlbi.nih.gov/Databases/mpkFractions/proteomic_fractions_linear_files/Yang_linear_img/122937372.jpg","show blot")</f>
        <v>show blot</v>
      </c>
      <c r="J7193" s="5" t="s">
        <v>14152</v>
      </c>
      <c r="L7193" s="11">
        <v>4.7240374216553711</v>
      </c>
      <c r="N7193" s="12"/>
    </row>
    <row r="7194" spans="1:14" s="5" customFormat="1" ht="15" customHeight="1" x14ac:dyDescent="0.25">
      <c r="A7194" s="9" t="s">
        <v>14153</v>
      </c>
      <c r="C7194" s="9" t="str">
        <f>HYPERLINK("http://www.ncbi.nlm.nih.gov/protein/6753820","Srsf10")</f>
        <v>Srsf10</v>
      </c>
      <c r="D7194" s="10">
        <f t="shared" si="112"/>
        <v>4.7240374216553711</v>
      </c>
      <c r="F7194" s="8" t="str">
        <f>HYPERLINK("https://esbl.nhlbi.nih.gov/Databases/mpkFractions/proteomic_fractions_log_files/Yang_log_img/6753820.jpg","show blot")</f>
        <v>show blot</v>
      </c>
      <c r="H7194" s="8" t="str">
        <f>HYPERLINK("https://esbl.nhlbi.nih.gov/Databases/mpkFractions/proteomic_fractions_linear_files/Yang_linear_img/6753820.jpg","show blot")</f>
        <v>show blot</v>
      </c>
      <c r="J7194" s="5" t="s">
        <v>14154</v>
      </c>
      <c r="L7194" s="11">
        <v>4.7240374216553711</v>
      </c>
      <c r="N7194" s="12"/>
    </row>
    <row r="7195" spans="1:14" s="5" customFormat="1" ht="15" customHeight="1" x14ac:dyDescent="0.25">
      <c r="A7195" s="9" t="s">
        <v>14155</v>
      </c>
      <c r="C7195" s="9" t="str">
        <f>HYPERLINK("http://www.ncbi.nlm.nih.gov/protein/33469007","Srsf11")</f>
        <v>Srsf11</v>
      </c>
      <c r="D7195" s="10">
        <f t="shared" si="112"/>
        <v>4.3394596335483238</v>
      </c>
      <c r="F7195" s="8" t="str">
        <f>HYPERLINK("https://esbl.nhlbi.nih.gov/Databases/mpkFractions/proteomic_fractions_log_files/Yang_log_img/33469007.jpg","show blot")</f>
        <v>show blot</v>
      </c>
      <c r="H7195" s="8" t="str">
        <f>HYPERLINK("https://esbl.nhlbi.nih.gov/Databases/mpkFractions/proteomic_fractions_linear_files/Yang_linear_img/33469007.jpg","show blot")</f>
        <v>show blot</v>
      </c>
      <c r="J7195" s="5" t="s">
        <v>14156</v>
      </c>
      <c r="L7195" s="11">
        <v>4.3394596335483238</v>
      </c>
      <c r="N7195" s="12"/>
    </row>
    <row r="7196" spans="1:14" s="5" customFormat="1" ht="15" customHeight="1" x14ac:dyDescent="0.25">
      <c r="A7196" s="9" t="s">
        <v>14157</v>
      </c>
      <c r="C7196" s="9" t="str">
        <f>HYPERLINK("http://www.ncbi.nlm.nih.gov/protein/147898671","Srsf11")</f>
        <v>Srsf11</v>
      </c>
      <c r="D7196" s="10">
        <f t="shared" si="112"/>
        <v>4.3394596335483238</v>
      </c>
      <c r="F7196" s="8" t="str">
        <f>HYPERLINK("https://esbl.nhlbi.nih.gov/Databases/mpkFractions/proteomic_fractions_log_files/Yang_log_img/147898671.jpg","show blot")</f>
        <v>show blot</v>
      </c>
      <c r="H7196" s="8" t="str">
        <f>HYPERLINK("https://esbl.nhlbi.nih.gov/Databases/mpkFractions/proteomic_fractions_linear_files/Yang_linear_img/147898671.jpg","show blot")</f>
        <v>show blot</v>
      </c>
      <c r="J7196" s="5" t="s">
        <v>14158</v>
      </c>
      <c r="L7196" s="11">
        <v>4.3394596335483238</v>
      </c>
      <c r="N7196" s="12"/>
    </row>
    <row r="7197" spans="1:14" s="5" customFormat="1" ht="15" customHeight="1" x14ac:dyDescent="0.25">
      <c r="A7197" s="9" t="s">
        <v>14159</v>
      </c>
      <c r="C7197" s="9" t="str">
        <f>HYPERLINK("http://www.ncbi.nlm.nih.gov/protein/148222073","Srsf11")</f>
        <v>Srsf11</v>
      </c>
      <c r="D7197" s="10">
        <f t="shared" si="112"/>
        <v>4.3394596335483238</v>
      </c>
      <c r="F7197" s="8" t="str">
        <f>HYPERLINK("https://esbl.nhlbi.nih.gov/Databases/mpkFractions/proteomic_fractions_log_files/Yang_log_img/148222073.jpg","show blot")</f>
        <v>show blot</v>
      </c>
      <c r="H7197" s="8" t="str">
        <f>HYPERLINK("https://esbl.nhlbi.nih.gov/Databases/mpkFractions/proteomic_fractions_linear_files/Yang_linear_img/148222073.jpg","show blot")</f>
        <v>show blot</v>
      </c>
      <c r="J7197" s="5" t="s">
        <v>14160</v>
      </c>
      <c r="L7197" s="11">
        <v>4.3394596335483238</v>
      </c>
      <c r="N7197" s="12"/>
    </row>
    <row r="7198" spans="1:14" s="5" customFormat="1" ht="15" customHeight="1" x14ac:dyDescent="0.25">
      <c r="A7198" s="9" t="s">
        <v>14161</v>
      </c>
      <c r="C7198" s="9" t="str">
        <f>HYPERLINK("http://www.ncbi.nlm.nih.gov/protein/6755478","Srsf2")</f>
        <v>Srsf2</v>
      </c>
      <c r="D7198" s="10">
        <f t="shared" si="112"/>
        <v>6.1035605911342232</v>
      </c>
      <c r="F7198" s="8" t="str">
        <f>HYPERLINK("https://esbl.nhlbi.nih.gov/Databases/mpkFractions/proteomic_fractions_log_files/Yang_log_img/6755478.jpg","show blot")</f>
        <v>show blot</v>
      </c>
      <c r="H7198" s="8" t="str">
        <f>HYPERLINK("https://esbl.nhlbi.nih.gov/Databases/mpkFractions/proteomic_fractions_linear_files/Yang_linear_img/6755478.jpg","show blot")</f>
        <v>show blot</v>
      </c>
      <c r="J7198" s="5" t="s">
        <v>14162</v>
      </c>
      <c r="L7198" s="11">
        <v>6.1035605911342232</v>
      </c>
      <c r="N7198" s="12"/>
    </row>
    <row r="7199" spans="1:14" s="5" customFormat="1" ht="15" customHeight="1" x14ac:dyDescent="0.25">
      <c r="A7199" s="9" t="s">
        <v>14163</v>
      </c>
      <c r="C7199" s="9" t="str">
        <f>HYPERLINK("http://www.ncbi.nlm.nih.gov/protein/8567402","Srsf3")</f>
        <v>Srsf3</v>
      </c>
      <c r="D7199" s="10">
        <f t="shared" si="112"/>
        <v>6.5786164600256587</v>
      </c>
      <c r="F7199" s="8" t="str">
        <f>HYPERLINK("https://esbl.nhlbi.nih.gov/Databases/mpkFractions/proteomic_fractions_log_files/Yang_log_img/8567402.jpg","show blot")</f>
        <v>show blot</v>
      </c>
      <c r="H7199" s="8" t="str">
        <f>HYPERLINK("https://esbl.nhlbi.nih.gov/Databases/mpkFractions/proteomic_fractions_linear_files/Yang_linear_img/8567402.jpg","show blot")</f>
        <v>show blot</v>
      </c>
      <c r="J7199" s="5" t="s">
        <v>14164</v>
      </c>
      <c r="L7199" s="11">
        <v>6.5786164600256587</v>
      </c>
      <c r="N7199" s="12"/>
    </row>
    <row r="7200" spans="1:14" s="5" customFormat="1" ht="15" customHeight="1" x14ac:dyDescent="0.25">
      <c r="A7200" s="9" t="s">
        <v>14165</v>
      </c>
      <c r="C7200" s="9" t="str">
        <f>HYPERLINK("http://www.ncbi.nlm.nih.gov/protein/165377173","Srsf4")</f>
        <v>Srsf4</v>
      </c>
      <c r="D7200" s="10">
        <f t="shared" si="112"/>
        <v>5.6127949096747489</v>
      </c>
      <c r="F7200" s="8" t="str">
        <f>HYPERLINK("https://esbl.nhlbi.nih.gov/Databases/mpkFractions/proteomic_fractions_log_files/Yang_log_img/165377173.jpg","show blot")</f>
        <v>show blot</v>
      </c>
      <c r="H7200" s="8" t="str">
        <f>HYPERLINK("https://esbl.nhlbi.nih.gov/Databases/mpkFractions/proteomic_fractions_linear_files/Yang_linear_img/165377173.jpg","show blot")</f>
        <v>show blot</v>
      </c>
      <c r="J7200" s="5" t="s">
        <v>14166</v>
      </c>
      <c r="L7200" s="11">
        <v>5.6127949096747489</v>
      </c>
      <c r="N7200" s="12"/>
    </row>
    <row r="7201" spans="1:14" s="5" customFormat="1" ht="15" customHeight="1" x14ac:dyDescent="0.25">
      <c r="A7201" s="9" t="s">
        <v>14167</v>
      </c>
      <c r="C7201" s="9" t="str">
        <f>HYPERLINK("http://www.ncbi.nlm.nih.gov/protein/119226245","Srsf5")</f>
        <v>Srsf5</v>
      </c>
      <c r="D7201" s="10">
        <f t="shared" si="112"/>
        <v>6.0311714299351813</v>
      </c>
      <c r="F7201" s="8" t="str">
        <f>HYPERLINK("https://esbl.nhlbi.nih.gov/Databases/mpkFractions/proteomic_fractions_log_files/Yang_log_img/119226245.jpg","show blot")</f>
        <v>show blot</v>
      </c>
      <c r="H7201" s="8" t="str">
        <f>HYPERLINK("https://esbl.nhlbi.nih.gov/Databases/mpkFractions/proteomic_fractions_linear_files/Yang_linear_img/119226245.jpg","show blot")</f>
        <v>show blot</v>
      </c>
      <c r="J7201" s="5" t="s">
        <v>14168</v>
      </c>
      <c r="L7201" s="11">
        <v>6.0311714299351813</v>
      </c>
      <c r="N7201" s="12"/>
    </row>
    <row r="7202" spans="1:14" s="5" customFormat="1" ht="15" customHeight="1" x14ac:dyDescent="0.25">
      <c r="A7202" s="9" t="s">
        <v>14169</v>
      </c>
      <c r="C7202" s="9" t="str">
        <f>HYPERLINK("http://www.ncbi.nlm.nih.gov/protein/224967104","Srsf6")</f>
        <v>Srsf6</v>
      </c>
      <c r="D7202" s="10">
        <f t="shared" si="112"/>
        <v>5.8066712970919836</v>
      </c>
      <c r="F7202" s="8" t="str">
        <f>HYPERLINK("https://esbl.nhlbi.nih.gov/Databases/mpkFractions/proteomic_fractions_log_files/Yang_log_img/224967104.jpg","show blot")</f>
        <v>show blot</v>
      </c>
      <c r="H7202" s="8" t="str">
        <f>HYPERLINK("https://esbl.nhlbi.nih.gov/Databases/mpkFractions/proteomic_fractions_linear_files/Yang_linear_img/224967104.jpg","show blot")</f>
        <v>show blot</v>
      </c>
      <c r="J7202" s="5" t="s">
        <v>14170</v>
      </c>
      <c r="L7202" s="11">
        <v>5.8066712970919836</v>
      </c>
      <c r="N7202" s="12"/>
    </row>
    <row r="7203" spans="1:14" s="5" customFormat="1" ht="15" customHeight="1" x14ac:dyDescent="0.25">
      <c r="A7203" s="9" t="s">
        <v>14171</v>
      </c>
      <c r="C7203" s="9" t="str">
        <f>HYPERLINK("http://www.ncbi.nlm.nih.gov/protein/22122585","Srsf7")</f>
        <v>Srsf7</v>
      </c>
      <c r="D7203" s="10">
        <f t="shared" si="112"/>
        <v>6.0405884130551506</v>
      </c>
      <c r="F7203" s="8" t="str">
        <f>HYPERLINK("https://esbl.nhlbi.nih.gov/Databases/mpkFractions/proteomic_fractions_log_files/Yang_log_img/22122585.jpg","show blot")</f>
        <v>show blot</v>
      </c>
      <c r="H7203" s="8" t="str">
        <f>HYPERLINK("https://esbl.nhlbi.nih.gov/Databases/mpkFractions/proteomic_fractions_linear_files/Yang_linear_img/22122585.jpg","show blot")</f>
        <v>show blot</v>
      </c>
      <c r="J7203" s="5" t="s">
        <v>14172</v>
      </c>
      <c r="L7203" s="11">
        <v>6.0405884130551506</v>
      </c>
      <c r="N7203" s="12"/>
    </row>
    <row r="7204" spans="1:14" s="5" customFormat="1" ht="15" customHeight="1" x14ac:dyDescent="0.25">
      <c r="A7204" s="9" t="s">
        <v>14173</v>
      </c>
      <c r="C7204" s="9" t="str">
        <f>HYPERLINK("http://www.ncbi.nlm.nih.gov/protein/306774098","Srsf7")</f>
        <v>Srsf7</v>
      </c>
      <c r="D7204" s="10">
        <f t="shared" si="112"/>
        <v>6.0405884130551506</v>
      </c>
      <c r="F7204" s="8" t="str">
        <f>HYPERLINK("https://esbl.nhlbi.nih.gov/Databases/mpkFractions/proteomic_fractions_log_files/Yang_log_img/306774098.jpg","show blot")</f>
        <v>show blot</v>
      </c>
      <c r="H7204" s="8" t="str">
        <f>HYPERLINK("https://esbl.nhlbi.nih.gov/Databases/mpkFractions/proteomic_fractions_linear_files/Yang_linear_img/306774098.jpg","show blot")</f>
        <v>show blot</v>
      </c>
      <c r="J7204" s="5" t="s">
        <v>14174</v>
      </c>
      <c r="L7204" s="11">
        <v>6.0405884130551506</v>
      </c>
      <c r="N7204" s="12"/>
    </row>
    <row r="7205" spans="1:14" s="5" customFormat="1" ht="15" customHeight="1" x14ac:dyDescent="0.25">
      <c r="A7205" s="9" t="s">
        <v>14175</v>
      </c>
      <c r="C7205" s="9" t="str">
        <f>HYPERLINK("http://www.ncbi.nlm.nih.gov/protein/306774101","Srsf7")</f>
        <v>Srsf7</v>
      </c>
      <c r="D7205" s="10">
        <f t="shared" si="112"/>
        <v>6.0405884130551506</v>
      </c>
      <c r="F7205" s="8" t="str">
        <f>HYPERLINK("https://esbl.nhlbi.nih.gov/Databases/mpkFractions/proteomic_fractions_log_files/Yang_log_img/306774101.jpg","show blot")</f>
        <v>show blot</v>
      </c>
      <c r="H7205" s="8" t="str">
        <f>HYPERLINK("https://esbl.nhlbi.nih.gov/Databases/mpkFractions/proteomic_fractions_linear_files/Yang_linear_img/306774101.jpg","show blot")</f>
        <v>show blot</v>
      </c>
      <c r="J7205" s="5" t="s">
        <v>14176</v>
      </c>
      <c r="L7205" s="11">
        <v>6.0405884130551506</v>
      </c>
      <c r="N7205" s="12"/>
    </row>
    <row r="7206" spans="1:14" s="5" customFormat="1" ht="15" customHeight="1" x14ac:dyDescent="0.25">
      <c r="A7206" s="9" t="s">
        <v>14177</v>
      </c>
      <c r="C7206" s="9" t="str">
        <f>HYPERLINK("http://www.ncbi.nlm.nih.gov/protein/306774103","Srsf7")</f>
        <v>Srsf7</v>
      </c>
      <c r="D7206" s="10">
        <f t="shared" si="112"/>
        <v>6.0405884130551506</v>
      </c>
      <c r="F7206" s="8" t="str">
        <f>HYPERLINK("https://esbl.nhlbi.nih.gov/Databases/mpkFractions/proteomic_fractions_log_files/Yang_log_img/306774103.jpg","show blot")</f>
        <v>show blot</v>
      </c>
      <c r="H7206" s="8" t="str">
        <f>HYPERLINK("https://esbl.nhlbi.nih.gov/Databases/mpkFractions/proteomic_fractions_linear_files/Yang_linear_img/306774103.jpg","show blot")</f>
        <v>show blot</v>
      </c>
      <c r="J7206" s="5" t="s">
        <v>14178</v>
      </c>
      <c r="L7206" s="11">
        <v>6.0405884130551506</v>
      </c>
      <c r="N7206" s="12"/>
    </row>
    <row r="7207" spans="1:14" s="5" customFormat="1" ht="15" customHeight="1" x14ac:dyDescent="0.25">
      <c r="A7207" s="9" t="s">
        <v>14179</v>
      </c>
      <c r="C7207" s="9" t="str">
        <f>HYPERLINK("http://www.ncbi.nlm.nih.gov/protein/13385016","Srsf9")</f>
        <v>Srsf9</v>
      </c>
      <c r="D7207" s="10">
        <f t="shared" si="112"/>
        <v>4.4057015480867472</v>
      </c>
      <c r="F7207" s="8" t="str">
        <f>HYPERLINK("https://esbl.nhlbi.nih.gov/Databases/mpkFractions/proteomic_fractions_log_files/Yang_log_img/13385016.jpg","show blot")</f>
        <v>show blot</v>
      </c>
      <c r="H7207" s="8" t="str">
        <f>HYPERLINK("https://esbl.nhlbi.nih.gov/Databases/mpkFractions/proteomic_fractions_linear_files/Yang_linear_img/13385016.jpg","show blot")</f>
        <v>show blot</v>
      </c>
      <c r="J7207" s="5" t="s">
        <v>14180</v>
      </c>
      <c r="L7207" s="11">
        <v>4.4057015480867472</v>
      </c>
      <c r="N7207" s="12"/>
    </row>
    <row r="7208" spans="1:14" s="5" customFormat="1" ht="15" customHeight="1" x14ac:dyDescent="0.25">
      <c r="A7208" s="9" t="s">
        <v>14181</v>
      </c>
      <c r="C7208" s="9" t="str">
        <f>HYPERLINK("http://www.ncbi.nlm.nih.gov/protein/402747081","Srxn1")</f>
        <v>Srxn1</v>
      </c>
      <c r="D7208" s="10">
        <f t="shared" si="112"/>
        <v>4.6912980773917594</v>
      </c>
      <c r="F7208" s="8" t="str">
        <f>HYPERLINK("https://esbl.nhlbi.nih.gov/Databases/mpkFractions/proteomic_fractions_log_files/Yang_log_img/402747081.jpg","show blot")</f>
        <v>show blot</v>
      </c>
      <c r="H7208" s="8" t="str">
        <f>HYPERLINK("https://esbl.nhlbi.nih.gov/Databases/mpkFractions/proteomic_fractions_linear_files/Yang_linear_img/402747081.jpg","show blot")</f>
        <v>show blot</v>
      </c>
      <c r="J7208" s="5" t="s">
        <v>14182</v>
      </c>
      <c r="L7208" s="11">
        <v>4.6912980773917594</v>
      </c>
      <c r="N7208" s="12"/>
    </row>
    <row r="7209" spans="1:14" s="5" customFormat="1" ht="15" customHeight="1" x14ac:dyDescent="0.25">
      <c r="A7209" s="9" t="s">
        <v>14183</v>
      </c>
      <c r="C7209" s="9" t="str">
        <f>HYPERLINK("http://www.ncbi.nlm.nih.gov/protein/260436924","Ss18l1")</f>
        <v>Ss18l1</v>
      </c>
      <c r="D7209" s="10">
        <f t="shared" si="112"/>
        <v>3.9426585484575538</v>
      </c>
      <c r="F7209" s="8" t="str">
        <f>HYPERLINK("https://esbl.nhlbi.nih.gov/Databases/mpkFractions/proteomic_fractions_log_files/Yang_log_img/260436924.jpg","show blot")</f>
        <v>show blot</v>
      </c>
      <c r="H7209" s="8" t="str">
        <f>HYPERLINK("https://esbl.nhlbi.nih.gov/Databases/mpkFractions/proteomic_fractions_linear_files/Yang_linear_img/260436924.jpg","show blot")</f>
        <v>show blot</v>
      </c>
      <c r="J7209" s="5" t="s">
        <v>14184</v>
      </c>
      <c r="L7209" s="11">
        <v>3.9426585484575538</v>
      </c>
      <c r="N7209" s="12"/>
    </row>
    <row r="7210" spans="1:14" s="5" customFormat="1" ht="15" customHeight="1" x14ac:dyDescent="0.25">
      <c r="A7210" s="9" t="s">
        <v>14185</v>
      </c>
      <c r="C7210" s="9" t="str">
        <f>HYPERLINK("http://www.ncbi.nlm.nih.gov/protein/6678143","Ssb")</f>
        <v>Ssb</v>
      </c>
      <c r="D7210" s="10">
        <f t="shared" si="112"/>
        <v>6.2023394179105544</v>
      </c>
      <c r="F7210" s="8" t="str">
        <f>HYPERLINK("https://esbl.nhlbi.nih.gov/Databases/mpkFractions/proteomic_fractions_log_files/Yang_log_img/6678143.jpg","show blot")</f>
        <v>show blot</v>
      </c>
      <c r="H7210" s="8" t="str">
        <f>HYPERLINK("https://esbl.nhlbi.nih.gov/Databases/mpkFractions/proteomic_fractions_linear_files/Yang_linear_img/6678143.jpg","show blot")</f>
        <v>show blot</v>
      </c>
      <c r="J7210" s="5" t="s">
        <v>14186</v>
      </c>
      <c r="L7210" s="11">
        <v>6.2023394179105544</v>
      </c>
      <c r="N7210" s="12"/>
    </row>
    <row r="7211" spans="1:14" s="5" customFormat="1" ht="15" customHeight="1" x14ac:dyDescent="0.25">
      <c r="A7211" s="9" t="s">
        <v>14187</v>
      </c>
      <c r="C7211" s="9" t="str">
        <f>HYPERLINK("http://www.ncbi.nlm.nih.gov/protein/47058964","Ssbp1")</f>
        <v>Ssbp1</v>
      </c>
      <c r="D7211" s="10">
        <f t="shared" si="112"/>
        <v>4.9930052378974628</v>
      </c>
      <c r="F7211" s="8" t="str">
        <f>HYPERLINK("https://esbl.nhlbi.nih.gov/Databases/mpkFractions/proteomic_fractions_log_files/Yang_log_img/47058964.jpg","show blot")</f>
        <v>show blot</v>
      </c>
      <c r="H7211" s="8" t="str">
        <f>HYPERLINK("https://esbl.nhlbi.nih.gov/Databases/mpkFractions/proteomic_fractions_linear_files/Yang_linear_img/47058964.jpg","show blot")</f>
        <v>show blot</v>
      </c>
      <c r="J7211" s="5" t="s">
        <v>14188</v>
      </c>
      <c r="L7211" s="11">
        <v>4.9930052378974628</v>
      </c>
      <c r="N7211" s="12"/>
    </row>
    <row r="7212" spans="1:14" s="5" customFormat="1" ht="15" customHeight="1" x14ac:dyDescent="0.25">
      <c r="A7212" s="9" t="s">
        <v>14189</v>
      </c>
      <c r="C7212" s="9" t="str">
        <f>HYPERLINK("http://www.ncbi.nlm.nih.gov/protein/47059026","Ssbp1")</f>
        <v>Ssbp1</v>
      </c>
      <c r="D7212" s="10">
        <f t="shared" si="112"/>
        <v>4.9930052378974628</v>
      </c>
      <c r="F7212" s="8" t="str">
        <f>HYPERLINK("https://esbl.nhlbi.nih.gov/Databases/mpkFractions/proteomic_fractions_log_files/Yang_log_img/47059026.jpg","show blot")</f>
        <v>show blot</v>
      </c>
      <c r="H7212" s="8" t="str">
        <f>HYPERLINK("https://esbl.nhlbi.nih.gov/Databases/mpkFractions/proteomic_fractions_linear_files/Yang_linear_img/47059026.jpg","show blot")</f>
        <v>show blot</v>
      </c>
      <c r="J7212" s="5" t="s">
        <v>14190</v>
      </c>
      <c r="L7212" s="11">
        <v>4.9930052378974628</v>
      </c>
      <c r="N7212" s="12"/>
    </row>
    <row r="7213" spans="1:14" s="5" customFormat="1" ht="15" customHeight="1" x14ac:dyDescent="0.25">
      <c r="A7213" s="9" t="s">
        <v>14191</v>
      </c>
      <c r="C7213" s="9" t="str">
        <f>HYPERLINK("http://www.ncbi.nlm.nih.gov/protein/37674269","Ssh3")</f>
        <v>Ssh3</v>
      </c>
      <c r="D7213" s="10">
        <f t="shared" si="112"/>
        <v>4.3005772294400346</v>
      </c>
      <c r="F7213" s="8" t="str">
        <f>HYPERLINK("https://esbl.nhlbi.nih.gov/Databases/mpkFractions/proteomic_fractions_log_files/Yang_log_img/37674269.jpg","show blot")</f>
        <v>show blot</v>
      </c>
      <c r="H7213" s="8" t="str">
        <f>HYPERLINK("https://esbl.nhlbi.nih.gov/Databases/mpkFractions/proteomic_fractions_linear_files/Yang_linear_img/37674269.jpg","show blot")</f>
        <v>show blot</v>
      </c>
      <c r="J7213" s="5" t="s">
        <v>14192</v>
      </c>
      <c r="L7213" s="11">
        <v>4.3005772294400346</v>
      </c>
      <c r="N7213" s="12"/>
    </row>
    <row r="7214" spans="1:14" s="5" customFormat="1" ht="15" customHeight="1" x14ac:dyDescent="0.25">
      <c r="A7214" s="9" t="s">
        <v>14193</v>
      </c>
      <c r="C7214" s="9" t="str">
        <f>HYPERLINK("http://www.ncbi.nlm.nih.gov/protein/12963687","Ssna1")</f>
        <v>Ssna1</v>
      </c>
      <c r="D7214" s="10">
        <f t="shared" si="112"/>
        <v>4.1635516435329603</v>
      </c>
      <c r="F7214" s="8" t="str">
        <f>HYPERLINK("https://esbl.nhlbi.nih.gov/Databases/mpkFractions/proteomic_fractions_log_files/Yang_log_img/12963687.jpg","show blot")</f>
        <v>show blot</v>
      </c>
      <c r="H7214" s="8" t="str">
        <f>HYPERLINK("https://esbl.nhlbi.nih.gov/Databases/mpkFractions/proteomic_fractions_linear_files/Yang_linear_img/12963687.jpg","show blot")</f>
        <v>show blot</v>
      </c>
      <c r="J7214" s="5" t="s">
        <v>14194</v>
      </c>
      <c r="L7214" s="11">
        <v>4.1635516435329603</v>
      </c>
      <c r="N7214" s="12"/>
    </row>
    <row r="7215" spans="1:14" s="5" customFormat="1" ht="15" customHeight="1" x14ac:dyDescent="0.25">
      <c r="A7215" s="9" t="s">
        <v>14195</v>
      </c>
      <c r="C7215" s="9" t="str">
        <f>HYPERLINK("http://www.ncbi.nlm.nih.gov/protein/165377206","Ssr1")</f>
        <v>Ssr1</v>
      </c>
      <c r="D7215" s="10">
        <f t="shared" si="112"/>
        <v>5.1202661368396063</v>
      </c>
      <c r="F7215" s="8" t="str">
        <f>HYPERLINK("https://esbl.nhlbi.nih.gov/Databases/mpkFractions/proteomic_fractions_log_files/Yang_log_img/165377206.jpg","show blot")</f>
        <v>show blot</v>
      </c>
      <c r="H7215" s="8" t="str">
        <f>HYPERLINK("https://esbl.nhlbi.nih.gov/Databases/mpkFractions/proteomic_fractions_linear_files/Yang_linear_img/165377206.jpg","show blot")</f>
        <v>show blot</v>
      </c>
      <c r="J7215" s="5" t="s">
        <v>14196</v>
      </c>
      <c r="L7215" s="11">
        <v>5.1202661368396063</v>
      </c>
      <c r="N7215" s="12"/>
    </row>
    <row r="7216" spans="1:14" s="5" customFormat="1" ht="15" customHeight="1" x14ac:dyDescent="0.25">
      <c r="A7216" s="9" t="s">
        <v>14197</v>
      </c>
      <c r="C7216" s="9" t="str">
        <f>HYPERLINK("http://www.ncbi.nlm.nih.gov/protein/21312968","Ssr3")</f>
        <v>Ssr3</v>
      </c>
      <c r="D7216" s="10">
        <f t="shared" si="112"/>
        <v>5.3567913012167638</v>
      </c>
      <c r="F7216" s="8" t="str">
        <f>HYPERLINK("https://esbl.nhlbi.nih.gov/Databases/mpkFractions/proteomic_fractions_log_files/Yang_log_img/21312968.jpg","show blot")</f>
        <v>show blot</v>
      </c>
      <c r="H7216" s="8" t="str">
        <f>HYPERLINK("https://esbl.nhlbi.nih.gov/Databases/mpkFractions/proteomic_fractions_linear_files/Yang_linear_img/21312968.jpg","show blot")</f>
        <v>show blot</v>
      </c>
      <c r="J7216" s="5" t="s">
        <v>14198</v>
      </c>
      <c r="L7216" s="11">
        <v>5.3567913012167638</v>
      </c>
      <c r="N7216" s="12"/>
    </row>
    <row r="7217" spans="1:14" s="5" customFormat="1" ht="15" customHeight="1" x14ac:dyDescent="0.25">
      <c r="A7217" s="9" t="s">
        <v>14199</v>
      </c>
      <c r="C7217" s="9" t="str">
        <f>HYPERLINK("http://www.ncbi.nlm.nih.gov/protein/262050625","Ssr4")</f>
        <v>Ssr4</v>
      </c>
      <c r="D7217" s="10">
        <f t="shared" si="112"/>
        <v>5.8318060000055247</v>
      </c>
      <c r="F7217" s="8" t="str">
        <f>HYPERLINK("https://esbl.nhlbi.nih.gov/Databases/mpkFractions/proteomic_fractions_log_files/Yang_log_img/262050625.jpg","show blot")</f>
        <v>show blot</v>
      </c>
      <c r="H7217" s="8" t="str">
        <f>HYPERLINK("https://esbl.nhlbi.nih.gov/Databases/mpkFractions/proteomic_fractions_linear_files/Yang_linear_img/262050625.jpg","show blot")</f>
        <v>show blot</v>
      </c>
      <c r="J7217" s="5" t="s">
        <v>14200</v>
      </c>
      <c r="L7217" s="11">
        <v>5.8318060000055247</v>
      </c>
      <c r="N7217" s="12"/>
    </row>
    <row r="7218" spans="1:14" s="5" customFormat="1" ht="15" customHeight="1" x14ac:dyDescent="0.25">
      <c r="A7218" s="9" t="s">
        <v>14201</v>
      </c>
      <c r="C7218" s="9" t="str">
        <f>HYPERLINK("http://www.ncbi.nlm.nih.gov/protein/6678145","Ssr4")</f>
        <v>Ssr4</v>
      </c>
      <c r="D7218" s="10">
        <f t="shared" si="112"/>
        <v>5.8318060000055247</v>
      </c>
      <c r="F7218" s="8" t="str">
        <f>HYPERLINK("https://esbl.nhlbi.nih.gov/Databases/mpkFractions/proteomic_fractions_log_files/Yang_log_img/6678145.jpg","show blot")</f>
        <v>show blot</v>
      </c>
      <c r="H7218" s="8" t="str">
        <f>HYPERLINK("https://esbl.nhlbi.nih.gov/Databases/mpkFractions/proteomic_fractions_linear_files/Yang_linear_img/6678145.jpg","show blot")</f>
        <v>show blot</v>
      </c>
      <c r="J7218" s="5" t="s">
        <v>14202</v>
      </c>
      <c r="L7218" s="11">
        <v>5.8318060000055247</v>
      </c>
      <c r="N7218" s="12"/>
    </row>
    <row r="7219" spans="1:14" s="5" customFormat="1" ht="15" customHeight="1" x14ac:dyDescent="0.25">
      <c r="A7219" s="9" t="s">
        <v>14203</v>
      </c>
      <c r="C7219" s="9" t="str">
        <f>HYPERLINK("http://www.ncbi.nlm.nih.gov/protein/111154063","Ssrp1")</f>
        <v>Ssrp1</v>
      </c>
      <c r="D7219" s="10">
        <f t="shared" si="112"/>
        <v>5.0489898588510824</v>
      </c>
      <c r="F7219" s="8" t="str">
        <f>HYPERLINK("https://esbl.nhlbi.nih.gov/Databases/mpkFractions/proteomic_fractions_log_files/Yang_log_img/111154063.jpg","show blot")</f>
        <v>show blot</v>
      </c>
      <c r="H7219" s="8" t="str">
        <f>HYPERLINK("https://esbl.nhlbi.nih.gov/Databases/mpkFractions/proteomic_fractions_linear_files/Yang_linear_img/111154063.jpg","show blot")</f>
        <v>show blot</v>
      </c>
      <c r="J7219" s="5" t="s">
        <v>14204</v>
      </c>
      <c r="L7219" s="11">
        <v>5.0489898588510824</v>
      </c>
      <c r="N7219" s="12"/>
    </row>
    <row r="7220" spans="1:14" s="5" customFormat="1" ht="15" customHeight="1" x14ac:dyDescent="0.25">
      <c r="A7220" s="9" t="s">
        <v>14205</v>
      </c>
      <c r="C7220" s="9" t="str">
        <f>HYPERLINK("http://www.ncbi.nlm.nih.gov/protein/31543773","Sssca1")</f>
        <v>Sssca1</v>
      </c>
      <c r="D7220" s="10">
        <f t="shared" si="112"/>
        <v>5.2064124198440016</v>
      </c>
      <c r="F7220" s="8" t="str">
        <f>HYPERLINK("https://esbl.nhlbi.nih.gov/Databases/mpkFractions/proteomic_fractions_log_files/Yang_log_img/31543773.jpg","show blot")</f>
        <v>show blot</v>
      </c>
      <c r="H7220" s="8" t="str">
        <f>HYPERLINK("https://esbl.nhlbi.nih.gov/Databases/mpkFractions/proteomic_fractions_linear_files/Yang_linear_img/31543773.jpg","show blot")</f>
        <v>show blot</v>
      </c>
      <c r="J7220" s="5" t="s">
        <v>14206</v>
      </c>
      <c r="L7220" s="11">
        <v>5.2064124198440016</v>
      </c>
      <c r="N7220" s="12"/>
    </row>
    <row r="7221" spans="1:14" s="5" customFormat="1" ht="15" customHeight="1" x14ac:dyDescent="0.25">
      <c r="A7221" s="9" t="s">
        <v>14207</v>
      </c>
      <c r="C7221" s="9" t="str">
        <f>HYPERLINK("http://www.ncbi.nlm.nih.gov/protein/172088095","Ssu72")</f>
        <v>Ssu72</v>
      </c>
      <c r="D7221" s="10">
        <f t="shared" si="112"/>
        <v>4.3343024823694991</v>
      </c>
      <c r="F7221" s="8" t="str">
        <f>HYPERLINK("https://esbl.nhlbi.nih.gov/Databases/mpkFractions/proteomic_fractions_log_files/Yang_log_img/172088095.jpg","show blot")</f>
        <v>show blot</v>
      </c>
      <c r="H7221" s="8" t="str">
        <f>HYPERLINK("https://esbl.nhlbi.nih.gov/Databases/mpkFractions/proteomic_fractions_linear_files/Yang_linear_img/172088095.jpg","show blot")</f>
        <v>show blot</v>
      </c>
      <c r="J7221" s="5" t="s">
        <v>14208</v>
      </c>
      <c r="L7221" s="11">
        <v>4.3343024823694991</v>
      </c>
      <c r="N7221" s="12"/>
    </row>
    <row r="7222" spans="1:14" s="5" customFormat="1" ht="15" customHeight="1" x14ac:dyDescent="0.25">
      <c r="A7222" s="9" t="s">
        <v>14209</v>
      </c>
      <c r="C7222" s="9" t="str">
        <f>HYPERLINK("http://www.ncbi.nlm.nih.gov/protein/19526912","St13")</f>
        <v>St13</v>
      </c>
      <c r="D7222" s="10">
        <f t="shared" si="112"/>
        <v>6.6075818421341177</v>
      </c>
      <c r="F7222" s="8" t="str">
        <f>HYPERLINK("https://esbl.nhlbi.nih.gov/Databases/mpkFractions/proteomic_fractions_log_files/Yang_log_img/19526912.jpg","show blot")</f>
        <v>show blot</v>
      </c>
      <c r="H7222" s="8" t="str">
        <f>HYPERLINK("https://esbl.nhlbi.nih.gov/Databases/mpkFractions/proteomic_fractions_linear_files/Yang_linear_img/19526912.jpg","show blot")</f>
        <v>show blot</v>
      </c>
      <c r="J7222" s="5" t="s">
        <v>14210</v>
      </c>
      <c r="L7222" s="11">
        <v>6.6075818421341177</v>
      </c>
      <c r="N7222" s="12"/>
    </row>
    <row r="7223" spans="1:14" s="5" customFormat="1" ht="15" customHeight="1" x14ac:dyDescent="0.25">
      <c r="A7223" s="9" t="s">
        <v>14211</v>
      </c>
      <c r="C7223" s="9" t="str">
        <f>HYPERLINK("http://www.ncbi.nlm.nih.gov/protein/7363445","St14")</f>
        <v>St14</v>
      </c>
      <c r="D7223" s="10">
        <f t="shared" si="112"/>
        <v>4.5351178804293433</v>
      </c>
      <c r="F7223" s="8" t="str">
        <f>HYPERLINK("https://esbl.nhlbi.nih.gov/Databases/mpkFractions/proteomic_fractions_log_files/Yang_log_img/7363445.jpg","show blot")</f>
        <v>show blot</v>
      </c>
      <c r="H7223" s="8" t="str">
        <f>HYPERLINK("https://esbl.nhlbi.nih.gov/Databases/mpkFractions/proteomic_fractions_linear_files/Yang_linear_img/7363445.jpg","show blot")</f>
        <v>show blot</v>
      </c>
      <c r="J7223" s="5" t="s">
        <v>14212</v>
      </c>
      <c r="L7223" s="11">
        <v>4.5351178804293433</v>
      </c>
      <c r="N7223" s="12"/>
    </row>
    <row r="7224" spans="1:14" s="5" customFormat="1" ht="15" customHeight="1" x14ac:dyDescent="0.25">
      <c r="A7224" s="9" t="s">
        <v>14213</v>
      </c>
      <c r="C7224" s="9" t="str">
        <f>HYPERLINK("http://www.ncbi.nlm.nih.gov/protein/9055352","St3gal6")</f>
        <v>St3gal6</v>
      </c>
      <c r="D7224" s="10">
        <f t="shared" si="112"/>
        <v>3.7984208374830111</v>
      </c>
      <c r="F7224" s="8" t="str">
        <f>HYPERLINK("https://esbl.nhlbi.nih.gov/Databases/mpkFractions/proteomic_fractions_log_files/Yang_log_img/9055352.jpg","show blot")</f>
        <v>show blot</v>
      </c>
      <c r="H7224" s="8" t="str">
        <f>HYPERLINK("https://esbl.nhlbi.nih.gov/Databases/mpkFractions/proteomic_fractions_linear_files/Yang_linear_img/9055352.jpg","show blot")</f>
        <v>show blot</v>
      </c>
      <c r="J7224" s="5" t="s">
        <v>14214</v>
      </c>
      <c r="L7224" s="11">
        <v>3.7984208374830111</v>
      </c>
      <c r="N7224" s="12"/>
    </row>
    <row r="7225" spans="1:14" s="5" customFormat="1" ht="15" customHeight="1" x14ac:dyDescent="0.25">
      <c r="A7225" s="9" t="s">
        <v>14215</v>
      </c>
      <c r="C7225" s="9" t="str">
        <f>HYPERLINK("http://www.ncbi.nlm.nih.gov/protein/118150672","Stag2")</f>
        <v>Stag2</v>
      </c>
      <c r="D7225" s="10">
        <f t="shared" si="112"/>
        <v>3.6696399371337591</v>
      </c>
      <c r="F7225" s="8" t="str">
        <f>HYPERLINK("https://esbl.nhlbi.nih.gov/Databases/mpkFractions/proteomic_fractions_log_files/Yang_log_img/118150672.jpg","show blot")</f>
        <v>show blot</v>
      </c>
      <c r="H7225" s="8" t="str">
        <f>HYPERLINK("https://esbl.nhlbi.nih.gov/Databases/mpkFractions/proteomic_fractions_linear_files/Yang_linear_img/118150672.jpg","show blot")</f>
        <v>show blot</v>
      </c>
      <c r="J7225" s="5" t="s">
        <v>14216</v>
      </c>
      <c r="L7225" s="11">
        <v>3.6696399371337591</v>
      </c>
      <c r="N7225" s="12"/>
    </row>
    <row r="7226" spans="1:14" s="5" customFormat="1" ht="15" customHeight="1" x14ac:dyDescent="0.25">
      <c r="A7226" s="9" t="s">
        <v>14217</v>
      </c>
      <c r="C7226" s="9" t="str">
        <f>HYPERLINK("http://www.ncbi.nlm.nih.gov/protein/6755668","Stam")</f>
        <v>Stam</v>
      </c>
      <c r="D7226" s="10">
        <f t="shared" si="112"/>
        <v>4.3473983049041491</v>
      </c>
      <c r="F7226" s="8" t="str">
        <f>HYPERLINK("https://esbl.nhlbi.nih.gov/Databases/mpkFractions/proteomic_fractions_log_files/Yang_log_img/6755668.jpg","show blot")</f>
        <v>show blot</v>
      </c>
      <c r="H7226" s="8" t="str">
        <f>HYPERLINK("https://esbl.nhlbi.nih.gov/Databases/mpkFractions/proteomic_fractions_linear_files/Yang_linear_img/6755668.jpg","show blot")</f>
        <v>show blot</v>
      </c>
      <c r="J7226" s="5" t="s">
        <v>14218</v>
      </c>
      <c r="L7226" s="11">
        <v>4.3473983049041491</v>
      </c>
      <c r="N7226" s="12"/>
    </row>
    <row r="7227" spans="1:14" s="5" customFormat="1" ht="15" customHeight="1" x14ac:dyDescent="0.25">
      <c r="A7227" s="9" t="s">
        <v>14219</v>
      </c>
      <c r="C7227" s="9" t="str">
        <f>HYPERLINK("http://www.ncbi.nlm.nih.gov/protein/9789975","Stam2")</f>
        <v>Stam2</v>
      </c>
      <c r="D7227" s="10">
        <f t="shared" si="112"/>
        <v>4.4082490162576224</v>
      </c>
      <c r="F7227" s="8" t="str">
        <f>HYPERLINK("https://esbl.nhlbi.nih.gov/Databases/mpkFractions/proteomic_fractions_log_files/Yang_log_img/9789975.jpg","show blot")</f>
        <v>show blot</v>
      </c>
      <c r="H7227" s="8" t="str">
        <f>HYPERLINK("https://esbl.nhlbi.nih.gov/Databases/mpkFractions/proteomic_fractions_linear_files/Yang_linear_img/9789975.jpg","show blot")</f>
        <v>show blot</v>
      </c>
      <c r="J7227" s="5" t="s">
        <v>14220</v>
      </c>
      <c r="L7227" s="11">
        <v>4.4082490162576224</v>
      </c>
      <c r="N7227" s="12"/>
    </row>
    <row r="7228" spans="1:14" s="5" customFormat="1" ht="15" customHeight="1" x14ac:dyDescent="0.25">
      <c r="A7228" s="9" t="s">
        <v>14221</v>
      </c>
      <c r="C7228" s="9" t="str">
        <f>HYPERLINK("http://www.ncbi.nlm.nih.gov/protein/17941277","Stambp")</f>
        <v>Stambp</v>
      </c>
      <c r="D7228" s="10">
        <f t="shared" si="112"/>
        <v>4.8327143784381938</v>
      </c>
      <c r="F7228" s="8" t="str">
        <f>HYPERLINK("https://esbl.nhlbi.nih.gov/Databases/mpkFractions/proteomic_fractions_log_files/Yang_log_img/17941277.jpg","show blot")</f>
        <v>show blot</v>
      </c>
      <c r="H7228" s="8" t="str">
        <f>HYPERLINK("https://esbl.nhlbi.nih.gov/Databases/mpkFractions/proteomic_fractions_linear_files/Yang_linear_img/17941277.jpg","show blot")</f>
        <v>show blot</v>
      </c>
      <c r="J7228" s="5" t="s">
        <v>14222</v>
      </c>
      <c r="L7228" s="11">
        <v>4.8327143784381938</v>
      </c>
      <c r="N7228" s="12"/>
    </row>
    <row r="7229" spans="1:14" s="5" customFormat="1" ht="15" customHeight="1" x14ac:dyDescent="0.25">
      <c r="A7229" s="9" t="s">
        <v>14223</v>
      </c>
      <c r="C7229" s="9" t="str">
        <f>HYPERLINK("http://www.ncbi.nlm.nih.gov/protein/22122357","Stap2")</f>
        <v>Stap2</v>
      </c>
      <c r="D7229" s="10">
        <f t="shared" si="112"/>
        <v>3.6670104471809002</v>
      </c>
      <c r="F7229" s="8" t="str">
        <f>HYPERLINK("https://esbl.nhlbi.nih.gov/Databases/mpkFractions/proteomic_fractions_log_files/Yang_log_img/22122357.jpg","show blot")</f>
        <v>show blot</v>
      </c>
      <c r="H7229" s="8" t="str">
        <f>HYPERLINK("https://esbl.nhlbi.nih.gov/Databases/mpkFractions/proteomic_fractions_linear_files/Yang_linear_img/22122357.jpg","show blot")</f>
        <v>show blot</v>
      </c>
      <c r="J7229" s="5" t="s">
        <v>14224</v>
      </c>
      <c r="L7229" s="11">
        <v>3.6670104471809002</v>
      </c>
      <c r="N7229" s="12"/>
    </row>
    <row r="7230" spans="1:14" s="5" customFormat="1" ht="15" customHeight="1" x14ac:dyDescent="0.25">
      <c r="A7230" s="9" t="s">
        <v>14225</v>
      </c>
      <c r="C7230" s="9" t="str">
        <f>HYPERLINK("http://www.ncbi.nlm.nih.gov/protein/9910482","Stard10")</f>
        <v>Stard10</v>
      </c>
      <c r="D7230" s="10">
        <f t="shared" si="112"/>
        <v>5.350573205696163</v>
      </c>
      <c r="F7230" s="8" t="str">
        <f>HYPERLINK("https://esbl.nhlbi.nih.gov/Databases/mpkFractions/proteomic_fractions_log_files/Yang_log_img/9910482.jpg","show blot")</f>
        <v>show blot</v>
      </c>
      <c r="H7230" s="8" t="str">
        <f>HYPERLINK("https://esbl.nhlbi.nih.gov/Databases/mpkFractions/proteomic_fractions_linear_files/Yang_linear_img/9910482.jpg","show blot")</f>
        <v>show blot</v>
      </c>
      <c r="J7230" s="5" t="s">
        <v>14226</v>
      </c>
      <c r="L7230" s="11">
        <v>5.350573205696163</v>
      </c>
      <c r="N7230" s="12"/>
    </row>
    <row r="7231" spans="1:14" s="5" customFormat="1" ht="15" customHeight="1" x14ac:dyDescent="0.25">
      <c r="A7231" s="9" t="s">
        <v>14227</v>
      </c>
      <c r="C7231" s="9" t="str">
        <f>HYPERLINK("http://www.ncbi.nlm.nih.gov/protein/10946984","Stard3")</f>
        <v>Stard3</v>
      </c>
      <c r="D7231" s="10">
        <f t="shared" si="112"/>
        <v>2.24199448915678</v>
      </c>
      <c r="F7231" s="8" t="str">
        <f>HYPERLINK("https://esbl.nhlbi.nih.gov/Databases/mpkFractions/proteomic_fractions_log_files/Yang_log_img/10946984.jpg","show blot")</f>
        <v>show blot</v>
      </c>
      <c r="H7231" s="8" t="str">
        <f>HYPERLINK("https://esbl.nhlbi.nih.gov/Databases/mpkFractions/proteomic_fractions_linear_files/Yang_linear_img/10946984.jpg","show blot")</f>
        <v>show blot</v>
      </c>
      <c r="J7231" s="5" t="s">
        <v>14228</v>
      </c>
      <c r="L7231" s="11">
        <v>2.24199448915678</v>
      </c>
      <c r="N7231" s="12"/>
    </row>
    <row r="7232" spans="1:14" s="5" customFormat="1" ht="15" customHeight="1" x14ac:dyDescent="0.25">
      <c r="A7232" s="9" t="s">
        <v>14229</v>
      </c>
      <c r="C7232" s="9" t="str">
        <f>HYPERLINK("http://www.ncbi.nlm.nih.gov/protein/70794799","Stard3nl")</f>
        <v>Stard3nl</v>
      </c>
      <c r="D7232" s="10">
        <f t="shared" si="112"/>
        <v>2.4089305674524488</v>
      </c>
      <c r="F7232" s="8" t="str">
        <f>HYPERLINK("https://esbl.nhlbi.nih.gov/Databases/mpkFractions/proteomic_fractions_log_files/Yang_log_img/70794799.jpg","show blot")</f>
        <v>show blot</v>
      </c>
      <c r="H7232" s="8" t="str">
        <f>HYPERLINK("https://esbl.nhlbi.nih.gov/Databases/mpkFractions/proteomic_fractions_linear_files/Yang_linear_img/70794799.jpg","show blot")</f>
        <v>show blot</v>
      </c>
      <c r="J7232" s="5" t="s">
        <v>14230</v>
      </c>
      <c r="L7232" s="11">
        <v>2.4089305674524488</v>
      </c>
      <c r="N7232" s="12"/>
    </row>
    <row r="7233" spans="1:14" s="5" customFormat="1" ht="15" customHeight="1" x14ac:dyDescent="0.25">
      <c r="A7233" s="9" t="s">
        <v>14231</v>
      </c>
      <c r="C7233" s="9" t="str">
        <f>HYPERLINK("http://www.ncbi.nlm.nih.gov/protein/21218432","Stard5")</f>
        <v>Stard5</v>
      </c>
      <c r="D7233" s="10">
        <f t="shared" si="112"/>
        <v>1.797325258218256</v>
      </c>
      <c r="F7233" s="8" t="str">
        <f>HYPERLINK("https://esbl.nhlbi.nih.gov/Databases/mpkFractions/proteomic_fractions_log_files/Yang_log_img/21218432.jpg","show blot")</f>
        <v>show blot</v>
      </c>
      <c r="H7233" s="8" t="str">
        <f>HYPERLINK("https://esbl.nhlbi.nih.gov/Databases/mpkFractions/proteomic_fractions_linear_files/Yang_linear_img/21218432.jpg","show blot")</f>
        <v>show blot</v>
      </c>
      <c r="J7233" s="5" t="s">
        <v>14232</v>
      </c>
      <c r="L7233" s="11">
        <v>1.797325258218256</v>
      </c>
      <c r="N7233" s="12"/>
    </row>
    <row r="7234" spans="1:14" s="5" customFormat="1" ht="15" customHeight="1" x14ac:dyDescent="0.25">
      <c r="A7234" s="9" t="s">
        <v>14233</v>
      </c>
      <c r="C7234" s="9" t="str">
        <f>HYPERLINK("http://www.ncbi.nlm.nih.gov/protein/114326482;328887938","Stat1")</f>
        <v>Stat1</v>
      </c>
      <c r="D7234" s="10">
        <f t="shared" si="112"/>
        <v>4.7674090427106082</v>
      </c>
      <c r="F7234" s="8" t="str">
        <f>HYPERLINK("https://esbl.nhlbi.nih.gov/Databases/mpkFractions/proteomic_fractions_log_files/Yang_log_img/114326482;328887938.jpg","show blot")</f>
        <v>show blot</v>
      </c>
      <c r="H7234" s="8" t="str">
        <f>HYPERLINK("https://esbl.nhlbi.nih.gov/Databases/mpkFractions/proteomic_fractions_linear_files/Yang_linear_img/114326482;328887938.jpg","show blot")</f>
        <v>show blot</v>
      </c>
      <c r="J7234" s="5" t="s">
        <v>14234</v>
      </c>
      <c r="L7234" s="11">
        <v>4.7674090427106082</v>
      </c>
      <c r="N7234" s="12"/>
    </row>
    <row r="7235" spans="1:14" s="5" customFormat="1" ht="15" customHeight="1" x14ac:dyDescent="0.25">
      <c r="A7235" s="9" t="s">
        <v>14235</v>
      </c>
      <c r="C7235" s="9" t="str">
        <f>HYPERLINK("http://www.ncbi.nlm.nih.gov/protein/114326482","Stat1")</f>
        <v>Stat1</v>
      </c>
      <c r="D7235" s="10">
        <f t="shared" si="112"/>
        <v>4.7674090427106082</v>
      </c>
      <c r="F7235" s="8" t="str">
        <f>HYPERLINK("https://esbl.nhlbi.nih.gov/Databases/mpkFractions/proteomic_fractions_log_files/Yang_log_img/114326482.jpg","show blot")</f>
        <v>show blot</v>
      </c>
      <c r="H7235" s="8" t="str">
        <f>HYPERLINK("https://esbl.nhlbi.nih.gov/Databases/mpkFractions/proteomic_fractions_linear_files/Yang_linear_img/114326482.jpg","show blot")</f>
        <v>show blot</v>
      </c>
      <c r="J7235" s="5" t="s">
        <v>14234</v>
      </c>
      <c r="L7235" s="11">
        <v>4.7674090427106082</v>
      </c>
      <c r="N7235" s="12"/>
    </row>
    <row r="7236" spans="1:14" s="5" customFormat="1" ht="15" customHeight="1" x14ac:dyDescent="0.25">
      <c r="A7236" s="9" t="s">
        <v>14236</v>
      </c>
      <c r="C7236" s="9" t="str">
        <f>HYPERLINK("http://www.ncbi.nlm.nih.gov/protein/328887938;114326482","Stat1")</f>
        <v>Stat1</v>
      </c>
      <c r="D7236" s="10">
        <f t="shared" si="112"/>
        <v>4.7674090427106082</v>
      </c>
      <c r="F7236" s="8" t="str">
        <f>HYPERLINK("https://esbl.nhlbi.nih.gov/Databases/mpkFractions/proteomic_fractions_log_files/Yang_log_img/328887938;114326482.jpg","show blot")</f>
        <v>show blot</v>
      </c>
      <c r="H7236" s="8" t="str">
        <f>HYPERLINK("https://esbl.nhlbi.nih.gov/Databases/mpkFractions/proteomic_fractions_linear_files/Yang_linear_img/328887938;114326482.jpg","show blot")</f>
        <v>show blot</v>
      </c>
      <c r="J7236" s="5" t="s">
        <v>14234</v>
      </c>
      <c r="L7236" s="11">
        <v>4.7674090427106082</v>
      </c>
      <c r="N7236" s="12"/>
    </row>
    <row r="7237" spans="1:14" s="5" customFormat="1" ht="15" customHeight="1" x14ac:dyDescent="0.25">
      <c r="A7237" s="9" t="s">
        <v>14237</v>
      </c>
      <c r="C7237" s="9" t="str">
        <f>HYPERLINK("http://www.ncbi.nlm.nih.gov/protein/328887935","Stat1")</f>
        <v>Stat1</v>
      </c>
      <c r="D7237" s="10">
        <f t="shared" ref="D7237:D7300" si="113">L7237</f>
        <v>4.7674090427106082</v>
      </c>
      <c r="F7237" s="8" t="str">
        <f>HYPERLINK("https://esbl.nhlbi.nih.gov/Databases/mpkFractions/proteomic_fractions_log_files/Yang_log_img/328887935.jpg","show blot")</f>
        <v>show blot</v>
      </c>
      <c r="H7237" s="8" t="str">
        <f>HYPERLINK("https://esbl.nhlbi.nih.gov/Databases/mpkFractions/proteomic_fractions_linear_files/Yang_linear_img/328887935.jpg","show blot")</f>
        <v>show blot</v>
      </c>
      <c r="J7237" s="5" t="s">
        <v>14238</v>
      </c>
      <c r="L7237" s="11">
        <v>4.7674090427106082</v>
      </c>
      <c r="N7237" s="12"/>
    </row>
    <row r="7238" spans="1:14" s="5" customFormat="1" ht="15" customHeight="1" x14ac:dyDescent="0.25">
      <c r="A7238" s="9" t="s">
        <v>14239</v>
      </c>
      <c r="C7238" s="9" t="str">
        <f>HYPERLINK("http://www.ncbi.nlm.nih.gov/protein/9910572","Stat2")</f>
        <v>Stat2</v>
      </c>
      <c r="D7238" s="10">
        <f t="shared" si="113"/>
        <v>3.230292264404941</v>
      </c>
      <c r="F7238" s="8" t="str">
        <f>HYPERLINK("https://esbl.nhlbi.nih.gov/Databases/mpkFractions/proteomic_fractions_log_files/Yang_log_img/9910572.jpg","show blot")</f>
        <v>show blot</v>
      </c>
      <c r="H7238" s="8" t="str">
        <f>HYPERLINK("https://esbl.nhlbi.nih.gov/Databases/mpkFractions/proteomic_fractions_linear_files/Yang_linear_img/9910572.jpg","show blot")</f>
        <v>show blot</v>
      </c>
      <c r="J7238" s="5" t="s">
        <v>14240</v>
      </c>
      <c r="L7238" s="11">
        <v>3.230292264404941</v>
      </c>
      <c r="N7238" s="12"/>
    </row>
    <row r="7239" spans="1:14" s="5" customFormat="1" ht="15" customHeight="1" x14ac:dyDescent="0.25">
      <c r="A7239" s="9" t="s">
        <v>14241</v>
      </c>
      <c r="C7239" s="9" t="str">
        <f>HYPERLINK("http://www.ncbi.nlm.nih.gov/protein/22094115","Stat3")</f>
        <v>Stat3</v>
      </c>
      <c r="D7239" s="10">
        <f t="shared" si="113"/>
        <v>4.4194911612594883</v>
      </c>
      <c r="F7239" s="8" t="str">
        <f>HYPERLINK("https://esbl.nhlbi.nih.gov/Databases/mpkFractions/proteomic_fractions_log_files/Yang_log_img/22094115.jpg","show blot")</f>
        <v>show blot</v>
      </c>
      <c r="H7239" s="8" t="str">
        <f>HYPERLINK("https://esbl.nhlbi.nih.gov/Databases/mpkFractions/proteomic_fractions_linear_files/Yang_linear_img/22094115.jpg","show blot")</f>
        <v>show blot</v>
      </c>
      <c r="J7239" s="5" t="s">
        <v>14242</v>
      </c>
      <c r="L7239" s="11">
        <v>4.4194911612594883</v>
      </c>
      <c r="N7239" s="12"/>
    </row>
    <row r="7240" spans="1:14" s="5" customFormat="1" ht="15" customHeight="1" x14ac:dyDescent="0.25">
      <c r="A7240" s="9" t="s">
        <v>14243</v>
      </c>
      <c r="C7240" s="9" t="str">
        <f>HYPERLINK("http://www.ncbi.nlm.nih.gov/protein/47458804","Stat3")</f>
        <v>Stat3</v>
      </c>
      <c r="D7240" s="10">
        <f t="shared" si="113"/>
        <v>4.4194911612594883</v>
      </c>
      <c r="F7240" s="8" t="str">
        <f>HYPERLINK("https://esbl.nhlbi.nih.gov/Databases/mpkFractions/proteomic_fractions_log_files/Yang_log_img/47458804.jpg","show blot")</f>
        <v>show blot</v>
      </c>
      <c r="H7240" s="8" t="str">
        <f>HYPERLINK("https://esbl.nhlbi.nih.gov/Databases/mpkFractions/proteomic_fractions_linear_files/Yang_linear_img/47458804.jpg","show blot")</f>
        <v>show blot</v>
      </c>
      <c r="J7240" s="5" t="s">
        <v>14244</v>
      </c>
      <c r="L7240" s="11">
        <v>4.4194911612594883</v>
      </c>
      <c r="N7240" s="12"/>
    </row>
    <row r="7241" spans="1:14" s="5" customFormat="1" ht="15" customHeight="1" x14ac:dyDescent="0.25">
      <c r="A7241" s="9" t="s">
        <v>14245</v>
      </c>
      <c r="C7241" s="9" t="str">
        <f>HYPERLINK("http://www.ncbi.nlm.nih.gov/protein/47458807","Stat3")</f>
        <v>Stat3</v>
      </c>
      <c r="D7241" s="10">
        <f t="shared" si="113"/>
        <v>4.4194911612594883</v>
      </c>
      <c r="F7241" s="8" t="str">
        <f>HYPERLINK("https://esbl.nhlbi.nih.gov/Databases/mpkFractions/proteomic_fractions_log_files/Yang_log_img/47458807.jpg","show blot")</f>
        <v>show blot</v>
      </c>
      <c r="H7241" s="8" t="str">
        <f>HYPERLINK("https://esbl.nhlbi.nih.gov/Databases/mpkFractions/proteomic_fractions_linear_files/Yang_linear_img/47458807.jpg","show blot")</f>
        <v>show blot</v>
      </c>
      <c r="J7241" s="5" t="s">
        <v>14246</v>
      </c>
      <c r="L7241" s="11">
        <v>4.4194911612594883</v>
      </c>
      <c r="N7241" s="12"/>
    </row>
    <row r="7242" spans="1:14" s="5" customFormat="1" ht="15" customHeight="1" x14ac:dyDescent="0.25">
      <c r="A7242" s="9" t="s">
        <v>14247</v>
      </c>
      <c r="C7242" s="9" t="str">
        <f>HYPERLINK("http://www.ncbi.nlm.nih.gov/protein/255759968","Stat5a")</f>
        <v>Stat5a</v>
      </c>
      <c r="D7242" s="10">
        <f t="shared" si="113"/>
        <v>4.2653615634773274</v>
      </c>
      <c r="F7242" s="8" t="str">
        <f>HYPERLINK("https://esbl.nhlbi.nih.gov/Databases/mpkFractions/proteomic_fractions_log_files/Yang_log_img/255759968.jpg","show blot")</f>
        <v>show blot</v>
      </c>
      <c r="H7242" s="8" t="str">
        <f>HYPERLINK("https://esbl.nhlbi.nih.gov/Databases/mpkFractions/proteomic_fractions_linear_files/Yang_linear_img/255759968.jpg","show blot")</f>
        <v>show blot</v>
      </c>
      <c r="J7242" s="5" t="s">
        <v>14248</v>
      </c>
      <c r="L7242" s="11">
        <v>4.2653615634773274</v>
      </c>
      <c r="N7242" s="12"/>
    </row>
    <row r="7243" spans="1:14" s="5" customFormat="1" ht="15" customHeight="1" x14ac:dyDescent="0.25">
      <c r="A7243" s="9" t="s">
        <v>14249</v>
      </c>
      <c r="C7243" s="9" t="str">
        <f>HYPERLINK("http://www.ncbi.nlm.nih.gov/protein/6755672","Stat5a")</f>
        <v>Stat5a</v>
      </c>
      <c r="D7243" s="10">
        <f t="shared" si="113"/>
        <v>4.2653615634773274</v>
      </c>
      <c r="F7243" s="8" t="str">
        <f>HYPERLINK("https://esbl.nhlbi.nih.gov/Databases/mpkFractions/proteomic_fractions_log_files/Yang_log_img/6755672.jpg","show blot")</f>
        <v>show blot</v>
      </c>
      <c r="H7243" s="8" t="str">
        <f>HYPERLINK("https://esbl.nhlbi.nih.gov/Databases/mpkFractions/proteomic_fractions_linear_files/Yang_linear_img/6755672.jpg","show blot")</f>
        <v>show blot</v>
      </c>
      <c r="J7243" s="5" t="s">
        <v>14250</v>
      </c>
      <c r="L7243" s="11">
        <v>4.2653615634773274</v>
      </c>
      <c r="N7243" s="12"/>
    </row>
    <row r="7244" spans="1:14" s="5" customFormat="1" ht="15" customHeight="1" x14ac:dyDescent="0.25">
      <c r="A7244" s="9" t="s">
        <v>14251</v>
      </c>
      <c r="C7244" s="9" t="str">
        <f>HYPERLINK("http://www.ncbi.nlm.nih.gov/protein/165932366","Stat5b")</f>
        <v>Stat5b</v>
      </c>
      <c r="D7244" s="10">
        <f t="shared" si="113"/>
        <v>4.2701604463590952</v>
      </c>
      <c r="F7244" s="8" t="str">
        <f>HYPERLINK("https://esbl.nhlbi.nih.gov/Databases/mpkFractions/proteomic_fractions_log_files/Yang_log_img/165932366.jpg","show blot")</f>
        <v>show blot</v>
      </c>
      <c r="H7244" s="8" t="str">
        <f>HYPERLINK("https://esbl.nhlbi.nih.gov/Databases/mpkFractions/proteomic_fractions_linear_files/Yang_linear_img/165932366.jpg","show blot")</f>
        <v>show blot</v>
      </c>
      <c r="J7244" s="5" t="s">
        <v>14252</v>
      </c>
      <c r="L7244" s="11">
        <v>4.2701604463590952</v>
      </c>
      <c r="N7244" s="12"/>
    </row>
    <row r="7245" spans="1:14" s="5" customFormat="1" ht="15" customHeight="1" x14ac:dyDescent="0.25">
      <c r="A7245" s="9" t="s">
        <v>14253</v>
      </c>
      <c r="C7245" s="9" t="str">
        <f>HYPERLINK("http://www.ncbi.nlm.nih.gov/protein/128485774","Stat6")</f>
        <v>Stat6</v>
      </c>
      <c r="D7245" s="10">
        <f t="shared" si="113"/>
        <v>3.902143496913633</v>
      </c>
      <c r="F7245" s="8" t="str">
        <f>HYPERLINK("https://esbl.nhlbi.nih.gov/Databases/mpkFractions/proteomic_fractions_log_files/Yang_log_img/128485774.jpg","show blot")</f>
        <v>show blot</v>
      </c>
      <c r="H7245" s="8" t="str">
        <f>HYPERLINK("https://esbl.nhlbi.nih.gov/Databases/mpkFractions/proteomic_fractions_linear_files/Yang_linear_img/128485774.jpg","show blot")</f>
        <v>show blot</v>
      </c>
      <c r="J7245" s="5" t="s">
        <v>14254</v>
      </c>
      <c r="L7245" s="11">
        <v>3.902143496913633</v>
      </c>
      <c r="N7245" s="12"/>
    </row>
    <row r="7246" spans="1:14" s="5" customFormat="1" ht="15" customHeight="1" x14ac:dyDescent="0.25">
      <c r="A7246" s="9" t="s">
        <v>14255</v>
      </c>
      <c r="C7246" s="9" t="str">
        <f>HYPERLINK("http://www.ncbi.nlm.nih.gov/protein/158186639","Stau1")</f>
        <v>Stau1</v>
      </c>
      <c r="D7246" s="10">
        <f t="shared" si="113"/>
        <v>4.9102879922135747</v>
      </c>
      <c r="F7246" s="8" t="str">
        <f>HYPERLINK("https://esbl.nhlbi.nih.gov/Databases/mpkFractions/proteomic_fractions_log_files/Yang_log_img/158186639.jpg","show blot")</f>
        <v>show blot</v>
      </c>
      <c r="H7246" s="8" t="str">
        <f>HYPERLINK("https://esbl.nhlbi.nih.gov/Databases/mpkFractions/proteomic_fractions_linear_files/Yang_linear_img/158186639.jpg","show blot")</f>
        <v>show blot</v>
      </c>
      <c r="J7246" s="5" t="s">
        <v>14256</v>
      </c>
      <c r="L7246" s="11">
        <v>4.9102879922135747</v>
      </c>
      <c r="N7246" s="12"/>
    </row>
    <row r="7247" spans="1:14" s="5" customFormat="1" ht="15" customHeight="1" x14ac:dyDescent="0.25">
      <c r="A7247" s="9" t="s">
        <v>14257</v>
      </c>
      <c r="C7247" s="9" t="str">
        <f>HYPERLINK("http://www.ncbi.nlm.nih.gov/protein/158186641","Stau1")</f>
        <v>Stau1</v>
      </c>
      <c r="D7247" s="10">
        <f t="shared" si="113"/>
        <v>4.9102879922135747</v>
      </c>
      <c r="F7247" s="8" t="str">
        <f>HYPERLINK("https://esbl.nhlbi.nih.gov/Databases/mpkFractions/proteomic_fractions_log_files/Yang_log_img/158186641.jpg","show blot")</f>
        <v>show blot</v>
      </c>
      <c r="H7247" s="8" t="str">
        <f>HYPERLINK("https://esbl.nhlbi.nih.gov/Databases/mpkFractions/proteomic_fractions_linear_files/Yang_linear_img/158186641.jpg","show blot")</f>
        <v>show blot</v>
      </c>
      <c r="J7247" s="5" t="s">
        <v>14258</v>
      </c>
      <c r="L7247" s="11">
        <v>4.9102879922135747</v>
      </c>
      <c r="N7247" s="12"/>
    </row>
    <row r="7248" spans="1:14" s="5" customFormat="1" ht="15" customHeight="1" x14ac:dyDescent="0.25">
      <c r="A7248" s="9" t="s">
        <v>14259</v>
      </c>
      <c r="C7248" s="9" t="str">
        <f>HYPERLINK("http://www.ncbi.nlm.nih.gov/protein/6755674","Stau1")</f>
        <v>Stau1</v>
      </c>
      <c r="D7248" s="10">
        <f t="shared" si="113"/>
        <v>4.9102879922135747</v>
      </c>
      <c r="F7248" s="8" t="str">
        <f>HYPERLINK("https://esbl.nhlbi.nih.gov/Databases/mpkFractions/proteomic_fractions_log_files/Yang_log_img/6755674.jpg","show blot")</f>
        <v>show blot</v>
      </c>
      <c r="H7248" s="8" t="str">
        <f>HYPERLINK("https://esbl.nhlbi.nih.gov/Databases/mpkFractions/proteomic_fractions_linear_files/Yang_linear_img/6755674.jpg","show blot")</f>
        <v>show blot</v>
      </c>
      <c r="J7248" s="5" t="s">
        <v>14260</v>
      </c>
      <c r="L7248" s="11">
        <v>4.9102879922135747</v>
      </c>
      <c r="N7248" s="12"/>
    </row>
    <row r="7249" spans="1:14" s="5" customFormat="1" ht="15" customHeight="1" x14ac:dyDescent="0.25">
      <c r="A7249" s="9" t="s">
        <v>14261</v>
      </c>
      <c r="C7249" s="9" t="str">
        <f>HYPERLINK("http://www.ncbi.nlm.nih.gov/protein/162287083","Stau2")</f>
        <v>Stau2</v>
      </c>
      <c r="D7249" s="10">
        <f t="shared" si="113"/>
        <v>2.3204983406714348</v>
      </c>
      <c r="F7249" s="8" t="str">
        <f>HYPERLINK("https://esbl.nhlbi.nih.gov/Databases/mpkFractions/proteomic_fractions_log_files/Yang_log_img/162287083.jpg","show blot")</f>
        <v>show blot</v>
      </c>
      <c r="H7249" s="8" t="str">
        <f>HYPERLINK("https://esbl.nhlbi.nih.gov/Databases/mpkFractions/proteomic_fractions_linear_files/Yang_linear_img/162287083.jpg","show blot")</f>
        <v>show blot</v>
      </c>
      <c r="J7249" s="5" t="s">
        <v>14262</v>
      </c>
      <c r="L7249" s="11">
        <v>2.3204983406714348</v>
      </c>
      <c r="N7249" s="12"/>
    </row>
    <row r="7250" spans="1:14" s="5" customFormat="1" ht="15" customHeight="1" x14ac:dyDescent="0.25">
      <c r="A7250" s="9" t="s">
        <v>14263</v>
      </c>
      <c r="C7250" s="9" t="str">
        <f>HYPERLINK("http://www.ncbi.nlm.nih.gov/protein/194018455","Stau2")</f>
        <v>Stau2</v>
      </c>
      <c r="D7250" s="10">
        <f t="shared" si="113"/>
        <v>2.3204983406714348</v>
      </c>
      <c r="F7250" s="8" t="str">
        <f>HYPERLINK("https://esbl.nhlbi.nih.gov/Databases/mpkFractions/proteomic_fractions_log_files/Yang_log_img/194018455.jpg","show blot")</f>
        <v>show blot</v>
      </c>
      <c r="H7250" s="8" t="str">
        <f>HYPERLINK("https://esbl.nhlbi.nih.gov/Databases/mpkFractions/proteomic_fractions_linear_files/Yang_linear_img/194018455.jpg","show blot")</f>
        <v>show blot</v>
      </c>
      <c r="J7250" s="5" t="s">
        <v>14264</v>
      </c>
      <c r="L7250" s="11">
        <v>2.3204983406714348</v>
      </c>
      <c r="N7250" s="12"/>
    </row>
    <row r="7251" spans="1:14" s="5" customFormat="1" ht="15" customHeight="1" x14ac:dyDescent="0.25">
      <c r="A7251" s="9" t="s">
        <v>14265</v>
      </c>
      <c r="C7251" s="9" t="str">
        <f>HYPERLINK("http://www.ncbi.nlm.nih.gov/protein/254553462","Steap1")</f>
        <v>Steap1</v>
      </c>
      <c r="D7251" s="10">
        <f t="shared" si="113"/>
        <v>2.530954565053531</v>
      </c>
      <c r="F7251" s="8" t="str">
        <f>HYPERLINK("https://esbl.nhlbi.nih.gov/Databases/mpkFractions/proteomic_fractions_log_files/Yang_log_img/254553462.jpg","show blot")</f>
        <v>show blot</v>
      </c>
      <c r="H7251" s="8" t="str">
        <f>HYPERLINK("https://esbl.nhlbi.nih.gov/Databases/mpkFractions/proteomic_fractions_linear_files/Yang_linear_img/254553462.jpg","show blot")</f>
        <v>show blot</v>
      </c>
      <c r="J7251" s="5" t="s">
        <v>14266</v>
      </c>
      <c r="L7251" s="11">
        <v>2.530954565053531</v>
      </c>
      <c r="N7251" s="12"/>
    </row>
    <row r="7252" spans="1:14" s="5" customFormat="1" ht="15" customHeight="1" x14ac:dyDescent="0.25">
      <c r="A7252" s="9" t="s">
        <v>14267</v>
      </c>
      <c r="C7252" s="9" t="str">
        <f>HYPERLINK("http://www.ncbi.nlm.nih.gov/protein/124249344","Steap2")</f>
        <v>Steap2</v>
      </c>
      <c r="D7252" s="10">
        <f t="shared" si="113"/>
        <v>3.1202219224811958</v>
      </c>
      <c r="F7252" s="8" t="str">
        <f>HYPERLINK("https://esbl.nhlbi.nih.gov/Databases/mpkFractions/proteomic_fractions_log_files/Yang_log_img/124249344.jpg","show blot")</f>
        <v>show blot</v>
      </c>
      <c r="H7252" s="8" t="str">
        <f>HYPERLINK("https://esbl.nhlbi.nih.gov/Databases/mpkFractions/proteomic_fractions_linear_files/Yang_linear_img/124249344.jpg","show blot")</f>
        <v>show blot</v>
      </c>
      <c r="J7252" s="5" t="s">
        <v>14268</v>
      </c>
      <c r="L7252" s="11">
        <v>3.1202219224811958</v>
      </c>
      <c r="N7252" s="12"/>
    </row>
    <row r="7253" spans="1:14" s="5" customFormat="1" ht="15" customHeight="1" x14ac:dyDescent="0.25">
      <c r="A7253" s="9" t="s">
        <v>14269</v>
      </c>
      <c r="C7253" s="9" t="str">
        <f>HYPERLINK("http://www.ncbi.nlm.nih.gov/protein/31981983","Stim1")</f>
        <v>Stim1</v>
      </c>
      <c r="D7253" s="10">
        <f t="shared" si="113"/>
        <v>2.7503880788564352</v>
      </c>
      <c r="F7253" s="8" t="str">
        <f>HYPERLINK("https://esbl.nhlbi.nih.gov/Databases/mpkFractions/proteomic_fractions_log_files/Yang_log_img/31981983.jpg","show blot")</f>
        <v>show blot</v>
      </c>
      <c r="H7253" s="8" t="str">
        <f>HYPERLINK("https://esbl.nhlbi.nih.gov/Databases/mpkFractions/proteomic_fractions_linear_files/Yang_linear_img/31981983.jpg","show blot")</f>
        <v>show blot</v>
      </c>
      <c r="J7253" s="5" t="s">
        <v>14270</v>
      </c>
      <c r="L7253" s="11">
        <v>2.7503880788564352</v>
      </c>
      <c r="N7253" s="12"/>
    </row>
    <row r="7254" spans="1:14" s="5" customFormat="1" ht="15" customHeight="1" x14ac:dyDescent="0.25">
      <c r="A7254" s="9" t="s">
        <v>14271</v>
      </c>
      <c r="C7254" s="9" t="str">
        <f>HYPERLINK("http://www.ncbi.nlm.nih.gov/protein/281182368","Stim2")</f>
        <v>Stim2</v>
      </c>
      <c r="D7254" s="10">
        <f t="shared" si="113"/>
        <v>2.326875853670936</v>
      </c>
      <c r="F7254" s="8" t="str">
        <f>HYPERLINK("https://esbl.nhlbi.nih.gov/Databases/mpkFractions/proteomic_fractions_log_files/Yang_log_img/281182368.jpg","show blot")</f>
        <v>show blot</v>
      </c>
      <c r="H7254" s="8" t="str">
        <f>HYPERLINK("https://esbl.nhlbi.nih.gov/Databases/mpkFractions/proteomic_fractions_linear_files/Yang_linear_img/281182368.jpg","show blot")</f>
        <v>show blot</v>
      </c>
      <c r="J7254" s="5" t="s">
        <v>14272</v>
      </c>
      <c r="L7254" s="11">
        <v>2.326875853670936</v>
      </c>
      <c r="N7254" s="12"/>
    </row>
    <row r="7255" spans="1:14" s="5" customFormat="1" ht="15" customHeight="1" x14ac:dyDescent="0.25">
      <c r="A7255" s="9" t="s">
        <v>14273</v>
      </c>
      <c r="C7255" s="9" t="str">
        <f>HYPERLINK("http://www.ncbi.nlm.nih.gov/protein/14389431","Stip1")</f>
        <v>Stip1</v>
      </c>
      <c r="D7255" s="10">
        <f t="shared" si="113"/>
        <v>6.2922445991703313</v>
      </c>
      <c r="F7255" s="8" t="str">
        <f>HYPERLINK("https://esbl.nhlbi.nih.gov/Databases/mpkFractions/proteomic_fractions_log_files/Yang_log_img/14389431.jpg","show blot")</f>
        <v>show blot</v>
      </c>
      <c r="H7255" s="8" t="str">
        <f>HYPERLINK("https://esbl.nhlbi.nih.gov/Databases/mpkFractions/proteomic_fractions_linear_files/Yang_linear_img/14389431.jpg","show blot")</f>
        <v>show blot</v>
      </c>
      <c r="J7255" s="5" t="s">
        <v>14274</v>
      </c>
      <c r="L7255" s="11">
        <v>6.2922445991703313</v>
      </c>
      <c r="N7255" s="12"/>
    </row>
    <row r="7256" spans="1:14" s="5" customFormat="1" ht="15" customHeight="1" x14ac:dyDescent="0.25">
      <c r="A7256" s="9" t="s">
        <v>14275</v>
      </c>
      <c r="C7256" s="9" t="str">
        <f>HYPERLINK("http://www.ncbi.nlm.nih.gov/protein/126362973","Stk10")</f>
        <v>Stk10</v>
      </c>
      <c r="D7256" s="10">
        <f t="shared" si="113"/>
        <v>4.2281744956828211</v>
      </c>
      <c r="F7256" s="8" t="str">
        <f>HYPERLINK("https://esbl.nhlbi.nih.gov/Databases/mpkFractions/proteomic_fractions_log_files/Yang_log_img/126362973.jpg","show blot")</f>
        <v>show blot</v>
      </c>
      <c r="H7256" s="8" t="str">
        <f>HYPERLINK("https://esbl.nhlbi.nih.gov/Databases/mpkFractions/proteomic_fractions_linear_files/Yang_linear_img/126362973.jpg","show blot")</f>
        <v>show blot</v>
      </c>
      <c r="J7256" s="5" t="s">
        <v>14276</v>
      </c>
      <c r="L7256" s="11">
        <v>4.2281744956828211</v>
      </c>
      <c r="N7256" s="12"/>
    </row>
    <row r="7257" spans="1:14" s="5" customFormat="1" ht="15" customHeight="1" x14ac:dyDescent="0.25">
      <c r="A7257" s="9" t="s">
        <v>14277</v>
      </c>
      <c r="C7257" s="9" t="str">
        <f>HYPERLINK("http://www.ncbi.nlm.nih.gov/protein/7106425","Stk11")</f>
        <v>Stk11</v>
      </c>
      <c r="D7257" s="10">
        <f t="shared" si="113"/>
        <v>3.2668403272821052</v>
      </c>
      <c r="F7257" s="8" t="str">
        <f>HYPERLINK("https://esbl.nhlbi.nih.gov/Databases/mpkFractions/proteomic_fractions_log_files/Yang_log_img/7106425.jpg","show blot")</f>
        <v>show blot</v>
      </c>
      <c r="H7257" s="8" t="str">
        <f>HYPERLINK("https://esbl.nhlbi.nih.gov/Databases/mpkFractions/proteomic_fractions_linear_files/Yang_linear_img/7106425.jpg","show blot")</f>
        <v>show blot</v>
      </c>
      <c r="J7257" s="5" t="s">
        <v>14278</v>
      </c>
      <c r="L7257" s="11">
        <v>3.2668403272821052</v>
      </c>
      <c r="N7257" s="12"/>
    </row>
    <row r="7258" spans="1:14" s="5" customFormat="1" ht="15" customHeight="1" x14ac:dyDescent="0.25">
      <c r="A7258" s="9" t="s">
        <v>14279</v>
      </c>
      <c r="C7258" s="9" t="str">
        <f>HYPERLINK("http://www.ncbi.nlm.nih.gov/protein/169808413","Stk11ip")</f>
        <v>Stk11ip</v>
      </c>
      <c r="D7258" s="10">
        <f t="shared" si="113"/>
        <v>2.751306274858222</v>
      </c>
      <c r="F7258" s="8" t="str">
        <f>HYPERLINK("https://esbl.nhlbi.nih.gov/Databases/mpkFractions/proteomic_fractions_log_files/Yang_log_img/169808413.jpg","show blot")</f>
        <v>show blot</v>
      </c>
      <c r="H7258" s="8" t="str">
        <f>HYPERLINK("https://esbl.nhlbi.nih.gov/Databases/mpkFractions/proteomic_fractions_linear_files/Yang_linear_img/169808413.jpg","show blot")</f>
        <v>show blot</v>
      </c>
      <c r="J7258" s="5" t="s">
        <v>14280</v>
      </c>
      <c r="L7258" s="11">
        <v>2.751306274858222</v>
      </c>
      <c r="N7258" s="12"/>
    </row>
    <row r="7259" spans="1:14" s="5" customFormat="1" ht="15" customHeight="1" x14ac:dyDescent="0.25">
      <c r="A7259" s="9" t="s">
        <v>14281</v>
      </c>
      <c r="C7259" s="9" t="str">
        <f>HYPERLINK("http://www.ncbi.nlm.nih.gov/protein/226958539","Stk16")</f>
        <v>Stk16</v>
      </c>
      <c r="D7259" s="10">
        <f t="shared" si="113"/>
        <v>2.5598714352713241</v>
      </c>
      <c r="F7259" s="8" t="str">
        <f>HYPERLINK("https://esbl.nhlbi.nih.gov/Databases/mpkFractions/proteomic_fractions_log_files/Yang_log_img/226958539.jpg","show blot")</f>
        <v>show blot</v>
      </c>
      <c r="H7259" s="8" t="str">
        <f>HYPERLINK("https://esbl.nhlbi.nih.gov/Databases/mpkFractions/proteomic_fractions_linear_files/Yang_linear_img/226958539.jpg","show blot")</f>
        <v>show blot</v>
      </c>
      <c r="J7259" s="5" t="s">
        <v>14282</v>
      </c>
      <c r="L7259" s="11">
        <v>2.5598714352713241</v>
      </c>
      <c r="N7259" s="12"/>
    </row>
    <row r="7260" spans="1:14" s="5" customFormat="1" ht="15" customHeight="1" x14ac:dyDescent="0.25">
      <c r="A7260" s="9" t="s">
        <v>14283</v>
      </c>
      <c r="C7260" s="9" t="str">
        <f>HYPERLINK("http://www.ncbi.nlm.nih.gov/protein/21703922","Stk24")</f>
        <v>Stk24</v>
      </c>
      <c r="D7260" s="10">
        <f t="shared" si="113"/>
        <v>5.5447778131399534</v>
      </c>
      <c r="F7260" s="8" t="str">
        <f>HYPERLINK("https://esbl.nhlbi.nih.gov/Databases/mpkFractions/proteomic_fractions_log_files/Yang_log_img/21703922.jpg","show blot")</f>
        <v>show blot</v>
      </c>
      <c r="H7260" s="8" t="str">
        <f>HYPERLINK("https://esbl.nhlbi.nih.gov/Databases/mpkFractions/proteomic_fractions_linear_files/Yang_linear_img/21703922.jpg","show blot")</f>
        <v>show blot</v>
      </c>
      <c r="J7260" s="5" t="s">
        <v>14284</v>
      </c>
      <c r="L7260" s="11">
        <v>5.5447778131399534</v>
      </c>
      <c r="N7260" s="12"/>
    </row>
    <row r="7261" spans="1:14" s="5" customFormat="1" ht="15" customHeight="1" x14ac:dyDescent="0.25">
      <c r="A7261" s="9" t="s">
        <v>14285</v>
      </c>
      <c r="C7261" s="9" t="str">
        <f>HYPERLINK("http://www.ncbi.nlm.nih.gov/protein/89337277","Stk25")</f>
        <v>Stk25</v>
      </c>
      <c r="D7261" s="10">
        <f t="shared" si="113"/>
        <v>5.2335639241947511</v>
      </c>
      <c r="F7261" s="8" t="str">
        <f>HYPERLINK("https://esbl.nhlbi.nih.gov/Databases/mpkFractions/proteomic_fractions_log_files/Yang_log_img/89337277.jpg","show blot")</f>
        <v>show blot</v>
      </c>
      <c r="H7261" s="8" t="str">
        <f>HYPERLINK("https://esbl.nhlbi.nih.gov/Databases/mpkFractions/proteomic_fractions_linear_files/Yang_linear_img/89337277.jpg","show blot")</f>
        <v>show blot</v>
      </c>
      <c r="J7261" s="5" t="s">
        <v>14286</v>
      </c>
      <c r="L7261" s="11">
        <v>5.2335639241947511</v>
      </c>
      <c r="N7261" s="12"/>
    </row>
    <row r="7262" spans="1:14" s="5" customFormat="1" ht="15" customHeight="1" x14ac:dyDescent="0.25">
      <c r="A7262" s="9" t="s">
        <v>14287</v>
      </c>
      <c r="C7262" s="9" t="str">
        <f>HYPERLINK("http://www.ncbi.nlm.nih.gov/protein/118150664","Stk3")</f>
        <v>Stk3</v>
      </c>
      <c r="D7262" s="10">
        <f t="shared" si="113"/>
        <v>4.7396450374546024</v>
      </c>
      <c r="F7262" s="8" t="str">
        <f>HYPERLINK("https://esbl.nhlbi.nih.gov/Databases/mpkFractions/proteomic_fractions_log_files/Yang_log_img/118150664.jpg","show blot")</f>
        <v>show blot</v>
      </c>
      <c r="H7262" s="8" t="str">
        <f>HYPERLINK("https://esbl.nhlbi.nih.gov/Databases/mpkFractions/proteomic_fractions_linear_files/Yang_linear_img/118150664.jpg","show blot")</f>
        <v>show blot</v>
      </c>
      <c r="J7262" s="5" t="s">
        <v>14288</v>
      </c>
      <c r="L7262" s="11">
        <v>4.7396450374546024</v>
      </c>
      <c r="N7262" s="12"/>
    </row>
    <row r="7263" spans="1:14" s="5" customFormat="1" ht="15" customHeight="1" x14ac:dyDescent="0.25">
      <c r="A7263" s="9" t="s">
        <v>14289</v>
      </c>
      <c r="C7263" s="9" t="str">
        <f>HYPERLINK("http://www.ncbi.nlm.nih.gov/protein/19527344","Stk38")</f>
        <v>Stk38</v>
      </c>
      <c r="D7263" s="10">
        <f t="shared" si="113"/>
        <v>4.4594354629894442</v>
      </c>
      <c r="F7263" s="8" t="str">
        <f>HYPERLINK("https://esbl.nhlbi.nih.gov/Databases/mpkFractions/proteomic_fractions_log_files/Yang_log_img/19527344.jpg","show blot")</f>
        <v>show blot</v>
      </c>
      <c r="H7263" s="8" t="str">
        <f>HYPERLINK("https://esbl.nhlbi.nih.gov/Databases/mpkFractions/proteomic_fractions_linear_files/Yang_linear_img/19527344.jpg","show blot")</f>
        <v>show blot</v>
      </c>
      <c r="J7263" s="5" t="s">
        <v>14290</v>
      </c>
      <c r="L7263" s="11">
        <v>4.4594354629894442</v>
      </c>
      <c r="N7263" s="12"/>
    </row>
    <row r="7264" spans="1:14" s="5" customFormat="1" ht="15" customHeight="1" x14ac:dyDescent="0.25">
      <c r="A7264" s="9" t="s">
        <v>14291</v>
      </c>
      <c r="C7264" s="9" t="str">
        <f>HYPERLINK("http://www.ncbi.nlm.nih.gov/protein/27370078","Stk38l")</f>
        <v>Stk38l</v>
      </c>
      <c r="D7264" s="10">
        <f t="shared" si="113"/>
        <v>4.0871826280881356</v>
      </c>
      <c r="F7264" s="8" t="str">
        <f>HYPERLINK("https://esbl.nhlbi.nih.gov/Databases/mpkFractions/proteomic_fractions_log_files/Yang_log_img/27370078.jpg","show blot")</f>
        <v>show blot</v>
      </c>
      <c r="H7264" s="8" t="str">
        <f>HYPERLINK("https://esbl.nhlbi.nih.gov/Databases/mpkFractions/proteomic_fractions_linear_files/Yang_linear_img/27370078.jpg","show blot")</f>
        <v>show blot</v>
      </c>
      <c r="J7264" s="5" t="s">
        <v>14292</v>
      </c>
      <c r="L7264" s="11">
        <v>4.0871826280881356</v>
      </c>
      <c r="N7264" s="12"/>
    </row>
    <row r="7265" spans="1:14" s="5" customFormat="1" ht="15" customHeight="1" x14ac:dyDescent="0.25">
      <c r="A7265" s="9" t="s">
        <v>14293</v>
      </c>
      <c r="C7265" s="9" t="str">
        <f>HYPERLINK("http://www.ncbi.nlm.nih.gov/protein/12328814","Stk4")</f>
        <v>Stk4</v>
      </c>
      <c r="D7265" s="10">
        <f t="shared" si="113"/>
        <v>4.9318239263272474</v>
      </c>
      <c r="F7265" s="8" t="str">
        <f>HYPERLINK("https://esbl.nhlbi.nih.gov/Databases/mpkFractions/proteomic_fractions_log_files/Yang_log_img/12328814.jpg","show blot")</f>
        <v>show blot</v>
      </c>
      <c r="H7265" s="8" t="str">
        <f>HYPERLINK("https://esbl.nhlbi.nih.gov/Databases/mpkFractions/proteomic_fractions_linear_files/Yang_linear_img/12328814.jpg","show blot")</f>
        <v>show blot</v>
      </c>
      <c r="J7265" s="5" t="s">
        <v>14294</v>
      </c>
      <c r="L7265" s="11">
        <v>4.9318239263272474</v>
      </c>
      <c r="N7265" s="12"/>
    </row>
    <row r="7266" spans="1:14" s="5" customFormat="1" ht="15" customHeight="1" x14ac:dyDescent="0.25">
      <c r="A7266" s="9" t="s">
        <v>14295</v>
      </c>
      <c r="C7266" s="9" t="str">
        <f>HYPERLINK("http://www.ncbi.nlm.nih.gov/protein/9789995","Stmn1")</f>
        <v>Stmn1</v>
      </c>
      <c r="D7266" s="10">
        <f t="shared" si="113"/>
        <v>6.0348992783299291</v>
      </c>
      <c r="F7266" s="8" t="str">
        <f>HYPERLINK("https://esbl.nhlbi.nih.gov/Databases/mpkFractions/proteomic_fractions_log_files/Yang_log_img/9789995.jpg","show blot")</f>
        <v>show blot</v>
      </c>
      <c r="H7266" s="8" t="str">
        <f>HYPERLINK("https://esbl.nhlbi.nih.gov/Databases/mpkFractions/proteomic_fractions_linear_files/Yang_linear_img/9789995.jpg","show blot")</f>
        <v>show blot</v>
      </c>
      <c r="J7266" s="5" t="s">
        <v>14296</v>
      </c>
      <c r="L7266" s="11">
        <v>6.0348992783299291</v>
      </c>
      <c r="N7266" s="12"/>
    </row>
    <row r="7267" spans="1:14" s="5" customFormat="1" ht="15" customHeight="1" x14ac:dyDescent="0.25">
      <c r="A7267" s="9" t="s">
        <v>14297</v>
      </c>
      <c r="C7267" s="9" t="str">
        <f>HYPERLINK("http://www.ncbi.nlm.nih.gov/protein/13384630","Stmn2")</f>
        <v>Stmn2</v>
      </c>
      <c r="D7267" s="10">
        <f t="shared" si="113"/>
        <v>5.6926598100874868</v>
      </c>
      <c r="F7267" s="8" t="str">
        <f>HYPERLINK("https://esbl.nhlbi.nih.gov/Databases/mpkFractions/proteomic_fractions_log_files/Yang_log_img/13384630.jpg","show blot")</f>
        <v>show blot</v>
      </c>
      <c r="H7267" s="8" t="str">
        <f>HYPERLINK("https://esbl.nhlbi.nih.gov/Databases/mpkFractions/proteomic_fractions_linear_files/Yang_linear_img/13384630.jpg","show blot")</f>
        <v>show blot</v>
      </c>
      <c r="J7267" s="5" t="s">
        <v>14298</v>
      </c>
      <c r="L7267" s="11">
        <v>5.6926598100874868</v>
      </c>
      <c r="N7267" s="12"/>
    </row>
    <row r="7268" spans="1:14" s="5" customFormat="1" ht="15" customHeight="1" x14ac:dyDescent="0.25">
      <c r="A7268" s="9" t="s">
        <v>14299</v>
      </c>
      <c r="C7268" s="9" t="str">
        <f>HYPERLINK("http://www.ncbi.nlm.nih.gov/protein/9790189","Stmn4")</f>
        <v>Stmn4</v>
      </c>
      <c r="D7268" s="10">
        <f t="shared" si="113"/>
        <v>2.778725114157667</v>
      </c>
      <c r="F7268" s="8" t="str">
        <f>HYPERLINK("https://esbl.nhlbi.nih.gov/Databases/mpkFractions/proteomic_fractions_log_files/Yang_log_img/9790189.jpg","show blot")</f>
        <v>show blot</v>
      </c>
      <c r="H7268" s="8" t="str">
        <f>HYPERLINK("https://esbl.nhlbi.nih.gov/Databases/mpkFractions/proteomic_fractions_linear_files/Yang_linear_img/9790189.jpg","show blot")</f>
        <v>show blot</v>
      </c>
      <c r="J7268" s="5" t="s">
        <v>14300</v>
      </c>
      <c r="L7268" s="11">
        <v>2.778725114157667</v>
      </c>
      <c r="N7268" s="12"/>
    </row>
    <row r="7269" spans="1:14" s="5" customFormat="1" ht="15" customHeight="1" x14ac:dyDescent="0.25">
      <c r="A7269" s="9" t="s">
        <v>14301</v>
      </c>
      <c r="C7269" s="9" t="str">
        <f>HYPERLINK("http://www.ncbi.nlm.nih.gov/protein/7710018","Stom")</f>
        <v>Stom</v>
      </c>
      <c r="D7269" s="10">
        <f t="shared" si="113"/>
        <v>2.8516348507619571</v>
      </c>
      <c r="F7269" s="8" t="str">
        <f>HYPERLINK("https://esbl.nhlbi.nih.gov/Databases/mpkFractions/proteomic_fractions_log_files/Yang_log_img/7710018.jpg","show blot")</f>
        <v>show blot</v>
      </c>
      <c r="H7269" s="8" t="str">
        <f>HYPERLINK("https://esbl.nhlbi.nih.gov/Databases/mpkFractions/proteomic_fractions_linear_files/Yang_linear_img/7710018.jpg","show blot")</f>
        <v>show blot</v>
      </c>
      <c r="J7269" s="5" t="s">
        <v>14302</v>
      </c>
      <c r="L7269" s="11">
        <v>2.8516348507619571</v>
      </c>
      <c r="N7269" s="12"/>
    </row>
    <row r="7270" spans="1:14" s="5" customFormat="1" ht="15" customHeight="1" x14ac:dyDescent="0.25">
      <c r="A7270" s="9" t="s">
        <v>14303</v>
      </c>
      <c r="C7270" s="9" t="str">
        <f>HYPERLINK("http://www.ncbi.nlm.nih.gov/protein/12963591","Stoml2")</f>
        <v>Stoml2</v>
      </c>
      <c r="D7270" s="10">
        <f t="shared" si="113"/>
        <v>5.3739400685725522</v>
      </c>
      <c r="F7270" s="8" t="str">
        <f>HYPERLINK("https://esbl.nhlbi.nih.gov/Databases/mpkFractions/proteomic_fractions_log_files/Yang_log_img/12963591.jpg","show blot")</f>
        <v>show blot</v>
      </c>
      <c r="H7270" s="8" t="str">
        <f>HYPERLINK("https://esbl.nhlbi.nih.gov/Databases/mpkFractions/proteomic_fractions_linear_files/Yang_linear_img/12963591.jpg","show blot")</f>
        <v>show blot</v>
      </c>
      <c r="J7270" s="5" t="s">
        <v>14304</v>
      </c>
      <c r="L7270" s="11">
        <v>5.3739400685725522</v>
      </c>
      <c r="N7270" s="12"/>
    </row>
    <row r="7271" spans="1:14" s="5" customFormat="1" ht="15" customHeight="1" x14ac:dyDescent="0.25">
      <c r="A7271" s="9" t="s">
        <v>14305</v>
      </c>
      <c r="C7271" s="9" t="str">
        <f>HYPERLINK("http://www.ncbi.nlm.nih.gov/protein/159032010","Ston1")</f>
        <v>Ston1</v>
      </c>
      <c r="D7271" s="10">
        <f t="shared" si="113"/>
        <v>3.2285232416660938</v>
      </c>
      <c r="F7271" s="8" t="str">
        <f>HYPERLINK("https://esbl.nhlbi.nih.gov/Databases/mpkFractions/proteomic_fractions_log_files/Yang_log_img/159032010.jpg","show blot")</f>
        <v>show blot</v>
      </c>
      <c r="H7271" s="8" t="str">
        <f>HYPERLINK("https://esbl.nhlbi.nih.gov/Databases/mpkFractions/proteomic_fractions_linear_files/Yang_linear_img/159032010.jpg","show blot")</f>
        <v>show blot</v>
      </c>
      <c r="J7271" s="5" t="s">
        <v>14306</v>
      </c>
      <c r="L7271" s="11">
        <v>3.2285232416660938</v>
      </c>
      <c r="N7271" s="12"/>
    </row>
    <row r="7272" spans="1:14" s="5" customFormat="1" ht="15" customHeight="1" x14ac:dyDescent="0.25">
      <c r="A7272" s="9" t="s">
        <v>14307</v>
      </c>
      <c r="C7272" s="9" t="str">
        <f>HYPERLINK("http://www.ncbi.nlm.nih.gov/protein/30425068","Ston2")</f>
        <v>Ston2</v>
      </c>
      <c r="D7272" s="10">
        <f t="shared" si="113"/>
        <v>3.1523897011579018</v>
      </c>
      <c r="F7272" s="8" t="str">
        <f>HYPERLINK("https://esbl.nhlbi.nih.gov/Databases/mpkFractions/proteomic_fractions_log_files/Yang_log_img/30425068.jpg","show blot")</f>
        <v>show blot</v>
      </c>
      <c r="H7272" s="8" t="str">
        <f>HYPERLINK("https://esbl.nhlbi.nih.gov/Databases/mpkFractions/proteomic_fractions_linear_files/Yang_linear_img/30425068.jpg","show blot")</f>
        <v>show blot</v>
      </c>
      <c r="J7272" s="5" t="s">
        <v>14308</v>
      </c>
      <c r="L7272" s="11">
        <v>3.1523897011579018</v>
      </c>
      <c r="N7272" s="12"/>
    </row>
    <row r="7273" spans="1:14" s="5" customFormat="1" ht="15" customHeight="1" x14ac:dyDescent="0.25">
      <c r="A7273" s="9" t="s">
        <v>14309</v>
      </c>
      <c r="C7273" s="9" t="str">
        <f>HYPERLINK("http://www.ncbi.nlm.nih.gov/protein/160707896","Strap")</f>
        <v>Strap</v>
      </c>
      <c r="D7273" s="10">
        <f t="shared" si="113"/>
        <v>5.9752317035585891</v>
      </c>
      <c r="F7273" s="8" t="str">
        <f>HYPERLINK("https://esbl.nhlbi.nih.gov/Databases/mpkFractions/proteomic_fractions_log_files/Yang_log_img/160707896.jpg","show blot")</f>
        <v>show blot</v>
      </c>
      <c r="H7273" s="8" t="str">
        <f>HYPERLINK("https://esbl.nhlbi.nih.gov/Databases/mpkFractions/proteomic_fractions_linear_files/Yang_linear_img/160707896.jpg","show blot")</f>
        <v>show blot</v>
      </c>
      <c r="J7273" s="5" t="s">
        <v>14310</v>
      </c>
      <c r="L7273" s="11">
        <v>5.9752317035585891</v>
      </c>
      <c r="N7273" s="12"/>
    </row>
    <row r="7274" spans="1:14" s="5" customFormat="1" ht="15" customHeight="1" x14ac:dyDescent="0.25">
      <c r="A7274" s="9" t="s">
        <v>14311</v>
      </c>
      <c r="C7274" s="9" t="str">
        <f>HYPERLINK("http://www.ncbi.nlm.nih.gov/protein/114842377","Strbp")</f>
        <v>Strbp</v>
      </c>
      <c r="D7274" s="10">
        <f t="shared" si="113"/>
        <v>4.2792238221997501</v>
      </c>
      <c r="F7274" s="8" t="str">
        <f>HYPERLINK("https://esbl.nhlbi.nih.gov/Databases/mpkFractions/proteomic_fractions_log_files/Yang_log_img/114842377.jpg","show blot")</f>
        <v>show blot</v>
      </c>
      <c r="H7274" s="8" t="str">
        <f>HYPERLINK("https://esbl.nhlbi.nih.gov/Databases/mpkFractions/proteomic_fractions_linear_files/Yang_linear_img/114842377.jpg","show blot")</f>
        <v>show blot</v>
      </c>
      <c r="J7274" s="5" t="s">
        <v>14312</v>
      </c>
      <c r="L7274" s="11">
        <v>4.2792238221997501</v>
      </c>
      <c r="N7274" s="12"/>
    </row>
    <row r="7275" spans="1:14" s="5" customFormat="1" ht="15" customHeight="1" x14ac:dyDescent="0.25">
      <c r="A7275" s="9" t="s">
        <v>14313</v>
      </c>
      <c r="C7275" s="9" t="str">
        <f>HYPERLINK("http://www.ncbi.nlm.nih.gov/protein/169646306","Strip1")</f>
        <v>Strip1</v>
      </c>
      <c r="D7275" s="10">
        <f t="shared" si="113"/>
        <v>3.7162768989752779</v>
      </c>
      <c r="F7275" s="8" t="str">
        <f>HYPERLINK("https://esbl.nhlbi.nih.gov/Databases/mpkFractions/proteomic_fractions_log_files/Yang_log_img/169646306.jpg","show blot")</f>
        <v>show blot</v>
      </c>
      <c r="H7275" s="8" t="str">
        <f>HYPERLINK("https://esbl.nhlbi.nih.gov/Databases/mpkFractions/proteomic_fractions_linear_files/Yang_linear_img/169646306.jpg","show blot")</f>
        <v>show blot</v>
      </c>
      <c r="J7275" s="5" t="s">
        <v>14314</v>
      </c>
      <c r="L7275" s="11">
        <v>3.7162768989752779</v>
      </c>
      <c r="N7275" s="12"/>
    </row>
    <row r="7276" spans="1:14" s="5" customFormat="1" ht="15" customHeight="1" x14ac:dyDescent="0.25">
      <c r="A7276" s="9" t="s">
        <v>14315</v>
      </c>
      <c r="C7276" s="9" t="str">
        <f>HYPERLINK("http://www.ncbi.nlm.nih.gov/protein/83627724","Strip2")</f>
        <v>Strip2</v>
      </c>
      <c r="D7276" s="10">
        <f t="shared" si="113"/>
        <v>3.7175219502660952</v>
      </c>
      <c r="F7276" s="8" t="str">
        <f>HYPERLINK("https://esbl.nhlbi.nih.gov/Databases/mpkFractions/proteomic_fractions_log_files/Yang_log_img/83627724.jpg","show blot")</f>
        <v>show blot</v>
      </c>
      <c r="H7276" s="8" t="str">
        <f>HYPERLINK("https://esbl.nhlbi.nih.gov/Databases/mpkFractions/proteomic_fractions_linear_files/Yang_linear_img/83627724.jpg","show blot")</f>
        <v>show blot</v>
      </c>
      <c r="J7276" s="5" t="s">
        <v>14316</v>
      </c>
      <c r="L7276" s="11">
        <v>3.7175219502660952</v>
      </c>
      <c r="N7276" s="12"/>
    </row>
    <row r="7277" spans="1:14" s="5" customFormat="1" ht="15" customHeight="1" x14ac:dyDescent="0.25">
      <c r="A7277" s="9" t="s">
        <v>14317</v>
      </c>
      <c r="C7277" s="9" t="str">
        <f>HYPERLINK("http://www.ncbi.nlm.nih.gov/protein/83627727","Strip2")</f>
        <v>Strip2</v>
      </c>
      <c r="D7277" s="10">
        <f t="shared" si="113"/>
        <v>3.7175219502660952</v>
      </c>
      <c r="F7277" s="8" t="str">
        <f>HYPERLINK("https://esbl.nhlbi.nih.gov/Databases/mpkFractions/proteomic_fractions_log_files/Yang_log_img/83627727.jpg","show blot")</f>
        <v>show blot</v>
      </c>
      <c r="H7277" s="8" t="str">
        <f>HYPERLINK("https://esbl.nhlbi.nih.gov/Databases/mpkFractions/proteomic_fractions_linear_files/Yang_linear_img/83627727.jpg","show blot")</f>
        <v>show blot</v>
      </c>
      <c r="J7277" s="5" t="s">
        <v>14318</v>
      </c>
      <c r="L7277" s="11">
        <v>3.7175219502660952</v>
      </c>
      <c r="N7277" s="12"/>
    </row>
    <row r="7278" spans="1:14" s="5" customFormat="1" ht="15" customHeight="1" x14ac:dyDescent="0.25">
      <c r="A7278" s="9" t="s">
        <v>14319</v>
      </c>
      <c r="C7278" s="9" t="str">
        <f>HYPERLINK("http://www.ncbi.nlm.nih.gov/protein/61098078","Strn")</f>
        <v>Strn</v>
      </c>
      <c r="D7278" s="10">
        <f t="shared" si="113"/>
        <v>4.147661536820884</v>
      </c>
      <c r="F7278" s="8" t="str">
        <f>HYPERLINK("https://esbl.nhlbi.nih.gov/Databases/mpkFractions/proteomic_fractions_log_files/Yang_log_img/61098078.jpg","show blot")</f>
        <v>show blot</v>
      </c>
      <c r="H7278" s="8" t="str">
        <f>HYPERLINK("https://esbl.nhlbi.nih.gov/Databases/mpkFractions/proteomic_fractions_linear_files/Yang_linear_img/61098078.jpg","show blot")</f>
        <v>show blot</v>
      </c>
      <c r="J7278" s="5" t="s">
        <v>14320</v>
      </c>
      <c r="L7278" s="11">
        <v>4.147661536820884</v>
      </c>
      <c r="N7278" s="12"/>
    </row>
    <row r="7279" spans="1:14" s="5" customFormat="1" ht="15" customHeight="1" x14ac:dyDescent="0.25">
      <c r="A7279" s="9" t="s">
        <v>14321</v>
      </c>
      <c r="C7279" s="9" t="str">
        <f>HYPERLINK("http://www.ncbi.nlm.nih.gov/protein/16418469","Strn3")</f>
        <v>Strn3</v>
      </c>
      <c r="D7279" s="10">
        <f t="shared" si="113"/>
        <v>4.6122092859886532</v>
      </c>
      <c r="F7279" s="8" t="str">
        <f>HYPERLINK("https://esbl.nhlbi.nih.gov/Databases/mpkFractions/proteomic_fractions_log_files/Yang_log_img/16418469.jpg","show blot")</f>
        <v>show blot</v>
      </c>
      <c r="H7279" s="8" t="str">
        <f>HYPERLINK("https://esbl.nhlbi.nih.gov/Databases/mpkFractions/proteomic_fractions_linear_files/Yang_linear_img/16418469.jpg","show blot")</f>
        <v>show blot</v>
      </c>
      <c r="J7279" s="5" t="s">
        <v>14322</v>
      </c>
      <c r="L7279" s="11">
        <v>4.6122092859886532</v>
      </c>
      <c r="N7279" s="12"/>
    </row>
    <row r="7280" spans="1:14" s="5" customFormat="1" ht="15" customHeight="1" x14ac:dyDescent="0.25">
      <c r="A7280" s="9" t="s">
        <v>14323</v>
      </c>
      <c r="C7280" s="9" t="str">
        <f>HYPERLINK("http://www.ncbi.nlm.nih.gov/protein/285402377","Strn3")</f>
        <v>Strn3</v>
      </c>
      <c r="D7280" s="10">
        <f t="shared" si="113"/>
        <v>4.6122092859886532</v>
      </c>
      <c r="F7280" s="8" t="str">
        <f>HYPERLINK("https://esbl.nhlbi.nih.gov/Databases/mpkFractions/proteomic_fractions_log_files/Yang_log_img/285402377.jpg","show blot")</f>
        <v>show blot</v>
      </c>
      <c r="H7280" s="8" t="str">
        <f>HYPERLINK("https://esbl.nhlbi.nih.gov/Databases/mpkFractions/proteomic_fractions_linear_files/Yang_linear_img/285402377.jpg","show blot")</f>
        <v>show blot</v>
      </c>
      <c r="J7280" s="5" t="s">
        <v>14324</v>
      </c>
      <c r="L7280" s="11">
        <v>4.6122092859886532</v>
      </c>
      <c r="N7280" s="12"/>
    </row>
    <row r="7281" spans="1:14" s="5" customFormat="1" ht="15" customHeight="1" x14ac:dyDescent="0.25">
      <c r="A7281" s="9" t="s">
        <v>14325</v>
      </c>
      <c r="C7281" s="9" t="str">
        <f>HYPERLINK("http://www.ncbi.nlm.nih.gov/protein/89886482","Strn4")</f>
        <v>Strn4</v>
      </c>
      <c r="D7281" s="10">
        <f t="shared" si="113"/>
        <v>3.2405211290973042</v>
      </c>
      <c r="F7281" s="8" t="str">
        <f>HYPERLINK("https://esbl.nhlbi.nih.gov/Databases/mpkFractions/proteomic_fractions_log_files/Yang_log_img/89886482.jpg","show blot")</f>
        <v>show blot</v>
      </c>
      <c r="H7281" s="8" t="str">
        <f>HYPERLINK("https://esbl.nhlbi.nih.gov/Databases/mpkFractions/proteomic_fractions_linear_files/Yang_linear_img/89886482.jpg","show blot")</f>
        <v>show blot</v>
      </c>
      <c r="J7281" s="5" t="s">
        <v>14326</v>
      </c>
      <c r="L7281" s="11">
        <v>3.2405211290973042</v>
      </c>
      <c r="N7281" s="12"/>
    </row>
    <row r="7282" spans="1:14" s="5" customFormat="1" ht="15" customHeight="1" x14ac:dyDescent="0.25">
      <c r="A7282" s="9" t="s">
        <v>14327</v>
      </c>
      <c r="C7282" s="9" t="str">
        <f>HYPERLINK("http://www.ncbi.nlm.nih.gov/protein/89886486","Strn4")</f>
        <v>Strn4</v>
      </c>
      <c r="D7282" s="10">
        <f t="shared" si="113"/>
        <v>3.2405211290973042</v>
      </c>
      <c r="F7282" s="8" t="str">
        <f>HYPERLINK("https://esbl.nhlbi.nih.gov/Databases/mpkFractions/proteomic_fractions_log_files/Yang_log_img/89886486.jpg","show blot")</f>
        <v>show blot</v>
      </c>
      <c r="H7282" s="8" t="str">
        <f>HYPERLINK("https://esbl.nhlbi.nih.gov/Databases/mpkFractions/proteomic_fractions_linear_files/Yang_linear_img/89886486.jpg","show blot")</f>
        <v>show blot</v>
      </c>
      <c r="J7282" s="5" t="s">
        <v>14328</v>
      </c>
      <c r="L7282" s="11">
        <v>3.2405211290973042</v>
      </c>
      <c r="N7282" s="12"/>
    </row>
    <row r="7283" spans="1:14" s="5" customFormat="1" ht="15" customHeight="1" x14ac:dyDescent="0.25">
      <c r="A7283" s="9" t="s">
        <v>14329</v>
      </c>
      <c r="C7283" s="9" t="str">
        <f>HYPERLINK("http://www.ncbi.nlm.nih.gov/protein/148747128","Stt3a")</f>
        <v>Stt3a</v>
      </c>
      <c r="D7283" s="10">
        <f t="shared" si="113"/>
        <v>4.8220706120309202</v>
      </c>
      <c r="F7283" s="8" t="str">
        <f>HYPERLINK("https://esbl.nhlbi.nih.gov/Databases/mpkFractions/proteomic_fractions_log_files/Yang_log_img/148747128.jpg","show blot")</f>
        <v>show blot</v>
      </c>
      <c r="H7283" s="8" t="str">
        <f>HYPERLINK("https://esbl.nhlbi.nih.gov/Databases/mpkFractions/proteomic_fractions_linear_files/Yang_linear_img/148747128.jpg","show blot")</f>
        <v>show blot</v>
      </c>
      <c r="J7283" s="5" t="s">
        <v>14330</v>
      </c>
      <c r="L7283" s="11">
        <v>4.8220706120309202</v>
      </c>
      <c r="N7283" s="12"/>
    </row>
    <row r="7284" spans="1:14" s="5" customFormat="1" ht="15" customHeight="1" x14ac:dyDescent="0.25">
      <c r="A7284" s="9" t="s">
        <v>14331</v>
      </c>
      <c r="C7284" s="9" t="str">
        <f>HYPERLINK("http://www.ncbi.nlm.nih.gov/protein/61651673","Stt3b")</f>
        <v>Stt3b</v>
      </c>
      <c r="D7284" s="10">
        <f t="shared" si="113"/>
        <v>4.2337267755001884</v>
      </c>
      <c r="F7284" s="8" t="str">
        <f>HYPERLINK("https://esbl.nhlbi.nih.gov/Databases/mpkFractions/proteomic_fractions_log_files/Yang_log_img/61651673.jpg","show blot")</f>
        <v>show blot</v>
      </c>
      <c r="H7284" s="8" t="str">
        <f>HYPERLINK("https://esbl.nhlbi.nih.gov/Databases/mpkFractions/proteomic_fractions_linear_files/Yang_linear_img/61651673.jpg","show blot")</f>
        <v>show blot</v>
      </c>
      <c r="J7284" s="5" t="s">
        <v>14332</v>
      </c>
      <c r="L7284" s="11">
        <v>4.2337267755001884</v>
      </c>
      <c r="N7284" s="12"/>
    </row>
    <row r="7285" spans="1:14" s="5" customFormat="1" ht="15" customHeight="1" x14ac:dyDescent="0.25">
      <c r="A7285" s="9" t="s">
        <v>14333</v>
      </c>
      <c r="C7285" s="9" t="str">
        <f>HYPERLINK("http://www.ncbi.nlm.nih.gov/protein/9789907","Stub1")</f>
        <v>Stub1</v>
      </c>
      <c r="D7285" s="10">
        <f t="shared" si="113"/>
        <v>5.5575288718094678</v>
      </c>
      <c r="F7285" s="8" t="str">
        <f>HYPERLINK("https://esbl.nhlbi.nih.gov/Databases/mpkFractions/proteomic_fractions_log_files/Yang_log_img/9789907.jpg","show blot")</f>
        <v>show blot</v>
      </c>
      <c r="H7285" s="8" t="str">
        <f>HYPERLINK("https://esbl.nhlbi.nih.gov/Databases/mpkFractions/proteomic_fractions_linear_files/Yang_linear_img/9789907.jpg","show blot")</f>
        <v>show blot</v>
      </c>
      <c r="J7285" s="5" t="s">
        <v>14334</v>
      </c>
      <c r="L7285" s="11">
        <v>5.5575288718094678</v>
      </c>
      <c r="N7285" s="12"/>
    </row>
    <row r="7286" spans="1:14" s="5" customFormat="1" ht="15" customHeight="1" x14ac:dyDescent="0.25">
      <c r="A7286" s="9" t="s">
        <v>14335</v>
      </c>
      <c r="C7286" s="9" t="str">
        <f>HYPERLINK("http://www.ncbi.nlm.nih.gov/protein/19527102","Stx12")</f>
        <v>Stx12</v>
      </c>
      <c r="D7286" s="10">
        <f t="shared" si="113"/>
        <v>5.1739012034846512</v>
      </c>
      <c r="F7286" s="8" t="str">
        <f>HYPERLINK("https://esbl.nhlbi.nih.gov/Databases/mpkFractions/proteomic_fractions_log_files/Yang_log_img/19527102.jpg","show blot")</f>
        <v>show blot</v>
      </c>
      <c r="H7286" s="8" t="str">
        <f>HYPERLINK("https://esbl.nhlbi.nih.gov/Databases/mpkFractions/proteomic_fractions_linear_files/Yang_linear_img/19527102.jpg","show blot")</f>
        <v>show blot</v>
      </c>
      <c r="J7286" s="5" t="s">
        <v>14336</v>
      </c>
      <c r="L7286" s="11">
        <v>5.1739012034846512</v>
      </c>
      <c r="N7286" s="12"/>
    </row>
    <row r="7287" spans="1:14" s="5" customFormat="1" ht="15" customHeight="1" x14ac:dyDescent="0.25">
      <c r="A7287" s="9" t="s">
        <v>14337</v>
      </c>
      <c r="C7287" s="9" t="str">
        <f>HYPERLINK("http://www.ncbi.nlm.nih.gov/protein/156231057","Stx16")</f>
        <v>Stx16</v>
      </c>
      <c r="D7287" s="10">
        <f t="shared" si="113"/>
        <v>4.2324791374928834</v>
      </c>
      <c r="F7287" s="8" t="str">
        <f>HYPERLINK("https://esbl.nhlbi.nih.gov/Databases/mpkFractions/proteomic_fractions_log_files/Yang_log_img/156231057.jpg","show blot")</f>
        <v>show blot</v>
      </c>
      <c r="H7287" s="8" t="str">
        <f>HYPERLINK("https://esbl.nhlbi.nih.gov/Databases/mpkFractions/proteomic_fractions_linear_files/Yang_linear_img/156231057.jpg","show blot")</f>
        <v>show blot</v>
      </c>
      <c r="J7287" s="5" t="s">
        <v>14338</v>
      </c>
      <c r="L7287" s="11">
        <v>4.2324791374928834</v>
      </c>
      <c r="N7287" s="12"/>
    </row>
    <row r="7288" spans="1:14" s="5" customFormat="1" ht="15" customHeight="1" x14ac:dyDescent="0.25">
      <c r="A7288" s="9" t="s">
        <v>14339</v>
      </c>
      <c r="C7288" s="9" t="str">
        <f>HYPERLINK("http://www.ncbi.nlm.nih.gov/protein/156231059","Stx16")</f>
        <v>Stx16</v>
      </c>
      <c r="D7288" s="10">
        <f t="shared" si="113"/>
        <v>4.2324791374928834</v>
      </c>
      <c r="F7288" s="8" t="str">
        <f>HYPERLINK("https://esbl.nhlbi.nih.gov/Databases/mpkFractions/proteomic_fractions_log_files/Yang_log_img/156231059.jpg","show blot")</f>
        <v>show blot</v>
      </c>
      <c r="H7288" s="8" t="str">
        <f>HYPERLINK("https://esbl.nhlbi.nih.gov/Databases/mpkFractions/proteomic_fractions_linear_files/Yang_linear_img/156231059.jpg","show blot")</f>
        <v>show blot</v>
      </c>
      <c r="J7288" s="5" t="s">
        <v>14340</v>
      </c>
      <c r="L7288" s="11">
        <v>4.2324791374928834</v>
      </c>
      <c r="N7288" s="12"/>
    </row>
    <row r="7289" spans="1:14" s="5" customFormat="1" ht="15" customHeight="1" x14ac:dyDescent="0.25">
      <c r="A7289" s="9" t="s">
        <v>14341</v>
      </c>
      <c r="C7289" s="9" t="str">
        <f>HYPERLINK("http://www.ncbi.nlm.nih.gov/protein/156231061","Stx16")</f>
        <v>Stx16</v>
      </c>
      <c r="D7289" s="10">
        <f t="shared" si="113"/>
        <v>4.2324791374928834</v>
      </c>
      <c r="F7289" s="8" t="str">
        <f>HYPERLINK("https://esbl.nhlbi.nih.gov/Databases/mpkFractions/proteomic_fractions_log_files/Yang_log_img/156231061.jpg","show blot")</f>
        <v>show blot</v>
      </c>
      <c r="H7289" s="8" t="str">
        <f>HYPERLINK("https://esbl.nhlbi.nih.gov/Databases/mpkFractions/proteomic_fractions_linear_files/Yang_linear_img/156231061.jpg","show blot")</f>
        <v>show blot</v>
      </c>
      <c r="J7289" s="5" t="s">
        <v>14342</v>
      </c>
      <c r="L7289" s="11">
        <v>4.2324791374928834</v>
      </c>
      <c r="N7289" s="12"/>
    </row>
    <row r="7290" spans="1:14" s="5" customFormat="1" ht="15" customHeight="1" x14ac:dyDescent="0.25">
      <c r="A7290" s="9" t="s">
        <v>14343</v>
      </c>
      <c r="C7290" s="9" t="str">
        <f>HYPERLINK("http://www.ncbi.nlm.nih.gov/protein/156231063","Stx16")</f>
        <v>Stx16</v>
      </c>
      <c r="D7290" s="10">
        <f t="shared" si="113"/>
        <v>4.2324791374928834</v>
      </c>
      <c r="F7290" s="8" t="str">
        <f>HYPERLINK("https://esbl.nhlbi.nih.gov/Databases/mpkFractions/proteomic_fractions_log_files/Yang_log_img/156231063.jpg","show blot")</f>
        <v>show blot</v>
      </c>
      <c r="H7290" s="8" t="str">
        <f>HYPERLINK("https://esbl.nhlbi.nih.gov/Databases/mpkFractions/proteomic_fractions_linear_files/Yang_linear_img/156231063.jpg","show blot")</f>
        <v>show blot</v>
      </c>
      <c r="J7290" s="5" t="s">
        <v>14344</v>
      </c>
      <c r="L7290" s="11">
        <v>4.2324791374928834</v>
      </c>
      <c r="N7290" s="12"/>
    </row>
    <row r="7291" spans="1:14" s="5" customFormat="1" ht="15" customHeight="1" x14ac:dyDescent="0.25">
      <c r="A7291" s="9" t="s">
        <v>14345</v>
      </c>
      <c r="C7291" s="9" t="str">
        <f>HYPERLINK("http://www.ncbi.nlm.nih.gov/protein/84579893","Stx17")</f>
        <v>Stx17</v>
      </c>
      <c r="D7291" s="10">
        <f t="shared" si="113"/>
        <v>3.1055687198086641</v>
      </c>
      <c r="F7291" s="8" t="str">
        <f>HYPERLINK("https://esbl.nhlbi.nih.gov/Databases/mpkFractions/proteomic_fractions_log_files/Yang_log_img/84579893.jpg","show blot")</f>
        <v>show blot</v>
      </c>
      <c r="H7291" s="8" t="str">
        <f>HYPERLINK("https://esbl.nhlbi.nih.gov/Databases/mpkFractions/proteomic_fractions_linear_files/Yang_linear_img/84579893.jpg","show blot")</f>
        <v>show blot</v>
      </c>
      <c r="J7291" s="5" t="s">
        <v>14346</v>
      </c>
      <c r="L7291" s="11">
        <v>3.1055687198086641</v>
      </c>
      <c r="N7291" s="12"/>
    </row>
    <row r="7292" spans="1:14" s="5" customFormat="1" ht="15" customHeight="1" x14ac:dyDescent="0.25">
      <c r="A7292" s="9" t="s">
        <v>14347</v>
      </c>
      <c r="C7292" s="9" t="str">
        <f>HYPERLINK("http://www.ncbi.nlm.nih.gov/protein/77736535","Stx18")</f>
        <v>Stx18</v>
      </c>
      <c r="D7292" s="10">
        <f t="shared" si="113"/>
        <v>2.308345492480552</v>
      </c>
      <c r="F7292" s="8" t="str">
        <f>HYPERLINK("https://esbl.nhlbi.nih.gov/Databases/mpkFractions/proteomic_fractions_log_files/Yang_log_img/77736535.jpg","show blot")</f>
        <v>show blot</v>
      </c>
      <c r="H7292" s="8" t="str">
        <f>HYPERLINK("https://esbl.nhlbi.nih.gov/Databases/mpkFractions/proteomic_fractions_linear_files/Yang_linear_img/77736535.jpg","show blot")</f>
        <v>show blot</v>
      </c>
      <c r="J7292" s="5" t="s">
        <v>14348</v>
      </c>
      <c r="L7292" s="11">
        <v>2.308345492480552</v>
      </c>
      <c r="N7292" s="12"/>
    </row>
    <row r="7293" spans="1:14" s="5" customFormat="1" ht="15" customHeight="1" x14ac:dyDescent="0.25">
      <c r="A7293" s="9" t="s">
        <v>14349</v>
      </c>
      <c r="C7293" s="9" t="str">
        <f>HYPERLINK("http://www.ncbi.nlm.nih.gov/protein/22726207","Stx3")</f>
        <v>Stx3</v>
      </c>
      <c r="D7293" s="10">
        <f t="shared" si="113"/>
        <v>4.5535193134249434</v>
      </c>
      <c r="F7293" s="8" t="str">
        <f>HYPERLINK("https://esbl.nhlbi.nih.gov/Databases/mpkFractions/proteomic_fractions_log_files/Yang_log_img/22726207.jpg","show blot")</f>
        <v>show blot</v>
      </c>
      <c r="H7293" s="8" t="str">
        <f>HYPERLINK("https://esbl.nhlbi.nih.gov/Databases/mpkFractions/proteomic_fractions_linear_files/Yang_linear_img/22726207.jpg","show blot")</f>
        <v>show blot</v>
      </c>
      <c r="J7293" s="5" t="s">
        <v>14350</v>
      </c>
      <c r="L7293" s="11">
        <v>4.5535193134249434</v>
      </c>
      <c r="N7293" s="12"/>
    </row>
    <row r="7294" spans="1:14" s="5" customFormat="1" ht="15" customHeight="1" x14ac:dyDescent="0.25">
      <c r="A7294" s="9" t="s">
        <v>14351</v>
      </c>
      <c r="C7294" s="9" t="str">
        <f>HYPERLINK("http://www.ncbi.nlm.nih.gov/protein/70778802","Stx3")</f>
        <v>Stx3</v>
      </c>
      <c r="D7294" s="10">
        <f t="shared" si="113"/>
        <v>4.5535193134249434</v>
      </c>
      <c r="F7294" s="8" t="str">
        <f>HYPERLINK("https://esbl.nhlbi.nih.gov/Databases/mpkFractions/proteomic_fractions_log_files/Yang_log_img/70778802.jpg","show blot")</f>
        <v>show blot</v>
      </c>
      <c r="H7294" s="8" t="str">
        <f>HYPERLINK("https://esbl.nhlbi.nih.gov/Databases/mpkFractions/proteomic_fractions_linear_files/Yang_linear_img/70778802.jpg","show blot")</f>
        <v>show blot</v>
      </c>
      <c r="J7294" s="5" t="s">
        <v>14352</v>
      </c>
      <c r="L7294" s="11">
        <v>4.5535193134249434</v>
      </c>
      <c r="N7294" s="12"/>
    </row>
    <row r="7295" spans="1:14" s="5" customFormat="1" ht="15" customHeight="1" x14ac:dyDescent="0.25">
      <c r="A7295" s="9" t="s">
        <v>14353</v>
      </c>
      <c r="C7295" s="9" t="str">
        <f>HYPERLINK("http://www.ncbi.nlm.nih.gov/protein/70778911","Stx3")</f>
        <v>Stx3</v>
      </c>
      <c r="D7295" s="10">
        <f t="shared" si="113"/>
        <v>4.5535193134249434</v>
      </c>
      <c r="F7295" s="8" t="str">
        <f>HYPERLINK("https://esbl.nhlbi.nih.gov/Databases/mpkFractions/proteomic_fractions_log_files/Yang_log_img/70778911.jpg","show blot")</f>
        <v>show blot</v>
      </c>
      <c r="H7295" s="8" t="str">
        <f>HYPERLINK("https://esbl.nhlbi.nih.gov/Databases/mpkFractions/proteomic_fractions_linear_files/Yang_linear_img/70778911.jpg","show blot")</f>
        <v>show blot</v>
      </c>
      <c r="J7295" s="5" t="s">
        <v>14354</v>
      </c>
      <c r="L7295" s="11">
        <v>4.5535193134249434</v>
      </c>
      <c r="N7295" s="12"/>
    </row>
    <row r="7296" spans="1:14" s="5" customFormat="1" ht="15" customHeight="1" x14ac:dyDescent="0.25">
      <c r="A7296" s="9" t="s">
        <v>14355</v>
      </c>
      <c r="C7296" s="9" t="str">
        <f>HYPERLINK("http://www.ncbi.nlm.nih.gov/protein/6678177","Stx4a")</f>
        <v>Stx4a</v>
      </c>
      <c r="D7296" s="10">
        <f t="shared" si="113"/>
        <v>4.9656112724841632</v>
      </c>
      <c r="F7296" s="8" t="str">
        <f>HYPERLINK("https://esbl.nhlbi.nih.gov/Databases/mpkFractions/proteomic_fractions_log_files/Yang_log_img/6678177.jpg","show blot")</f>
        <v>show blot</v>
      </c>
      <c r="H7296" s="8" t="str">
        <f>HYPERLINK("https://esbl.nhlbi.nih.gov/Databases/mpkFractions/proteomic_fractions_linear_files/Yang_linear_img/6678177.jpg","show blot")</f>
        <v>show blot</v>
      </c>
      <c r="J7296" s="5" t="s">
        <v>14356</v>
      </c>
      <c r="L7296" s="11">
        <v>4.9656112724841632</v>
      </c>
      <c r="N7296" s="12"/>
    </row>
    <row r="7297" spans="1:14" s="5" customFormat="1" ht="15" customHeight="1" x14ac:dyDescent="0.25">
      <c r="A7297" s="9" t="s">
        <v>14357</v>
      </c>
      <c r="C7297" s="9" t="str">
        <f>HYPERLINK("http://www.ncbi.nlm.nih.gov/protein/268370185;268370181","Stx5a")</f>
        <v>Stx5a</v>
      </c>
      <c r="D7297" s="10">
        <f t="shared" si="113"/>
        <v>4.2840459584292621</v>
      </c>
      <c r="F7297" s="8" t="str">
        <f>HYPERLINK("https://esbl.nhlbi.nih.gov/Databases/mpkFractions/proteomic_fractions_log_files/Yang_log_img/268370185;268370181.jpg","show blot")</f>
        <v>show blot</v>
      </c>
      <c r="H7297" s="8" t="str">
        <f>HYPERLINK("https://esbl.nhlbi.nih.gov/Databases/mpkFractions/proteomic_fractions_linear_files/Yang_linear_img/268370185;268370181.jpg","show blot")</f>
        <v>show blot</v>
      </c>
      <c r="J7297" s="5" t="s">
        <v>14358</v>
      </c>
      <c r="L7297" s="11">
        <v>4.2840459584292621</v>
      </c>
      <c r="N7297" s="12"/>
    </row>
    <row r="7298" spans="1:14" s="5" customFormat="1" ht="15" customHeight="1" x14ac:dyDescent="0.25">
      <c r="A7298" s="9" t="s">
        <v>14359</v>
      </c>
      <c r="C7298" s="9" t="str">
        <f>HYPERLINK("http://www.ncbi.nlm.nih.gov/protein/268370181;268370185","Stx5a")</f>
        <v>Stx5a</v>
      </c>
      <c r="D7298" s="10">
        <f t="shared" si="113"/>
        <v>4.2840459584292621</v>
      </c>
      <c r="F7298" s="8" t="str">
        <f>HYPERLINK("https://esbl.nhlbi.nih.gov/Databases/mpkFractions/proteomic_fractions_log_files/Yang_log_img/268370181;268370185.jpg","show blot")</f>
        <v>show blot</v>
      </c>
      <c r="H7298" s="8" t="str">
        <f>HYPERLINK("https://esbl.nhlbi.nih.gov/Databases/mpkFractions/proteomic_fractions_linear_files/Yang_linear_img/268370181;268370185.jpg","show blot")</f>
        <v>show blot</v>
      </c>
      <c r="J7298" s="5" t="s">
        <v>14358</v>
      </c>
      <c r="L7298" s="11">
        <v>4.2840459584292621</v>
      </c>
      <c r="N7298" s="12"/>
    </row>
    <row r="7299" spans="1:14" s="5" customFormat="1" ht="15" customHeight="1" x14ac:dyDescent="0.25">
      <c r="A7299" s="9" t="s">
        <v>14360</v>
      </c>
      <c r="C7299" s="9" t="str">
        <f>HYPERLINK("http://www.ncbi.nlm.nih.gov/protein/10946800","Stx6")</f>
        <v>Stx6</v>
      </c>
      <c r="D7299" s="10">
        <f t="shared" si="113"/>
        <v>4.5783963442435338</v>
      </c>
      <c r="F7299" s="8" t="str">
        <f>HYPERLINK("https://esbl.nhlbi.nih.gov/Databases/mpkFractions/proteomic_fractions_log_files/Yang_log_img/10946800.jpg","show blot")</f>
        <v>show blot</v>
      </c>
      <c r="H7299" s="8" t="str">
        <f>HYPERLINK("https://esbl.nhlbi.nih.gov/Databases/mpkFractions/proteomic_fractions_linear_files/Yang_linear_img/10946800.jpg","show blot")</f>
        <v>show blot</v>
      </c>
      <c r="J7299" s="5" t="s">
        <v>14361</v>
      </c>
      <c r="L7299" s="11">
        <v>4.5783963442435338</v>
      </c>
      <c r="N7299" s="12"/>
    </row>
    <row r="7300" spans="1:14" s="5" customFormat="1" ht="15" customHeight="1" x14ac:dyDescent="0.25">
      <c r="A7300" s="9" t="s">
        <v>14362</v>
      </c>
      <c r="C7300" s="9" t="str">
        <f>HYPERLINK("http://www.ncbi.nlm.nih.gov/protein/31560462","Stx7")</f>
        <v>Stx7</v>
      </c>
      <c r="D7300" s="10">
        <f t="shared" si="113"/>
        <v>5.7417843963277972</v>
      </c>
      <c r="F7300" s="8" t="str">
        <f>HYPERLINK("https://esbl.nhlbi.nih.gov/Databases/mpkFractions/proteomic_fractions_log_files/Yang_log_img/31560462.jpg","show blot")</f>
        <v>show blot</v>
      </c>
      <c r="H7300" s="8" t="str">
        <f>HYPERLINK("https://esbl.nhlbi.nih.gov/Databases/mpkFractions/proteomic_fractions_linear_files/Yang_linear_img/31560462.jpg","show blot")</f>
        <v>show blot</v>
      </c>
      <c r="J7300" s="5" t="s">
        <v>14363</v>
      </c>
      <c r="L7300" s="11">
        <v>5.7417843963277972</v>
      </c>
      <c r="N7300" s="12"/>
    </row>
    <row r="7301" spans="1:14" s="5" customFormat="1" ht="15" customHeight="1" x14ac:dyDescent="0.25">
      <c r="A7301" s="9" t="s">
        <v>14364</v>
      </c>
      <c r="C7301" s="9" t="str">
        <f>HYPERLINK("http://www.ncbi.nlm.nih.gov/protein/9055356","Stx8")</f>
        <v>Stx8</v>
      </c>
      <c r="D7301" s="10">
        <f t="shared" ref="D7301:D7364" si="114">L7301</f>
        <v>4.1784782105177722</v>
      </c>
      <c r="F7301" s="8" t="str">
        <f>HYPERLINK("https://esbl.nhlbi.nih.gov/Databases/mpkFractions/proteomic_fractions_log_files/Yang_log_img/9055356.jpg","show blot")</f>
        <v>show blot</v>
      </c>
      <c r="H7301" s="8" t="str">
        <f>HYPERLINK("https://esbl.nhlbi.nih.gov/Databases/mpkFractions/proteomic_fractions_linear_files/Yang_linear_img/9055356.jpg","show blot")</f>
        <v>show blot</v>
      </c>
      <c r="J7301" s="5" t="s">
        <v>14365</v>
      </c>
      <c r="L7301" s="11">
        <v>4.1784782105177722</v>
      </c>
      <c r="N7301" s="12"/>
    </row>
    <row r="7302" spans="1:14" s="5" customFormat="1" ht="15" customHeight="1" x14ac:dyDescent="0.25">
      <c r="A7302" s="9" t="s">
        <v>14366</v>
      </c>
      <c r="C7302" s="9" t="str">
        <f>HYPERLINK("http://www.ncbi.nlm.nih.gov/protein/165972305","Stxbp1")</f>
        <v>Stxbp1</v>
      </c>
      <c r="D7302" s="10">
        <f t="shared" si="114"/>
        <v>3.1921028744045312</v>
      </c>
      <c r="F7302" s="8" t="str">
        <f>HYPERLINK("https://esbl.nhlbi.nih.gov/Databases/mpkFractions/proteomic_fractions_log_files/Yang_log_img/165972305.jpg","show blot")</f>
        <v>show blot</v>
      </c>
      <c r="H7302" s="8" t="str">
        <f>HYPERLINK("https://esbl.nhlbi.nih.gov/Databases/mpkFractions/proteomic_fractions_linear_files/Yang_linear_img/165972305.jpg","show blot")</f>
        <v>show blot</v>
      </c>
      <c r="J7302" s="5" t="s">
        <v>14367</v>
      </c>
      <c r="L7302" s="11">
        <v>3.1921028744045312</v>
      </c>
      <c r="N7302" s="12"/>
    </row>
    <row r="7303" spans="1:14" s="5" customFormat="1" ht="15" customHeight="1" x14ac:dyDescent="0.25">
      <c r="A7303" s="9" t="s">
        <v>14368</v>
      </c>
      <c r="C7303" s="9" t="str">
        <f>HYPERLINK("http://www.ncbi.nlm.nih.gov/protein/165972307","Stxbp1")</f>
        <v>Stxbp1</v>
      </c>
      <c r="D7303" s="10">
        <f t="shared" si="114"/>
        <v>3.1921028744045312</v>
      </c>
      <c r="F7303" s="8" t="str">
        <f>HYPERLINK("https://esbl.nhlbi.nih.gov/Databases/mpkFractions/proteomic_fractions_log_files/Yang_log_img/165972307.jpg","show blot")</f>
        <v>show blot</v>
      </c>
      <c r="H7303" s="8" t="str">
        <f>HYPERLINK("https://esbl.nhlbi.nih.gov/Databases/mpkFractions/proteomic_fractions_linear_files/Yang_linear_img/165972307.jpg","show blot")</f>
        <v>show blot</v>
      </c>
      <c r="J7303" s="5" t="s">
        <v>14369</v>
      </c>
      <c r="L7303" s="11">
        <v>3.1921028744045312</v>
      </c>
      <c r="N7303" s="12"/>
    </row>
    <row r="7304" spans="1:14" s="5" customFormat="1" ht="15" customHeight="1" x14ac:dyDescent="0.25">
      <c r="A7304" s="9" t="s">
        <v>14370</v>
      </c>
      <c r="C7304" s="9" t="str">
        <f>HYPERLINK("http://www.ncbi.nlm.nih.gov/protein/6755688","Stxbp2")</f>
        <v>Stxbp2</v>
      </c>
      <c r="D7304" s="10">
        <f t="shared" si="114"/>
        <v>5.0912982257940449</v>
      </c>
      <c r="F7304" s="8" t="str">
        <f>HYPERLINK("https://esbl.nhlbi.nih.gov/Databases/mpkFractions/proteomic_fractions_log_files/Yang_log_img/6755688.jpg","show blot")</f>
        <v>show blot</v>
      </c>
      <c r="H7304" s="8" t="str">
        <f>HYPERLINK("https://esbl.nhlbi.nih.gov/Databases/mpkFractions/proteomic_fractions_linear_files/Yang_linear_img/6755688.jpg","show blot")</f>
        <v>show blot</v>
      </c>
      <c r="J7304" s="5" t="s">
        <v>14371</v>
      </c>
      <c r="L7304" s="11">
        <v>5.0912982257940449</v>
      </c>
      <c r="N7304" s="12"/>
    </row>
    <row r="7305" spans="1:14" s="5" customFormat="1" ht="15" customHeight="1" x14ac:dyDescent="0.25">
      <c r="A7305" s="9" t="s">
        <v>14372</v>
      </c>
      <c r="C7305" s="9" t="str">
        <f>HYPERLINK("http://www.ncbi.nlm.nih.gov/protein/6755690","Stxbp3a")</f>
        <v>Stxbp3a</v>
      </c>
      <c r="D7305" s="10">
        <f t="shared" si="114"/>
        <v>4.7757207990089361</v>
      </c>
      <c r="F7305" s="8" t="str">
        <f>HYPERLINK("https://esbl.nhlbi.nih.gov/Databases/mpkFractions/proteomic_fractions_log_files/Yang_log_img/6755690.jpg","show blot")</f>
        <v>show blot</v>
      </c>
      <c r="H7305" s="8" t="str">
        <f>HYPERLINK("https://esbl.nhlbi.nih.gov/Databases/mpkFractions/proteomic_fractions_linear_files/Yang_linear_img/6755690.jpg","show blot")</f>
        <v>show blot</v>
      </c>
      <c r="J7305" s="5" t="s">
        <v>14373</v>
      </c>
      <c r="L7305" s="11">
        <v>4.7757207990089361</v>
      </c>
      <c r="N7305" s="12"/>
    </row>
    <row r="7306" spans="1:14" s="5" customFormat="1" ht="15" customHeight="1" x14ac:dyDescent="0.25">
      <c r="A7306" s="9" t="s">
        <v>14374</v>
      </c>
      <c r="C7306" s="9" t="str">
        <f>HYPERLINK("http://www.ncbi.nlm.nih.gov/protein/6755692","Stxbp4")</f>
        <v>Stxbp4</v>
      </c>
      <c r="D7306" s="10">
        <f t="shared" si="114"/>
        <v>3.17698014470482</v>
      </c>
      <c r="F7306" s="8" t="str">
        <f>HYPERLINK("https://esbl.nhlbi.nih.gov/Databases/mpkFractions/proteomic_fractions_log_files/Yang_log_img/6755692.jpg","show blot")</f>
        <v>show blot</v>
      </c>
      <c r="H7306" s="8" t="str">
        <f>HYPERLINK("https://esbl.nhlbi.nih.gov/Databases/mpkFractions/proteomic_fractions_linear_files/Yang_linear_img/6755692.jpg","show blot")</f>
        <v>show blot</v>
      </c>
      <c r="J7306" s="5" t="s">
        <v>14375</v>
      </c>
      <c r="L7306" s="11">
        <v>3.17698014470482</v>
      </c>
      <c r="N7306" s="12"/>
    </row>
    <row r="7307" spans="1:14" s="5" customFormat="1" ht="15" customHeight="1" x14ac:dyDescent="0.25">
      <c r="A7307" s="9" t="s">
        <v>14376</v>
      </c>
      <c r="C7307" s="9" t="str">
        <f>HYPERLINK("http://www.ncbi.nlm.nih.gov/protein/158749547","Stxbp5")</f>
        <v>Stxbp5</v>
      </c>
      <c r="D7307" s="10">
        <f t="shared" si="114"/>
        <v>2.5386732467986279</v>
      </c>
      <c r="F7307" s="8" t="str">
        <f>HYPERLINK("https://esbl.nhlbi.nih.gov/Databases/mpkFractions/proteomic_fractions_log_files/Yang_log_img/158749547.jpg","show blot")</f>
        <v>show blot</v>
      </c>
      <c r="H7307" s="8" t="str">
        <f>HYPERLINK("https://esbl.nhlbi.nih.gov/Databases/mpkFractions/proteomic_fractions_linear_files/Yang_linear_img/158749547.jpg","show blot")</f>
        <v>show blot</v>
      </c>
      <c r="J7307" s="5" t="s">
        <v>14377</v>
      </c>
      <c r="L7307" s="11">
        <v>2.5386732467986279</v>
      </c>
      <c r="N7307" s="12"/>
    </row>
    <row r="7308" spans="1:14" s="5" customFormat="1" ht="15" customHeight="1" x14ac:dyDescent="0.25">
      <c r="A7308" s="9" t="s">
        <v>14378</v>
      </c>
      <c r="C7308" s="9" t="str">
        <f>HYPERLINK("http://www.ncbi.nlm.nih.gov/protein/308082030","Styxl1")</f>
        <v>Styxl1</v>
      </c>
      <c r="D7308" s="10">
        <f t="shared" si="114"/>
        <v>4.1611529566514571</v>
      </c>
      <c r="F7308" s="8" t="str">
        <f>HYPERLINK("https://esbl.nhlbi.nih.gov/Databases/mpkFractions/proteomic_fractions_log_files/Yang_log_img/308082030.jpg","show blot")</f>
        <v>show blot</v>
      </c>
      <c r="H7308" s="8" t="str">
        <f>HYPERLINK("https://esbl.nhlbi.nih.gov/Databases/mpkFractions/proteomic_fractions_linear_files/Yang_linear_img/308082030.jpg","show blot")</f>
        <v>show blot</v>
      </c>
      <c r="J7308" s="5" t="s">
        <v>14379</v>
      </c>
      <c r="L7308" s="11">
        <v>4.1611529566514571</v>
      </c>
      <c r="N7308" s="12"/>
    </row>
    <row r="7309" spans="1:14" s="5" customFormat="1" ht="15" customHeight="1" x14ac:dyDescent="0.25">
      <c r="A7309" s="9" t="s">
        <v>14380</v>
      </c>
      <c r="C7309" s="9" t="str">
        <f>HYPERLINK("http://www.ncbi.nlm.nih.gov/protein/6755364","Sub1")</f>
        <v>Sub1</v>
      </c>
      <c r="D7309" s="10">
        <f t="shared" si="114"/>
        <v>6.4738592630350187</v>
      </c>
      <c r="F7309" s="8" t="str">
        <f>HYPERLINK("https://esbl.nhlbi.nih.gov/Databases/mpkFractions/proteomic_fractions_log_files/Yang_log_img/6755364.jpg","show blot")</f>
        <v>show blot</v>
      </c>
      <c r="H7309" s="8" t="str">
        <f>HYPERLINK("https://esbl.nhlbi.nih.gov/Databases/mpkFractions/proteomic_fractions_linear_files/Yang_linear_img/6755364.jpg","show blot")</f>
        <v>show blot</v>
      </c>
      <c r="J7309" s="5" t="s">
        <v>14381</v>
      </c>
      <c r="L7309" s="11">
        <v>6.4738592630350187</v>
      </c>
      <c r="N7309" s="12"/>
    </row>
    <row r="7310" spans="1:14" s="5" customFormat="1" ht="15" customHeight="1" x14ac:dyDescent="0.25">
      <c r="A7310" s="9" t="s">
        <v>14382</v>
      </c>
      <c r="C7310" s="9" t="str">
        <f>HYPERLINK("http://www.ncbi.nlm.nih.gov/protein/46849708","Sucla2")</f>
        <v>Sucla2</v>
      </c>
      <c r="D7310" s="10">
        <f t="shared" si="114"/>
        <v>5.4754240230097997</v>
      </c>
      <c r="F7310" s="8" t="str">
        <f>HYPERLINK("https://esbl.nhlbi.nih.gov/Databases/mpkFractions/proteomic_fractions_log_files/Yang_log_img/46849708.jpg","show blot")</f>
        <v>show blot</v>
      </c>
      <c r="H7310" s="8" t="str">
        <f>HYPERLINK("https://esbl.nhlbi.nih.gov/Databases/mpkFractions/proteomic_fractions_linear_files/Yang_linear_img/46849708.jpg","show blot")</f>
        <v>show blot</v>
      </c>
      <c r="J7310" s="5" t="s">
        <v>14383</v>
      </c>
      <c r="L7310" s="11">
        <v>5.4754240230097997</v>
      </c>
      <c r="N7310" s="12"/>
    </row>
    <row r="7311" spans="1:14" s="5" customFormat="1" ht="15" customHeight="1" x14ac:dyDescent="0.25">
      <c r="A7311" s="9" t="s">
        <v>14384</v>
      </c>
      <c r="C7311" s="9" t="str">
        <f>HYPERLINK("http://www.ncbi.nlm.nih.gov/protein/255958286","Suclg1")</f>
        <v>Suclg1</v>
      </c>
      <c r="D7311" s="10">
        <f t="shared" si="114"/>
        <v>5.8115645118961234</v>
      </c>
      <c r="F7311" s="8" t="str">
        <f>HYPERLINK("https://esbl.nhlbi.nih.gov/Databases/mpkFractions/proteomic_fractions_log_files/Yang_log_img/255958286.jpg","show blot")</f>
        <v>show blot</v>
      </c>
      <c r="H7311" s="8" t="str">
        <f>HYPERLINK("https://esbl.nhlbi.nih.gov/Databases/mpkFractions/proteomic_fractions_linear_files/Yang_linear_img/255958286.jpg","show blot")</f>
        <v>show blot</v>
      </c>
      <c r="J7311" s="5" t="s">
        <v>14385</v>
      </c>
      <c r="L7311" s="11">
        <v>5.8115645118961234</v>
      </c>
      <c r="N7311" s="12"/>
    </row>
    <row r="7312" spans="1:14" s="5" customFormat="1" ht="15" customHeight="1" x14ac:dyDescent="0.25">
      <c r="A7312" s="9" t="s">
        <v>14386</v>
      </c>
      <c r="C7312" s="9" t="str">
        <f>HYPERLINK("http://www.ncbi.nlm.nih.gov/protein/165972309","Suclg2")</f>
        <v>Suclg2</v>
      </c>
      <c r="D7312" s="10">
        <f t="shared" si="114"/>
        <v>5.7309021771555919</v>
      </c>
      <c r="F7312" s="8" t="str">
        <f>HYPERLINK("https://esbl.nhlbi.nih.gov/Databases/mpkFractions/proteomic_fractions_log_files/Yang_log_img/165972309.jpg","show blot")</f>
        <v>show blot</v>
      </c>
      <c r="H7312" s="8" t="str">
        <f>HYPERLINK("https://esbl.nhlbi.nih.gov/Databases/mpkFractions/proteomic_fractions_linear_files/Yang_linear_img/165972309.jpg","show blot")</f>
        <v>show blot</v>
      </c>
      <c r="J7312" s="5" t="s">
        <v>14387</v>
      </c>
      <c r="L7312" s="11">
        <v>5.7309021771555919</v>
      </c>
      <c r="N7312" s="12"/>
    </row>
    <row r="7313" spans="1:14" s="5" customFormat="1" ht="15" customHeight="1" x14ac:dyDescent="0.25">
      <c r="A7313" s="9" t="s">
        <v>14388</v>
      </c>
      <c r="C7313" s="9" t="str">
        <f>HYPERLINK("http://www.ncbi.nlm.nih.gov/protein/70794805","Sufu")</f>
        <v>Sufu</v>
      </c>
      <c r="D7313" s="10">
        <f t="shared" si="114"/>
        <v>4.0891692803671047</v>
      </c>
      <c r="F7313" s="8" t="str">
        <f>HYPERLINK("https://esbl.nhlbi.nih.gov/Databases/mpkFractions/proteomic_fractions_log_files/Yang_log_img/70794805.jpg","show blot")</f>
        <v>show blot</v>
      </c>
      <c r="H7313" s="8" t="str">
        <f>HYPERLINK("https://esbl.nhlbi.nih.gov/Databases/mpkFractions/proteomic_fractions_linear_files/Yang_linear_img/70794805.jpg","show blot")</f>
        <v>show blot</v>
      </c>
      <c r="J7313" s="5" t="s">
        <v>14389</v>
      </c>
      <c r="L7313" s="11">
        <v>4.0891692803671047</v>
      </c>
      <c r="N7313" s="12"/>
    </row>
    <row r="7314" spans="1:14" s="5" customFormat="1" ht="15" customHeight="1" x14ac:dyDescent="0.25">
      <c r="A7314" s="9" t="s">
        <v>14390</v>
      </c>
      <c r="C7314" s="9" t="str">
        <f>HYPERLINK("http://www.ncbi.nlm.nih.gov/protein/70794807","Sufu")</f>
        <v>Sufu</v>
      </c>
      <c r="D7314" s="10">
        <f t="shared" si="114"/>
        <v>4.0891692803671047</v>
      </c>
      <c r="F7314" s="8" t="str">
        <f>HYPERLINK("https://esbl.nhlbi.nih.gov/Databases/mpkFractions/proteomic_fractions_log_files/Yang_log_img/70794807.jpg","show blot")</f>
        <v>show blot</v>
      </c>
      <c r="H7314" s="8" t="str">
        <f>HYPERLINK("https://esbl.nhlbi.nih.gov/Databases/mpkFractions/proteomic_fractions_linear_files/Yang_linear_img/70794807.jpg","show blot")</f>
        <v>show blot</v>
      </c>
      <c r="J7314" s="5" t="s">
        <v>14391</v>
      </c>
      <c r="L7314" s="11">
        <v>4.0891692803671047</v>
      </c>
      <c r="N7314" s="12"/>
    </row>
    <row r="7315" spans="1:14" s="5" customFormat="1" ht="15" customHeight="1" x14ac:dyDescent="0.25">
      <c r="A7315" s="9" t="s">
        <v>14392</v>
      </c>
      <c r="C7315" s="9" t="str">
        <f>HYPERLINK("http://www.ncbi.nlm.nih.gov/protein/23956176","Sugt1")</f>
        <v>Sugt1</v>
      </c>
      <c r="D7315" s="10">
        <f t="shared" si="114"/>
        <v>5.9704757237193231</v>
      </c>
      <c r="F7315" s="8" t="str">
        <f>HYPERLINK("https://esbl.nhlbi.nih.gov/Databases/mpkFractions/proteomic_fractions_log_files/Yang_log_img/23956176.jpg","show blot")</f>
        <v>show blot</v>
      </c>
      <c r="H7315" s="8" t="str">
        <f>HYPERLINK("https://esbl.nhlbi.nih.gov/Databases/mpkFractions/proteomic_fractions_linear_files/Yang_linear_img/23956176.jpg","show blot")</f>
        <v>show blot</v>
      </c>
      <c r="J7315" s="5" t="s">
        <v>14393</v>
      </c>
      <c r="L7315" s="11">
        <v>5.9704757237193231</v>
      </c>
      <c r="N7315" s="12"/>
    </row>
    <row r="7316" spans="1:14" s="5" customFormat="1" ht="15" customHeight="1" x14ac:dyDescent="0.25">
      <c r="A7316" s="9" t="s">
        <v>14394</v>
      </c>
      <c r="C7316" s="9" t="str">
        <f>HYPERLINK("http://www.ncbi.nlm.nih.gov/protein/40254554","Sult1c1")</f>
        <v>Sult1c1</v>
      </c>
      <c r="D7316" s="10">
        <f t="shared" si="114"/>
        <v>5.2968161360360577</v>
      </c>
      <c r="F7316" s="8" t="str">
        <f>HYPERLINK("https://esbl.nhlbi.nih.gov/Databases/mpkFractions/proteomic_fractions_log_files/Yang_log_img/40254554.jpg","show blot")</f>
        <v>show blot</v>
      </c>
      <c r="H7316" s="8" t="str">
        <f>HYPERLINK("https://esbl.nhlbi.nih.gov/Databases/mpkFractions/proteomic_fractions_linear_files/Yang_linear_img/40254554.jpg","show blot")</f>
        <v>show blot</v>
      </c>
      <c r="J7316" s="5" t="s">
        <v>14395</v>
      </c>
      <c r="L7316" s="11">
        <v>5.2968161360360577</v>
      </c>
      <c r="N7316" s="12"/>
    </row>
    <row r="7317" spans="1:14" s="5" customFormat="1" ht="15" customHeight="1" x14ac:dyDescent="0.25">
      <c r="A7317" s="9" t="s">
        <v>14396</v>
      </c>
      <c r="C7317" s="9" t="str">
        <f>HYPERLINK("http://www.ncbi.nlm.nih.gov/protein/34328501","Sult1c2")</f>
        <v>Sult1c2</v>
      </c>
      <c r="D7317" s="10">
        <f t="shared" si="114"/>
        <v>3.9632813560303908</v>
      </c>
      <c r="F7317" s="8" t="str">
        <f>HYPERLINK("https://esbl.nhlbi.nih.gov/Databases/mpkFractions/proteomic_fractions_log_files/Yang_log_img/34328501.jpg","show blot")</f>
        <v>show blot</v>
      </c>
      <c r="H7317" s="8" t="str">
        <f>HYPERLINK("https://esbl.nhlbi.nih.gov/Databases/mpkFractions/proteomic_fractions_linear_files/Yang_linear_img/34328501.jpg","show blot")</f>
        <v>show blot</v>
      </c>
      <c r="J7317" s="5" t="s">
        <v>14397</v>
      </c>
      <c r="L7317" s="11">
        <v>3.9632813560303908</v>
      </c>
      <c r="N7317" s="12"/>
    </row>
    <row r="7318" spans="1:14" s="5" customFormat="1" ht="15" customHeight="1" x14ac:dyDescent="0.25">
      <c r="A7318" s="9" t="s">
        <v>14398</v>
      </c>
      <c r="C7318" s="9" t="str">
        <f>HYPERLINK("http://www.ncbi.nlm.nih.gov/protein/188219649","Sult1d1")</f>
        <v>Sult1d1</v>
      </c>
      <c r="D7318" s="10">
        <f t="shared" si="114"/>
        <v>6.2083948249558416</v>
      </c>
      <c r="F7318" s="8" t="str">
        <f>HYPERLINK("https://esbl.nhlbi.nih.gov/Databases/mpkFractions/proteomic_fractions_log_files/Yang_log_img/188219649.jpg","show blot")</f>
        <v>show blot</v>
      </c>
      <c r="H7318" s="8" t="str">
        <f>HYPERLINK("https://esbl.nhlbi.nih.gov/Databases/mpkFractions/proteomic_fractions_linear_files/Yang_linear_img/188219649.jpg","show blot")</f>
        <v>show blot</v>
      </c>
      <c r="J7318" s="5" t="s">
        <v>14399</v>
      </c>
      <c r="L7318" s="11">
        <v>6.2083948249558416</v>
      </c>
      <c r="N7318" s="12"/>
    </row>
    <row r="7319" spans="1:14" s="5" customFormat="1" ht="15" customHeight="1" x14ac:dyDescent="0.25">
      <c r="A7319" s="9" t="s">
        <v>14400</v>
      </c>
      <c r="C7319" s="9" t="str">
        <f>HYPERLINK("http://www.ncbi.nlm.nih.gov/protein/229092371","Sult2b1")</f>
        <v>Sult2b1</v>
      </c>
      <c r="D7319" s="10">
        <f t="shared" si="114"/>
        <v>4.0023656672097658</v>
      </c>
      <c r="F7319" s="8" t="str">
        <f>HYPERLINK("https://esbl.nhlbi.nih.gov/Databases/mpkFractions/proteomic_fractions_log_files/Yang_log_img/229092371.jpg","show blot")</f>
        <v>show blot</v>
      </c>
      <c r="H7319" s="8" t="str">
        <f>HYPERLINK("https://esbl.nhlbi.nih.gov/Databases/mpkFractions/proteomic_fractions_linear_files/Yang_linear_img/229092371.jpg","show blot")</f>
        <v>show blot</v>
      </c>
      <c r="J7319" s="5" t="s">
        <v>14401</v>
      </c>
      <c r="L7319" s="11">
        <v>4.0023656672097658</v>
      </c>
      <c r="N7319" s="12"/>
    </row>
    <row r="7320" spans="1:14" s="5" customFormat="1" ht="15" customHeight="1" x14ac:dyDescent="0.25">
      <c r="A7320" s="9" t="s">
        <v>14402</v>
      </c>
      <c r="C7320" s="9" t="str">
        <f>HYPERLINK("http://www.ncbi.nlm.nih.gov/protein/171906580","Sult3a1")</f>
        <v>Sult3a1</v>
      </c>
      <c r="D7320" s="10">
        <f t="shared" si="114"/>
        <v>3.2460865315881731</v>
      </c>
      <c r="F7320" s="8" t="str">
        <f>HYPERLINK("https://esbl.nhlbi.nih.gov/Databases/mpkFractions/proteomic_fractions_log_files/Yang_log_img/171906580.jpg","show blot")</f>
        <v>show blot</v>
      </c>
      <c r="H7320" s="8" t="str">
        <f>HYPERLINK("https://esbl.nhlbi.nih.gov/Databases/mpkFractions/proteomic_fractions_linear_files/Yang_linear_img/171906580.jpg","show blot")</f>
        <v>show blot</v>
      </c>
      <c r="J7320" s="5" t="s">
        <v>14403</v>
      </c>
      <c r="L7320" s="11">
        <v>3.2460865315881731</v>
      </c>
      <c r="N7320" s="12"/>
    </row>
    <row r="7321" spans="1:14" s="5" customFormat="1" ht="15" customHeight="1" x14ac:dyDescent="0.25">
      <c r="A7321" s="9" t="s">
        <v>14404</v>
      </c>
      <c r="C7321" s="9" t="str">
        <f>HYPERLINK("http://www.ncbi.nlm.nih.gov/protein/144094256","Sumf1")</f>
        <v>Sumf1</v>
      </c>
      <c r="D7321" s="10">
        <f t="shared" si="114"/>
        <v>3.690668497201111</v>
      </c>
      <c r="F7321" s="8" t="str">
        <f>HYPERLINK("https://esbl.nhlbi.nih.gov/Databases/mpkFractions/proteomic_fractions_log_files/Yang_log_img/144094256.jpg","show blot")</f>
        <v>show blot</v>
      </c>
      <c r="H7321" s="8" t="str">
        <f>HYPERLINK("https://esbl.nhlbi.nih.gov/Databases/mpkFractions/proteomic_fractions_linear_files/Yang_linear_img/144094256.jpg","show blot")</f>
        <v>show blot</v>
      </c>
      <c r="J7321" s="5" t="s">
        <v>14405</v>
      </c>
      <c r="L7321" s="11">
        <v>3.690668497201111</v>
      </c>
      <c r="N7321" s="12"/>
    </row>
    <row r="7322" spans="1:14" s="5" customFormat="1" ht="15" customHeight="1" x14ac:dyDescent="0.25">
      <c r="A7322" s="9" t="s">
        <v>14406</v>
      </c>
      <c r="C7322" s="9" t="str">
        <f>HYPERLINK("http://www.ncbi.nlm.nih.gov/protein/19111164","Sumo2")</f>
        <v>Sumo2</v>
      </c>
      <c r="D7322" s="10">
        <f t="shared" si="114"/>
        <v>6.5247001472613482</v>
      </c>
      <c r="F7322" s="8" t="str">
        <f>HYPERLINK("https://esbl.nhlbi.nih.gov/Databases/mpkFractions/proteomic_fractions_log_files/Yang_log_img/19111164.jpg","show blot")</f>
        <v>show blot</v>
      </c>
      <c r="H7322" s="8" t="str">
        <f>HYPERLINK("https://esbl.nhlbi.nih.gov/Databases/mpkFractions/proteomic_fractions_linear_files/Yang_linear_img/19111164.jpg","show blot")</f>
        <v>show blot</v>
      </c>
      <c r="J7322" s="5" t="s">
        <v>14407</v>
      </c>
      <c r="L7322" s="11">
        <v>6.5247001472613482</v>
      </c>
      <c r="N7322" s="12"/>
    </row>
    <row r="7323" spans="1:14" s="5" customFormat="1" ht="15" customHeight="1" x14ac:dyDescent="0.25">
      <c r="A7323" s="9" t="s">
        <v>14408</v>
      </c>
      <c r="C7323" s="9" t="str">
        <f>HYPERLINK("http://www.ncbi.nlm.nih.gov/protein/9910556","Sumo3")</f>
        <v>Sumo3</v>
      </c>
      <c r="D7323" s="10">
        <f t="shared" si="114"/>
        <v>6.5002379129564734</v>
      </c>
      <c r="F7323" s="8" t="str">
        <f>HYPERLINK("https://esbl.nhlbi.nih.gov/Databases/mpkFractions/proteomic_fractions_log_files/Yang_log_img/9910556.jpg","show blot")</f>
        <v>show blot</v>
      </c>
      <c r="H7323" s="8" t="str">
        <f>HYPERLINK("https://esbl.nhlbi.nih.gov/Databases/mpkFractions/proteomic_fractions_linear_files/Yang_linear_img/9910556.jpg","show blot")</f>
        <v>show blot</v>
      </c>
      <c r="J7323" s="5" t="s">
        <v>14409</v>
      </c>
      <c r="L7323" s="11">
        <v>6.5002379129564734</v>
      </c>
      <c r="N7323" s="12"/>
    </row>
    <row r="7324" spans="1:14" s="5" customFormat="1" ht="15" customHeight="1" x14ac:dyDescent="0.25">
      <c r="A7324" s="9" t="s">
        <v>14410</v>
      </c>
      <c r="C7324" s="9" t="str">
        <f>HYPERLINK("http://www.ncbi.nlm.nih.gov/protein/29789243","Sun1")</f>
        <v>Sun1</v>
      </c>
      <c r="D7324" s="10">
        <f t="shared" si="114"/>
        <v>3.5214633387802521</v>
      </c>
      <c r="F7324" s="8" t="str">
        <f>HYPERLINK("https://esbl.nhlbi.nih.gov/Databases/mpkFractions/proteomic_fractions_log_files/Yang_log_img/29789243.jpg","show blot")</f>
        <v>show blot</v>
      </c>
      <c r="H7324" s="8" t="str">
        <f>HYPERLINK("https://esbl.nhlbi.nih.gov/Databases/mpkFractions/proteomic_fractions_linear_files/Yang_linear_img/29789243.jpg","show blot")</f>
        <v>show blot</v>
      </c>
      <c r="J7324" s="5" t="s">
        <v>14411</v>
      </c>
      <c r="L7324" s="11">
        <v>3.5214633387802521</v>
      </c>
      <c r="N7324" s="12"/>
    </row>
    <row r="7325" spans="1:14" s="5" customFormat="1" ht="15" customHeight="1" x14ac:dyDescent="0.25">
      <c r="A7325" s="9" t="s">
        <v>14412</v>
      </c>
      <c r="C7325" s="9" t="str">
        <f>HYPERLINK("http://www.ncbi.nlm.nih.gov/protein/371120922","Sun1")</f>
        <v>Sun1</v>
      </c>
      <c r="D7325" s="10">
        <f t="shared" si="114"/>
        <v>3.5214633387802521</v>
      </c>
      <c r="F7325" s="8" t="str">
        <f>HYPERLINK("https://esbl.nhlbi.nih.gov/Databases/mpkFractions/proteomic_fractions_log_files/Yang_log_img/371120922.jpg","show blot")</f>
        <v>show blot</v>
      </c>
      <c r="H7325" s="8" t="str">
        <f>HYPERLINK("https://esbl.nhlbi.nih.gov/Databases/mpkFractions/proteomic_fractions_linear_files/Yang_linear_img/371120922.jpg","show blot")</f>
        <v>show blot</v>
      </c>
      <c r="J7325" s="5" t="s">
        <v>14413</v>
      </c>
      <c r="L7325" s="11">
        <v>3.5214633387802521</v>
      </c>
      <c r="N7325" s="12"/>
    </row>
    <row r="7326" spans="1:14" s="5" customFormat="1" ht="15" customHeight="1" x14ac:dyDescent="0.25">
      <c r="A7326" s="9" t="s">
        <v>14414</v>
      </c>
      <c r="C7326" s="9" t="str">
        <f>HYPERLINK("http://www.ncbi.nlm.nih.gov/protein/371120936","Sun1")</f>
        <v>Sun1</v>
      </c>
      <c r="D7326" s="10">
        <f t="shared" si="114"/>
        <v>3.5214633387802521</v>
      </c>
      <c r="F7326" s="8" t="str">
        <f>HYPERLINK("https://esbl.nhlbi.nih.gov/Databases/mpkFractions/proteomic_fractions_log_files/Yang_log_img/371120936.jpg","show blot")</f>
        <v>show blot</v>
      </c>
      <c r="H7326" s="8" t="str">
        <f>HYPERLINK("https://esbl.nhlbi.nih.gov/Databases/mpkFractions/proteomic_fractions_linear_files/Yang_linear_img/371120936.jpg","show blot")</f>
        <v>show blot</v>
      </c>
      <c r="J7326" s="5" t="s">
        <v>14415</v>
      </c>
      <c r="L7326" s="11">
        <v>3.5214633387802521</v>
      </c>
      <c r="N7326" s="12"/>
    </row>
    <row r="7327" spans="1:14" s="5" customFormat="1" ht="15" customHeight="1" x14ac:dyDescent="0.25">
      <c r="A7327" s="9" t="s">
        <v>14416</v>
      </c>
      <c r="C7327" s="9" t="str">
        <f>HYPERLINK("http://www.ncbi.nlm.nih.gov/protein/371121164","Sun1")</f>
        <v>Sun1</v>
      </c>
      <c r="D7327" s="10">
        <f t="shared" si="114"/>
        <v>3.5214633387802521</v>
      </c>
      <c r="F7327" s="8" t="str">
        <f>HYPERLINK("https://esbl.nhlbi.nih.gov/Databases/mpkFractions/proteomic_fractions_log_files/Yang_log_img/371121164.jpg","show blot")</f>
        <v>show blot</v>
      </c>
      <c r="H7327" s="8" t="str">
        <f>HYPERLINK("https://esbl.nhlbi.nih.gov/Databases/mpkFractions/proteomic_fractions_linear_files/Yang_linear_img/371121164.jpg","show blot")</f>
        <v>show blot</v>
      </c>
      <c r="J7327" s="5" t="s">
        <v>14417</v>
      </c>
      <c r="L7327" s="11">
        <v>3.5214633387802521</v>
      </c>
      <c r="N7327" s="12"/>
    </row>
    <row r="7328" spans="1:14" s="5" customFormat="1" ht="15" customHeight="1" x14ac:dyDescent="0.25">
      <c r="A7328" s="9" t="s">
        <v>14418</v>
      </c>
      <c r="C7328" s="9" t="str">
        <f>HYPERLINK("http://www.ncbi.nlm.nih.gov/protein/371121280","Sun1")</f>
        <v>Sun1</v>
      </c>
      <c r="D7328" s="10">
        <f t="shared" si="114"/>
        <v>3.5214633387802521</v>
      </c>
      <c r="F7328" s="8" t="str">
        <f>HYPERLINK("https://esbl.nhlbi.nih.gov/Databases/mpkFractions/proteomic_fractions_log_files/Yang_log_img/371121280.jpg","show blot")</f>
        <v>show blot</v>
      </c>
      <c r="H7328" s="8" t="str">
        <f>HYPERLINK("https://esbl.nhlbi.nih.gov/Databases/mpkFractions/proteomic_fractions_linear_files/Yang_linear_img/371121280.jpg","show blot")</f>
        <v>show blot</v>
      </c>
      <c r="J7328" s="5" t="s">
        <v>14419</v>
      </c>
      <c r="L7328" s="11">
        <v>3.5214633387802521</v>
      </c>
      <c r="N7328" s="12"/>
    </row>
    <row r="7329" spans="1:14" s="5" customFormat="1" ht="15" customHeight="1" x14ac:dyDescent="0.25">
      <c r="A7329" s="9" t="s">
        <v>14420</v>
      </c>
      <c r="C7329" s="9" t="str">
        <f>HYPERLINK("http://www.ncbi.nlm.nih.gov/protein/168693641","Sun2")</f>
        <v>Sun2</v>
      </c>
      <c r="D7329" s="10">
        <f t="shared" si="114"/>
        <v>5.2850257086067014</v>
      </c>
      <c r="F7329" s="8" t="str">
        <f>HYPERLINK("https://esbl.nhlbi.nih.gov/Databases/mpkFractions/proteomic_fractions_log_files/Yang_log_img/168693641.jpg","show blot")</f>
        <v>show blot</v>
      </c>
      <c r="H7329" s="8" t="str">
        <f>HYPERLINK("https://esbl.nhlbi.nih.gov/Databases/mpkFractions/proteomic_fractions_linear_files/Yang_linear_img/168693641.jpg","show blot")</f>
        <v>show blot</v>
      </c>
      <c r="J7329" s="5" t="s">
        <v>14421</v>
      </c>
      <c r="L7329" s="11">
        <v>5.2850257086067014</v>
      </c>
      <c r="N7329" s="12"/>
    </row>
    <row r="7330" spans="1:14" s="5" customFormat="1" ht="15" customHeight="1" x14ac:dyDescent="0.25">
      <c r="A7330" s="9" t="s">
        <v>14422</v>
      </c>
      <c r="C7330" s="9" t="str">
        <f>HYPERLINK("http://www.ncbi.nlm.nih.gov/protein/329299035","Sun2")</f>
        <v>Sun2</v>
      </c>
      <c r="D7330" s="10">
        <f t="shared" si="114"/>
        <v>5.2850257086067014</v>
      </c>
      <c r="F7330" s="8" t="str">
        <f>HYPERLINK("https://esbl.nhlbi.nih.gov/Databases/mpkFractions/proteomic_fractions_log_files/Yang_log_img/329299035.jpg","show blot")</f>
        <v>show blot</v>
      </c>
      <c r="H7330" s="8" t="str">
        <f>HYPERLINK("https://esbl.nhlbi.nih.gov/Databases/mpkFractions/proteomic_fractions_linear_files/Yang_linear_img/329299035.jpg","show blot")</f>
        <v>show blot</v>
      </c>
      <c r="J7330" s="5" t="s">
        <v>14423</v>
      </c>
      <c r="L7330" s="11">
        <v>5.2850257086067014</v>
      </c>
      <c r="N7330" s="12"/>
    </row>
    <row r="7331" spans="1:14" s="5" customFormat="1" ht="15" customHeight="1" x14ac:dyDescent="0.25">
      <c r="A7331" s="9" t="s">
        <v>14424</v>
      </c>
      <c r="C7331" s="9" t="str">
        <f>HYPERLINK("http://www.ncbi.nlm.nih.gov/protein/329299037","Sun2")</f>
        <v>Sun2</v>
      </c>
      <c r="D7331" s="10">
        <f t="shared" si="114"/>
        <v>5.2850257086067014</v>
      </c>
      <c r="F7331" s="8" t="str">
        <f>HYPERLINK("https://esbl.nhlbi.nih.gov/Databases/mpkFractions/proteomic_fractions_log_files/Yang_log_img/329299037.jpg","show blot")</f>
        <v>show blot</v>
      </c>
      <c r="H7331" s="8" t="str">
        <f>HYPERLINK("https://esbl.nhlbi.nih.gov/Databases/mpkFractions/proteomic_fractions_linear_files/Yang_linear_img/329299037.jpg","show blot")</f>
        <v>show blot</v>
      </c>
      <c r="J7331" s="5" t="s">
        <v>14425</v>
      </c>
      <c r="L7331" s="11">
        <v>5.2850257086067014</v>
      </c>
      <c r="N7331" s="12"/>
    </row>
    <row r="7332" spans="1:14" s="5" customFormat="1" ht="15" customHeight="1" x14ac:dyDescent="0.25">
      <c r="A7332" s="9" t="s">
        <v>14426</v>
      </c>
      <c r="C7332" s="9" t="str">
        <f>HYPERLINK("http://www.ncbi.nlm.nih.gov/protein/154350222","Supt16")</f>
        <v>Supt16</v>
      </c>
      <c r="D7332" s="10">
        <f t="shared" si="114"/>
        <v>5.0806508918174131</v>
      </c>
      <c r="F7332" s="8" t="str">
        <f>HYPERLINK("https://esbl.nhlbi.nih.gov/Databases/mpkFractions/proteomic_fractions_log_files/Yang_log_img/154350222.jpg","show blot")</f>
        <v>show blot</v>
      </c>
      <c r="H7332" s="8" t="str">
        <f>HYPERLINK("https://esbl.nhlbi.nih.gov/Databases/mpkFractions/proteomic_fractions_linear_files/Yang_linear_img/154350222.jpg","show blot")</f>
        <v>show blot</v>
      </c>
      <c r="J7332" s="5" t="s">
        <v>14427</v>
      </c>
      <c r="L7332" s="11">
        <v>5.0806508918174131</v>
      </c>
      <c r="N7332" s="12"/>
    </row>
    <row r="7333" spans="1:14" s="5" customFormat="1" ht="15" customHeight="1" x14ac:dyDescent="0.25">
      <c r="A7333" s="9" t="s">
        <v>14428</v>
      </c>
      <c r="C7333" s="9" t="str">
        <f>HYPERLINK("http://www.ncbi.nlm.nih.gov/protein/6678181","Supt4a")</f>
        <v>Supt4a</v>
      </c>
      <c r="D7333" s="10">
        <f t="shared" si="114"/>
        <v>4.6753065635822919</v>
      </c>
      <c r="F7333" s="8" t="str">
        <f>HYPERLINK("https://esbl.nhlbi.nih.gov/Databases/mpkFractions/proteomic_fractions_log_files/Yang_log_img/6678181.jpg","show blot")</f>
        <v>show blot</v>
      </c>
      <c r="H7333" s="8" t="str">
        <f>HYPERLINK("https://esbl.nhlbi.nih.gov/Databases/mpkFractions/proteomic_fractions_linear_files/Yang_linear_img/6678181.jpg","show blot")</f>
        <v>show blot</v>
      </c>
      <c r="J7333" s="5" t="s">
        <v>14429</v>
      </c>
      <c r="L7333" s="11">
        <v>4.6753065635822919</v>
      </c>
      <c r="N7333" s="12"/>
    </row>
    <row r="7334" spans="1:14" s="5" customFormat="1" ht="15" customHeight="1" x14ac:dyDescent="0.25">
      <c r="A7334" s="9" t="s">
        <v>14430</v>
      </c>
      <c r="C7334" s="9" t="str">
        <f>HYPERLINK("http://www.ncbi.nlm.nih.gov/protein/22094123","Supt5")</f>
        <v>Supt5</v>
      </c>
      <c r="D7334" s="10">
        <f t="shared" si="114"/>
        <v>4.817978242983127</v>
      </c>
      <c r="F7334" s="8" t="str">
        <f>HYPERLINK("https://esbl.nhlbi.nih.gov/Databases/mpkFractions/proteomic_fractions_log_files/Yang_log_img/22094123.jpg","show blot")</f>
        <v>show blot</v>
      </c>
      <c r="H7334" s="8" t="str">
        <f>HYPERLINK("https://esbl.nhlbi.nih.gov/Databases/mpkFractions/proteomic_fractions_linear_files/Yang_linear_img/22094123.jpg","show blot")</f>
        <v>show blot</v>
      </c>
      <c r="J7334" s="5" t="s">
        <v>14431</v>
      </c>
      <c r="L7334" s="11">
        <v>4.817978242983127</v>
      </c>
      <c r="N7334" s="12"/>
    </row>
    <row r="7335" spans="1:14" s="5" customFormat="1" ht="15" customHeight="1" x14ac:dyDescent="0.25">
      <c r="A7335" s="9" t="s">
        <v>14432</v>
      </c>
      <c r="C7335" s="9" t="str">
        <f>HYPERLINK("http://www.ncbi.nlm.nih.gov/protein/166091434","Supt6")</f>
        <v>Supt6</v>
      </c>
      <c r="D7335" s="10">
        <f t="shared" si="114"/>
        <v>4.6072869617049008</v>
      </c>
      <c r="F7335" s="8" t="str">
        <f>HYPERLINK("https://esbl.nhlbi.nih.gov/Databases/mpkFractions/proteomic_fractions_log_files/Yang_log_img/166091434.jpg","show blot")</f>
        <v>show blot</v>
      </c>
      <c r="H7335" s="8" t="str">
        <f>HYPERLINK("https://esbl.nhlbi.nih.gov/Databases/mpkFractions/proteomic_fractions_linear_files/Yang_linear_img/166091434.jpg","show blot")</f>
        <v>show blot</v>
      </c>
      <c r="J7335" s="5" t="s">
        <v>14433</v>
      </c>
      <c r="L7335" s="11">
        <v>4.6072869617049008</v>
      </c>
      <c r="N7335" s="12"/>
    </row>
    <row r="7336" spans="1:14" s="5" customFormat="1" ht="15" customHeight="1" x14ac:dyDescent="0.25">
      <c r="A7336" s="9" t="s">
        <v>14434</v>
      </c>
      <c r="C7336" s="9" t="str">
        <f>HYPERLINK("http://www.ncbi.nlm.nih.gov/protein/31088872","Supv3l1")</f>
        <v>Supv3l1</v>
      </c>
      <c r="D7336" s="10">
        <f t="shared" si="114"/>
        <v>4.0474272481326832</v>
      </c>
      <c r="F7336" s="8" t="str">
        <f>HYPERLINK("https://esbl.nhlbi.nih.gov/Databases/mpkFractions/proteomic_fractions_log_files/Yang_log_img/31088872.jpg","show blot")</f>
        <v>show blot</v>
      </c>
      <c r="H7336" s="8" t="str">
        <f>HYPERLINK("https://esbl.nhlbi.nih.gov/Databases/mpkFractions/proteomic_fractions_linear_files/Yang_linear_img/31088872.jpg","show blot")</f>
        <v>show blot</v>
      </c>
      <c r="J7336" s="5" t="s">
        <v>14435</v>
      </c>
      <c r="L7336" s="11">
        <v>4.0474272481326832</v>
      </c>
      <c r="N7336" s="12"/>
    </row>
    <row r="7337" spans="1:14" s="5" customFormat="1" ht="15" customHeight="1" x14ac:dyDescent="0.25">
      <c r="A7337" s="9" t="s">
        <v>14436</v>
      </c>
      <c r="C7337" s="9" t="str">
        <f>HYPERLINK("http://www.ncbi.nlm.nih.gov/protein/160707899","Surf1")</f>
        <v>Surf1</v>
      </c>
      <c r="D7337" s="10">
        <f t="shared" si="114"/>
        <v>3.1606705469499059</v>
      </c>
      <c r="F7337" s="8" t="str">
        <f>HYPERLINK("https://esbl.nhlbi.nih.gov/Databases/mpkFractions/proteomic_fractions_log_files/Yang_log_img/160707899.jpg","show blot")</f>
        <v>show blot</v>
      </c>
      <c r="H7337" s="8" t="str">
        <f>HYPERLINK("https://esbl.nhlbi.nih.gov/Databases/mpkFractions/proteomic_fractions_linear_files/Yang_linear_img/160707899.jpg","show blot")</f>
        <v>show blot</v>
      </c>
      <c r="J7337" s="5" t="s">
        <v>14437</v>
      </c>
      <c r="L7337" s="11">
        <v>3.1606705469499059</v>
      </c>
      <c r="N7337" s="12"/>
    </row>
    <row r="7338" spans="1:14" s="5" customFormat="1" ht="15" customHeight="1" x14ac:dyDescent="0.25">
      <c r="A7338" s="9" t="s">
        <v>14438</v>
      </c>
      <c r="C7338" s="9" t="str">
        <f>HYPERLINK("http://www.ncbi.nlm.nih.gov/protein/411147435","Surf1")</f>
        <v>Surf1</v>
      </c>
      <c r="D7338" s="10">
        <f t="shared" si="114"/>
        <v>3.1606705469499059</v>
      </c>
      <c r="F7338" s="8" t="str">
        <f>HYPERLINK("https://esbl.nhlbi.nih.gov/Databases/mpkFractions/proteomic_fractions_log_files/Yang_log_img/411147435.jpg","show blot")</f>
        <v>show blot</v>
      </c>
      <c r="H7338" s="8" t="str">
        <f>HYPERLINK("https://esbl.nhlbi.nih.gov/Databases/mpkFractions/proteomic_fractions_linear_files/Yang_linear_img/411147435.jpg","show blot")</f>
        <v>show blot</v>
      </c>
      <c r="J7338" s="5" t="s">
        <v>14439</v>
      </c>
      <c r="L7338" s="11">
        <v>3.1606705469499059</v>
      </c>
      <c r="N7338" s="12"/>
    </row>
    <row r="7339" spans="1:14" s="5" customFormat="1" ht="15" customHeight="1" x14ac:dyDescent="0.25">
      <c r="A7339" s="9" t="s">
        <v>14440</v>
      </c>
      <c r="C7339" s="9" t="str">
        <f>HYPERLINK("http://www.ncbi.nlm.nih.gov/protein/7305529","Surf2")</f>
        <v>Surf2</v>
      </c>
      <c r="D7339" s="10">
        <f t="shared" si="114"/>
        <v>4.1329698538646227</v>
      </c>
      <c r="F7339" s="8" t="str">
        <f>HYPERLINK("https://esbl.nhlbi.nih.gov/Databases/mpkFractions/proteomic_fractions_log_files/Yang_log_img/7305529.jpg","show blot")</f>
        <v>show blot</v>
      </c>
      <c r="H7339" s="8" t="str">
        <f>HYPERLINK("https://esbl.nhlbi.nih.gov/Databases/mpkFractions/proteomic_fractions_linear_files/Yang_linear_img/7305529.jpg","show blot")</f>
        <v>show blot</v>
      </c>
      <c r="J7339" s="5" t="s">
        <v>14441</v>
      </c>
      <c r="L7339" s="11">
        <v>4.1329698538646227</v>
      </c>
      <c r="N7339" s="12"/>
    </row>
    <row r="7340" spans="1:14" s="5" customFormat="1" ht="15" customHeight="1" x14ac:dyDescent="0.25">
      <c r="A7340" s="9" t="s">
        <v>14442</v>
      </c>
      <c r="C7340" s="9" t="str">
        <f>HYPERLINK("http://www.ncbi.nlm.nih.gov/protein/6755698","Surf4")</f>
        <v>Surf4</v>
      </c>
      <c r="D7340" s="10">
        <f t="shared" si="114"/>
        <v>5.4122467993578889</v>
      </c>
      <c r="F7340" s="8" t="str">
        <f>HYPERLINK("https://esbl.nhlbi.nih.gov/Databases/mpkFractions/proteomic_fractions_log_files/Yang_log_img/6755698.jpg","show blot")</f>
        <v>show blot</v>
      </c>
      <c r="H7340" s="8" t="str">
        <f>HYPERLINK("https://esbl.nhlbi.nih.gov/Databases/mpkFractions/proteomic_fractions_linear_files/Yang_linear_img/6755698.jpg","show blot")</f>
        <v>show blot</v>
      </c>
      <c r="J7340" s="5" t="s">
        <v>14443</v>
      </c>
      <c r="L7340" s="11">
        <v>5.4122467993578889</v>
      </c>
      <c r="N7340" s="12"/>
    </row>
    <row r="7341" spans="1:14" s="5" customFormat="1" ht="15" customHeight="1" x14ac:dyDescent="0.25">
      <c r="A7341" s="9" t="s">
        <v>14444</v>
      </c>
      <c r="C7341" s="9" t="str">
        <f>HYPERLINK("http://www.ncbi.nlm.nih.gov/protein/6678185","Surf6")</f>
        <v>Surf6</v>
      </c>
      <c r="D7341" s="10">
        <f t="shared" si="114"/>
        <v>3.6162496581584529</v>
      </c>
      <c r="F7341" s="8" t="str">
        <f>HYPERLINK("https://esbl.nhlbi.nih.gov/Databases/mpkFractions/proteomic_fractions_log_files/Yang_log_img/6678185.jpg","show blot")</f>
        <v>show blot</v>
      </c>
      <c r="H7341" s="8" t="str">
        <f>HYPERLINK("https://esbl.nhlbi.nih.gov/Databases/mpkFractions/proteomic_fractions_linear_files/Yang_linear_img/6678185.jpg","show blot")</f>
        <v>show blot</v>
      </c>
      <c r="J7341" s="5" t="s">
        <v>14445</v>
      </c>
      <c r="L7341" s="11">
        <v>3.6162496581584529</v>
      </c>
      <c r="N7341" s="12"/>
    </row>
    <row r="7342" spans="1:14" s="5" customFormat="1" ht="15" customHeight="1" x14ac:dyDescent="0.25">
      <c r="A7342" s="9" t="s">
        <v>14446</v>
      </c>
      <c r="C7342" s="9" t="str">
        <f>HYPERLINK("http://www.ncbi.nlm.nih.gov/protein/268607615","Suv420h1")</f>
        <v>Suv420h1</v>
      </c>
      <c r="D7342" s="10">
        <f t="shared" si="114"/>
        <v>4.5749942700098893</v>
      </c>
      <c r="F7342" s="8" t="str">
        <f>HYPERLINK("https://esbl.nhlbi.nih.gov/Databases/mpkFractions/proteomic_fractions_log_files/Yang_log_img/268607615.jpg","show blot")</f>
        <v>show blot</v>
      </c>
      <c r="H7342" s="8" t="str">
        <f>HYPERLINK("https://esbl.nhlbi.nih.gov/Databases/mpkFractions/proteomic_fractions_linear_files/Yang_linear_img/268607615.jpg","show blot")</f>
        <v>show blot</v>
      </c>
      <c r="J7342" s="5" t="s">
        <v>14447</v>
      </c>
      <c r="L7342" s="11">
        <v>4.5749942700098893</v>
      </c>
      <c r="N7342" s="12"/>
    </row>
    <row r="7343" spans="1:14" s="5" customFormat="1" ht="15" customHeight="1" x14ac:dyDescent="0.25">
      <c r="A7343" s="9" t="s">
        <v>14448</v>
      </c>
      <c r="C7343" s="9" t="str">
        <f>HYPERLINK("http://www.ncbi.nlm.nih.gov/protein/268607619","Suv420h1")</f>
        <v>Suv420h1</v>
      </c>
      <c r="D7343" s="10">
        <f t="shared" si="114"/>
        <v>4.5749942700098893</v>
      </c>
      <c r="F7343" s="8" t="str">
        <f>HYPERLINK("https://esbl.nhlbi.nih.gov/Databases/mpkFractions/proteomic_fractions_log_files/Yang_log_img/268607619.jpg","show blot")</f>
        <v>show blot</v>
      </c>
      <c r="H7343" s="8" t="str">
        <f>HYPERLINK("https://esbl.nhlbi.nih.gov/Databases/mpkFractions/proteomic_fractions_linear_files/Yang_linear_img/268607619.jpg","show blot")</f>
        <v>show blot</v>
      </c>
      <c r="J7343" s="5" t="s">
        <v>14449</v>
      </c>
      <c r="L7343" s="11">
        <v>4.5749942700098893</v>
      </c>
      <c r="N7343" s="12"/>
    </row>
    <row r="7344" spans="1:14" s="5" customFormat="1" ht="15" customHeight="1" x14ac:dyDescent="0.25">
      <c r="A7344" s="9" t="s">
        <v>14450</v>
      </c>
      <c r="C7344" s="9" t="str">
        <f>HYPERLINK("http://www.ncbi.nlm.nih.gov/protein/237858757","Svip")</f>
        <v>Svip</v>
      </c>
      <c r="D7344" s="10">
        <f t="shared" si="114"/>
        <v>2.052597763321562</v>
      </c>
      <c r="F7344" s="8" t="str">
        <f>HYPERLINK("https://esbl.nhlbi.nih.gov/Databases/mpkFractions/proteomic_fractions_log_files/Yang_log_img/237858757.jpg","show blot")</f>
        <v>show blot</v>
      </c>
      <c r="H7344" s="8" t="str">
        <f>HYPERLINK("https://esbl.nhlbi.nih.gov/Databases/mpkFractions/proteomic_fractions_linear_files/Yang_linear_img/237858757.jpg","show blot")</f>
        <v>show blot</v>
      </c>
      <c r="J7344" s="5" t="s">
        <v>14451</v>
      </c>
      <c r="L7344" s="11">
        <v>2.052597763321562</v>
      </c>
      <c r="N7344" s="12"/>
    </row>
    <row r="7345" spans="1:14" s="5" customFormat="1" ht="15" customHeight="1" x14ac:dyDescent="0.25">
      <c r="A7345" s="9" t="s">
        <v>14452</v>
      </c>
      <c r="C7345" s="9" t="str">
        <f>HYPERLINK("http://www.ncbi.nlm.nih.gov/protein/228008363","Swap70")</f>
        <v>Swap70</v>
      </c>
      <c r="D7345" s="10">
        <f t="shared" si="114"/>
        <v>4.6737722917147568</v>
      </c>
      <c r="F7345" s="8" t="str">
        <f>HYPERLINK("https://esbl.nhlbi.nih.gov/Databases/mpkFractions/proteomic_fractions_log_files/Yang_log_img/228008363.jpg","show blot")</f>
        <v>show blot</v>
      </c>
      <c r="H7345" s="8" t="str">
        <f>HYPERLINK("https://esbl.nhlbi.nih.gov/Databases/mpkFractions/proteomic_fractions_linear_files/Yang_linear_img/228008363.jpg","show blot")</f>
        <v>show blot</v>
      </c>
      <c r="J7345" s="5" t="s">
        <v>14453</v>
      </c>
      <c r="L7345" s="11">
        <v>4.6737722917147568</v>
      </c>
      <c r="N7345" s="12"/>
    </row>
    <row r="7346" spans="1:14" s="5" customFormat="1" ht="15" customHeight="1" x14ac:dyDescent="0.25">
      <c r="A7346" s="9" t="s">
        <v>14454</v>
      </c>
      <c r="C7346" s="9" t="str">
        <f>HYPERLINK("http://www.ncbi.nlm.nih.gov/protein/270265917","Syap1")</f>
        <v>Syap1</v>
      </c>
      <c r="D7346" s="10">
        <f t="shared" si="114"/>
        <v>5.0196746509702352</v>
      </c>
      <c r="F7346" s="8" t="str">
        <f>HYPERLINK("https://esbl.nhlbi.nih.gov/Databases/mpkFractions/proteomic_fractions_log_files/Yang_log_img/270265917.jpg","show blot")</f>
        <v>show blot</v>
      </c>
      <c r="H7346" s="8" t="str">
        <f>HYPERLINK("https://esbl.nhlbi.nih.gov/Databases/mpkFractions/proteomic_fractions_linear_files/Yang_linear_img/270265917.jpg","show blot")</f>
        <v>show blot</v>
      </c>
      <c r="J7346" s="5" t="s">
        <v>14455</v>
      </c>
      <c r="L7346" s="11">
        <v>5.0196746509702352</v>
      </c>
      <c r="N7346" s="12"/>
    </row>
    <row r="7347" spans="1:14" s="5" customFormat="1" ht="15" customHeight="1" x14ac:dyDescent="0.25">
      <c r="A7347" s="9" t="s">
        <v>14456</v>
      </c>
      <c r="C7347" s="9" t="str">
        <f>HYPERLINK("http://www.ncbi.nlm.nih.gov/protein/56550045","Syk")</f>
        <v>Syk</v>
      </c>
      <c r="D7347" s="10">
        <f t="shared" si="114"/>
        <v>3.487373390474704</v>
      </c>
      <c r="F7347" s="8" t="str">
        <f>HYPERLINK("https://esbl.nhlbi.nih.gov/Databases/mpkFractions/proteomic_fractions_log_files/Yang_log_img/56550045.jpg","show blot")</f>
        <v>show blot</v>
      </c>
      <c r="H7347" s="8" t="str">
        <f>HYPERLINK("https://esbl.nhlbi.nih.gov/Databases/mpkFractions/proteomic_fractions_linear_files/Yang_linear_img/56550045.jpg","show blot")</f>
        <v>show blot</v>
      </c>
      <c r="J7347" s="5" t="s">
        <v>14457</v>
      </c>
      <c r="L7347" s="11">
        <v>3.487373390474704</v>
      </c>
      <c r="N7347" s="12"/>
    </row>
    <row r="7348" spans="1:14" s="5" customFormat="1" ht="15" customHeight="1" x14ac:dyDescent="0.25">
      <c r="A7348" s="9" t="s">
        <v>14458</v>
      </c>
      <c r="C7348" s="9" t="str">
        <f>HYPERLINK("http://www.ncbi.nlm.nih.gov/protein/226437613","Sympk")</f>
        <v>Sympk</v>
      </c>
      <c r="D7348" s="10">
        <f t="shared" si="114"/>
        <v>4.2013727015601843</v>
      </c>
      <c r="F7348" s="8" t="str">
        <f>HYPERLINK("https://esbl.nhlbi.nih.gov/Databases/mpkFractions/proteomic_fractions_log_files/Yang_log_img/226437613.jpg","show blot")</f>
        <v>show blot</v>
      </c>
      <c r="H7348" s="8" t="str">
        <f>HYPERLINK("https://esbl.nhlbi.nih.gov/Databases/mpkFractions/proteomic_fractions_linear_files/Yang_linear_img/226437613.jpg","show blot")</f>
        <v>show blot</v>
      </c>
      <c r="J7348" s="5" t="s">
        <v>14459</v>
      </c>
      <c r="L7348" s="11">
        <v>4.2013727015601843</v>
      </c>
      <c r="N7348" s="12"/>
    </row>
    <row r="7349" spans="1:14" s="5" customFormat="1" ht="15" customHeight="1" x14ac:dyDescent="0.25">
      <c r="A7349" s="9" t="s">
        <v>14460</v>
      </c>
      <c r="C7349" s="9" t="str">
        <f>HYPERLINK("http://www.ncbi.nlm.nih.gov/protein/85701452","Syna")</f>
        <v>Syna</v>
      </c>
      <c r="D7349" s="10">
        <f t="shared" si="114"/>
        <v>4.5862862905923336</v>
      </c>
      <c r="F7349" s="8" t="str">
        <f>HYPERLINK("https://esbl.nhlbi.nih.gov/Databases/mpkFractions/proteomic_fractions_log_files/Yang_log_img/85701452.jpg","show blot")</f>
        <v>show blot</v>
      </c>
      <c r="H7349" s="8" t="str">
        <f>HYPERLINK("https://esbl.nhlbi.nih.gov/Databases/mpkFractions/proteomic_fractions_linear_files/Yang_linear_img/85701452.jpg","show blot")</f>
        <v>show blot</v>
      </c>
      <c r="J7349" s="5" t="s">
        <v>14461</v>
      </c>
      <c r="L7349" s="11">
        <v>4.5862862905923336</v>
      </c>
      <c r="N7349" s="12"/>
    </row>
    <row r="7350" spans="1:14" s="5" customFormat="1" ht="15" customHeight="1" x14ac:dyDescent="0.25">
      <c r="A7350" s="9" t="s">
        <v>14462</v>
      </c>
      <c r="C7350" s="9" t="str">
        <f>HYPERLINK("http://www.ncbi.nlm.nih.gov/protein/547235396","Syncrip")</f>
        <v>Syncrip</v>
      </c>
      <c r="D7350" s="10">
        <f t="shared" si="114"/>
        <v>6.2534493287017288</v>
      </c>
      <c r="F7350" s="8" t="str">
        <f>HYPERLINK("https://esbl.nhlbi.nih.gov/Databases/mpkFractions/proteomic_fractions_log_files/Yang_log_img/547235396.jpg","show blot")</f>
        <v>show blot</v>
      </c>
      <c r="H7350" s="8" t="str">
        <f>HYPERLINK("https://esbl.nhlbi.nih.gov/Databases/mpkFractions/proteomic_fractions_linear_files/Yang_linear_img/547235396.jpg","show blot")</f>
        <v>show blot</v>
      </c>
      <c r="J7350" s="5" t="s">
        <v>14463</v>
      </c>
      <c r="L7350" s="11">
        <v>6.2534493287017288</v>
      </c>
      <c r="N7350" s="12"/>
    </row>
    <row r="7351" spans="1:14" s="5" customFormat="1" ht="15" customHeight="1" x14ac:dyDescent="0.25">
      <c r="A7351" s="9" t="s">
        <v>14464</v>
      </c>
      <c r="C7351" s="9" t="str">
        <f>HYPERLINK("http://www.ncbi.nlm.nih.gov/protein/114145493","Syncrip")</f>
        <v>Syncrip</v>
      </c>
      <c r="D7351" s="10">
        <f t="shared" si="114"/>
        <v>6.2534493287017288</v>
      </c>
      <c r="F7351" s="8" t="str">
        <f>HYPERLINK("https://esbl.nhlbi.nih.gov/Databases/mpkFractions/proteomic_fractions_log_files/Yang_log_img/114145493.jpg","show blot")</f>
        <v>show blot</v>
      </c>
      <c r="H7351" s="8" t="str">
        <f>HYPERLINK("https://esbl.nhlbi.nih.gov/Databases/mpkFractions/proteomic_fractions_linear_files/Yang_linear_img/114145493.jpg","show blot")</f>
        <v>show blot</v>
      </c>
      <c r="J7351" s="5" t="s">
        <v>14465</v>
      </c>
      <c r="L7351" s="11">
        <v>6.2534493287017288</v>
      </c>
      <c r="N7351" s="12"/>
    </row>
    <row r="7352" spans="1:14" s="5" customFormat="1" ht="15" customHeight="1" x14ac:dyDescent="0.25">
      <c r="A7352" s="9" t="s">
        <v>14466</v>
      </c>
      <c r="C7352" s="9" t="str">
        <f>HYPERLINK("http://www.ncbi.nlm.nih.gov/protein/29788787","Syncrip")</f>
        <v>Syncrip</v>
      </c>
      <c r="D7352" s="10">
        <f t="shared" si="114"/>
        <v>6.2534493287017288</v>
      </c>
      <c r="F7352" s="8" t="str">
        <f>HYPERLINK("https://esbl.nhlbi.nih.gov/Databases/mpkFractions/proteomic_fractions_log_files/Yang_log_img/29788787.jpg","show blot")</f>
        <v>show blot</v>
      </c>
      <c r="H7352" s="8" t="str">
        <f>HYPERLINK("https://esbl.nhlbi.nih.gov/Databases/mpkFractions/proteomic_fractions_linear_files/Yang_linear_img/29788787.jpg","show blot")</f>
        <v>show blot</v>
      </c>
      <c r="J7352" s="5" t="s">
        <v>14467</v>
      </c>
      <c r="L7352" s="11">
        <v>6.2534493287017288</v>
      </c>
      <c r="N7352" s="12"/>
    </row>
    <row r="7353" spans="1:14" s="5" customFormat="1" ht="15" customHeight="1" x14ac:dyDescent="0.25">
      <c r="A7353" s="9" t="s">
        <v>14468</v>
      </c>
      <c r="C7353" s="9" t="str">
        <f>HYPERLINK("http://www.ncbi.nlm.nih.gov/protein/119120816","Syne1")</f>
        <v>Syne1</v>
      </c>
      <c r="D7353" s="10">
        <f t="shared" si="114"/>
        <v>3.991308021491097</v>
      </c>
      <c r="F7353" s="8" t="str">
        <f>HYPERLINK("https://esbl.nhlbi.nih.gov/Databases/mpkFractions/proteomic_fractions_log_files/Yang_log_img/119120816.jpg","show blot")</f>
        <v>show blot</v>
      </c>
      <c r="H7353" s="8" t="str">
        <f>HYPERLINK("https://esbl.nhlbi.nih.gov/Databases/mpkFractions/proteomic_fractions_linear_files/Yang_linear_img/119120816.jpg","show blot")</f>
        <v>show blot</v>
      </c>
      <c r="J7353" s="5" t="s">
        <v>14469</v>
      </c>
      <c r="L7353" s="11">
        <v>3.991308021491097</v>
      </c>
      <c r="N7353" s="12"/>
    </row>
    <row r="7354" spans="1:14" s="5" customFormat="1" ht="15" customHeight="1" x14ac:dyDescent="0.25">
      <c r="A7354" s="9" t="s">
        <v>14470</v>
      </c>
      <c r="C7354" s="9" t="str">
        <f>HYPERLINK("http://www.ncbi.nlm.nih.gov/protein/119120865","Syne1")</f>
        <v>Syne1</v>
      </c>
      <c r="D7354" s="10">
        <f t="shared" si="114"/>
        <v>3.991308021491097</v>
      </c>
      <c r="F7354" s="8" t="str">
        <f>HYPERLINK("https://esbl.nhlbi.nih.gov/Databases/mpkFractions/proteomic_fractions_log_files/Yang_log_img/119120865.jpg","show blot")</f>
        <v>show blot</v>
      </c>
      <c r="H7354" s="8" t="str">
        <f>HYPERLINK("https://esbl.nhlbi.nih.gov/Databases/mpkFractions/proteomic_fractions_linear_files/Yang_linear_img/119120865.jpg","show blot")</f>
        <v>show blot</v>
      </c>
      <c r="J7354" s="5" t="s">
        <v>14471</v>
      </c>
      <c r="L7354" s="11">
        <v>3.991308021491097</v>
      </c>
      <c r="N7354" s="12"/>
    </row>
    <row r="7355" spans="1:14" s="5" customFormat="1" ht="15" customHeight="1" x14ac:dyDescent="0.25">
      <c r="A7355" s="9" t="s">
        <v>14472</v>
      </c>
      <c r="C7355" s="9" t="str">
        <f>HYPERLINK("http://www.ncbi.nlm.nih.gov/protein/145699091","Syne2")</f>
        <v>Syne2</v>
      </c>
      <c r="D7355" s="10">
        <f t="shared" si="114"/>
        <v>5.9196357483091084</v>
      </c>
      <c r="F7355" s="8" t="str">
        <f>HYPERLINK("https://esbl.nhlbi.nih.gov/Databases/mpkFractions/proteomic_fractions_log_files/Yang_log_img/145699091.jpg","show blot")</f>
        <v>show blot</v>
      </c>
      <c r="H7355" s="8" t="str">
        <f>HYPERLINK("https://esbl.nhlbi.nih.gov/Databases/mpkFractions/proteomic_fractions_linear_files/Yang_linear_img/145699091.jpg","show blot")</f>
        <v>show blot</v>
      </c>
      <c r="J7355" s="5" t="s">
        <v>14473</v>
      </c>
      <c r="L7355" s="11">
        <v>5.9196357483091084</v>
      </c>
      <c r="N7355" s="12"/>
    </row>
    <row r="7356" spans="1:14" s="5" customFormat="1" ht="15" customHeight="1" x14ac:dyDescent="0.25">
      <c r="A7356" s="9" t="s">
        <v>14474</v>
      </c>
      <c r="C7356" s="9" t="str">
        <f>HYPERLINK("http://www.ncbi.nlm.nih.gov/protein/46877048","Syngr1")</f>
        <v>Syngr1</v>
      </c>
      <c r="D7356" s="10">
        <f t="shared" si="114"/>
        <v>4.3969408738506033</v>
      </c>
      <c r="F7356" s="8" t="str">
        <f>HYPERLINK("https://esbl.nhlbi.nih.gov/Databases/mpkFractions/proteomic_fractions_log_files/Yang_log_img/46877048.jpg","show blot")</f>
        <v>show blot</v>
      </c>
      <c r="H7356" s="8" t="str">
        <f>HYPERLINK("https://esbl.nhlbi.nih.gov/Databases/mpkFractions/proteomic_fractions_linear_files/Yang_linear_img/46877048.jpg","show blot")</f>
        <v>show blot</v>
      </c>
      <c r="J7356" s="5" t="s">
        <v>14475</v>
      </c>
      <c r="L7356" s="11">
        <v>4.3969408738506033</v>
      </c>
      <c r="N7356" s="12"/>
    </row>
    <row r="7357" spans="1:14" s="5" customFormat="1" ht="15" customHeight="1" x14ac:dyDescent="0.25">
      <c r="A7357" s="9" t="s">
        <v>14476</v>
      </c>
      <c r="C7357" s="9" t="str">
        <f>HYPERLINK("http://www.ncbi.nlm.nih.gov/protein/6678193","Syngr1")</f>
        <v>Syngr1</v>
      </c>
      <c r="D7357" s="10">
        <f t="shared" si="114"/>
        <v>4.3969408738506033</v>
      </c>
      <c r="F7357" s="8" t="str">
        <f>HYPERLINK("https://esbl.nhlbi.nih.gov/Databases/mpkFractions/proteomic_fractions_log_files/Yang_log_img/6678193.jpg","show blot")</f>
        <v>show blot</v>
      </c>
      <c r="H7357" s="8" t="str">
        <f>HYPERLINK("https://esbl.nhlbi.nih.gov/Databases/mpkFractions/proteomic_fractions_linear_files/Yang_linear_img/6678193.jpg","show blot")</f>
        <v>show blot</v>
      </c>
      <c r="J7357" s="5" t="s">
        <v>14477</v>
      </c>
      <c r="L7357" s="11">
        <v>4.3969408738506033</v>
      </c>
      <c r="N7357" s="12"/>
    </row>
    <row r="7358" spans="1:14" s="5" customFormat="1" ht="15" customHeight="1" x14ac:dyDescent="0.25">
      <c r="A7358" s="9" t="s">
        <v>14478</v>
      </c>
      <c r="C7358" s="9" t="str">
        <f>HYPERLINK("http://www.ncbi.nlm.nih.gov/protein/7106429","Syngr2")</f>
        <v>Syngr2</v>
      </c>
      <c r="D7358" s="10">
        <f t="shared" si="114"/>
        <v>5.4179668658756537</v>
      </c>
      <c r="F7358" s="8" t="str">
        <f>HYPERLINK("https://esbl.nhlbi.nih.gov/Databases/mpkFractions/proteomic_fractions_log_files/Yang_log_img/7106429.jpg","show blot")</f>
        <v>show blot</v>
      </c>
      <c r="H7358" s="8" t="str">
        <f>HYPERLINK("https://esbl.nhlbi.nih.gov/Databases/mpkFractions/proteomic_fractions_linear_files/Yang_linear_img/7106429.jpg","show blot")</f>
        <v>show blot</v>
      </c>
      <c r="J7358" s="5" t="s">
        <v>14479</v>
      </c>
      <c r="L7358" s="11">
        <v>5.4179668658756537</v>
      </c>
      <c r="N7358" s="12"/>
    </row>
    <row r="7359" spans="1:14" s="5" customFormat="1" ht="15" customHeight="1" x14ac:dyDescent="0.25">
      <c r="A7359" s="9" t="s">
        <v>14480</v>
      </c>
      <c r="C7359" s="9" t="str">
        <f>HYPERLINK("http://www.ncbi.nlm.nih.gov/protein/31560541","Syngr3")</f>
        <v>Syngr3</v>
      </c>
      <c r="D7359" s="10">
        <f t="shared" si="114"/>
        <v>1.8765065042658811</v>
      </c>
      <c r="F7359" s="8" t="str">
        <f>HYPERLINK("https://esbl.nhlbi.nih.gov/Databases/mpkFractions/proteomic_fractions_log_files/Yang_log_img/31560541.jpg","show blot")</f>
        <v>show blot</v>
      </c>
      <c r="H7359" s="8" t="str">
        <f>HYPERLINK("https://esbl.nhlbi.nih.gov/Databases/mpkFractions/proteomic_fractions_linear_files/Yang_linear_img/31560541.jpg","show blot")</f>
        <v>show blot</v>
      </c>
      <c r="J7359" s="5" t="s">
        <v>14481</v>
      </c>
      <c r="L7359" s="11">
        <v>1.8765065042658811</v>
      </c>
      <c r="N7359" s="12"/>
    </row>
    <row r="7360" spans="1:14" s="5" customFormat="1" ht="15" customHeight="1" x14ac:dyDescent="0.25">
      <c r="A7360" s="9" t="s">
        <v>14482</v>
      </c>
      <c r="C7360" s="9" t="str">
        <f>HYPERLINK("http://www.ncbi.nlm.nih.gov/protein/256773218","Synj1")</f>
        <v>Synj1</v>
      </c>
      <c r="D7360" s="10">
        <f t="shared" si="114"/>
        <v>3.188487181714454</v>
      </c>
      <c r="F7360" s="8" t="str">
        <f>HYPERLINK("https://esbl.nhlbi.nih.gov/Databases/mpkFractions/proteomic_fractions_log_files/Yang_log_img/256773218.jpg","show blot")</f>
        <v>show blot</v>
      </c>
      <c r="H7360" s="8" t="str">
        <f>HYPERLINK("https://esbl.nhlbi.nih.gov/Databases/mpkFractions/proteomic_fractions_linear_files/Yang_linear_img/256773218.jpg","show blot")</f>
        <v>show blot</v>
      </c>
      <c r="J7360" s="5" t="s">
        <v>14483</v>
      </c>
      <c r="L7360" s="11">
        <v>3.188487181714454</v>
      </c>
      <c r="N7360" s="12"/>
    </row>
    <row r="7361" spans="1:14" s="5" customFormat="1" ht="15" customHeight="1" x14ac:dyDescent="0.25">
      <c r="A7361" s="9" t="s">
        <v>14484</v>
      </c>
      <c r="C7361" s="9" t="str">
        <f>HYPERLINK("http://www.ncbi.nlm.nih.gov/protein/256773220","Synj1")</f>
        <v>Synj1</v>
      </c>
      <c r="D7361" s="10">
        <f t="shared" si="114"/>
        <v>3.188487181714454</v>
      </c>
      <c r="F7361" s="8" t="str">
        <f>HYPERLINK("https://esbl.nhlbi.nih.gov/Databases/mpkFractions/proteomic_fractions_log_files/Yang_log_img/256773220.jpg","show blot")</f>
        <v>show blot</v>
      </c>
      <c r="H7361" s="8" t="str">
        <f>HYPERLINK("https://esbl.nhlbi.nih.gov/Databases/mpkFractions/proteomic_fractions_linear_files/Yang_linear_img/256773220.jpg","show blot")</f>
        <v>show blot</v>
      </c>
      <c r="J7361" s="5" t="s">
        <v>14485</v>
      </c>
      <c r="L7361" s="11">
        <v>3.188487181714454</v>
      </c>
      <c r="N7361" s="12"/>
    </row>
    <row r="7362" spans="1:14" s="5" customFormat="1" ht="15" customHeight="1" x14ac:dyDescent="0.25">
      <c r="A7362" s="9" t="s">
        <v>14486</v>
      </c>
      <c r="C7362" s="9" t="str">
        <f>HYPERLINK("http://www.ncbi.nlm.nih.gov/protein/13384642","Synj2bp")</f>
        <v>Synj2bp</v>
      </c>
      <c r="D7362" s="10">
        <f t="shared" si="114"/>
        <v>5.2598046928760409</v>
      </c>
      <c r="F7362" s="8" t="str">
        <f>HYPERLINK("https://esbl.nhlbi.nih.gov/Databases/mpkFractions/proteomic_fractions_log_files/Yang_log_img/13384642.jpg","show blot")</f>
        <v>show blot</v>
      </c>
      <c r="H7362" s="8" t="str">
        <f>HYPERLINK("https://esbl.nhlbi.nih.gov/Databases/mpkFractions/proteomic_fractions_linear_files/Yang_linear_img/13384642.jpg","show blot")</f>
        <v>show blot</v>
      </c>
      <c r="J7362" s="5" t="s">
        <v>14487</v>
      </c>
      <c r="L7362" s="11">
        <v>5.2598046928760409</v>
      </c>
      <c r="N7362" s="12"/>
    </row>
    <row r="7363" spans="1:14" s="5" customFormat="1" ht="15" customHeight="1" x14ac:dyDescent="0.25">
      <c r="A7363" s="9" t="s">
        <v>14488</v>
      </c>
      <c r="C7363" s="9" t="str">
        <f>HYPERLINK("http://www.ncbi.nlm.nih.gov/protein/169234726","Synrg")</f>
        <v>Synrg</v>
      </c>
      <c r="D7363" s="10">
        <f t="shared" si="114"/>
        <v>4.0881612382604589</v>
      </c>
      <c r="F7363" s="8" t="str">
        <f>HYPERLINK("https://esbl.nhlbi.nih.gov/Databases/mpkFractions/proteomic_fractions_log_files/Yang_log_img/169234726.jpg","show blot")</f>
        <v>show blot</v>
      </c>
      <c r="H7363" s="8" t="str">
        <f>HYPERLINK("https://esbl.nhlbi.nih.gov/Databases/mpkFractions/proteomic_fractions_linear_files/Yang_linear_img/169234726.jpg","show blot")</f>
        <v>show blot</v>
      </c>
      <c r="J7363" s="5" t="s">
        <v>14489</v>
      </c>
      <c r="L7363" s="11">
        <v>4.0881612382604589</v>
      </c>
      <c r="N7363" s="12"/>
    </row>
    <row r="7364" spans="1:14" s="5" customFormat="1" ht="15" customHeight="1" x14ac:dyDescent="0.25">
      <c r="A7364" s="9" t="s">
        <v>14490</v>
      </c>
      <c r="C7364" s="9" t="str">
        <f>HYPERLINK("http://www.ncbi.nlm.nih.gov/protein/34996507","Synrg")</f>
        <v>Synrg</v>
      </c>
      <c r="D7364" s="10">
        <f t="shared" si="114"/>
        <v>4.0881612382604589</v>
      </c>
      <c r="F7364" s="8" t="str">
        <f>HYPERLINK("https://esbl.nhlbi.nih.gov/Databases/mpkFractions/proteomic_fractions_log_files/Yang_log_img/34996507.jpg","show blot")</f>
        <v>show blot</v>
      </c>
      <c r="H7364" s="8" t="str">
        <f>HYPERLINK("https://esbl.nhlbi.nih.gov/Databases/mpkFractions/proteomic_fractions_linear_files/Yang_linear_img/34996507.jpg","show blot")</f>
        <v>show blot</v>
      </c>
      <c r="J7364" s="5" t="s">
        <v>14491</v>
      </c>
      <c r="L7364" s="11">
        <v>4.0881612382604589</v>
      </c>
      <c r="N7364" s="12"/>
    </row>
    <row r="7365" spans="1:14" s="5" customFormat="1" ht="15" customHeight="1" x14ac:dyDescent="0.25">
      <c r="A7365" s="9" t="s">
        <v>14492</v>
      </c>
      <c r="C7365" s="9" t="str">
        <f>HYPERLINK("http://www.ncbi.nlm.nih.gov/protein/226958374","Sypl")</f>
        <v>Sypl</v>
      </c>
      <c r="D7365" s="10">
        <f t="shared" ref="D7365:D7428" si="115">L7365</f>
        <v>5.4417038689294257</v>
      </c>
      <c r="F7365" s="8" t="str">
        <f>HYPERLINK("https://esbl.nhlbi.nih.gov/Databases/mpkFractions/proteomic_fractions_log_files/Yang_log_img/226958374.jpg","show blot")</f>
        <v>show blot</v>
      </c>
      <c r="H7365" s="8" t="str">
        <f>HYPERLINK("https://esbl.nhlbi.nih.gov/Databases/mpkFractions/proteomic_fractions_linear_files/Yang_linear_img/226958374.jpg","show blot")</f>
        <v>show blot</v>
      </c>
      <c r="J7365" s="5" t="s">
        <v>14493</v>
      </c>
      <c r="L7365" s="11">
        <v>5.4417038689294257</v>
      </c>
      <c r="N7365" s="12"/>
    </row>
    <row r="7366" spans="1:14" s="5" customFormat="1" ht="15" customHeight="1" x14ac:dyDescent="0.25">
      <c r="A7366" s="9" t="s">
        <v>14494</v>
      </c>
      <c r="C7366" s="9" t="str">
        <f>HYPERLINK("http://www.ncbi.nlm.nih.gov/protein/41282044","Sypl")</f>
        <v>Sypl</v>
      </c>
      <c r="D7366" s="10">
        <f t="shared" si="115"/>
        <v>5.4417038689294257</v>
      </c>
      <c r="F7366" s="8" t="str">
        <f>HYPERLINK("https://esbl.nhlbi.nih.gov/Databases/mpkFractions/proteomic_fractions_log_files/Yang_log_img/41282044.jpg","show blot")</f>
        <v>show blot</v>
      </c>
      <c r="H7366" s="8" t="str">
        <f>HYPERLINK("https://esbl.nhlbi.nih.gov/Databases/mpkFractions/proteomic_fractions_linear_files/Yang_linear_img/41282044.jpg","show blot")</f>
        <v>show blot</v>
      </c>
      <c r="J7366" s="5" t="s">
        <v>14495</v>
      </c>
      <c r="L7366" s="11">
        <v>5.4417038689294257</v>
      </c>
      <c r="N7366" s="12"/>
    </row>
    <row r="7367" spans="1:14" s="5" customFormat="1" ht="15" customHeight="1" x14ac:dyDescent="0.25">
      <c r="A7367" s="9" t="s">
        <v>14496</v>
      </c>
      <c r="C7367" s="9" t="str">
        <f>HYPERLINK("http://www.ncbi.nlm.nih.gov/protein/258547102","Syvn1")</f>
        <v>Syvn1</v>
      </c>
      <c r="D7367" s="10">
        <f t="shared" si="115"/>
        <v>3.590965230450637</v>
      </c>
      <c r="F7367" s="8" t="str">
        <f>HYPERLINK("https://esbl.nhlbi.nih.gov/Databases/mpkFractions/proteomic_fractions_log_files/Yang_log_img/258547102.jpg","show blot")</f>
        <v>show blot</v>
      </c>
      <c r="H7367" s="8" t="str">
        <f>HYPERLINK("https://esbl.nhlbi.nih.gov/Databases/mpkFractions/proteomic_fractions_linear_files/Yang_linear_img/258547102.jpg","show blot")</f>
        <v>show blot</v>
      </c>
      <c r="J7367" s="5" t="s">
        <v>14497</v>
      </c>
      <c r="L7367" s="11">
        <v>3.590965230450637</v>
      </c>
      <c r="N7367" s="12"/>
    </row>
    <row r="7368" spans="1:14" s="5" customFormat="1" ht="15" customHeight="1" x14ac:dyDescent="0.25">
      <c r="A7368" s="9" t="s">
        <v>14498</v>
      </c>
      <c r="C7368" s="9" t="str">
        <f>HYPERLINK("http://www.ncbi.nlm.nih.gov/protein/33239391","Szrd1")</f>
        <v>Szrd1</v>
      </c>
      <c r="D7368" s="10">
        <f t="shared" si="115"/>
        <v>3.658266979374821</v>
      </c>
      <c r="F7368" s="8" t="str">
        <f>HYPERLINK("https://esbl.nhlbi.nih.gov/Databases/mpkFractions/proteomic_fractions_log_files/Yang_log_img/33239391.jpg","show blot")</f>
        <v>show blot</v>
      </c>
      <c r="H7368" s="8" t="str">
        <f>HYPERLINK("https://esbl.nhlbi.nih.gov/Databases/mpkFractions/proteomic_fractions_linear_files/Yang_linear_img/33239391.jpg","show blot")</f>
        <v>show blot</v>
      </c>
      <c r="J7368" s="5" t="s">
        <v>14499</v>
      </c>
      <c r="L7368" s="11">
        <v>3.658266979374821</v>
      </c>
      <c r="N7368" s="12"/>
    </row>
    <row r="7369" spans="1:14" s="5" customFormat="1" ht="15" customHeight="1" x14ac:dyDescent="0.25">
      <c r="A7369" s="9" t="s">
        <v>14500</v>
      </c>
      <c r="C7369" s="9" t="str">
        <f>HYPERLINK("http://www.ncbi.nlm.nih.gov/protein/71043934","Szrd1")</f>
        <v>Szrd1</v>
      </c>
      <c r="D7369" s="10">
        <f t="shared" si="115"/>
        <v>3.658266979374821</v>
      </c>
      <c r="F7369" s="8" t="str">
        <f>HYPERLINK("https://esbl.nhlbi.nih.gov/Databases/mpkFractions/proteomic_fractions_log_files/Yang_log_img/71043934.jpg","show blot")</f>
        <v>show blot</v>
      </c>
      <c r="H7369" s="8" t="str">
        <f>HYPERLINK("https://esbl.nhlbi.nih.gov/Databases/mpkFractions/proteomic_fractions_linear_files/Yang_linear_img/71043934.jpg","show blot")</f>
        <v>show blot</v>
      </c>
      <c r="J7369" s="5" t="s">
        <v>14501</v>
      </c>
      <c r="L7369" s="11">
        <v>3.658266979374821</v>
      </c>
      <c r="N7369" s="12"/>
    </row>
    <row r="7370" spans="1:14" s="5" customFormat="1" ht="15" customHeight="1" x14ac:dyDescent="0.25">
      <c r="A7370" s="9" t="s">
        <v>14502</v>
      </c>
      <c r="C7370" s="9" t="str">
        <f>HYPERLINK("http://www.ncbi.nlm.nih.gov/protein/34328268","Tab1")</f>
        <v>Tab1</v>
      </c>
      <c r="D7370" s="10">
        <f t="shared" si="115"/>
        <v>4.3549581212352217</v>
      </c>
      <c r="F7370" s="8" t="str">
        <f>HYPERLINK("https://esbl.nhlbi.nih.gov/Databases/mpkFractions/proteomic_fractions_log_files/Yang_log_img/34328268.jpg","show blot")</f>
        <v>show blot</v>
      </c>
      <c r="H7370" s="8" t="str">
        <f>HYPERLINK("https://esbl.nhlbi.nih.gov/Databases/mpkFractions/proteomic_fractions_linear_files/Yang_linear_img/34328268.jpg","show blot")</f>
        <v>show blot</v>
      </c>
      <c r="J7370" s="5" t="s">
        <v>14503</v>
      </c>
      <c r="L7370" s="11">
        <v>4.3549581212352217</v>
      </c>
      <c r="N7370" s="12"/>
    </row>
    <row r="7371" spans="1:14" s="5" customFormat="1" ht="15" customHeight="1" x14ac:dyDescent="0.25">
      <c r="A7371" s="9" t="s">
        <v>14504</v>
      </c>
      <c r="C7371" s="9" t="str">
        <f>HYPERLINK("http://www.ncbi.nlm.nih.gov/protein/6678207","Tac1")</f>
        <v>Tac1</v>
      </c>
      <c r="D7371" s="10">
        <f t="shared" si="115"/>
        <v>4.6687035248278574</v>
      </c>
      <c r="F7371" s="8" t="str">
        <f>HYPERLINK("https://esbl.nhlbi.nih.gov/Databases/mpkFractions/proteomic_fractions_log_files/Yang_log_img/6678207.jpg","show blot")</f>
        <v>show blot</v>
      </c>
      <c r="H7371" s="8" t="str">
        <f>HYPERLINK("https://esbl.nhlbi.nih.gov/Databases/mpkFractions/proteomic_fractions_linear_files/Yang_linear_img/6678207.jpg","show blot")</f>
        <v>show blot</v>
      </c>
      <c r="J7371" s="5" t="s">
        <v>14505</v>
      </c>
      <c r="L7371" s="11">
        <v>4.6687035248278574</v>
      </c>
      <c r="N7371" s="12"/>
    </row>
    <row r="7372" spans="1:14" s="5" customFormat="1" ht="15" customHeight="1" x14ac:dyDescent="0.25">
      <c r="A7372" s="9" t="s">
        <v>14506</v>
      </c>
      <c r="C7372" s="9" t="str">
        <f>HYPERLINK("http://www.ncbi.nlm.nih.gov/protein/52486864","Tacc2")</f>
        <v>Tacc2</v>
      </c>
      <c r="D7372" s="10">
        <f t="shared" si="115"/>
        <v>3.7703405182603502</v>
      </c>
      <c r="F7372" s="8" t="str">
        <f>HYPERLINK("https://esbl.nhlbi.nih.gov/Databases/mpkFractions/proteomic_fractions_log_files/Yang_log_img/52486864.jpg","show blot")</f>
        <v>show blot</v>
      </c>
      <c r="H7372" s="8" t="str">
        <f>HYPERLINK("https://esbl.nhlbi.nih.gov/Databases/mpkFractions/proteomic_fractions_linear_files/Yang_linear_img/52486864.jpg","show blot")</f>
        <v>show blot</v>
      </c>
      <c r="J7372" s="5" t="s">
        <v>14507</v>
      </c>
      <c r="L7372" s="11">
        <v>3.7703405182603502</v>
      </c>
      <c r="N7372" s="12"/>
    </row>
    <row r="7373" spans="1:14" s="5" customFormat="1" ht="15" customHeight="1" x14ac:dyDescent="0.25">
      <c r="A7373" s="9" t="s">
        <v>14508</v>
      </c>
      <c r="C7373" s="9" t="str">
        <f>HYPERLINK("http://www.ncbi.nlm.nih.gov/protein/52486915","Tacc2")</f>
        <v>Tacc2</v>
      </c>
      <c r="D7373" s="10">
        <f t="shared" si="115"/>
        <v>3.7703405182603502</v>
      </c>
      <c r="F7373" s="8" t="str">
        <f>HYPERLINK("https://esbl.nhlbi.nih.gov/Databases/mpkFractions/proteomic_fractions_log_files/Yang_log_img/52486915.jpg","show blot")</f>
        <v>show blot</v>
      </c>
      <c r="H7373" s="8" t="str">
        <f>HYPERLINK("https://esbl.nhlbi.nih.gov/Databases/mpkFractions/proteomic_fractions_linear_files/Yang_linear_img/52486915.jpg","show blot")</f>
        <v>show blot</v>
      </c>
      <c r="J7373" s="5" t="s">
        <v>14509</v>
      </c>
      <c r="L7373" s="11">
        <v>3.7703405182603502</v>
      </c>
      <c r="N7373" s="12"/>
    </row>
    <row r="7374" spans="1:14" s="5" customFormat="1" ht="15" customHeight="1" x14ac:dyDescent="0.25">
      <c r="A7374" s="9" t="s">
        <v>14510</v>
      </c>
      <c r="C7374" s="9" t="str">
        <f>HYPERLINK("http://www.ncbi.nlm.nih.gov/protein/52486843","Tacc2")</f>
        <v>Tacc2</v>
      </c>
      <c r="D7374" s="10">
        <f t="shared" si="115"/>
        <v>3.7703405182603502</v>
      </c>
      <c r="F7374" s="8" t="str">
        <f>HYPERLINK("https://esbl.nhlbi.nih.gov/Databases/mpkFractions/proteomic_fractions_log_files/Yang_log_img/52486843.jpg","show blot")</f>
        <v>show blot</v>
      </c>
      <c r="H7374" s="8" t="str">
        <f>HYPERLINK("https://esbl.nhlbi.nih.gov/Databases/mpkFractions/proteomic_fractions_linear_files/Yang_linear_img/52486843.jpg","show blot")</f>
        <v>show blot</v>
      </c>
      <c r="J7374" s="5" t="s">
        <v>14511</v>
      </c>
      <c r="L7374" s="11">
        <v>3.7703405182603502</v>
      </c>
      <c r="N7374" s="12"/>
    </row>
    <row r="7375" spans="1:14" s="5" customFormat="1" ht="15" customHeight="1" x14ac:dyDescent="0.25">
      <c r="A7375" s="9" t="s">
        <v>14512</v>
      </c>
      <c r="C7375" s="9" t="str">
        <f>HYPERLINK("http://www.ncbi.nlm.nih.gov/protein/94681040","Tacc3")</f>
        <v>Tacc3</v>
      </c>
      <c r="D7375" s="10">
        <f t="shared" si="115"/>
        <v>3.17913974195756</v>
      </c>
      <c r="F7375" s="8" t="str">
        <f>HYPERLINK("https://esbl.nhlbi.nih.gov/Databases/mpkFractions/proteomic_fractions_log_files/Yang_log_img/94681040.jpg","show blot")</f>
        <v>show blot</v>
      </c>
      <c r="H7375" s="8" t="str">
        <f>HYPERLINK("https://esbl.nhlbi.nih.gov/Databases/mpkFractions/proteomic_fractions_linear_files/Yang_linear_img/94681040.jpg","show blot")</f>
        <v>show blot</v>
      </c>
      <c r="J7375" s="5" t="s">
        <v>14513</v>
      </c>
      <c r="L7375" s="11">
        <v>3.17913974195756</v>
      </c>
      <c r="N7375" s="12"/>
    </row>
    <row r="7376" spans="1:14" s="5" customFormat="1" ht="15" customHeight="1" x14ac:dyDescent="0.25">
      <c r="A7376" s="9" t="s">
        <v>14514</v>
      </c>
      <c r="C7376" s="9" t="str">
        <f>HYPERLINK("http://www.ncbi.nlm.nih.gov/protein/39930435","Taco1")</f>
        <v>Taco1</v>
      </c>
      <c r="D7376" s="10">
        <f t="shared" si="115"/>
        <v>3.7426038217072848</v>
      </c>
      <c r="F7376" s="8" t="str">
        <f>HYPERLINK("https://esbl.nhlbi.nih.gov/Databases/mpkFractions/proteomic_fractions_log_files/Yang_log_img/39930435.jpg","show blot")</f>
        <v>show blot</v>
      </c>
      <c r="H7376" s="8" t="str">
        <f>HYPERLINK("https://esbl.nhlbi.nih.gov/Databases/mpkFractions/proteomic_fractions_linear_files/Yang_linear_img/39930435.jpg","show blot")</f>
        <v>show blot</v>
      </c>
      <c r="J7376" s="5" t="s">
        <v>14515</v>
      </c>
      <c r="L7376" s="11">
        <v>3.7426038217072848</v>
      </c>
      <c r="N7376" s="12"/>
    </row>
    <row r="7377" spans="1:14" s="5" customFormat="1" ht="15" customHeight="1" x14ac:dyDescent="0.25">
      <c r="A7377" s="9" t="s">
        <v>14516</v>
      </c>
      <c r="C7377" s="9" t="str">
        <f>HYPERLINK("http://www.ncbi.nlm.nih.gov/protein/31560359","Tacstd2")</f>
        <v>Tacstd2</v>
      </c>
      <c r="D7377" s="10">
        <f t="shared" si="115"/>
        <v>5.195226047919741</v>
      </c>
      <c r="F7377" s="8" t="str">
        <f>HYPERLINK("https://esbl.nhlbi.nih.gov/Databases/mpkFractions/proteomic_fractions_log_files/Yang_log_img/31560359.jpg","show blot")</f>
        <v>show blot</v>
      </c>
      <c r="H7377" s="8" t="str">
        <f>HYPERLINK("https://esbl.nhlbi.nih.gov/Databases/mpkFractions/proteomic_fractions_linear_files/Yang_linear_img/31560359.jpg","show blot")</f>
        <v>show blot</v>
      </c>
      <c r="J7377" s="5" t="s">
        <v>14517</v>
      </c>
      <c r="L7377" s="11">
        <v>5.195226047919741</v>
      </c>
      <c r="N7377" s="12"/>
    </row>
    <row r="7378" spans="1:14" s="5" customFormat="1" ht="15" customHeight="1" x14ac:dyDescent="0.25">
      <c r="A7378" s="9" t="s">
        <v>14518</v>
      </c>
      <c r="C7378" s="9" t="str">
        <f>HYPERLINK("http://www.ncbi.nlm.nih.gov/protein/30794436","Taf11")</f>
        <v>Taf11</v>
      </c>
      <c r="D7378" s="10">
        <f t="shared" si="115"/>
        <v>3.0949968279645348</v>
      </c>
      <c r="F7378" s="8" t="str">
        <f>HYPERLINK("https://esbl.nhlbi.nih.gov/Databases/mpkFractions/proteomic_fractions_log_files/Yang_log_img/30794436.jpg","show blot")</f>
        <v>show blot</v>
      </c>
      <c r="H7378" s="8" t="str">
        <f>HYPERLINK("https://esbl.nhlbi.nih.gov/Databases/mpkFractions/proteomic_fractions_linear_files/Yang_linear_img/30794436.jpg","show blot")</f>
        <v>show blot</v>
      </c>
      <c r="J7378" s="5" t="s">
        <v>14519</v>
      </c>
      <c r="L7378" s="11">
        <v>3.0949968279645348</v>
      </c>
      <c r="N7378" s="12"/>
    </row>
    <row r="7379" spans="1:14" s="5" customFormat="1" ht="15" customHeight="1" x14ac:dyDescent="0.25">
      <c r="A7379" s="9" t="s">
        <v>14520</v>
      </c>
      <c r="C7379" s="9" t="str">
        <f>HYPERLINK("http://www.ncbi.nlm.nih.gov/protein/30794412","Taf15")</f>
        <v>Taf15</v>
      </c>
      <c r="D7379" s="10">
        <f t="shared" si="115"/>
        <v>5.4006743410115803</v>
      </c>
      <c r="F7379" s="8" t="str">
        <f>HYPERLINK("https://esbl.nhlbi.nih.gov/Databases/mpkFractions/proteomic_fractions_log_files/Yang_log_img/30794412.jpg","show blot")</f>
        <v>show blot</v>
      </c>
      <c r="H7379" s="8" t="str">
        <f>HYPERLINK("https://esbl.nhlbi.nih.gov/Databases/mpkFractions/proteomic_fractions_linear_files/Yang_linear_img/30794412.jpg","show blot")</f>
        <v>show blot</v>
      </c>
      <c r="J7379" s="5" t="s">
        <v>14521</v>
      </c>
      <c r="L7379" s="11">
        <v>5.4006743410115803</v>
      </c>
      <c r="N7379" s="12"/>
    </row>
    <row r="7380" spans="1:14" s="5" customFormat="1" ht="15" customHeight="1" x14ac:dyDescent="0.25">
      <c r="A7380" s="9" t="s">
        <v>14522</v>
      </c>
      <c r="C7380" s="9" t="str">
        <f>HYPERLINK("http://www.ncbi.nlm.nih.gov/protein/295317363","Taf6l")</f>
        <v>Taf6l</v>
      </c>
      <c r="D7380" s="10">
        <f t="shared" si="115"/>
        <v>3.5386163510973452</v>
      </c>
      <c r="F7380" s="8" t="str">
        <f>HYPERLINK("https://esbl.nhlbi.nih.gov/Databases/mpkFractions/proteomic_fractions_log_files/Yang_log_img/295317363.jpg","show blot")</f>
        <v>show blot</v>
      </c>
      <c r="H7380" s="8" t="str">
        <f>HYPERLINK("https://esbl.nhlbi.nih.gov/Databases/mpkFractions/proteomic_fractions_linear_files/Yang_linear_img/295317363.jpg","show blot")</f>
        <v>show blot</v>
      </c>
      <c r="J7380" s="5" t="s">
        <v>14523</v>
      </c>
      <c r="L7380" s="11">
        <v>3.5386163510973452</v>
      </c>
      <c r="N7380" s="12"/>
    </row>
    <row r="7381" spans="1:14" s="5" customFormat="1" ht="15" customHeight="1" x14ac:dyDescent="0.25">
      <c r="A7381" s="9" t="s">
        <v>14524</v>
      </c>
      <c r="C7381" s="9" t="str">
        <f>HYPERLINK("http://www.ncbi.nlm.nih.gov/protein/295317365","Taf6l")</f>
        <v>Taf6l</v>
      </c>
      <c r="D7381" s="10">
        <f t="shared" si="115"/>
        <v>3.5386163510973452</v>
      </c>
      <c r="F7381" s="8" t="str">
        <f>HYPERLINK("https://esbl.nhlbi.nih.gov/Databases/mpkFractions/proteomic_fractions_log_files/Yang_log_img/295317365.jpg","show blot")</f>
        <v>show blot</v>
      </c>
      <c r="H7381" s="8" t="str">
        <f>HYPERLINK("https://esbl.nhlbi.nih.gov/Databases/mpkFractions/proteomic_fractions_linear_files/Yang_linear_img/295317365.jpg","show blot")</f>
        <v>show blot</v>
      </c>
      <c r="J7381" s="5" t="s">
        <v>14525</v>
      </c>
      <c r="L7381" s="11">
        <v>3.5386163510973452</v>
      </c>
      <c r="N7381" s="12"/>
    </row>
    <row r="7382" spans="1:14" s="5" customFormat="1" ht="15" customHeight="1" x14ac:dyDescent="0.25">
      <c r="A7382" s="9" t="s">
        <v>14526</v>
      </c>
      <c r="C7382" s="9" t="str">
        <f>HYPERLINK("http://www.ncbi.nlm.nih.gov/protein/283046765","Taf7l")</f>
        <v>Taf7l</v>
      </c>
      <c r="D7382" s="10">
        <f t="shared" si="115"/>
        <v>4.113283778127192</v>
      </c>
      <c r="F7382" s="8" t="str">
        <f>HYPERLINK("https://esbl.nhlbi.nih.gov/Databases/mpkFractions/proteomic_fractions_log_files/Yang_log_img/283046765.jpg","show blot")</f>
        <v>show blot</v>
      </c>
      <c r="H7382" s="8" t="str">
        <f>HYPERLINK("https://esbl.nhlbi.nih.gov/Databases/mpkFractions/proteomic_fractions_linear_files/Yang_linear_img/283046765.jpg","show blot")</f>
        <v>show blot</v>
      </c>
      <c r="J7382" s="5" t="s">
        <v>14527</v>
      </c>
      <c r="L7382" s="11">
        <v>4.113283778127192</v>
      </c>
      <c r="N7382" s="12"/>
    </row>
    <row r="7383" spans="1:14" s="5" customFormat="1" ht="15" customHeight="1" x14ac:dyDescent="0.25">
      <c r="A7383" s="9" t="s">
        <v>14528</v>
      </c>
      <c r="C7383" s="9" t="str">
        <f>HYPERLINK("http://www.ncbi.nlm.nih.gov/protein/30519911","Tagln2")</f>
        <v>Tagln2</v>
      </c>
      <c r="D7383" s="10">
        <f t="shared" si="115"/>
        <v>6.5970354023080962</v>
      </c>
      <c r="F7383" s="8" t="str">
        <f>HYPERLINK("https://esbl.nhlbi.nih.gov/Databases/mpkFractions/proteomic_fractions_log_files/Yang_log_img/30519911.jpg","show blot")</f>
        <v>show blot</v>
      </c>
      <c r="H7383" s="8" t="str">
        <f>HYPERLINK("https://esbl.nhlbi.nih.gov/Databases/mpkFractions/proteomic_fractions_linear_files/Yang_linear_img/30519911.jpg","show blot")</f>
        <v>show blot</v>
      </c>
      <c r="J7383" s="5" t="s">
        <v>14529</v>
      </c>
      <c r="L7383" s="11">
        <v>6.5970354023080962</v>
      </c>
      <c r="N7383" s="12"/>
    </row>
    <row r="7384" spans="1:14" s="5" customFormat="1" ht="15" customHeight="1" x14ac:dyDescent="0.25">
      <c r="A7384" s="9" t="s">
        <v>14530</v>
      </c>
      <c r="C7384" s="9" t="str">
        <f>HYPERLINK("http://www.ncbi.nlm.nih.gov/protein/9790125","Tagln3")</f>
        <v>Tagln3</v>
      </c>
      <c r="D7384" s="10">
        <f t="shared" si="115"/>
        <v>5.2897063542165732</v>
      </c>
      <c r="F7384" s="8" t="str">
        <f>HYPERLINK("https://esbl.nhlbi.nih.gov/Databases/mpkFractions/proteomic_fractions_log_files/Yang_log_img/9790125.jpg","show blot")</f>
        <v>show blot</v>
      </c>
      <c r="H7384" s="8" t="str">
        <f>HYPERLINK("https://esbl.nhlbi.nih.gov/Databases/mpkFractions/proteomic_fractions_linear_files/Yang_linear_img/9790125.jpg","show blot")</f>
        <v>show blot</v>
      </c>
      <c r="J7384" s="5" t="s">
        <v>14531</v>
      </c>
      <c r="L7384" s="11">
        <v>5.2897063542165732</v>
      </c>
      <c r="N7384" s="12"/>
    </row>
    <row r="7385" spans="1:14" s="5" customFormat="1" ht="15" customHeight="1" x14ac:dyDescent="0.25">
      <c r="A7385" s="9" t="s">
        <v>14532</v>
      </c>
      <c r="C7385" s="9" t="str">
        <f>HYPERLINK("http://www.ncbi.nlm.nih.gov/protein/33859640","Taldo1")</f>
        <v>Taldo1</v>
      </c>
      <c r="D7385" s="10">
        <f t="shared" si="115"/>
        <v>6.6176973043323413</v>
      </c>
      <c r="F7385" s="8" t="str">
        <f>HYPERLINK("https://esbl.nhlbi.nih.gov/Databases/mpkFractions/proteomic_fractions_log_files/Yang_log_img/33859640.jpg","show blot")</f>
        <v>show blot</v>
      </c>
      <c r="H7385" s="8" t="str">
        <f>HYPERLINK("https://esbl.nhlbi.nih.gov/Databases/mpkFractions/proteomic_fractions_linear_files/Yang_linear_img/33859640.jpg","show blot")</f>
        <v>show blot</v>
      </c>
      <c r="J7385" s="5" t="s">
        <v>14533</v>
      </c>
      <c r="L7385" s="11">
        <v>6.6176973043323413</v>
      </c>
      <c r="N7385" s="12"/>
    </row>
    <row r="7386" spans="1:14" s="5" customFormat="1" ht="15" customHeight="1" x14ac:dyDescent="0.25">
      <c r="A7386" s="9" t="s">
        <v>14534</v>
      </c>
      <c r="C7386" s="9" t="str">
        <f>HYPERLINK("http://www.ncbi.nlm.nih.gov/protein/76559944","Tamm41")</f>
        <v>Tamm41</v>
      </c>
      <c r="D7386" s="10">
        <f t="shared" si="115"/>
        <v>2.963849803035481</v>
      </c>
      <c r="F7386" s="8" t="str">
        <f>HYPERLINK("https://esbl.nhlbi.nih.gov/Databases/mpkFractions/proteomic_fractions_log_files/Yang_log_img/76559944.jpg","show blot")</f>
        <v>show blot</v>
      </c>
      <c r="H7386" s="8" t="str">
        <f>HYPERLINK("https://esbl.nhlbi.nih.gov/Databases/mpkFractions/proteomic_fractions_linear_files/Yang_linear_img/76559944.jpg","show blot")</f>
        <v>show blot</v>
      </c>
      <c r="J7386" s="5" t="s">
        <v>14535</v>
      </c>
      <c r="L7386" s="11">
        <v>2.963849803035481</v>
      </c>
      <c r="N7386" s="12"/>
    </row>
    <row r="7387" spans="1:14" s="5" customFormat="1" ht="15" customHeight="1" x14ac:dyDescent="0.25">
      <c r="A7387" s="9" t="s">
        <v>14536</v>
      </c>
      <c r="C7387" s="9" t="str">
        <f>HYPERLINK("http://www.ncbi.nlm.nih.gov/protein/57164407","Tanc1")</f>
        <v>Tanc1</v>
      </c>
      <c r="D7387" s="10">
        <f t="shared" si="115"/>
        <v>2.5329102120867679</v>
      </c>
      <c r="F7387" s="8" t="str">
        <f>HYPERLINK("https://esbl.nhlbi.nih.gov/Databases/mpkFractions/proteomic_fractions_log_files/Yang_log_img/57164407.jpg","show blot")</f>
        <v>show blot</v>
      </c>
      <c r="H7387" s="8" t="str">
        <f>HYPERLINK("https://esbl.nhlbi.nih.gov/Databases/mpkFractions/proteomic_fractions_linear_files/Yang_linear_img/57164407.jpg","show blot")</f>
        <v>show blot</v>
      </c>
      <c r="J7387" s="5" t="s">
        <v>14537</v>
      </c>
      <c r="L7387" s="11">
        <v>2.5329102120867679</v>
      </c>
      <c r="N7387" s="12"/>
    </row>
    <row r="7388" spans="1:14" s="5" customFormat="1" ht="15" customHeight="1" x14ac:dyDescent="0.25">
      <c r="A7388" s="9" t="s">
        <v>14538</v>
      </c>
      <c r="C7388" s="9" t="str">
        <f>HYPERLINK("http://www.ncbi.nlm.nih.gov/protein/124378026","Tanc2")</f>
        <v>Tanc2</v>
      </c>
      <c r="D7388" s="10">
        <f t="shared" si="115"/>
        <v>3.1498989567245612</v>
      </c>
      <c r="F7388" s="8" t="str">
        <f>HYPERLINK("https://esbl.nhlbi.nih.gov/Databases/mpkFractions/proteomic_fractions_log_files/Yang_log_img/124378026.jpg","show blot")</f>
        <v>show blot</v>
      </c>
      <c r="H7388" s="8" t="str">
        <f>HYPERLINK("https://esbl.nhlbi.nih.gov/Databases/mpkFractions/proteomic_fractions_linear_files/Yang_linear_img/124378026.jpg","show blot")</f>
        <v>show blot</v>
      </c>
      <c r="J7388" s="5" t="s">
        <v>14539</v>
      </c>
      <c r="L7388" s="11">
        <v>3.1498989567245612</v>
      </c>
      <c r="N7388" s="12"/>
    </row>
    <row r="7389" spans="1:14" s="5" customFormat="1" ht="15" customHeight="1" x14ac:dyDescent="0.25">
      <c r="A7389" s="9" t="s">
        <v>14540</v>
      </c>
      <c r="C7389" s="9" t="str">
        <f>HYPERLINK("http://www.ncbi.nlm.nih.gov/protein/255918143","Tango2")</f>
        <v>Tango2</v>
      </c>
      <c r="D7389" s="10">
        <f t="shared" si="115"/>
        <v>3.7601198696406071</v>
      </c>
      <c r="F7389" s="8" t="str">
        <f>HYPERLINK("https://esbl.nhlbi.nih.gov/Databases/mpkFractions/proteomic_fractions_log_files/Yang_log_img/255918143.jpg","show blot")</f>
        <v>show blot</v>
      </c>
      <c r="H7389" s="8" t="str">
        <f>HYPERLINK("https://esbl.nhlbi.nih.gov/Databases/mpkFractions/proteomic_fractions_linear_files/Yang_linear_img/255918143.jpg","show blot")</f>
        <v>show blot</v>
      </c>
      <c r="J7389" s="5" t="s">
        <v>14541</v>
      </c>
      <c r="L7389" s="11">
        <v>3.7601198696406071</v>
      </c>
      <c r="N7389" s="12"/>
    </row>
    <row r="7390" spans="1:14" s="5" customFormat="1" ht="15" customHeight="1" x14ac:dyDescent="0.25">
      <c r="A7390" s="9" t="s">
        <v>14542</v>
      </c>
      <c r="C7390" s="9" t="str">
        <f>HYPERLINK("http://www.ncbi.nlm.nih.gov/protein/124358959","Taok1")</f>
        <v>Taok1</v>
      </c>
      <c r="D7390" s="10">
        <f t="shared" si="115"/>
        <v>3.829308707072169</v>
      </c>
      <c r="F7390" s="8" t="str">
        <f>HYPERLINK("https://esbl.nhlbi.nih.gov/Databases/mpkFractions/proteomic_fractions_log_files/Yang_log_img/124358959.jpg","show blot")</f>
        <v>show blot</v>
      </c>
      <c r="H7390" s="8" t="str">
        <f>HYPERLINK("https://esbl.nhlbi.nih.gov/Databases/mpkFractions/proteomic_fractions_linear_files/Yang_linear_img/124358959.jpg","show blot")</f>
        <v>show blot</v>
      </c>
      <c r="J7390" s="5" t="s">
        <v>14543</v>
      </c>
      <c r="L7390" s="11">
        <v>3.829308707072169</v>
      </c>
      <c r="N7390" s="12"/>
    </row>
    <row r="7391" spans="1:14" s="5" customFormat="1" ht="15" customHeight="1" x14ac:dyDescent="0.25">
      <c r="A7391" s="9" t="s">
        <v>14544</v>
      </c>
      <c r="C7391" s="9" t="str">
        <f>HYPERLINK("http://www.ncbi.nlm.nih.gov/protein/255003682","Taok2")</f>
        <v>Taok2</v>
      </c>
      <c r="D7391" s="10">
        <f t="shared" si="115"/>
        <v>4.0468681081103126</v>
      </c>
      <c r="F7391" s="8" t="str">
        <f>HYPERLINK("https://esbl.nhlbi.nih.gov/Databases/mpkFractions/proteomic_fractions_log_files/Yang_log_img/255003682.jpg","show blot")</f>
        <v>show blot</v>
      </c>
      <c r="H7391" s="8" t="str">
        <f>HYPERLINK("https://esbl.nhlbi.nih.gov/Databases/mpkFractions/proteomic_fractions_linear_files/Yang_linear_img/255003682.jpg","show blot")</f>
        <v>show blot</v>
      </c>
      <c r="J7391" s="5" t="s">
        <v>14545</v>
      </c>
      <c r="L7391" s="11">
        <v>4.0468681081103126</v>
      </c>
      <c r="N7391" s="12"/>
    </row>
    <row r="7392" spans="1:14" s="5" customFormat="1" ht="15" customHeight="1" x14ac:dyDescent="0.25">
      <c r="A7392" s="9" t="s">
        <v>14546</v>
      </c>
      <c r="C7392" s="9" t="str">
        <f>HYPERLINK("http://www.ncbi.nlm.nih.gov/protein/124486801","Taok3")</f>
        <v>Taok3</v>
      </c>
      <c r="D7392" s="10">
        <f t="shared" si="115"/>
        <v>4.0489339782013518</v>
      </c>
      <c r="F7392" s="8" t="str">
        <f>HYPERLINK("https://esbl.nhlbi.nih.gov/Databases/mpkFractions/proteomic_fractions_log_files/Yang_log_img/124486801.jpg","show blot")</f>
        <v>show blot</v>
      </c>
      <c r="H7392" s="8" t="str">
        <f>HYPERLINK("https://esbl.nhlbi.nih.gov/Databases/mpkFractions/proteomic_fractions_linear_files/Yang_linear_img/124486801.jpg","show blot")</f>
        <v>show blot</v>
      </c>
      <c r="J7392" s="5" t="s">
        <v>14547</v>
      </c>
      <c r="L7392" s="11">
        <v>4.0489339782013518</v>
      </c>
      <c r="N7392" s="12"/>
    </row>
    <row r="7393" spans="1:14" s="5" customFormat="1" ht="15" customHeight="1" x14ac:dyDescent="0.25">
      <c r="A7393" s="9" t="s">
        <v>14548</v>
      </c>
      <c r="C7393" s="9" t="str">
        <f>HYPERLINK("http://www.ncbi.nlm.nih.gov/protein/6678219","Tapbp")</f>
        <v>Tapbp</v>
      </c>
      <c r="D7393" s="10">
        <f t="shared" si="115"/>
        <v>3.9609056708721182</v>
      </c>
      <c r="F7393" s="8" t="str">
        <f>HYPERLINK("https://esbl.nhlbi.nih.gov/Databases/mpkFractions/proteomic_fractions_log_files/Yang_log_img/6678219.jpg","show blot")</f>
        <v>show blot</v>
      </c>
      <c r="H7393" s="8" t="str">
        <f>HYPERLINK("https://esbl.nhlbi.nih.gov/Databases/mpkFractions/proteomic_fractions_linear_files/Yang_linear_img/6678219.jpg","show blot")</f>
        <v>show blot</v>
      </c>
      <c r="J7393" s="5" t="s">
        <v>14549</v>
      </c>
      <c r="L7393" s="11">
        <v>3.9609056708721182</v>
      </c>
      <c r="N7393" s="12"/>
    </row>
    <row r="7394" spans="1:14" s="5" customFormat="1" ht="15" customHeight="1" x14ac:dyDescent="0.25">
      <c r="A7394" s="9" t="s">
        <v>14550</v>
      </c>
      <c r="C7394" s="9" t="str">
        <f>HYPERLINK("http://www.ncbi.nlm.nih.gov/protein/70778974","Tapbp")</f>
        <v>Tapbp</v>
      </c>
      <c r="D7394" s="10">
        <f t="shared" si="115"/>
        <v>3.9609056708721182</v>
      </c>
      <c r="F7394" s="8" t="str">
        <f>HYPERLINK("https://esbl.nhlbi.nih.gov/Databases/mpkFractions/proteomic_fractions_log_files/Yang_log_img/70778974.jpg","show blot")</f>
        <v>show blot</v>
      </c>
      <c r="H7394" s="8" t="str">
        <f>HYPERLINK("https://esbl.nhlbi.nih.gov/Databases/mpkFractions/proteomic_fractions_linear_files/Yang_linear_img/70778974.jpg","show blot")</f>
        <v>show blot</v>
      </c>
      <c r="J7394" s="5" t="s">
        <v>14551</v>
      </c>
      <c r="L7394" s="11">
        <v>3.9609056708721182</v>
      </c>
      <c r="N7394" s="12"/>
    </row>
    <row r="7395" spans="1:14" s="5" customFormat="1" ht="15" customHeight="1" x14ac:dyDescent="0.25">
      <c r="A7395" s="9" t="s">
        <v>14552</v>
      </c>
      <c r="C7395" s="9" t="str">
        <f>HYPERLINK("http://www.ncbi.nlm.nih.gov/protein/71143116","Tapt1")</f>
        <v>Tapt1</v>
      </c>
      <c r="D7395" s="10">
        <f t="shared" si="115"/>
        <v>1.6717746500244259</v>
      </c>
      <c r="F7395" s="8" t="str">
        <f>HYPERLINK("https://esbl.nhlbi.nih.gov/Databases/mpkFractions/proteomic_fractions_log_files/Yang_log_img/71143116.jpg","show blot")</f>
        <v>show blot</v>
      </c>
      <c r="H7395" s="8" t="str">
        <f>HYPERLINK("https://esbl.nhlbi.nih.gov/Databases/mpkFractions/proteomic_fractions_linear_files/Yang_linear_img/71143116.jpg","show blot")</f>
        <v>show blot</v>
      </c>
      <c r="J7395" s="5" t="s">
        <v>14553</v>
      </c>
      <c r="L7395" s="11">
        <v>1.6717746500244259</v>
      </c>
      <c r="N7395" s="12"/>
    </row>
    <row r="7396" spans="1:14" s="5" customFormat="1" ht="15" customHeight="1" x14ac:dyDescent="0.25">
      <c r="A7396" s="9" t="s">
        <v>14554</v>
      </c>
      <c r="C7396" s="9" t="str">
        <f>HYPERLINK("http://www.ncbi.nlm.nih.gov/protein/166295185","Tarbp2")</f>
        <v>Tarbp2</v>
      </c>
      <c r="D7396" s="10">
        <f t="shared" si="115"/>
        <v>4.1303298385178682</v>
      </c>
      <c r="F7396" s="8" t="str">
        <f>HYPERLINK("https://esbl.nhlbi.nih.gov/Databases/mpkFractions/proteomic_fractions_log_files/Yang_log_img/166295185.jpg","show blot")</f>
        <v>show blot</v>
      </c>
      <c r="H7396" s="8" t="str">
        <f>HYPERLINK("https://esbl.nhlbi.nih.gov/Databases/mpkFractions/proteomic_fractions_linear_files/Yang_linear_img/166295185.jpg","show blot")</f>
        <v>show blot</v>
      </c>
      <c r="J7396" s="5" t="s">
        <v>14555</v>
      </c>
      <c r="L7396" s="11">
        <v>4.1303298385178682</v>
      </c>
      <c r="N7396" s="12"/>
    </row>
    <row r="7397" spans="1:14" s="5" customFormat="1" ht="15" customHeight="1" x14ac:dyDescent="0.25">
      <c r="A7397" s="9" t="s">
        <v>14556</v>
      </c>
      <c r="C7397" s="9" t="str">
        <f>HYPERLINK("http://www.ncbi.nlm.nih.gov/protein/21704096","Tardbp")</f>
        <v>Tardbp</v>
      </c>
      <c r="D7397" s="10">
        <f t="shared" si="115"/>
        <v>6.3747139619411106</v>
      </c>
      <c r="F7397" s="8" t="str">
        <f>HYPERLINK("https://esbl.nhlbi.nih.gov/Databases/mpkFractions/proteomic_fractions_log_files/Yang_log_img/21704096.jpg","show blot")</f>
        <v>show blot</v>
      </c>
      <c r="H7397" s="8" t="str">
        <f>HYPERLINK("https://esbl.nhlbi.nih.gov/Databases/mpkFractions/proteomic_fractions_linear_files/Yang_linear_img/21704096.jpg","show blot")</f>
        <v>show blot</v>
      </c>
      <c r="J7397" s="5" t="s">
        <v>14557</v>
      </c>
      <c r="L7397" s="11">
        <v>6.3747139619411106</v>
      </c>
      <c r="N7397" s="12"/>
    </row>
    <row r="7398" spans="1:14" s="5" customFormat="1" ht="15" customHeight="1" x14ac:dyDescent="0.25">
      <c r="A7398" s="9" t="s">
        <v>14558</v>
      </c>
      <c r="C7398" s="9" t="str">
        <f>HYPERLINK("http://www.ncbi.nlm.nih.gov/protein/56682929","Tardbp")</f>
        <v>Tardbp</v>
      </c>
      <c r="D7398" s="10">
        <f t="shared" si="115"/>
        <v>6.3747139619411106</v>
      </c>
      <c r="F7398" s="8" t="str">
        <f>HYPERLINK("https://esbl.nhlbi.nih.gov/Databases/mpkFractions/proteomic_fractions_log_files/Yang_log_img/56682929.jpg","show blot")</f>
        <v>show blot</v>
      </c>
      <c r="H7398" s="8" t="str">
        <f>HYPERLINK("https://esbl.nhlbi.nih.gov/Databases/mpkFractions/proteomic_fractions_linear_files/Yang_linear_img/56682929.jpg","show blot")</f>
        <v>show blot</v>
      </c>
      <c r="J7398" s="5" t="s">
        <v>14559</v>
      </c>
      <c r="L7398" s="11">
        <v>6.3747139619411106</v>
      </c>
      <c r="N7398" s="12"/>
    </row>
    <row r="7399" spans="1:14" s="5" customFormat="1" ht="15" customHeight="1" x14ac:dyDescent="0.25">
      <c r="A7399" s="9" t="s">
        <v>14560</v>
      </c>
      <c r="C7399" s="9" t="str">
        <f>HYPERLINK("http://www.ncbi.nlm.nih.gov/protein/56682931","Tardbp")</f>
        <v>Tardbp</v>
      </c>
      <c r="D7399" s="10">
        <f t="shared" si="115"/>
        <v>6.3747139619411106</v>
      </c>
      <c r="F7399" s="8" t="str">
        <f>HYPERLINK("https://esbl.nhlbi.nih.gov/Databases/mpkFractions/proteomic_fractions_log_files/Yang_log_img/56682931.jpg","show blot")</f>
        <v>show blot</v>
      </c>
      <c r="H7399" s="8" t="str">
        <f>HYPERLINK("https://esbl.nhlbi.nih.gov/Databases/mpkFractions/proteomic_fractions_linear_files/Yang_linear_img/56682931.jpg","show blot")</f>
        <v>show blot</v>
      </c>
      <c r="J7399" s="5" t="s">
        <v>14561</v>
      </c>
      <c r="L7399" s="11">
        <v>6.3747139619411106</v>
      </c>
      <c r="N7399" s="12"/>
    </row>
    <row r="7400" spans="1:14" s="5" customFormat="1" ht="15" customHeight="1" x14ac:dyDescent="0.25">
      <c r="A7400" s="9" t="s">
        <v>14562</v>
      </c>
      <c r="C7400" s="9" t="str">
        <f>HYPERLINK("http://www.ncbi.nlm.nih.gov/protein/56682933","Tardbp")</f>
        <v>Tardbp</v>
      </c>
      <c r="D7400" s="10">
        <f t="shared" si="115"/>
        <v>6.3747139619411106</v>
      </c>
      <c r="F7400" s="8" t="str">
        <f>HYPERLINK("https://esbl.nhlbi.nih.gov/Databases/mpkFractions/proteomic_fractions_log_files/Yang_log_img/56682933.jpg","show blot")</f>
        <v>show blot</v>
      </c>
      <c r="H7400" s="8" t="str">
        <f>HYPERLINK("https://esbl.nhlbi.nih.gov/Databases/mpkFractions/proteomic_fractions_linear_files/Yang_linear_img/56682933.jpg","show blot")</f>
        <v>show blot</v>
      </c>
      <c r="J7400" s="5" t="s">
        <v>14563</v>
      </c>
      <c r="L7400" s="11">
        <v>6.3747139619411106</v>
      </c>
      <c r="N7400" s="12"/>
    </row>
    <row r="7401" spans="1:14" s="5" customFormat="1" ht="15" customHeight="1" x14ac:dyDescent="0.25">
      <c r="A7401" s="9" t="s">
        <v>14564</v>
      </c>
      <c r="C7401" s="9" t="str">
        <f>HYPERLINK("http://www.ncbi.nlm.nih.gov/protein/56682935","Tardbp")</f>
        <v>Tardbp</v>
      </c>
      <c r="D7401" s="10">
        <f t="shared" si="115"/>
        <v>6.3747139619411106</v>
      </c>
      <c r="F7401" s="8" t="str">
        <f>HYPERLINK("https://esbl.nhlbi.nih.gov/Databases/mpkFractions/proteomic_fractions_log_files/Yang_log_img/56682935.jpg","show blot")</f>
        <v>show blot</v>
      </c>
      <c r="H7401" s="8" t="str">
        <f>HYPERLINK("https://esbl.nhlbi.nih.gov/Databases/mpkFractions/proteomic_fractions_linear_files/Yang_linear_img/56682935.jpg","show blot")</f>
        <v>show blot</v>
      </c>
      <c r="J7401" s="5" t="s">
        <v>14565</v>
      </c>
      <c r="L7401" s="11">
        <v>6.3747139619411106</v>
      </c>
      <c r="N7401" s="12"/>
    </row>
    <row r="7402" spans="1:14" s="5" customFormat="1" ht="15" customHeight="1" x14ac:dyDescent="0.25">
      <c r="A7402" s="9" t="s">
        <v>14566</v>
      </c>
      <c r="C7402" s="9" t="str">
        <f>HYPERLINK("http://www.ncbi.nlm.nih.gov/protein/27229277","Tars")</f>
        <v>Tars</v>
      </c>
      <c r="D7402" s="10">
        <f t="shared" si="115"/>
        <v>5.7544303299685504</v>
      </c>
      <c r="F7402" s="8" t="str">
        <f>HYPERLINK("https://esbl.nhlbi.nih.gov/Databases/mpkFractions/proteomic_fractions_log_files/Yang_log_img/27229277.jpg","show blot")</f>
        <v>show blot</v>
      </c>
      <c r="H7402" s="8" t="str">
        <f>HYPERLINK("https://esbl.nhlbi.nih.gov/Databases/mpkFractions/proteomic_fractions_linear_files/Yang_linear_img/27229277.jpg","show blot")</f>
        <v>show blot</v>
      </c>
      <c r="J7402" s="5" t="s">
        <v>14567</v>
      </c>
      <c r="L7402" s="11">
        <v>5.7544303299685504</v>
      </c>
      <c r="N7402" s="12"/>
    </row>
    <row r="7403" spans="1:14" s="5" customFormat="1" ht="15" customHeight="1" x14ac:dyDescent="0.25">
      <c r="A7403" s="9" t="s">
        <v>14568</v>
      </c>
      <c r="C7403" s="9" t="str">
        <f>HYPERLINK("http://www.ncbi.nlm.nih.gov/protein/254692865","Tars2")</f>
        <v>Tars2</v>
      </c>
      <c r="D7403" s="10">
        <f t="shared" si="115"/>
        <v>4.5324102369013586</v>
      </c>
      <c r="F7403" s="8" t="str">
        <f>HYPERLINK("https://esbl.nhlbi.nih.gov/Databases/mpkFractions/proteomic_fractions_log_files/Yang_log_img/254692865.jpg","show blot")</f>
        <v>show blot</v>
      </c>
      <c r="H7403" s="8" t="str">
        <f>HYPERLINK("https://esbl.nhlbi.nih.gov/Databases/mpkFractions/proteomic_fractions_linear_files/Yang_linear_img/254692865.jpg","show blot")</f>
        <v>show blot</v>
      </c>
      <c r="J7403" s="5" t="s">
        <v>14569</v>
      </c>
      <c r="L7403" s="11">
        <v>4.5324102369013586</v>
      </c>
      <c r="N7403" s="12"/>
    </row>
    <row r="7404" spans="1:14" s="5" customFormat="1" ht="15" customHeight="1" x14ac:dyDescent="0.25">
      <c r="A7404" s="9" t="s">
        <v>14570</v>
      </c>
      <c r="C7404" s="9" t="str">
        <f>HYPERLINK("http://www.ncbi.nlm.nih.gov/protein/254692867","Tars2")</f>
        <v>Tars2</v>
      </c>
      <c r="D7404" s="10">
        <f t="shared" si="115"/>
        <v>4.5324102369013586</v>
      </c>
      <c r="F7404" s="8" t="str">
        <f>HYPERLINK("https://esbl.nhlbi.nih.gov/Databases/mpkFractions/proteomic_fractions_log_files/Yang_log_img/254692867.jpg","show blot")</f>
        <v>show blot</v>
      </c>
      <c r="H7404" s="8" t="str">
        <f>HYPERLINK("https://esbl.nhlbi.nih.gov/Databases/mpkFractions/proteomic_fractions_linear_files/Yang_linear_img/254692867.jpg","show blot")</f>
        <v>show blot</v>
      </c>
      <c r="J7404" s="5" t="s">
        <v>14571</v>
      </c>
      <c r="L7404" s="11">
        <v>4.5324102369013586</v>
      </c>
      <c r="N7404" s="12"/>
    </row>
    <row r="7405" spans="1:14" s="5" customFormat="1" ht="15" customHeight="1" x14ac:dyDescent="0.25">
      <c r="A7405" s="9" t="s">
        <v>14572</v>
      </c>
      <c r="C7405" s="9" t="str">
        <f>HYPERLINK("http://www.ncbi.nlm.nih.gov/protein/254692871","Tars2")</f>
        <v>Tars2</v>
      </c>
      <c r="D7405" s="10">
        <f t="shared" si="115"/>
        <v>4.5324102369013586</v>
      </c>
      <c r="F7405" s="8" t="str">
        <f>HYPERLINK("https://esbl.nhlbi.nih.gov/Databases/mpkFractions/proteomic_fractions_log_files/Yang_log_img/254692871.jpg","show blot")</f>
        <v>show blot</v>
      </c>
      <c r="H7405" s="8" t="str">
        <f>HYPERLINK("https://esbl.nhlbi.nih.gov/Databases/mpkFractions/proteomic_fractions_linear_files/Yang_linear_img/254692871.jpg","show blot")</f>
        <v>show blot</v>
      </c>
      <c r="J7405" s="5" t="s">
        <v>14573</v>
      </c>
      <c r="L7405" s="11">
        <v>4.5324102369013586</v>
      </c>
      <c r="N7405" s="12"/>
    </row>
    <row r="7406" spans="1:14" s="5" customFormat="1" ht="15" customHeight="1" x14ac:dyDescent="0.25">
      <c r="A7406" s="9" t="s">
        <v>14574</v>
      </c>
      <c r="C7406" s="9" t="str">
        <f>HYPERLINK("http://www.ncbi.nlm.nih.gov/protein/254692873","Tars2")</f>
        <v>Tars2</v>
      </c>
      <c r="D7406" s="10">
        <f t="shared" si="115"/>
        <v>4.5324102369013586</v>
      </c>
      <c r="F7406" s="8" t="str">
        <f>HYPERLINK("https://esbl.nhlbi.nih.gov/Databases/mpkFractions/proteomic_fractions_log_files/Yang_log_img/254692873.jpg","show blot")</f>
        <v>show blot</v>
      </c>
      <c r="H7406" s="8" t="str">
        <f>HYPERLINK("https://esbl.nhlbi.nih.gov/Databases/mpkFractions/proteomic_fractions_linear_files/Yang_linear_img/254692873.jpg","show blot")</f>
        <v>show blot</v>
      </c>
      <c r="J7406" s="5" t="s">
        <v>14575</v>
      </c>
      <c r="L7406" s="11">
        <v>4.5324102369013586</v>
      </c>
      <c r="N7406" s="12"/>
    </row>
    <row r="7407" spans="1:14" s="5" customFormat="1" ht="15" customHeight="1" x14ac:dyDescent="0.25">
      <c r="A7407" s="9" t="s">
        <v>14576</v>
      </c>
      <c r="C7407" s="9" t="str">
        <f>HYPERLINK("http://www.ncbi.nlm.nih.gov/protein/227908819","Tarsl2")</f>
        <v>Tarsl2</v>
      </c>
      <c r="D7407" s="10">
        <f t="shared" si="115"/>
        <v>4.5556130164174196</v>
      </c>
      <c r="F7407" s="8" t="str">
        <f>HYPERLINK("https://esbl.nhlbi.nih.gov/Databases/mpkFractions/proteomic_fractions_log_files/Yang_log_img/227908819.jpg","show blot")</f>
        <v>show blot</v>
      </c>
      <c r="H7407" s="8" t="str">
        <f>HYPERLINK("https://esbl.nhlbi.nih.gov/Databases/mpkFractions/proteomic_fractions_linear_files/Yang_linear_img/227908819.jpg","show blot")</f>
        <v>show blot</v>
      </c>
      <c r="J7407" s="5" t="s">
        <v>14577</v>
      </c>
      <c r="L7407" s="11">
        <v>4.5556130164174196</v>
      </c>
      <c r="N7407" s="12"/>
    </row>
    <row r="7408" spans="1:14" s="5" customFormat="1" ht="15" customHeight="1" x14ac:dyDescent="0.25">
      <c r="A7408" s="9" t="s">
        <v>14578</v>
      </c>
      <c r="C7408" s="9" t="str">
        <f>HYPERLINK("http://www.ncbi.nlm.nih.gov/protein/13994201","Tas1r3")</f>
        <v>Tas1r3</v>
      </c>
      <c r="D7408" s="10">
        <f t="shared" si="115"/>
        <v>3.4039208297281571</v>
      </c>
      <c r="F7408" s="8" t="str">
        <f>HYPERLINK("https://esbl.nhlbi.nih.gov/Databases/mpkFractions/proteomic_fractions_log_files/Yang_log_img/13994201.jpg","show blot")</f>
        <v>show blot</v>
      </c>
      <c r="H7408" s="8" t="str">
        <f>HYPERLINK("https://esbl.nhlbi.nih.gov/Databases/mpkFractions/proteomic_fractions_linear_files/Yang_linear_img/13994201.jpg","show blot")</f>
        <v>show blot</v>
      </c>
      <c r="J7408" s="5" t="s">
        <v>14579</v>
      </c>
      <c r="L7408" s="11">
        <v>3.4039208297281571</v>
      </c>
      <c r="N7408" s="12"/>
    </row>
    <row r="7409" spans="1:14" s="5" customFormat="1" ht="15" customHeight="1" x14ac:dyDescent="0.25">
      <c r="A7409" s="9" t="s">
        <v>14580</v>
      </c>
      <c r="C7409" s="9" t="str">
        <f>HYPERLINK("http://www.ncbi.nlm.nih.gov/protein/30424744","Tatdn1")</f>
        <v>Tatdn1</v>
      </c>
      <c r="D7409" s="10">
        <f t="shared" si="115"/>
        <v>4.5876859050891126</v>
      </c>
      <c r="F7409" s="8" t="str">
        <f>HYPERLINK("https://esbl.nhlbi.nih.gov/Databases/mpkFractions/proteomic_fractions_log_files/Yang_log_img/30424744.jpg","show blot")</f>
        <v>show blot</v>
      </c>
      <c r="H7409" s="8" t="str">
        <f>HYPERLINK("https://esbl.nhlbi.nih.gov/Databases/mpkFractions/proteomic_fractions_linear_files/Yang_linear_img/30424744.jpg","show blot")</f>
        <v>show blot</v>
      </c>
      <c r="J7409" s="5" t="s">
        <v>14581</v>
      </c>
      <c r="L7409" s="11">
        <v>4.5876859050891126</v>
      </c>
      <c r="N7409" s="12"/>
    </row>
    <row r="7410" spans="1:14" s="5" customFormat="1" ht="15" customHeight="1" x14ac:dyDescent="0.25">
      <c r="A7410" s="9" t="s">
        <v>14582</v>
      </c>
      <c r="C7410" s="9" t="str">
        <f>HYPERLINK("http://www.ncbi.nlm.nih.gov/protein/256773241","Tax1bp1")</f>
        <v>Tax1bp1</v>
      </c>
      <c r="D7410" s="10">
        <f t="shared" si="115"/>
        <v>3.4406686098406181</v>
      </c>
      <c r="F7410" s="8" t="str">
        <f>HYPERLINK("https://esbl.nhlbi.nih.gov/Databases/mpkFractions/proteomic_fractions_log_files/Yang_log_img/256773241.jpg","show blot")</f>
        <v>show blot</v>
      </c>
      <c r="H7410" s="8" t="str">
        <f>HYPERLINK("https://esbl.nhlbi.nih.gov/Databases/mpkFractions/proteomic_fractions_linear_files/Yang_linear_img/256773241.jpg","show blot")</f>
        <v>show blot</v>
      </c>
      <c r="J7410" s="5" t="s">
        <v>14583</v>
      </c>
      <c r="L7410" s="11">
        <v>3.4406686098406181</v>
      </c>
      <c r="N7410" s="12"/>
    </row>
    <row r="7411" spans="1:14" s="5" customFormat="1" ht="15" customHeight="1" x14ac:dyDescent="0.25">
      <c r="A7411" s="9" t="s">
        <v>14584</v>
      </c>
      <c r="C7411" s="9" t="str">
        <f>HYPERLINK("http://www.ncbi.nlm.nih.gov/protein/21313140","Tax1bp3")</f>
        <v>Tax1bp3</v>
      </c>
      <c r="D7411" s="10">
        <f t="shared" si="115"/>
        <v>5.3100469016698852</v>
      </c>
      <c r="F7411" s="8" t="str">
        <f>HYPERLINK("https://esbl.nhlbi.nih.gov/Databases/mpkFractions/proteomic_fractions_log_files/Yang_log_img/21313140.jpg","show blot")</f>
        <v>show blot</v>
      </c>
      <c r="H7411" s="8" t="str">
        <f>HYPERLINK("https://esbl.nhlbi.nih.gov/Databases/mpkFractions/proteomic_fractions_linear_files/Yang_linear_img/21313140.jpg","show blot")</f>
        <v>show blot</v>
      </c>
      <c r="J7411" s="5" t="s">
        <v>14585</v>
      </c>
      <c r="L7411" s="11">
        <v>5.3100469016698852</v>
      </c>
      <c r="N7411" s="12"/>
    </row>
    <row r="7412" spans="1:14" s="5" customFormat="1" ht="15" customHeight="1" x14ac:dyDescent="0.25">
      <c r="A7412" s="9" t="s">
        <v>14586</v>
      </c>
      <c r="C7412" s="9" t="str">
        <f>HYPERLINK("http://www.ncbi.nlm.nih.gov/protein/120587003","Tbc1d1")</f>
        <v>Tbc1d1</v>
      </c>
      <c r="D7412" s="10">
        <f t="shared" si="115"/>
        <v>4.5675931624646422</v>
      </c>
      <c r="F7412" s="8" t="str">
        <f>HYPERLINK("https://esbl.nhlbi.nih.gov/Databases/mpkFractions/proteomic_fractions_log_files/Yang_log_img/120587003.jpg","show blot")</f>
        <v>show blot</v>
      </c>
      <c r="H7412" s="8" t="str">
        <f>HYPERLINK("https://esbl.nhlbi.nih.gov/Databases/mpkFractions/proteomic_fractions_linear_files/Yang_linear_img/120587003.jpg","show blot")</f>
        <v>show blot</v>
      </c>
      <c r="J7412" s="5" t="s">
        <v>14587</v>
      </c>
      <c r="L7412" s="11">
        <v>4.5675931624646422</v>
      </c>
      <c r="N7412" s="12"/>
    </row>
    <row r="7413" spans="1:14" s="5" customFormat="1" ht="15" customHeight="1" x14ac:dyDescent="0.25">
      <c r="A7413" s="9" t="s">
        <v>14588</v>
      </c>
      <c r="C7413" s="9" t="str">
        <f>HYPERLINK("http://www.ncbi.nlm.nih.gov/protein/19527240","Tbc1d10a")</f>
        <v>Tbc1d10a</v>
      </c>
      <c r="D7413" s="10">
        <f t="shared" si="115"/>
        <v>4.8111143957618889</v>
      </c>
      <c r="F7413" s="8" t="str">
        <f>HYPERLINK("https://esbl.nhlbi.nih.gov/Databases/mpkFractions/proteomic_fractions_log_files/Yang_log_img/19527240.jpg","show blot")</f>
        <v>show blot</v>
      </c>
      <c r="H7413" s="8" t="str">
        <f>HYPERLINK("https://esbl.nhlbi.nih.gov/Databases/mpkFractions/proteomic_fractions_linear_files/Yang_linear_img/19527240.jpg","show blot")</f>
        <v>show blot</v>
      </c>
      <c r="J7413" s="5" t="s">
        <v>14589</v>
      </c>
      <c r="L7413" s="11">
        <v>4.8111143957618889</v>
      </c>
      <c r="N7413" s="12"/>
    </row>
    <row r="7414" spans="1:14" s="5" customFormat="1" ht="15" customHeight="1" x14ac:dyDescent="0.25">
      <c r="A7414" s="9" t="s">
        <v>14590</v>
      </c>
      <c r="C7414" s="9" t="str">
        <f>HYPERLINK("http://www.ncbi.nlm.nih.gov/protein/167614490","Tbc1d10b")</f>
        <v>Tbc1d10b</v>
      </c>
      <c r="D7414" s="10">
        <f t="shared" si="115"/>
        <v>1.8814699237974311</v>
      </c>
      <c r="F7414" s="8" t="str">
        <f>HYPERLINK("https://esbl.nhlbi.nih.gov/Databases/mpkFractions/proteomic_fractions_log_files/Yang_log_img/167614490.jpg","show blot")</f>
        <v>show blot</v>
      </c>
      <c r="H7414" s="8" t="str">
        <f>HYPERLINK("https://esbl.nhlbi.nih.gov/Databases/mpkFractions/proteomic_fractions_linear_files/Yang_linear_img/167614490.jpg","show blot")</f>
        <v>show blot</v>
      </c>
      <c r="J7414" s="5" t="s">
        <v>14591</v>
      </c>
      <c r="L7414" s="11">
        <v>1.8814699237974311</v>
      </c>
      <c r="N7414" s="12"/>
    </row>
    <row r="7415" spans="1:14" s="5" customFormat="1" ht="15" customHeight="1" x14ac:dyDescent="0.25">
      <c r="A7415" s="9" t="s">
        <v>14592</v>
      </c>
      <c r="C7415" s="9" t="str">
        <f>HYPERLINK("http://www.ncbi.nlm.nih.gov/protein/22122839","Tbc1d13")</f>
        <v>Tbc1d13</v>
      </c>
      <c r="D7415" s="10">
        <f t="shared" si="115"/>
        <v>3.95210830524011</v>
      </c>
      <c r="F7415" s="8" t="str">
        <f>HYPERLINK("https://esbl.nhlbi.nih.gov/Databases/mpkFractions/proteomic_fractions_log_files/Yang_log_img/22122839.jpg","show blot")</f>
        <v>show blot</v>
      </c>
      <c r="H7415" s="8" t="str">
        <f>HYPERLINK("https://esbl.nhlbi.nih.gov/Databases/mpkFractions/proteomic_fractions_linear_files/Yang_linear_img/22122839.jpg","show blot")</f>
        <v>show blot</v>
      </c>
      <c r="J7415" s="5" t="s">
        <v>14593</v>
      </c>
      <c r="L7415" s="11">
        <v>3.95210830524011</v>
      </c>
      <c r="N7415" s="12"/>
    </row>
    <row r="7416" spans="1:14" s="5" customFormat="1" ht="15" customHeight="1" x14ac:dyDescent="0.25">
      <c r="A7416" s="9" t="s">
        <v>14594</v>
      </c>
      <c r="C7416" s="9" t="str">
        <f>HYPERLINK("http://www.ncbi.nlm.nih.gov/protein/255958202","Tbc1d15")</f>
        <v>Tbc1d15</v>
      </c>
      <c r="D7416" s="10">
        <f t="shared" si="115"/>
        <v>5.0398775789129893</v>
      </c>
      <c r="F7416" s="8" t="str">
        <f>HYPERLINK("https://esbl.nhlbi.nih.gov/Databases/mpkFractions/proteomic_fractions_log_files/Yang_log_img/255958202.jpg","show blot")</f>
        <v>show blot</v>
      </c>
      <c r="H7416" s="8" t="str">
        <f>HYPERLINK("https://esbl.nhlbi.nih.gov/Databases/mpkFractions/proteomic_fractions_linear_files/Yang_linear_img/255958202.jpg","show blot")</f>
        <v>show blot</v>
      </c>
      <c r="J7416" s="5" t="s">
        <v>14595</v>
      </c>
      <c r="L7416" s="11">
        <v>5.0398775789129893</v>
      </c>
      <c r="N7416" s="12"/>
    </row>
    <row r="7417" spans="1:14" s="5" customFormat="1" ht="15" customHeight="1" x14ac:dyDescent="0.25">
      <c r="A7417" s="9" t="s">
        <v>14596</v>
      </c>
      <c r="C7417" s="9" t="str">
        <f>HYPERLINK("http://www.ncbi.nlm.nih.gov/protein/111120337","Tbc1d17")</f>
        <v>Tbc1d17</v>
      </c>
      <c r="D7417" s="10">
        <f t="shared" si="115"/>
        <v>4.4882352004706663</v>
      </c>
      <c r="F7417" s="8" t="str">
        <f>HYPERLINK("https://esbl.nhlbi.nih.gov/Databases/mpkFractions/proteomic_fractions_log_files/Yang_log_img/111120337.jpg","show blot")</f>
        <v>show blot</v>
      </c>
      <c r="H7417" s="8" t="str">
        <f>HYPERLINK("https://esbl.nhlbi.nih.gov/Databases/mpkFractions/proteomic_fractions_linear_files/Yang_linear_img/111120337.jpg","show blot")</f>
        <v>show blot</v>
      </c>
      <c r="J7417" s="5" t="s">
        <v>14597</v>
      </c>
      <c r="L7417" s="11">
        <v>4.4882352004706663</v>
      </c>
      <c r="N7417" s="12"/>
    </row>
    <row r="7418" spans="1:14" s="5" customFormat="1" ht="15" customHeight="1" x14ac:dyDescent="0.25">
      <c r="A7418" s="9" t="s">
        <v>14598</v>
      </c>
      <c r="C7418" s="9" t="str">
        <f>HYPERLINK("http://www.ncbi.nlm.nih.gov/protein/111038126","Tbc1d2")</f>
        <v>Tbc1d2</v>
      </c>
      <c r="D7418" s="10">
        <f t="shared" si="115"/>
        <v>4.3830159445731747</v>
      </c>
      <c r="F7418" s="8" t="str">
        <f>HYPERLINK("https://esbl.nhlbi.nih.gov/Databases/mpkFractions/proteomic_fractions_log_files/Yang_log_img/111038126.jpg","show blot")</f>
        <v>show blot</v>
      </c>
      <c r="H7418" s="8" t="str">
        <f>HYPERLINK("https://esbl.nhlbi.nih.gov/Databases/mpkFractions/proteomic_fractions_linear_files/Yang_linear_img/111038126.jpg","show blot")</f>
        <v>show blot</v>
      </c>
      <c r="J7418" s="5" t="s">
        <v>14599</v>
      </c>
      <c r="L7418" s="11">
        <v>4.3830159445731747</v>
      </c>
      <c r="N7418" s="12"/>
    </row>
    <row r="7419" spans="1:14" s="5" customFormat="1" ht="15" customHeight="1" x14ac:dyDescent="0.25">
      <c r="A7419" s="9" t="s">
        <v>14600</v>
      </c>
      <c r="C7419" s="9" t="str">
        <f>HYPERLINK("http://www.ncbi.nlm.nih.gov/protein/42734463","Tbc1d22a")</f>
        <v>Tbc1d22a</v>
      </c>
      <c r="D7419" s="10">
        <f t="shared" si="115"/>
        <v>3.3787468274631101</v>
      </c>
      <c r="F7419" s="8" t="str">
        <f>HYPERLINK("https://esbl.nhlbi.nih.gov/Databases/mpkFractions/proteomic_fractions_log_files/Yang_log_img/42734463.jpg","show blot")</f>
        <v>show blot</v>
      </c>
      <c r="H7419" s="8" t="str">
        <f>HYPERLINK("https://esbl.nhlbi.nih.gov/Databases/mpkFractions/proteomic_fractions_linear_files/Yang_linear_img/42734463.jpg","show blot")</f>
        <v>show blot</v>
      </c>
      <c r="J7419" s="5" t="s">
        <v>14601</v>
      </c>
      <c r="L7419" s="11">
        <v>3.3787468274631101</v>
      </c>
      <c r="N7419" s="12"/>
    </row>
    <row r="7420" spans="1:14" s="5" customFormat="1" ht="15" customHeight="1" x14ac:dyDescent="0.25">
      <c r="A7420" s="9" t="s">
        <v>14602</v>
      </c>
      <c r="C7420" s="9" t="str">
        <f>HYPERLINK("http://www.ncbi.nlm.nih.gov/protein/38348532","Tbc1d22b")</f>
        <v>Tbc1d22b</v>
      </c>
      <c r="D7420" s="10">
        <f t="shared" si="115"/>
        <v>2.251782528301975</v>
      </c>
      <c r="F7420" s="8" t="str">
        <f>HYPERLINK("https://esbl.nhlbi.nih.gov/Databases/mpkFractions/proteomic_fractions_log_files/Yang_log_img/38348532.jpg","show blot")</f>
        <v>show blot</v>
      </c>
      <c r="H7420" s="8" t="str">
        <f>HYPERLINK("https://esbl.nhlbi.nih.gov/Databases/mpkFractions/proteomic_fractions_linear_files/Yang_linear_img/38348532.jpg","show blot")</f>
        <v>show blot</v>
      </c>
      <c r="J7420" s="5" t="s">
        <v>14603</v>
      </c>
      <c r="L7420" s="11">
        <v>2.251782528301975</v>
      </c>
      <c r="N7420" s="12"/>
    </row>
    <row r="7421" spans="1:14" s="5" customFormat="1" ht="15" customHeight="1" x14ac:dyDescent="0.25">
      <c r="A7421" s="9" t="s">
        <v>14604</v>
      </c>
      <c r="C7421" s="9" t="str">
        <f>HYPERLINK("http://www.ncbi.nlm.nih.gov/protein/27754079","Tbc1d23")</f>
        <v>Tbc1d23</v>
      </c>
      <c r="D7421" s="10">
        <f t="shared" si="115"/>
        <v>4.5113261539485539</v>
      </c>
      <c r="F7421" s="8" t="str">
        <f>HYPERLINK("https://esbl.nhlbi.nih.gov/Databases/mpkFractions/proteomic_fractions_log_files/Yang_log_img/27754079.jpg","show blot")</f>
        <v>show blot</v>
      </c>
      <c r="H7421" s="8" t="str">
        <f>HYPERLINK("https://esbl.nhlbi.nih.gov/Databases/mpkFractions/proteomic_fractions_linear_files/Yang_linear_img/27754079.jpg","show blot")</f>
        <v>show blot</v>
      </c>
      <c r="J7421" s="5" t="s">
        <v>14605</v>
      </c>
      <c r="L7421" s="11">
        <v>4.5113261539485539</v>
      </c>
      <c r="N7421" s="12"/>
    </row>
    <row r="7422" spans="1:14" s="5" customFormat="1" ht="15" customHeight="1" x14ac:dyDescent="0.25">
      <c r="A7422" s="9" t="s">
        <v>14606</v>
      </c>
      <c r="C7422" s="9" t="str">
        <f>HYPERLINK("http://www.ncbi.nlm.nih.gov/protein/255522819","Tbc1d24")</f>
        <v>Tbc1d24</v>
      </c>
      <c r="D7422" s="10">
        <f t="shared" si="115"/>
        <v>3.111857719209643</v>
      </c>
      <c r="F7422" s="8" t="str">
        <f>HYPERLINK("https://esbl.nhlbi.nih.gov/Databases/mpkFractions/proteomic_fractions_log_files/Yang_log_img/255522819.jpg","show blot")</f>
        <v>show blot</v>
      </c>
      <c r="H7422" s="8" t="str">
        <f>HYPERLINK("https://esbl.nhlbi.nih.gov/Databases/mpkFractions/proteomic_fractions_linear_files/Yang_linear_img/255522819.jpg","show blot")</f>
        <v>show blot</v>
      </c>
      <c r="J7422" s="5" t="s">
        <v>14607</v>
      </c>
      <c r="L7422" s="11">
        <v>3.111857719209643</v>
      </c>
      <c r="N7422" s="12"/>
    </row>
    <row r="7423" spans="1:14" s="5" customFormat="1" ht="15" customHeight="1" x14ac:dyDescent="0.25">
      <c r="A7423" s="9" t="s">
        <v>14608</v>
      </c>
      <c r="C7423" s="9" t="str">
        <f>HYPERLINK("http://www.ncbi.nlm.nih.gov/protein/255522825","Tbc1d24")</f>
        <v>Tbc1d24</v>
      </c>
      <c r="D7423" s="10">
        <f t="shared" si="115"/>
        <v>3.111857719209643</v>
      </c>
      <c r="F7423" s="8" t="str">
        <f>HYPERLINK("https://esbl.nhlbi.nih.gov/Databases/mpkFractions/proteomic_fractions_log_files/Yang_log_img/255522825.jpg","show blot")</f>
        <v>show blot</v>
      </c>
      <c r="H7423" s="8" t="str">
        <f>HYPERLINK("https://esbl.nhlbi.nih.gov/Databases/mpkFractions/proteomic_fractions_linear_files/Yang_linear_img/255522825.jpg","show blot")</f>
        <v>show blot</v>
      </c>
      <c r="J7423" s="5" t="s">
        <v>14609</v>
      </c>
      <c r="L7423" s="11">
        <v>3.111857719209643</v>
      </c>
      <c r="N7423" s="12"/>
    </row>
    <row r="7424" spans="1:14" s="5" customFormat="1" ht="15" customHeight="1" x14ac:dyDescent="0.25">
      <c r="A7424" s="9" t="s">
        <v>14610</v>
      </c>
      <c r="C7424" s="9" t="str">
        <f>HYPERLINK("http://www.ncbi.nlm.nih.gov/protein/163644270","Tbc1d4")</f>
        <v>Tbc1d4</v>
      </c>
      <c r="D7424" s="10">
        <f t="shared" si="115"/>
        <v>4.6855286980072686</v>
      </c>
      <c r="F7424" s="8" t="str">
        <f>HYPERLINK("https://esbl.nhlbi.nih.gov/Databases/mpkFractions/proteomic_fractions_log_files/Yang_log_img/163644270.jpg","show blot")</f>
        <v>show blot</v>
      </c>
      <c r="H7424" s="8" t="str">
        <f>HYPERLINK("https://esbl.nhlbi.nih.gov/Databases/mpkFractions/proteomic_fractions_linear_files/Yang_linear_img/163644270.jpg","show blot")</f>
        <v>show blot</v>
      </c>
      <c r="J7424" s="5" t="s">
        <v>14611</v>
      </c>
      <c r="L7424" s="11">
        <v>4.6855286980072686</v>
      </c>
      <c r="N7424" s="12"/>
    </row>
    <row r="7425" spans="1:14" s="5" customFormat="1" ht="15" customHeight="1" x14ac:dyDescent="0.25">
      <c r="A7425" s="9" t="s">
        <v>14612</v>
      </c>
      <c r="C7425" s="9" t="str">
        <f>HYPERLINK("http://www.ncbi.nlm.nih.gov/protein/164518898","Tbc1d5")</f>
        <v>Tbc1d5</v>
      </c>
      <c r="D7425" s="10">
        <f t="shared" si="115"/>
        <v>4.0347041069148064</v>
      </c>
      <c r="F7425" s="8" t="str">
        <f>HYPERLINK("https://esbl.nhlbi.nih.gov/Databases/mpkFractions/proteomic_fractions_log_files/Yang_log_img/164518898.jpg","show blot")</f>
        <v>show blot</v>
      </c>
      <c r="H7425" s="8" t="str">
        <f>HYPERLINK("https://esbl.nhlbi.nih.gov/Databases/mpkFractions/proteomic_fractions_linear_files/Yang_linear_img/164518898.jpg","show blot")</f>
        <v>show blot</v>
      </c>
      <c r="J7425" s="5" t="s">
        <v>14613</v>
      </c>
      <c r="L7425" s="11">
        <v>4.0347041069148064</v>
      </c>
      <c r="N7425" s="12"/>
    </row>
    <row r="7426" spans="1:14" s="5" customFormat="1" ht="15" customHeight="1" x14ac:dyDescent="0.25">
      <c r="A7426" s="9" t="s">
        <v>14614</v>
      </c>
      <c r="C7426" s="9" t="str">
        <f>HYPERLINK("http://www.ncbi.nlm.nih.gov/protein/125630636","Tbc1d8b")</f>
        <v>Tbc1d8b</v>
      </c>
      <c r="D7426" s="10">
        <f t="shared" si="115"/>
        <v>3.7659862731514431</v>
      </c>
      <c r="F7426" s="8" t="str">
        <f>HYPERLINK("https://esbl.nhlbi.nih.gov/Databases/mpkFractions/proteomic_fractions_log_files/Yang_log_img/125630636.jpg","show blot")</f>
        <v>show blot</v>
      </c>
      <c r="H7426" s="8" t="str">
        <f>HYPERLINK("https://esbl.nhlbi.nih.gov/Databases/mpkFractions/proteomic_fractions_linear_files/Yang_linear_img/125630636.jpg","show blot")</f>
        <v>show blot</v>
      </c>
      <c r="J7426" s="5" t="s">
        <v>14615</v>
      </c>
      <c r="L7426" s="11">
        <v>3.7659862731514431</v>
      </c>
      <c r="N7426" s="12"/>
    </row>
    <row r="7427" spans="1:14" s="5" customFormat="1" ht="15" customHeight="1" x14ac:dyDescent="0.25">
      <c r="A7427" s="9" t="s">
        <v>14616</v>
      </c>
      <c r="C7427" s="9" t="str">
        <f>HYPERLINK("http://www.ncbi.nlm.nih.gov/protein/162329599","Tbc1d9")</f>
        <v>Tbc1d9</v>
      </c>
      <c r="D7427" s="10">
        <f t="shared" si="115"/>
        <v>1.497049901287856</v>
      </c>
      <c r="F7427" s="8" t="str">
        <f>HYPERLINK("https://esbl.nhlbi.nih.gov/Databases/mpkFractions/proteomic_fractions_log_files/Yang_log_img/162329599.jpg","show blot")</f>
        <v>show blot</v>
      </c>
      <c r="H7427" s="8" t="str">
        <f>HYPERLINK("https://esbl.nhlbi.nih.gov/Databases/mpkFractions/proteomic_fractions_linear_files/Yang_linear_img/162329599.jpg","show blot")</f>
        <v>show blot</v>
      </c>
      <c r="J7427" s="5" t="s">
        <v>14617</v>
      </c>
      <c r="L7427" s="11">
        <v>1.497049901287856</v>
      </c>
      <c r="N7427" s="12"/>
    </row>
    <row r="7428" spans="1:14" s="5" customFormat="1" ht="15" customHeight="1" x14ac:dyDescent="0.25">
      <c r="A7428" s="9" t="s">
        <v>14618</v>
      </c>
      <c r="C7428" s="9" t="str">
        <f>HYPERLINK("http://www.ncbi.nlm.nih.gov/protein/30794404","Tbc1d9")</f>
        <v>Tbc1d9</v>
      </c>
      <c r="D7428" s="10">
        <f t="shared" si="115"/>
        <v>1.497049901287856</v>
      </c>
      <c r="F7428" s="8" t="str">
        <f>HYPERLINK("https://esbl.nhlbi.nih.gov/Databases/mpkFractions/proteomic_fractions_log_files/Yang_log_img/30794404.jpg","show blot")</f>
        <v>show blot</v>
      </c>
      <c r="H7428" s="8" t="str">
        <f>HYPERLINK("https://esbl.nhlbi.nih.gov/Databases/mpkFractions/proteomic_fractions_linear_files/Yang_linear_img/30794404.jpg","show blot")</f>
        <v>show blot</v>
      </c>
      <c r="J7428" s="5" t="s">
        <v>14619</v>
      </c>
      <c r="L7428" s="11">
        <v>1.497049901287856</v>
      </c>
      <c r="N7428" s="12"/>
    </row>
    <row r="7429" spans="1:14" s="5" customFormat="1" ht="15" customHeight="1" x14ac:dyDescent="0.25">
      <c r="A7429" s="9" t="s">
        <v>14620</v>
      </c>
      <c r="C7429" s="9" t="str">
        <f>HYPERLINK("http://www.ncbi.nlm.nih.gov/protein/124358940","Tbc1d9b")</f>
        <v>Tbc1d9b</v>
      </c>
      <c r="D7429" s="10">
        <f t="shared" ref="D7429:D7492" si="116">L7429</f>
        <v>4.2551236674950053</v>
      </c>
      <c r="F7429" s="8" t="str">
        <f>HYPERLINK("https://esbl.nhlbi.nih.gov/Databases/mpkFractions/proteomic_fractions_log_files/Yang_log_img/124358940.jpg","show blot")</f>
        <v>show blot</v>
      </c>
      <c r="H7429" s="8" t="str">
        <f>HYPERLINK("https://esbl.nhlbi.nih.gov/Databases/mpkFractions/proteomic_fractions_linear_files/Yang_linear_img/124358940.jpg","show blot")</f>
        <v>show blot</v>
      </c>
      <c r="J7429" s="5" t="s">
        <v>14621</v>
      </c>
      <c r="L7429" s="11">
        <v>4.2551236674950053</v>
      </c>
      <c r="N7429" s="12"/>
    </row>
    <row r="7430" spans="1:14" s="5" customFormat="1" ht="15" customHeight="1" x14ac:dyDescent="0.25">
      <c r="A7430" s="9" t="s">
        <v>14622</v>
      </c>
      <c r="C7430" s="9" t="str">
        <f>HYPERLINK("http://www.ncbi.nlm.nih.gov/protein/6678225","Tbca")</f>
        <v>Tbca</v>
      </c>
      <c r="D7430" s="10">
        <f t="shared" si="116"/>
        <v>6.023371855560204</v>
      </c>
      <c r="F7430" s="8" t="str">
        <f>HYPERLINK("https://esbl.nhlbi.nih.gov/Databases/mpkFractions/proteomic_fractions_log_files/Yang_log_img/6678225.jpg","show blot")</f>
        <v>show blot</v>
      </c>
      <c r="H7430" s="8" t="str">
        <f>HYPERLINK("https://esbl.nhlbi.nih.gov/Databases/mpkFractions/proteomic_fractions_linear_files/Yang_linear_img/6678225.jpg","show blot")</f>
        <v>show blot</v>
      </c>
      <c r="J7430" s="5" t="s">
        <v>14623</v>
      </c>
      <c r="L7430" s="11">
        <v>6.023371855560204</v>
      </c>
      <c r="N7430" s="12"/>
    </row>
    <row r="7431" spans="1:14" s="5" customFormat="1" ht="15" customHeight="1" x14ac:dyDescent="0.25">
      <c r="A7431" s="9" t="s">
        <v>14624</v>
      </c>
      <c r="C7431" s="9" t="str">
        <f>HYPERLINK("http://www.ncbi.nlm.nih.gov/protein/170650659","Tbcb")</f>
        <v>Tbcb</v>
      </c>
      <c r="D7431" s="10">
        <f t="shared" si="116"/>
        <v>5.4585082933213993</v>
      </c>
      <c r="F7431" s="8" t="str">
        <f>HYPERLINK("https://esbl.nhlbi.nih.gov/Databases/mpkFractions/proteomic_fractions_log_files/Yang_log_img/170650659.jpg","show blot")</f>
        <v>show blot</v>
      </c>
      <c r="H7431" s="8" t="str">
        <f>HYPERLINK("https://esbl.nhlbi.nih.gov/Databases/mpkFractions/proteomic_fractions_linear_files/Yang_linear_img/170650659.jpg","show blot")</f>
        <v>show blot</v>
      </c>
      <c r="J7431" s="5" t="s">
        <v>14625</v>
      </c>
      <c r="L7431" s="11">
        <v>5.4585082933213993</v>
      </c>
      <c r="N7431" s="12"/>
    </row>
    <row r="7432" spans="1:14" s="5" customFormat="1" ht="15" customHeight="1" x14ac:dyDescent="0.25">
      <c r="A7432" s="9" t="s">
        <v>14626</v>
      </c>
      <c r="C7432" s="9" t="str">
        <f>HYPERLINK("http://www.ncbi.nlm.nih.gov/protein/87044901","Tbcc")</f>
        <v>Tbcc</v>
      </c>
      <c r="D7432" s="10">
        <f t="shared" si="116"/>
        <v>5.4859392491580374</v>
      </c>
      <c r="F7432" s="8" t="str">
        <f>HYPERLINK("https://esbl.nhlbi.nih.gov/Databases/mpkFractions/proteomic_fractions_log_files/Yang_log_img/87044901.jpg","show blot")</f>
        <v>show blot</v>
      </c>
      <c r="H7432" s="8" t="str">
        <f>HYPERLINK("https://esbl.nhlbi.nih.gov/Databases/mpkFractions/proteomic_fractions_linear_files/Yang_linear_img/87044901.jpg","show blot")</f>
        <v>show blot</v>
      </c>
      <c r="J7432" s="5" t="s">
        <v>14627</v>
      </c>
      <c r="L7432" s="11">
        <v>5.4859392491580374</v>
      </c>
      <c r="N7432" s="12"/>
    </row>
    <row r="7433" spans="1:14" s="5" customFormat="1" ht="15" customHeight="1" x14ac:dyDescent="0.25">
      <c r="A7433" s="9" t="s">
        <v>14628</v>
      </c>
      <c r="C7433" s="9" t="str">
        <f>HYPERLINK("http://www.ncbi.nlm.nih.gov/protein/28077067","Tbcd")</f>
        <v>Tbcd</v>
      </c>
      <c r="D7433" s="10">
        <f t="shared" si="116"/>
        <v>5.2185910559539934</v>
      </c>
      <c r="F7433" s="8" t="str">
        <f>HYPERLINK("https://esbl.nhlbi.nih.gov/Databases/mpkFractions/proteomic_fractions_log_files/Yang_log_img/28077067.jpg","show blot")</f>
        <v>show blot</v>
      </c>
      <c r="H7433" s="8" t="str">
        <f>HYPERLINK("https://esbl.nhlbi.nih.gov/Databases/mpkFractions/proteomic_fractions_linear_files/Yang_linear_img/28077067.jpg","show blot")</f>
        <v>show blot</v>
      </c>
      <c r="J7433" s="5" t="s">
        <v>14629</v>
      </c>
      <c r="L7433" s="11">
        <v>5.2185910559539934</v>
      </c>
      <c r="N7433" s="12"/>
    </row>
    <row r="7434" spans="1:14" s="5" customFormat="1" ht="15" customHeight="1" x14ac:dyDescent="0.25">
      <c r="A7434" s="9" t="s">
        <v>14630</v>
      </c>
      <c r="C7434" s="9" t="str">
        <f>HYPERLINK("http://www.ncbi.nlm.nih.gov/protein/31543843","Tbce")</f>
        <v>Tbce</v>
      </c>
      <c r="D7434" s="10">
        <f t="shared" si="116"/>
        <v>4.55577082007862</v>
      </c>
      <c r="F7434" s="8" t="str">
        <f>HYPERLINK("https://esbl.nhlbi.nih.gov/Databases/mpkFractions/proteomic_fractions_log_files/Yang_log_img/31543843.jpg","show blot")</f>
        <v>show blot</v>
      </c>
      <c r="H7434" s="8" t="str">
        <f>HYPERLINK("https://esbl.nhlbi.nih.gov/Databases/mpkFractions/proteomic_fractions_linear_files/Yang_linear_img/31543843.jpg","show blot")</f>
        <v>show blot</v>
      </c>
      <c r="J7434" s="5" t="s">
        <v>14631</v>
      </c>
      <c r="L7434" s="11">
        <v>4.55577082007862</v>
      </c>
      <c r="N7434" s="12"/>
    </row>
    <row r="7435" spans="1:14" s="5" customFormat="1" ht="15" customHeight="1" x14ac:dyDescent="0.25">
      <c r="A7435" s="9" t="s">
        <v>14632</v>
      </c>
      <c r="C7435" s="9" t="str">
        <f>HYPERLINK("http://www.ncbi.nlm.nih.gov/protein/27370562","Tbcel")</f>
        <v>Tbcel</v>
      </c>
      <c r="D7435" s="10">
        <f t="shared" si="116"/>
        <v>4.0415654838584647</v>
      </c>
      <c r="F7435" s="8" t="str">
        <f>HYPERLINK("https://esbl.nhlbi.nih.gov/Databases/mpkFractions/proteomic_fractions_log_files/Yang_log_img/27370562.jpg","show blot")</f>
        <v>show blot</v>
      </c>
      <c r="H7435" s="8" t="str">
        <f>HYPERLINK("https://esbl.nhlbi.nih.gov/Databases/mpkFractions/proteomic_fractions_linear_files/Yang_linear_img/27370562.jpg","show blot")</f>
        <v>show blot</v>
      </c>
      <c r="J7435" s="5" t="s">
        <v>14633</v>
      </c>
      <c r="L7435" s="11">
        <v>4.0415654838584647</v>
      </c>
      <c r="N7435" s="12"/>
    </row>
    <row r="7436" spans="1:14" s="5" customFormat="1" ht="15" customHeight="1" x14ac:dyDescent="0.25">
      <c r="A7436" s="9" t="s">
        <v>14634</v>
      </c>
      <c r="C7436" s="9" t="str">
        <f>HYPERLINK("http://www.ncbi.nlm.nih.gov/protein/251823839","Tbk1")</f>
        <v>Tbk1</v>
      </c>
      <c r="D7436" s="10">
        <f t="shared" si="116"/>
        <v>3.4803134062741141</v>
      </c>
      <c r="F7436" s="8" t="str">
        <f>HYPERLINK("https://esbl.nhlbi.nih.gov/Databases/mpkFractions/proteomic_fractions_log_files/Yang_log_img/251823839.jpg","show blot")</f>
        <v>show blot</v>
      </c>
      <c r="H7436" s="8" t="str">
        <f>HYPERLINK("https://esbl.nhlbi.nih.gov/Databases/mpkFractions/proteomic_fractions_linear_files/Yang_linear_img/251823839.jpg","show blot")</f>
        <v>show blot</v>
      </c>
      <c r="J7436" s="5" t="s">
        <v>14635</v>
      </c>
      <c r="L7436" s="11">
        <v>3.4803134062741141</v>
      </c>
      <c r="N7436" s="12"/>
    </row>
    <row r="7437" spans="1:14" s="5" customFormat="1" ht="15" customHeight="1" x14ac:dyDescent="0.25">
      <c r="A7437" s="9" t="s">
        <v>14636</v>
      </c>
      <c r="C7437" s="9" t="str">
        <f>HYPERLINK("http://www.ncbi.nlm.nih.gov/protein/33468969","Tbl1x")</f>
        <v>Tbl1x</v>
      </c>
      <c r="D7437" s="10">
        <f t="shared" si="116"/>
        <v>4.8761869375959916</v>
      </c>
      <c r="F7437" s="8" t="str">
        <f>HYPERLINK("https://esbl.nhlbi.nih.gov/Databases/mpkFractions/proteomic_fractions_log_files/Yang_log_img/33468969.jpg","show blot")</f>
        <v>show blot</v>
      </c>
      <c r="H7437" s="8" t="str">
        <f>HYPERLINK("https://esbl.nhlbi.nih.gov/Databases/mpkFractions/proteomic_fractions_linear_files/Yang_linear_img/33468969.jpg","show blot")</f>
        <v>show blot</v>
      </c>
      <c r="J7437" s="5" t="s">
        <v>14637</v>
      </c>
      <c r="L7437" s="11">
        <v>4.8761869375959916</v>
      </c>
      <c r="N7437" s="12"/>
    </row>
    <row r="7438" spans="1:14" s="5" customFormat="1" ht="15" customHeight="1" x14ac:dyDescent="0.25">
      <c r="A7438" s="9" t="s">
        <v>14638</v>
      </c>
      <c r="C7438" s="9" t="str">
        <f>HYPERLINK("http://www.ncbi.nlm.nih.gov/protein/31543001","Tbl1xr1")</f>
        <v>Tbl1xr1</v>
      </c>
      <c r="D7438" s="10">
        <f t="shared" si="116"/>
        <v>5.0205486272255762</v>
      </c>
      <c r="F7438" s="8" t="str">
        <f>HYPERLINK("https://esbl.nhlbi.nih.gov/Databases/mpkFractions/proteomic_fractions_log_files/Yang_log_img/31543001.jpg","show blot")</f>
        <v>show blot</v>
      </c>
      <c r="H7438" s="8" t="str">
        <f>HYPERLINK("https://esbl.nhlbi.nih.gov/Databases/mpkFractions/proteomic_fractions_linear_files/Yang_linear_img/31543001.jpg","show blot")</f>
        <v>show blot</v>
      </c>
      <c r="J7438" s="5" t="s">
        <v>14639</v>
      </c>
      <c r="L7438" s="11">
        <v>5.0205486272255762</v>
      </c>
      <c r="N7438" s="12"/>
    </row>
    <row r="7439" spans="1:14" s="5" customFormat="1" ht="15" customHeight="1" x14ac:dyDescent="0.25">
      <c r="A7439" s="9" t="s">
        <v>14640</v>
      </c>
      <c r="C7439" s="9" t="str">
        <f>HYPERLINK("http://www.ncbi.nlm.nih.gov/protein/31543845","Tbl2")</f>
        <v>Tbl2</v>
      </c>
      <c r="D7439" s="10">
        <f t="shared" si="116"/>
        <v>4.8327148579782699</v>
      </c>
      <c r="F7439" s="8" t="str">
        <f>HYPERLINK("https://esbl.nhlbi.nih.gov/Databases/mpkFractions/proteomic_fractions_log_files/Yang_log_img/31543845.jpg","show blot")</f>
        <v>show blot</v>
      </c>
      <c r="H7439" s="8" t="str">
        <f>HYPERLINK("https://esbl.nhlbi.nih.gov/Databases/mpkFractions/proteomic_fractions_linear_files/Yang_linear_img/31543845.jpg","show blot")</f>
        <v>show blot</v>
      </c>
      <c r="J7439" s="5" t="s">
        <v>14641</v>
      </c>
      <c r="L7439" s="11">
        <v>4.8327148579782699</v>
      </c>
      <c r="N7439" s="12"/>
    </row>
    <row r="7440" spans="1:14" s="5" customFormat="1" ht="15" customHeight="1" x14ac:dyDescent="0.25">
      <c r="A7440" s="9" t="s">
        <v>14642</v>
      </c>
      <c r="C7440" s="9" t="str">
        <f>HYPERLINK("http://www.ncbi.nlm.nih.gov/protein/30102935","Tbl3")</f>
        <v>Tbl3</v>
      </c>
      <c r="D7440" s="10">
        <f t="shared" si="116"/>
        <v>4.2720493073801267</v>
      </c>
      <c r="F7440" s="8" t="str">
        <f>HYPERLINK("https://esbl.nhlbi.nih.gov/Databases/mpkFractions/proteomic_fractions_log_files/Yang_log_img/30102935.jpg","show blot")</f>
        <v>show blot</v>
      </c>
      <c r="H7440" s="8" t="str">
        <f>HYPERLINK("https://esbl.nhlbi.nih.gov/Databases/mpkFractions/proteomic_fractions_linear_files/Yang_linear_img/30102935.jpg","show blot")</f>
        <v>show blot</v>
      </c>
      <c r="J7440" s="5" t="s">
        <v>14643</v>
      </c>
      <c r="L7440" s="11">
        <v>4.2720493073801267</v>
      </c>
      <c r="N7440" s="12"/>
    </row>
    <row r="7441" spans="1:14" s="5" customFormat="1" ht="15" customHeight="1" x14ac:dyDescent="0.25">
      <c r="A7441" s="9" t="s">
        <v>14644</v>
      </c>
      <c r="C7441" s="9" t="str">
        <f>HYPERLINK("http://www.ncbi.nlm.nih.gov/protein/172073171","Tbp")</f>
        <v>Tbp</v>
      </c>
      <c r="D7441" s="10">
        <f t="shared" si="116"/>
        <v>2.3971934416794358</v>
      </c>
      <c r="F7441" s="8" t="str">
        <f>HYPERLINK("https://esbl.nhlbi.nih.gov/Databases/mpkFractions/proteomic_fractions_log_files/Yang_log_img/172073171.jpg","show blot")</f>
        <v>show blot</v>
      </c>
      <c r="H7441" s="8" t="str">
        <f>HYPERLINK("https://esbl.nhlbi.nih.gov/Databases/mpkFractions/proteomic_fractions_linear_files/Yang_linear_img/172073171.jpg","show blot")</f>
        <v>show blot</v>
      </c>
      <c r="J7441" s="5" t="s">
        <v>14645</v>
      </c>
      <c r="L7441" s="11">
        <v>2.3971934416794358</v>
      </c>
      <c r="N7441" s="12"/>
    </row>
    <row r="7442" spans="1:14" s="5" customFormat="1" ht="15" customHeight="1" x14ac:dyDescent="0.25">
      <c r="A7442" s="9" t="s">
        <v>14646</v>
      </c>
      <c r="C7442" s="9" t="str">
        <f>HYPERLINK("http://www.ncbi.nlm.nih.gov/protein/6755811","Tbpl1")</f>
        <v>Tbpl1</v>
      </c>
      <c r="D7442" s="10">
        <f t="shared" si="116"/>
        <v>4.8956971287764484</v>
      </c>
      <c r="F7442" s="8" t="str">
        <f>HYPERLINK("https://esbl.nhlbi.nih.gov/Databases/mpkFractions/proteomic_fractions_log_files/Yang_log_img/6755811.jpg","show blot")</f>
        <v>show blot</v>
      </c>
      <c r="H7442" s="8" t="str">
        <f>HYPERLINK("https://esbl.nhlbi.nih.gov/Databases/mpkFractions/proteomic_fractions_linear_files/Yang_linear_img/6755811.jpg","show blot")</f>
        <v>show blot</v>
      </c>
      <c r="J7442" s="5" t="s">
        <v>14647</v>
      </c>
      <c r="L7442" s="11">
        <v>4.8956971287764484</v>
      </c>
      <c r="N7442" s="12"/>
    </row>
    <row r="7443" spans="1:14" s="5" customFormat="1" ht="15" customHeight="1" x14ac:dyDescent="0.25">
      <c r="A7443" s="9" t="s">
        <v>14648</v>
      </c>
      <c r="C7443" s="9" t="str">
        <f>HYPERLINK("http://www.ncbi.nlm.nih.gov/protein/39979630","Tbpl2")</f>
        <v>Tbpl2</v>
      </c>
      <c r="D7443" s="10">
        <f t="shared" si="116"/>
        <v>1.489561879895307</v>
      </c>
      <c r="F7443" s="8" t="str">
        <f>HYPERLINK("https://esbl.nhlbi.nih.gov/Databases/mpkFractions/proteomic_fractions_log_files/Yang_log_img/39979630.jpg","show blot")</f>
        <v>show blot</v>
      </c>
      <c r="H7443" s="8" t="str">
        <f>HYPERLINK("https://esbl.nhlbi.nih.gov/Databases/mpkFractions/proteomic_fractions_linear_files/Yang_linear_img/39979630.jpg","show blot")</f>
        <v>show blot</v>
      </c>
      <c r="J7443" s="5" t="s">
        <v>14649</v>
      </c>
      <c r="L7443" s="11">
        <v>1.489561879895307</v>
      </c>
      <c r="N7443" s="12"/>
    </row>
    <row r="7444" spans="1:14" s="5" customFormat="1" ht="15" customHeight="1" x14ac:dyDescent="0.25">
      <c r="A7444" s="9" t="s">
        <v>14650</v>
      </c>
      <c r="C7444" s="9" t="str">
        <f>HYPERLINK("http://www.ncbi.nlm.nih.gov/protein/20589521","Tbrg4")</f>
        <v>Tbrg4</v>
      </c>
      <c r="D7444" s="10">
        <f t="shared" si="116"/>
        <v>4.2496613776467909</v>
      </c>
      <c r="F7444" s="8" t="str">
        <f>HYPERLINK("https://esbl.nhlbi.nih.gov/Databases/mpkFractions/proteomic_fractions_log_files/Yang_log_img/20589521.jpg","show blot")</f>
        <v>show blot</v>
      </c>
      <c r="H7444" s="8" t="str">
        <f>HYPERLINK("https://esbl.nhlbi.nih.gov/Databases/mpkFractions/proteomic_fractions_linear_files/Yang_linear_img/20589521.jpg","show blot")</f>
        <v>show blot</v>
      </c>
      <c r="J7444" s="5" t="s">
        <v>14651</v>
      </c>
      <c r="L7444" s="11">
        <v>4.2496613776467909</v>
      </c>
      <c r="N7444" s="12"/>
    </row>
    <row r="7445" spans="1:14" s="5" customFormat="1" ht="15" customHeight="1" x14ac:dyDescent="0.25">
      <c r="A7445" s="9" t="s">
        <v>14652</v>
      </c>
      <c r="C7445" s="9" t="str">
        <f>HYPERLINK("http://www.ncbi.nlm.nih.gov/protein/229094709","Tcea1")</f>
        <v>Tcea1</v>
      </c>
      <c r="D7445" s="10">
        <f t="shared" si="116"/>
        <v>6.0029744763993973</v>
      </c>
      <c r="F7445" s="8" t="str">
        <f>HYPERLINK("https://esbl.nhlbi.nih.gov/Databases/mpkFractions/proteomic_fractions_log_files/Yang_log_img/229094709.jpg","show blot")</f>
        <v>show blot</v>
      </c>
      <c r="H7445" s="8" t="str">
        <f>HYPERLINK("https://esbl.nhlbi.nih.gov/Databases/mpkFractions/proteomic_fractions_linear_files/Yang_linear_img/229094709.jpg","show blot")</f>
        <v>show blot</v>
      </c>
      <c r="J7445" s="5" t="s">
        <v>14653</v>
      </c>
      <c r="L7445" s="11">
        <v>6.0029744763993973</v>
      </c>
      <c r="N7445" s="12"/>
    </row>
    <row r="7446" spans="1:14" s="5" customFormat="1" ht="15" customHeight="1" x14ac:dyDescent="0.25">
      <c r="A7446" s="9" t="s">
        <v>14654</v>
      </c>
      <c r="C7446" s="9" t="str">
        <f>HYPERLINK("http://www.ncbi.nlm.nih.gov/protein/229094714","Tcea1")</f>
        <v>Tcea1</v>
      </c>
      <c r="D7446" s="10">
        <f t="shared" si="116"/>
        <v>6.0029744763993973</v>
      </c>
      <c r="F7446" s="8" t="str">
        <f>HYPERLINK("https://esbl.nhlbi.nih.gov/Databases/mpkFractions/proteomic_fractions_log_files/Yang_log_img/229094714.jpg","show blot")</f>
        <v>show blot</v>
      </c>
      <c r="H7446" s="8" t="str">
        <f>HYPERLINK("https://esbl.nhlbi.nih.gov/Databases/mpkFractions/proteomic_fractions_linear_files/Yang_linear_img/229094714.jpg","show blot")</f>
        <v>show blot</v>
      </c>
      <c r="J7446" s="5" t="s">
        <v>14655</v>
      </c>
      <c r="L7446" s="11">
        <v>6.0029744763993973</v>
      </c>
      <c r="N7446" s="12"/>
    </row>
    <row r="7447" spans="1:14" s="5" customFormat="1" ht="15" customHeight="1" x14ac:dyDescent="0.25">
      <c r="A7447" s="9" t="s">
        <v>14656</v>
      </c>
      <c r="C7447" s="9" t="str">
        <f>HYPERLINK("http://www.ncbi.nlm.nih.gov/protein/6755728","Tcea1")</f>
        <v>Tcea1</v>
      </c>
      <c r="D7447" s="10">
        <f t="shared" si="116"/>
        <v>6.0029744763993973</v>
      </c>
      <c r="F7447" s="8" t="str">
        <f>HYPERLINK("https://esbl.nhlbi.nih.gov/Databases/mpkFractions/proteomic_fractions_log_files/Yang_log_img/6755728.jpg","show blot")</f>
        <v>show blot</v>
      </c>
      <c r="H7447" s="8" t="str">
        <f>HYPERLINK("https://esbl.nhlbi.nih.gov/Databases/mpkFractions/proteomic_fractions_linear_files/Yang_linear_img/6755728.jpg","show blot")</f>
        <v>show blot</v>
      </c>
      <c r="J7447" s="5" t="s">
        <v>14657</v>
      </c>
      <c r="L7447" s="11">
        <v>6.0029744763993973</v>
      </c>
      <c r="N7447" s="12"/>
    </row>
    <row r="7448" spans="1:14" s="5" customFormat="1" ht="15" customHeight="1" x14ac:dyDescent="0.25">
      <c r="A7448" s="9" t="s">
        <v>14658</v>
      </c>
      <c r="C7448" s="9" t="str">
        <f>HYPERLINK("http://www.ncbi.nlm.nih.gov/protein/6678235","Tcea2")</f>
        <v>Tcea2</v>
      </c>
      <c r="D7448" s="10">
        <f t="shared" si="116"/>
        <v>3.7862377590556351</v>
      </c>
      <c r="F7448" s="8" t="str">
        <f>HYPERLINK("https://esbl.nhlbi.nih.gov/Databases/mpkFractions/proteomic_fractions_log_files/Yang_log_img/6678235.jpg","show blot")</f>
        <v>show blot</v>
      </c>
      <c r="H7448" s="8" t="str">
        <f>HYPERLINK("https://esbl.nhlbi.nih.gov/Databases/mpkFractions/proteomic_fractions_linear_files/Yang_linear_img/6678235.jpg","show blot")</f>
        <v>show blot</v>
      </c>
      <c r="J7448" s="5" t="s">
        <v>14659</v>
      </c>
      <c r="L7448" s="11">
        <v>3.7862377590556351</v>
      </c>
      <c r="N7448" s="12"/>
    </row>
    <row r="7449" spans="1:14" s="5" customFormat="1" ht="15" customHeight="1" x14ac:dyDescent="0.25">
      <c r="A7449" s="9" t="s">
        <v>14660</v>
      </c>
      <c r="C7449" s="9" t="str">
        <f>HYPERLINK("http://www.ncbi.nlm.nih.gov/protein/13385800","Tceb2")</f>
        <v>Tceb2</v>
      </c>
      <c r="D7449" s="10">
        <f t="shared" si="116"/>
        <v>6.07611545114968</v>
      </c>
      <c r="F7449" s="8" t="str">
        <f>HYPERLINK("https://esbl.nhlbi.nih.gov/Databases/mpkFractions/proteomic_fractions_log_files/Yang_log_img/13385800.jpg","show blot")</f>
        <v>show blot</v>
      </c>
      <c r="H7449" s="8" t="str">
        <f>HYPERLINK("https://esbl.nhlbi.nih.gov/Databases/mpkFractions/proteomic_fractions_linear_files/Yang_linear_img/13385800.jpg","show blot")</f>
        <v>show blot</v>
      </c>
      <c r="J7449" s="5" t="s">
        <v>14661</v>
      </c>
      <c r="L7449" s="11">
        <v>6.07611545114968</v>
      </c>
      <c r="N7449" s="12"/>
    </row>
    <row r="7450" spans="1:14" s="5" customFormat="1" ht="15" customHeight="1" x14ac:dyDescent="0.25">
      <c r="A7450" s="9" t="s">
        <v>14662</v>
      </c>
      <c r="C7450" s="9" t="str">
        <f>HYPERLINK("http://www.ncbi.nlm.nih.gov/protein/87196334","Tcerg1")</f>
        <v>Tcerg1</v>
      </c>
      <c r="D7450" s="10">
        <f t="shared" si="116"/>
        <v>3.4151174420161272</v>
      </c>
      <c r="F7450" s="8" t="str">
        <f>HYPERLINK("https://esbl.nhlbi.nih.gov/Databases/mpkFractions/proteomic_fractions_log_files/Yang_log_img/87196334.jpg","show blot")</f>
        <v>show blot</v>
      </c>
      <c r="H7450" s="8" t="str">
        <f>HYPERLINK("https://esbl.nhlbi.nih.gov/Databases/mpkFractions/proteomic_fractions_linear_files/Yang_linear_img/87196334.jpg","show blot")</f>
        <v>show blot</v>
      </c>
      <c r="J7450" s="5" t="s">
        <v>14663</v>
      </c>
      <c r="L7450" s="11">
        <v>3.4151174420161272</v>
      </c>
      <c r="N7450" s="12"/>
    </row>
    <row r="7451" spans="1:14" s="5" customFormat="1" ht="15" customHeight="1" x14ac:dyDescent="0.25">
      <c r="A7451" s="9" t="s">
        <v>14664</v>
      </c>
      <c r="C7451" s="9" t="str">
        <f>HYPERLINK("http://www.ncbi.nlm.nih.gov/protein/209863008","Tcirg1")</f>
        <v>Tcirg1</v>
      </c>
      <c r="D7451" s="10">
        <f t="shared" si="116"/>
        <v>4.3236258758875659</v>
      </c>
      <c r="F7451" s="8" t="str">
        <f>HYPERLINK("https://esbl.nhlbi.nih.gov/Databases/mpkFractions/proteomic_fractions_log_files/Yang_log_img/209863008.jpg","show blot")</f>
        <v>show blot</v>
      </c>
      <c r="H7451" s="8" t="str">
        <f>HYPERLINK("https://esbl.nhlbi.nih.gov/Databases/mpkFractions/proteomic_fractions_linear_files/Yang_linear_img/209863008.jpg","show blot")</f>
        <v>show blot</v>
      </c>
      <c r="J7451" s="5" t="s">
        <v>14665</v>
      </c>
      <c r="L7451" s="11">
        <v>4.3236258758875659</v>
      </c>
      <c r="N7451" s="12"/>
    </row>
    <row r="7452" spans="1:14" s="5" customFormat="1" ht="15" customHeight="1" x14ac:dyDescent="0.25">
      <c r="A7452" s="9" t="s">
        <v>14666</v>
      </c>
      <c r="C7452" s="9" t="str">
        <f>HYPERLINK("http://www.ncbi.nlm.nih.gov/protein/312176443","Tcof1")</f>
        <v>Tcof1</v>
      </c>
      <c r="D7452" s="10">
        <f t="shared" si="116"/>
        <v>3.629122625216489</v>
      </c>
      <c r="F7452" s="8" t="str">
        <f>HYPERLINK("https://esbl.nhlbi.nih.gov/Databases/mpkFractions/proteomic_fractions_log_files/Yang_log_img/312176443.jpg","show blot")</f>
        <v>show blot</v>
      </c>
      <c r="H7452" s="8" t="str">
        <f>HYPERLINK("https://esbl.nhlbi.nih.gov/Databases/mpkFractions/proteomic_fractions_linear_files/Yang_linear_img/312176443.jpg","show blot")</f>
        <v>show blot</v>
      </c>
      <c r="J7452" s="5" t="s">
        <v>14667</v>
      </c>
      <c r="L7452" s="11">
        <v>3.629122625216489</v>
      </c>
      <c r="N7452" s="12"/>
    </row>
    <row r="7453" spans="1:14" s="5" customFormat="1" ht="15" customHeight="1" x14ac:dyDescent="0.25">
      <c r="A7453" s="9" t="s">
        <v>14668</v>
      </c>
      <c r="C7453" s="9" t="str">
        <f>HYPERLINK("http://www.ncbi.nlm.nih.gov/protein/6755742","Tcof1")</f>
        <v>Tcof1</v>
      </c>
      <c r="D7453" s="10">
        <f t="shared" si="116"/>
        <v>3.629122625216489</v>
      </c>
      <c r="F7453" s="8" t="str">
        <f>HYPERLINK("https://esbl.nhlbi.nih.gov/Databases/mpkFractions/proteomic_fractions_log_files/Yang_log_img/6755742.jpg","show blot")</f>
        <v>show blot</v>
      </c>
      <c r="H7453" s="8" t="str">
        <f>HYPERLINK("https://esbl.nhlbi.nih.gov/Databases/mpkFractions/proteomic_fractions_linear_files/Yang_linear_img/6755742.jpg","show blot")</f>
        <v>show blot</v>
      </c>
      <c r="J7453" s="5" t="s">
        <v>14669</v>
      </c>
      <c r="L7453" s="11">
        <v>3.629122625216489</v>
      </c>
      <c r="N7453" s="12"/>
    </row>
    <row r="7454" spans="1:14" s="5" customFormat="1" ht="15" customHeight="1" x14ac:dyDescent="0.25">
      <c r="A7454" s="9" t="s">
        <v>14670</v>
      </c>
      <c r="C7454" s="9" t="str">
        <f>HYPERLINK("http://www.ncbi.nlm.nih.gov/protein/110625624","Tcp1")</f>
        <v>Tcp1</v>
      </c>
      <c r="D7454" s="10">
        <f t="shared" si="116"/>
        <v>6.7720975433122206</v>
      </c>
      <c r="F7454" s="8" t="str">
        <f>HYPERLINK("https://esbl.nhlbi.nih.gov/Databases/mpkFractions/proteomic_fractions_log_files/Yang_log_img/110625624.jpg","show blot")</f>
        <v>show blot</v>
      </c>
      <c r="H7454" s="8" t="str">
        <f>HYPERLINK("https://esbl.nhlbi.nih.gov/Databases/mpkFractions/proteomic_fractions_linear_files/Yang_linear_img/110625624.jpg","show blot")</f>
        <v>show blot</v>
      </c>
      <c r="J7454" s="5" t="s">
        <v>14671</v>
      </c>
      <c r="L7454" s="11">
        <v>6.7720975433122206</v>
      </c>
      <c r="N7454" s="12"/>
    </row>
    <row r="7455" spans="1:14" s="5" customFormat="1" ht="15" customHeight="1" x14ac:dyDescent="0.25">
      <c r="A7455" s="9" t="s">
        <v>14672</v>
      </c>
      <c r="C7455" s="9" t="str">
        <f>HYPERLINK("http://www.ncbi.nlm.nih.gov/protein/28893201","Tcp11l1")</f>
        <v>Tcp11l1</v>
      </c>
      <c r="D7455" s="10">
        <f t="shared" si="116"/>
        <v>3.4176498373014512</v>
      </c>
      <c r="F7455" s="8" t="str">
        <f>HYPERLINK("https://esbl.nhlbi.nih.gov/Databases/mpkFractions/proteomic_fractions_log_files/Yang_log_img/28893201.jpg","show blot")</f>
        <v>show blot</v>
      </c>
      <c r="H7455" s="8" t="str">
        <f>HYPERLINK("https://esbl.nhlbi.nih.gov/Databases/mpkFractions/proteomic_fractions_linear_files/Yang_linear_img/28893201.jpg","show blot")</f>
        <v>show blot</v>
      </c>
      <c r="J7455" s="5" t="s">
        <v>14673</v>
      </c>
      <c r="L7455" s="11">
        <v>3.4176498373014512</v>
      </c>
      <c r="N7455" s="12"/>
    </row>
    <row r="7456" spans="1:14" s="5" customFormat="1" ht="15" customHeight="1" x14ac:dyDescent="0.25">
      <c r="A7456" s="9" t="s">
        <v>14674</v>
      </c>
      <c r="C7456" s="9" t="str">
        <f>HYPERLINK("http://www.ncbi.nlm.nih.gov/protein/166706899","Tdg")</f>
        <v>Tdg</v>
      </c>
      <c r="D7456" s="10">
        <f t="shared" si="116"/>
        <v>3.1317790093691871</v>
      </c>
      <c r="F7456" s="8" t="str">
        <f>HYPERLINK("https://esbl.nhlbi.nih.gov/Databases/mpkFractions/proteomic_fractions_log_files/Yang_log_img/166706899.jpg","show blot")</f>
        <v>show blot</v>
      </c>
      <c r="H7456" s="8" t="str">
        <f>HYPERLINK("https://esbl.nhlbi.nih.gov/Databases/mpkFractions/proteomic_fractions_linear_files/Yang_linear_img/166706899.jpg","show blot")</f>
        <v>show blot</v>
      </c>
      <c r="J7456" s="5" t="s">
        <v>14675</v>
      </c>
      <c r="L7456" s="11">
        <v>3.1317790093691871</v>
      </c>
      <c r="N7456" s="12"/>
    </row>
    <row r="7457" spans="1:14" s="5" customFormat="1" ht="15" customHeight="1" x14ac:dyDescent="0.25">
      <c r="A7457" s="9" t="s">
        <v>14676</v>
      </c>
      <c r="C7457" s="9" t="str">
        <f>HYPERLINK("http://www.ncbi.nlm.nih.gov/protein/166706901","Tdg")</f>
        <v>Tdg</v>
      </c>
      <c r="D7457" s="10">
        <f t="shared" si="116"/>
        <v>3.1317790093691871</v>
      </c>
      <c r="F7457" s="8" t="str">
        <f>HYPERLINK("https://esbl.nhlbi.nih.gov/Databases/mpkFractions/proteomic_fractions_log_files/Yang_log_img/166706901.jpg","show blot")</f>
        <v>show blot</v>
      </c>
      <c r="H7457" s="8" t="str">
        <f>HYPERLINK("https://esbl.nhlbi.nih.gov/Databases/mpkFractions/proteomic_fractions_linear_files/Yang_linear_img/166706901.jpg","show blot")</f>
        <v>show blot</v>
      </c>
      <c r="J7457" s="5" t="s">
        <v>14677</v>
      </c>
      <c r="L7457" s="11">
        <v>3.1317790093691871</v>
      </c>
      <c r="N7457" s="12"/>
    </row>
    <row r="7458" spans="1:14" s="5" customFormat="1" ht="15" customHeight="1" x14ac:dyDescent="0.25">
      <c r="A7458" s="9" t="s">
        <v>14678</v>
      </c>
      <c r="C7458" s="9" t="str">
        <f>HYPERLINK("http://www.ncbi.nlm.nih.gov/protein/162417986","Tdp1")</f>
        <v>Tdp1</v>
      </c>
      <c r="D7458" s="10">
        <f t="shared" si="116"/>
        <v>3.3254060208376219</v>
      </c>
      <c r="F7458" s="8" t="str">
        <f>HYPERLINK("https://esbl.nhlbi.nih.gov/Databases/mpkFractions/proteomic_fractions_log_files/Yang_log_img/162417986.jpg","show blot")</f>
        <v>show blot</v>
      </c>
      <c r="H7458" s="8" t="str">
        <f>HYPERLINK("https://esbl.nhlbi.nih.gov/Databases/mpkFractions/proteomic_fractions_linear_files/Yang_linear_img/162417986.jpg","show blot")</f>
        <v>show blot</v>
      </c>
      <c r="J7458" s="5" t="s">
        <v>14679</v>
      </c>
      <c r="L7458" s="11">
        <v>3.3254060208376219</v>
      </c>
      <c r="N7458" s="12"/>
    </row>
    <row r="7459" spans="1:14" s="5" customFormat="1" ht="15" customHeight="1" x14ac:dyDescent="0.25">
      <c r="A7459" s="9" t="s">
        <v>14680</v>
      </c>
      <c r="C7459" s="9" t="str">
        <f>HYPERLINK("http://www.ncbi.nlm.nih.gov/protein/9507213","Tdp2")</f>
        <v>Tdp2</v>
      </c>
      <c r="D7459" s="10">
        <f t="shared" si="116"/>
        <v>2.8988893210253668</v>
      </c>
      <c r="F7459" s="8" t="str">
        <f>HYPERLINK("https://esbl.nhlbi.nih.gov/Databases/mpkFractions/proteomic_fractions_log_files/Yang_log_img/9507213.jpg","show blot")</f>
        <v>show blot</v>
      </c>
      <c r="H7459" s="8" t="str">
        <f>HYPERLINK("https://esbl.nhlbi.nih.gov/Databases/mpkFractions/proteomic_fractions_linear_files/Yang_linear_img/9507213.jpg","show blot")</f>
        <v>show blot</v>
      </c>
      <c r="J7459" s="5" t="s">
        <v>14681</v>
      </c>
      <c r="L7459" s="11">
        <v>2.8988893210253668</v>
      </c>
      <c r="N7459" s="12"/>
    </row>
    <row r="7460" spans="1:14" s="5" customFormat="1" ht="15" customHeight="1" x14ac:dyDescent="0.25">
      <c r="A7460" s="9" t="s">
        <v>14682</v>
      </c>
      <c r="C7460" s="9" t="str">
        <f>HYPERLINK("http://www.ncbi.nlm.nih.gov/protein/225703112","Tdrd3")</f>
        <v>Tdrd3</v>
      </c>
      <c r="D7460" s="10">
        <f t="shared" si="116"/>
        <v>4.1441831054438003</v>
      </c>
      <c r="F7460" s="8" t="str">
        <f>HYPERLINK("https://esbl.nhlbi.nih.gov/Databases/mpkFractions/proteomic_fractions_log_files/Yang_log_img/225703112.jpg","show blot")</f>
        <v>show blot</v>
      </c>
      <c r="H7460" s="8" t="str">
        <f>HYPERLINK("https://esbl.nhlbi.nih.gov/Databases/mpkFractions/proteomic_fractions_linear_files/Yang_linear_img/225703112.jpg","show blot")</f>
        <v>show blot</v>
      </c>
      <c r="J7460" s="5" t="s">
        <v>14683</v>
      </c>
      <c r="L7460" s="11">
        <v>4.1441831054438003</v>
      </c>
      <c r="N7460" s="12"/>
    </row>
    <row r="7461" spans="1:14" s="5" customFormat="1" ht="15" customHeight="1" x14ac:dyDescent="0.25">
      <c r="A7461" s="9" t="s">
        <v>14684</v>
      </c>
      <c r="C7461" s="9" t="str">
        <f>HYPERLINK("http://www.ncbi.nlm.nih.gov/protein/359279950","Tdrd3")</f>
        <v>Tdrd3</v>
      </c>
      <c r="D7461" s="10">
        <f t="shared" si="116"/>
        <v>4.1441831054438003</v>
      </c>
      <c r="F7461" s="8" t="str">
        <f>HYPERLINK("https://esbl.nhlbi.nih.gov/Databases/mpkFractions/proteomic_fractions_log_files/Yang_log_img/359279950.jpg","show blot")</f>
        <v>show blot</v>
      </c>
      <c r="H7461" s="8" t="str">
        <f>HYPERLINK("https://esbl.nhlbi.nih.gov/Databases/mpkFractions/proteomic_fractions_linear_files/Yang_linear_img/359279950.jpg","show blot")</f>
        <v>show blot</v>
      </c>
      <c r="J7461" s="5" t="s">
        <v>14685</v>
      </c>
      <c r="L7461" s="11">
        <v>4.1441831054438003</v>
      </c>
      <c r="N7461" s="12"/>
    </row>
    <row r="7462" spans="1:14" s="5" customFormat="1" ht="15" customHeight="1" x14ac:dyDescent="0.25">
      <c r="A7462" s="9" t="s">
        <v>14686</v>
      </c>
      <c r="C7462" s="9" t="str">
        <f>HYPERLINK("http://www.ncbi.nlm.nih.gov/protein/124249058","Tecpr1")</f>
        <v>Tecpr1</v>
      </c>
      <c r="D7462" s="10">
        <f t="shared" si="116"/>
        <v>3.20909007105318</v>
      </c>
      <c r="F7462" s="8" t="str">
        <f>HYPERLINK("https://esbl.nhlbi.nih.gov/Databases/mpkFractions/proteomic_fractions_log_files/Yang_log_img/124249058.jpg","show blot")</f>
        <v>show blot</v>
      </c>
      <c r="H7462" s="8" t="str">
        <f>HYPERLINK("https://esbl.nhlbi.nih.gov/Databases/mpkFractions/proteomic_fractions_linear_files/Yang_linear_img/124249058.jpg","show blot")</f>
        <v>show blot</v>
      </c>
      <c r="J7462" s="5" t="s">
        <v>14687</v>
      </c>
      <c r="L7462" s="11">
        <v>3.20909007105318</v>
      </c>
      <c r="N7462" s="12"/>
    </row>
    <row r="7463" spans="1:14" s="5" customFormat="1" ht="15" customHeight="1" x14ac:dyDescent="0.25">
      <c r="A7463" s="9" t="s">
        <v>14688</v>
      </c>
      <c r="C7463" s="9" t="str">
        <f>HYPERLINK("http://www.ncbi.nlm.nih.gov/protein/19923070","Tecr")</f>
        <v>Tecr</v>
      </c>
      <c r="D7463" s="10">
        <f t="shared" si="116"/>
        <v>5.3605551931143323</v>
      </c>
      <c r="F7463" s="8" t="str">
        <f>HYPERLINK("https://esbl.nhlbi.nih.gov/Databases/mpkFractions/proteomic_fractions_log_files/Yang_log_img/19923070.jpg","show blot")</f>
        <v>show blot</v>
      </c>
      <c r="H7463" s="8" t="str">
        <f>HYPERLINK("https://esbl.nhlbi.nih.gov/Databases/mpkFractions/proteomic_fractions_linear_files/Yang_linear_img/19923070.jpg","show blot")</f>
        <v>show blot</v>
      </c>
      <c r="J7463" s="5" t="s">
        <v>14689</v>
      </c>
      <c r="L7463" s="11">
        <v>5.3605551931143323</v>
      </c>
      <c r="N7463" s="12"/>
    </row>
    <row r="7464" spans="1:14" s="5" customFormat="1" ht="15" customHeight="1" x14ac:dyDescent="0.25">
      <c r="A7464" s="9" t="s">
        <v>14690</v>
      </c>
      <c r="C7464" s="9" t="str">
        <f>HYPERLINK("http://www.ncbi.nlm.nih.gov/protein/226342960","Tecr")</f>
        <v>Tecr</v>
      </c>
      <c r="D7464" s="10">
        <f t="shared" si="116"/>
        <v>5.3605551931143323</v>
      </c>
      <c r="F7464" s="8" t="str">
        <f>HYPERLINK("https://esbl.nhlbi.nih.gov/Databases/mpkFractions/proteomic_fractions_log_files/Yang_log_img/226342960.jpg","show blot")</f>
        <v>show blot</v>
      </c>
      <c r="H7464" s="8" t="str">
        <f>HYPERLINK("https://esbl.nhlbi.nih.gov/Databases/mpkFractions/proteomic_fractions_linear_files/Yang_linear_img/226342960.jpg","show blot")</f>
        <v>show blot</v>
      </c>
      <c r="J7464" s="5" t="s">
        <v>14691</v>
      </c>
      <c r="L7464" s="11">
        <v>5.3605551931143323</v>
      </c>
      <c r="N7464" s="12"/>
    </row>
    <row r="7465" spans="1:14" s="5" customFormat="1" ht="15" customHeight="1" x14ac:dyDescent="0.25">
      <c r="A7465" s="9" t="s">
        <v>14692</v>
      </c>
      <c r="C7465" s="9" t="str">
        <f>HYPERLINK("http://www.ncbi.nlm.nih.gov/protein/134053922","Tefm")</f>
        <v>Tefm</v>
      </c>
      <c r="D7465" s="10">
        <f t="shared" si="116"/>
        <v>4.2166372553845353</v>
      </c>
      <c r="F7465" s="8" t="str">
        <f>HYPERLINK("https://esbl.nhlbi.nih.gov/Databases/mpkFractions/proteomic_fractions_log_files/Yang_log_img/134053922.jpg","show blot")</f>
        <v>show blot</v>
      </c>
      <c r="H7465" s="8" t="str">
        <f>HYPERLINK("https://esbl.nhlbi.nih.gov/Databases/mpkFractions/proteomic_fractions_linear_files/Yang_linear_img/134053922.jpg","show blot")</f>
        <v>show blot</v>
      </c>
      <c r="J7465" s="5" t="s">
        <v>14693</v>
      </c>
      <c r="L7465" s="11">
        <v>4.2166372553845353</v>
      </c>
      <c r="N7465" s="12"/>
    </row>
    <row r="7466" spans="1:14" s="5" customFormat="1" ht="15" customHeight="1" x14ac:dyDescent="0.25">
      <c r="A7466" s="9" t="s">
        <v>14694</v>
      </c>
      <c r="C7466" s="9" t="str">
        <f>HYPERLINK("http://www.ncbi.nlm.nih.gov/protein/117956379","Tekt1")</f>
        <v>Tekt1</v>
      </c>
      <c r="D7466" s="10">
        <f t="shared" si="116"/>
        <v>4.4863374188841263</v>
      </c>
      <c r="F7466" s="8" t="str">
        <f>HYPERLINK("https://esbl.nhlbi.nih.gov/Databases/mpkFractions/proteomic_fractions_log_files/Yang_log_img/117956379.jpg","show blot")</f>
        <v>show blot</v>
      </c>
      <c r="H7466" s="8" t="str">
        <f>HYPERLINK("https://esbl.nhlbi.nih.gov/Databases/mpkFractions/proteomic_fractions_linear_files/Yang_linear_img/117956379.jpg","show blot")</f>
        <v>show blot</v>
      </c>
      <c r="J7466" s="5" t="s">
        <v>14695</v>
      </c>
      <c r="L7466" s="11">
        <v>4.4863374188841263</v>
      </c>
      <c r="N7466" s="12"/>
    </row>
    <row r="7467" spans="1:14" s="5" customFormat="1" ht="15" customHeight="1" x14ac:dyDescent="0.25">
      <c r="A7467" s="9" t="s">
        <v>14696</v>
      </c>
      <c r="C7467" s="9" t="str">
        <f>HYPERLINK("http://www.ncbi.nlm.nih.gov/protein/255683437","Telo2")</f>
        <v>Telo2</v>
      </c>
      <c r="D7467" s="10">
        <f t="shared" si="116"/>
        <v>4.2377961656336653</v>
      </c>
      <c r="F7467" s="8" t="str">
        <f>HYPERLINK("https://esbl.nhlbi.nih.gov/Databases/mpkFractions/proteomic_fractions_log_files/Yang_log_img/255683437.jpg","show blot")</f>
        <v>show blot</v>
      </c>
      <c r="H7467" s="8" t="str">
        <f>HYPERLINK("https://esbl.nhlbi.nih.gov/Databases/mpkFractions/proteomic_fractions_linear_files/Yang_linear_img/255683437.jpg","show blot")</f>
        <v>show blot</v>
      </c>
      <c r="J7467" s="5" t="s">
        <v>14697</v>
      </c>
      <c r="L7467" s="11">
        <v>4.2377961656336653</v>
      </c>
      <c r="N7467" s="12"/>
    </row>
    <row r="7468" spans="1:14" s="5" customFormat="1" ht="15" customHeight="1" x14ac:dyDescent="0.25">
      <c r="A7468" s="9" t="s">
        <v>14698</v>
      </c>
      <c r="C7468" s="9" t="str">
        <f>HYPERLINK("http://www.ncbi.nlm.nih.gov/protein/254675210","Ten1")</f>
        <v>Ten1</v>
      </c>
      <c r="D7468" s="10">
        <f t="shared" si="116"/>
        <v>4.7885503555217381</v>
      </c>
      <c r="F7468" s="8" t="str">
        <f>HYPERLINK("https://esbl.nhlbi.nih.gov/Databases/mpkFractions/proteomic_fractions_log_files/Yang_log_img/254675210.jpg","show blot")</f>
        <v>show blot</v>
      </c>
      <c r="H7468" s="8" t="str">
        <f>HYPERLINK("https://esbl.nhlbi.nih.gov/Databases/mpkFractions/proteomic_fractions_linear_files/Yang_linear_img/254675210.jpg","show blot")</f>
        <v>show blot</v>
      </c>
      <c r="J7468" s="5" t="s">
        <v>14699</v>
      </c>
      <c r="L7468" s="11">
        <v>4.7885503555217381</v>
      </c>
      <c r="N7468" s="12"/>
    </row>
    <row r="7469" spans="1:14" s="5" customFormat="1" ht="15" customHeight="1" x14ac:dyDescent="0.25">
      <c r="A7469" s="9" t="s">
        <v>14700</v>
      </c>
      <c r="C7469" s="9" t="str">
        <f>HYPERLINK("http://www.ncbi.nlm.nih.gov/protein/119372288","Tenc1")</f>
        <v>Tenc1</v>
      </c>
      <c r="D7469" s="10">
        <f t="shared" si="116"/>
        <v>4.0128732107926632</v>
      </c>
      <c r="F7469" s="8" t="str">
        <f>HYPERLINK("https://esbl.nhlbi.nih.gov/Databases/mpkFractions/proteomic_fractions_log_files/Yang_log_img/119372288.jpg","show blot")</f>
        <v>show blot</v>
      </c>
      <c r="H7469" s="8" t="str">
        <f>HYPERLINK("https://esbl.nhlbi.nih.gov/Databases/mpkFractions/proteomic_fractions_linear_files/Yang_linear_img/119372288.jpg","show blot")</f>
        <v>show blot</v>
      </c>
      <c r="J7469" s="5" t="s">
        <v>14701</v>
      </c>
      <c r="L7469" s="11">
        <v>4.0128732107926632</v>
      </c>
      <c r="N7469" s="12"/>
    </row>
    <row r="7470" spans="1:14" s="5" customFormat="1" ht="15" customHeight="1" x14ac:dyDescent="0.25">
      <c r="A7470" s="9" t="s">
        <v>14702</v>
      </c>
      <c r="C7470" s="9" t="str">
        <f>HYPERLINK("http://www.ncbi.nlm.nih.gov/protein/7657413","Tenm1")</f>
        <v>Tenm1</v>
      </c>
      <c r="D7470" s="10">
        <f t="shared" si="116"/>
        <v>1.9971664428949061</v>
      </c>
      <c r="F7470" s="8" t="str">
        <f>HYPERLINK("https://esbl.nhlbi.nih.gov/Databases/mpkFractions/proteomic_fractions_log_files/Yang_log_img/7657413.jpg","show blot")</f>
        <v>show blot</v>
      </c>
      <c r="H7470" s="8" t="str">
        <f>HYPERLINK("https://esbl.nhlbi.nih.gov/Databases/mpkFractions/proteomic_fractions_linear_files/Yang_linear_img/7657413.jpg","show blot")</f>
        <v>show blot</v>
      </c>
      <c r="J7470" s="5" t="s">
        <v>14703</v>
      </c>
      <c r="L7470" s="11">
        <v>1.9971664428949061</v>
      </c>
      <c r="N7470" s="12"/>
    </row>
    <row r="7471" spans="1:14" s="5" customFormat="1" ht="15" customHeight="1" x14ac:dyDescent="0.25">
      <c r="A7471" s="9" t="s">
        <v>14704</v>
      </c>
      <c r="C7471" s="9" t="str">
        <f>HYPERLINK("http://www.ncbi.nlm.nih.gov/protein/6678285","Tep1")</f>
        <v>Tep1</v>
      </c>
      <c r="D7471" s="10">
        <f t="shared" si="116"/>
        <v>1.6074807936322031</v>
      </c>
      <c r="F7471" s="8" t="str">
        <f>HYPERLINK("https://esbl.nhlbi.nih.gov/Databases/mpkFractions/proteomic_fractions_log_files/Yang_log_img/6678285.jpg","show blot")</f>
        <v>show blot</v>
      </c>
      <c r="H7471" s="8" t="str">
        <f>HYPERLINK("https://esbl.nhlbi.nih.gov/Databases/mpkFractions/proteomic_fractions_linear_files/Yang_linear_img/6678285.jpg","show blot")</f>
        <v>show blot</v>
      </c>
      <c r="J7471" s="5" t="s">
        <v>14705</v>
      </c>
      <c r="L7471" s="11">
        <v>1.6074807936322031</v>
      </c>
      <c r="N7471" s="12"/>
    </row>
    <row r="7472" spans="1:14" s="5" customFormat="1" ht="15" customHeight="1" x14ac:dyDescent="0.25">
      <c r="A7472" s="9" t="s">
        <v>14706</v>
      </c>
      <c r="C7472" s="9" t="str">
        <f>HYPERLINK("http://www.ncbi.nlm.nih.gov/protein/133904140","Terf2")</f>
        <v>Terf2</v>
      </c>
      <c r="D7472" s="10">
        <f t="shared" si="116"/>
        <v>3.115090162571351</v>
      </c>
      <c r="F7472" s="8" t="str">
        <f>HYPERLINK("https://esbl.nhlbi.nih.gov/Databases/mpkFractions/proteomic_fractions_log_files/Yang_log_img/133904140.jpg","show blot")</f>
        <v>show blot</v>
      </c>
      <c r="H7472" s="8" t="str">
        <f>HYPERLINK("https://esbl.nhlbi.nih.gov/Databases/mpkFractions/proteomic_fractions_linear_files/Yang_linear_img/133904140.jpg","show blot")</f>
        <v>show blot</v>
      </c>
      <c r="J7472" s="5" t="s">
        <v>14707</v>
      </c>
      <c r="L7472" s="11">
        <v>3.115090162571351</v>
      </c>
      <c r="N7472" s="12"/>
    </row>
    <row r="7473" spans="1:14" s="5" customFormat="1" ht="15" customHeight="1" x14ac:dyDescent="0.25">
      <c r="A7473" s="9" t="s">
        <v>14708</v>
      </c>
      <c r="C7473" s="9" t="str">
        <f>HYPERLINK("http://www.ncbi.nlm.nih.gov/protein/133904142","Terf2")</f>
        <v>Terf2</v>
      </c>
      <c r="D7473" s="10">
        <f t="shared" si="116"/>
        <v>3.115090162571351</v>
      </c>
      <c r="F7473" s="8" t="str">
        <f>HYPERLINK("https://esbl.nhlbi.nih.gov/Databases/mpkFractions/proteomic_fractions_log_files/Yang_log_img/133904142.jpg","show blot")</f>
        <v>show blot</v>
      </c>
      <c r="H7473" s="8" t="str">
        <f>HYPERLINK("https://esbl.nhlbi.nih.gov/Databases/mpkFractions/proteomic_fractions_linear_files/Yang_linear_img/133904142.jpg","show blot")</f>
        <v>show blot</v>
      </c>
      <c r="J7473" s="5" t="s">
        <v>14709</v>
      </c>
      <c r="L7473" s="11">
        <v>3.115090162571351</v>
      </c>
      <c r="N7473" s="12"/>
    </row>
    <row r="7474" spans="1:14" s="5" customFormat="1" ht="15" customHeight="1" x14ac:dyDescent="0.25">
      <c r="A7474" s="9" t="s">
        <v>14710</v>
      </c>
      <c r="C7474" s="9" t="str">
        <f>HYPERLINK("http://www.ncbi.nlm.nih.gov/protein/6678291","Tert")</f>
        <v>Tert</v>
      </c>
      <c r="D7474" s="10">
        <f t="shared" si="116"/>
        <v>3.6647346161641199</v>
      </c>
      <c r="F7474" s="8" t="str">
        <f>HYPERLINK("https://esbl.nhlbi.nih.gov/Databases/mpkFractions/proteomic_fractions_log_files/Yang_log_img/6678291.jpg","show blot")</f>
        <v>show blot</v>
      </c>
      <c r="H7474" s="8" t="str">
        <f>HYPERLINK("https://esbl.nhlbi.nih.gov/Databases/mpkFractions/proteomic_fractions_linear_files/Yang_linear_img/6678291.jpg","show blot")</f>
        <v>show blot</v>
      </c>
      <c r="J7474" s="5" t="s">
        <v>14711</v>
      </c>
      <c r="L7474" s="11">
        <v>3.6647346161641199</v>
      </c>
      <c r="N7474" s="12"/>
    </row>
    <row r="7475" spans="1:14" s="5" customFormat="1" ht="15" customHeight="1" x14ac:dyDescent="0.25">
      <c r="A7475" s="9" t="s">
        <v>14712</v>
      </c>
      <c r="C7475" s="9" t="str">
        <f>HYPERLINK("http://www.ncbi.nlm.nih.gov/protein/46395466","Tes")</f>
        <v>Tes</v>
      </c>
      <c r="D7475" s="10">
        <f t="shared" si="116"/>
        <v>5.365787621168816</v>
      </c>
      <c r="F7475" s="8" t="str">
        <f>HYPERLINK("https://esbl.nhlbi.nih.gov/Databases/mpkFractions/proteomic_fractions_log_files/Yang_log_img/46395466.jpg","show blot")</f>
        <v>show blot</v>
      </c>
      <c r="H7475" s="8" t="str">
        <f>HYPERLINK("https://esbl.nhlbi.nih.gov/Databases/mpkFractions/proteomic_fractions_linear_files/Yang_linear_img/46395466.jpg","show blot")</f>
        <v>show blot</v>
      </c>
      <c r="J7475" s="5" t="s">
        <v>14713</v>
      </c>
      <c r="L7475" s="11">
        <v>5.365787621168816</v>
      </c>
      <c r="N7475" s="12"/>
    </row>
    <row r="7476" spans="1:14" s="5" customFormat="1" ht="15" customHeight="1" x14ac:dyDescent="0.25">
      <c r="A7476" s="9" t="s">
        <v>14714</v>
      </c>
      <c r="C7476" s="9" t="str">
        <f>HYPERLINK("http://www.ncbi.nlm.nih.gov/protein/124249335","Tex10")</f>
        <v>Tex10</v>
      </c>
      <c r="D7476" s="10">
        <f t="shared" si="116"/>
        <v>3.6578856806909141</v>
      </c>
      <c r="F7476" s="8" t="str">
        <f>HYPERLINK("https://esbl.nhlbi.nih.gov/Databases/mpkFractions/proteomic_fractions_log_files/Yang_log_img/124249335.jpg","show blot")</f>
        <v>show blot</v>
      </c>
      <c r="H7476" s="8" t="str">
        <f>HYPERLINK("https://esbl.nhlbi.nih.gov/Databases/mpkFractions/proteomic_fractions_linear_files/Yang_linear_img/124249335.jpg","show blot")</f>
        <v>show blot</v>
      </c>
      <c r="J7476" s="5" t="s">
        <v>14715</v>
      </c>
      <c r="L7476" s="11">
        <v>3.6578856806909141</v>
      </c>
      <c r="N7476" s="12"/>
    </row>
    <row r="7477" spans="1:14" s="5" customFormat="1" ht="15" customHeight="1" x14ac:dyDescent="0.25">
      <c r="A7477" s="9" t="s">
        <v>14716</v>
      </c>
      <c r="C7477" s="9" t="str">
        <f>HYPERLINK("http://www.ncbi.nlm.nih.gov/protein/125347370","Tex13a")</f>
        <v>Tex13a</v>
      </c>
      <c r="D7477" s="10">
        <f t="shared" si="116"/>
        <v>2.8825245379548812</v>
      </c>
      <c r="F7477" s="8" t="str">
        <f>HYPERLINK("https://esbl.nhlbi.nih.gov/Databases/mpkFractions/proteomic_fractions_log_files/Yang_log_img/125347370.jpg","show blot")</f>
        <v>show blot</v>
      </c>
      <c r="H7477" s="8" t="str">
        <f>HYPERLINK("https://esbl.nhlbi.nih.gov/Databases/mpkFractions/proteomic_fractions_linear_files/Yang_linear_img/125347370.jpg","show blot")</f>
        <v>show blot</v>
      </c>
      <c r="J7477" s="5" t="s">
        <v>14717</v>
      </c>
      <c r="L7477" s="11">
        <v>2.8825245379548812</v>
      </c>
      <c r="N7477" s="12"/>
    </row>
    <row r="7478" spans="1:14" s="5" customFormat="1" ht="15" customHeight="1" x14ac:dyDescent="0.25">
      <c r="A7478" s="9" t="s">
        <v>14718</v>
      </c>
      <c r="C7478" s="9" t="str">
        <f>HYPERLINK("http://www.ncbi.nlm.nih.gov/protein/126090850","Tex264")</f>
        <v>Tex264</v>
      </c>
      <c r="D7478" s="10">
        <f t="shared" si="116"/>
        <v>2.4224505536149121</v>
      </c>
      <c r="F7478" s="8" t="str">
        <f>HYPERLINK("https://esbl.nhlbi.nih.gov/Databases/mpkFractions/proteomic_fractions_log_files/Yang_log_img/126090850.jpg","show blot")</f>
        <v>show blot</v>
      </c>
      <c r="H7478" s="8" t="str">
        <f>HYPERLINK("https://esbl.nhlbi.nih.gov/Databases/mpkFractions/proteomic_fractions_linear_files/Yang_linear_img/126090850.jpg","show blot")</f>
        <v>show blot</v>
      </c>
      <c r="J7478" s="5" t="s">
        <v>14719</v>
      </c>
      <c r="L7478" s="11">
        <v>2.4224505536149121</v>
      </c>
      <c r="N7478" s="12"/>
    </row>
    <row r="7479" spans="1:14" s="5" customFormat="1" ht="15" customHeight="1" x14ac:dyDescent="0.25">
      <c r="A7479" s="9" t="s">
        <v>14720</v>
      </c>
      <c r="C7479" s="9" t="str">
        <f>HYPERLINK("http://www.ncbi.nlm.nih.gov/protein/198278417","Tex30")</f>
        <v>Tex30</v>
      </c>
      <c r="D7479" s="10">
        <f t="shared" si="116"/>
        <v>3.861979378024972</v>
      </c>
      <c r="F7479" s="8" t="str">
        <f>HYPERLINK("https://esbl.nhlbi.nih.gov/Databases/mpkFractions/proteomic_fractions_log_files/Yang_log_img/198278417.jpg","show blot")</f>
        <v>show blot</v>
      </c>
      <c r="H7479" s="8" t="str">
        <f>HYPERLINK("https://esbl.nhlbi.nih.gov/Databases/mpkFractions/proteomic_fractions_linear_files/Yang_linear_img/198278417.jpg","show blot")</f>
        <v>show blot</v>
      </c>
      <c r="J7479" s="5" t="s">
        <v>14721</v>
      </c>
      <c r="L7479" s="11">
        <v>3.861979378024972</v>
      </c>
      <c r="N7479" s="12"/>
    </row>
    <row r="7480" spans="1:14" s="5" customFormat="1" ht="15" customHeight="1" x14ac:dyDescent="0.25">
      <c r="A7480" s="9" t="s">
        <v>14722</v>
      </c>
      <c r="C7480" s="9" t="str">
        <f>HYPERLINK("http://www.ncbi.nlm.nih.gov/protein/6678303","Tfam")</f>
        <v>Tfam</v>
      </c>
      <c r="D7480" s="10">
        <f t="shared" si="116"/>
        <v>4.7150447167122218</v>
      </c>
      <c r="F7480" s="8" t="str">
        <f>HYPERLINK("https://esbl.nhlbi.nih.gov/Databases/mpkFractions/proteomic_fractions_log_files/Yang_log_img/6678303.jpg","show blot")</f>
        <v>show blot</v>
      </c>
      <c r="H7480" s="8" t="str">
        <f>HYPERLINK("https://esbl.nhlbi.nih.gov/Databases/mpkFractions/proteomic_fractions_linear_files/Yang_linear_img/6678303.jpg","show blot")</f>
        <v>show blot</v>
      </c>
      <c r="J7480" s="5" t="s">
        <v>14723</v>
      </c>
      <c r="L7480" s="11">
        <v>4.7150447167122218</v>
      </c>
      <c r="N7480" s="12"/>
    </row>
    <row r="7481" spans="1:14" s="5" customFormat="1" ht="15" customHeight="1" x14ac:dyDescent="0.25">
      <c r="A7481" s="9" t="s">
        <v>14724</v>
      </c>
      <c r="C7481" s="9" t="str">
        <f>HYPERLINK("http://www.ncbi.nlm.nih.gov/protein/22122569","Tfb1m")</f>
        <v>Tfb1m</v>
      </c>
      <c r="D7481" s="10">
        <f t="shared" si="116"/>
        <v>3.0721892778243189</v>
      </c>
      <c r="F7481" s="8" t="str">
        <f>HYPERLINK("https://esbl.nhlbi.nih.gov/Databases/mpkFractions/proteomic_fractions_log_files/Yang_log_img/22122569.jpg","show blot")</f>
        <v>show blot</v>
      </c>
      <c r="H7481" s="8" t="str">
        <f>HYPERLINK("https://esbl.nhlbi.nih.gov/Databases/mpkFractions/proteomic_fractions_linear_files/Yang_linear_img/22122569.jpg","show blot")</f>
        <v>show blot</v>
      </c>
      <c r="J7481" s="5" t="s">
        <v>14725</v>
      </c>
      <c r="L7481" s="11">
        <v>3.0721892778243189</v>
      </c>
      <c r="N7481" s="12"/>
    </row>
    <row r="7482" spans="1:14" s="5" customFormat="1" ht="15" customHeight="1" x14ac:dyDescent="0.25">
      <c r="A7482" s="9" t="s">
        <v>14726</v>
      </c>
      <c r="C7482" s="9" t="str">
        <f>HYPERLINK("http://www.ncbi.nlm.nih.gov/protein/15628025","Tfcp2")</f>
        <v>Tfcp2</v>
      </c>
      <c r="D7482" s="10">
        <f t="shared" si="116"/>
        <v>4.0346632045906654</v>
      </c>
      <c r="F7482" s="8" t="str">
        <f>HYPERLINK("https://esbl.nhlbi.nih.gov/Databases/mpkFractions/proteomic_fractions_log_files/Yang_log_img/15628025.jpg","show blot")</f>
        <v>show blot</v>
      </c>
      <c r="H7482" s="8" t="str">
        <f>HYPERLINK("https://esbl.nhlbi.nih.gov/Databases/mpkFractions/proteomic_fractions_linear_files/Yang_linear_img/15628025.jpg","show blot")</f>
        <v>show blot</v>
      </c>
      <c r="J7482" s="5" t="s">
        <v>14727</v>
      </c>
      <c r="L7482" s="11">
        <v>4.0346632045906654</v>
      </c>
      <c r="N7482" s="12"/>
    </row>
    <row r="7483" spans="1:14" s="5" customFormat="1" ht="15" customHeight="1" x14ac:dyDescent="0.25">
      <c r="A7483" s="9" t="s">
        <v>14728</v>
      </c>
      <c r="C7483" s="9" t="str">
        <f>HYPERLINK("http://www.ncbi.nlm.nih.gov/protein/239835744","Tfeb")</f>
        <v>Tfeb</v>
      </c>
      <c r="D7483" s="10">
        <f t="shared" si="116"/>
        <v>3.697063592151181</v>
      </c>
      <c r="F7483" s="8" t="str">
        <f>HYPERLINK("https://esbl.nhlbi.nih.gov/Databases/mpkFractions/proteomic_fractions_log_files/Yang_log_img/239835744.jpg","show blot")</f>
        <v>show blot</v>
      </c>
      <c r="H7483" s="8" t="str">
        <f>HYPERLINK("https://esbl.nhlbi.nih.gov/Databases/mpkFractions/proteomic_fractions_linear_files/Yang_linear_img/239835744.jpg","show blot")</f>
        <v>show blot</v>
      </c>
      <c r="J7483" s="5" t="s">
        <v>14729</v>
      </c>
      <c r="L7483" s="11">
        <v>3.697063592151181</v>
      </c>
      <c r="N7483" s="12"/>
    </row>
    <row r="7484" spans="1:14" s="5" customFormat="1" ht="15" customHeight="1" x14ac:dyDescent="0.25">
      <c r="A7484" s="9" t="s">
        <v>14730</v>
      </c>
      <c r="C7484" s="9" t="str">
        <f>HYPERLINK("http://www.ncbi.nlm.nih.gov/protein/239835746","Tfeb")</f>
        <v>Tfeb</v>
      </c>
      <c r="D7484" s="10">
        <f t="shared" si="116"/>
        <v>3.697063592151181</v>
      </c>
      <c r="F7484" s="8" t="str">
        <f>HYPERLINK("https://esbl.nhlbi.nih.gov/Databases/mpkFractions/proteomic_fractions_log_files/Yang_log_img/239835746.jpg","show blot")</f>
        <v>show blot</v>
      </c>
      <c r="H7484" s="8" t="str">
        <f>HYPERLINK("https://esbl.nhlbi.nih.gov/Databases/mpkFractions/proteomic_fractions_linear_files/Yang_linear_img/239835746.jpg","show blot")</f>
        <v>show blot</v>
      </c>
      <c r="J7484" s="5" t="s">
        <v>14731</v>
      </c>
      <c r="L7484" s="11">
        <v>3.697063592151181</v>
      </c>
      <c r="N7484" s="12"/>
    </row>
    <row r="7485" spans="1:14" s="5" customFormat="1" ht="15" customHeight="1" x14ac:dyDescent="0.25">
      <c r="A7485" s="9" t="s">
        <v>14732</v>
      </c>
      <c r="C7485" s="9" t="str">
        <f>HYPERLINK("http://www.ncbi.nlm.nih.gov/protein/356995942","Tfg")</f>
        <v>Tfg</v>
      </c>
      <c r="D7485" s="10">
        <f t="shared" si="116"/>
        <v>5.5587354403748259</v>
      </c>
      <c r="F7485" s="8" t="str">
        <f>HYPERLINK("https://esbl.nhlbi.nih.gov/Databases/mpkFractions/proteomic_fractions_log_files/Yang_log_img/356995942.jpg","show blot")</f>
        <v>show blot</v>
      </c>
      <c r="H7485" s="8" t="str">
        <f>HYPERLINK("https://esbl.nhlbi.nih.gov/Databases/mpkFractions/proteomic_fractions_linear_files/Yang_linear_img/356995942.jpg","show blot")</f>
        <v>show blot</v>
      </c>
      <c r="J7485" s="5" t="s">
        <v>14733</v>
      </c>
      <c r="L7485" s="11">
        <v>5.5587354403748259</v>
      </c>
      <c r="N7485" s="12"/>
    </row>
    <row r="7486" spans="1:14" s="5" customFormat="1" ht="15" customHeight="1" x14ac:dyDescent="0.25">
      <c r="A7486" s="9" t="s">
        <v>14734</v>
      </c>
      <c r="C7486" s="9" t="str">
        <f>HYPERLINK("http://www.ncbi.nlm.nih.gov/protein/9790261","Tfg")</f>
        <v>Tfg</v>
      </c>
      <c r="D7486" s="10">
        <f t="shared" si="116"/>
        <v>5.5587354403748259</v>
      </c>
      <c r="F7486" s="8" t="str">
        <f>HYPERLINK("https://esbl.nhlbi.nih.gov/Databases/mpkFractions/proteomic_fractions_log_files/Yang_log_img/9790261.jpg","show blot")</f>
        <v>show blot</v>
      </c>
      <c r="H7486" s="8" t="str">
        <f>HYPERLINK("https://esbl.nhlbi.nih.gov/Databases/mpkFractions/proteomic_fractions_linear_files/Yang_linear_img/9790261.jpg","show blot")</f>
        <v>show blot</v>
      </c>
      <c r="J7486" s="5" t="s">
        <v>14735</v>
      </c>
      <c r="L7486" s="11">
        <v>5.5587354403748259</v>
      </c>
      <c r="N7486" s="12"/>
    </row>
    <row r="7487" spans="1:14" s="5" customFormat="1" ht="15" customHeight="1" x14ac:dyDescent="0.25">
      <c r="A7487" s="9" t="s">
        <v>14736</v>
      </c>
      <c r="C7487" s="9" t="str">
        <f>HYPERLINK("http://www.ncbi.nlm.nih.gov/protein/10190660","Tfip11")</f>
        <v>Tfip11</v>
      </c>
      <c r="D7487" s="10">
        <f t="shared" si="116"/>
        <v>3.4683337519918651</v>
      </c>
      <c r="F7487" s="8" t="str">
        <f>HYPERLINK("https://esbl.nhlbi.nih.gov/Databases/mpkFractions/proteomic_fractions_log_files/Yang_log_img/10190660.jpg","show blot")</f>
        <v>show blot</v>
      </c>
      <c r="H7487" s="8" t="str">
        <f>HYPERLINK("https://esbl.nhlbi.nih.gov/Databases/mpkFractions/proteomic_fractions_linear_files/Yang_linear_img/10190660.jpg","show blot")</f>
        <v>show blot</v>
      </c>
      <c r="J7487" s="5" t="s">
        <v>14737</v>
      </c>
      <c r="L7487" s="11">
        <v>3.4683337519918651</v>
      </c>
      <c r="N7487" s="12"/>
    </row>
    <row r="7488" spans="1:14" s="5" customFormat="1" ht="15" customHeight="1" x14ac:dyDescent="0.25">
      <c r="A7488" s="9" t="s">
        <v>14738</v>
      </c>
      <c r="C7488" s="9" t="str">
        <f>HYPERLINK("http://www.ncbi.nlm.nih.gov/protein/11596855","Tfrc")</f>
        <v>Tfrc</v>
      </c>
      <c r="D7488" s="10">
        <f t="shared" si="116"/>
        <v>5.0691414992555606</v>
      </c>
      <c r="F7488" s="8" t="str">
        <f>HYPERLINK("https://esbl.nhlbi.nih.gov/Databases/mpkFractions/proteomic_fractions_log_files/Yang_log_img/11596855.jpg","show blot")</f>
        <v>show blot</v>
      </c>
      <c r="H7488" s="8" t="str">
        <f>HYPERLINK("https://esbl.nhlbi.nih.gov/Databases/mpkFractions/proteomic_fractions_linear_files/Yang_linear_img/11596855.jpg","show blot")</f>
        <v>show blot</v>
      </c>
      <c r="J7488" s="5" t="s">
        <v>14739</v>
      </c>
      <c r="L7488" s="11">
        <v>5.0691414992555606</v>
      </c>
      <c r="N7488" s="12"/>
    </row>
    <row r="7489" spans="1:14" s="5" customFormat="1" ht="15" customHeight="1" x14ac:dyDescent="0.25">
      <c r="A7489" s="9" t="s">
        <v>14740</v>
      </c>
      <c r="C7489" s="9" t="str">
        <f>HYPERLINK("http://www.ncbi.nlm.nih.gov/protein/6678329","Tgm2")</f>
        <v>Tgm2</v>
      </c>
      <c r="D7489" s="10">
        <f t="shared" si="116"/>
        <v>5.1340673279889746</v>
      </c>
      <c r="F7489" s="8" t="str">
        <f>HYPERLINK("https://esbl.nhlbi.nih.gov/Databases/mpkFractions/proteomic_fractions_log_files/Yang_log_img/6678329.jpg","show blot")</f>
        <v>show blot</v>
      </c>
      <c r="H7489" s="8" t="str">
        <f>HYPERLINK("https://esbl.nhlbi.nih.gov/Databases/mpkFractions/proteomic_fractions_linear_files/Yang_linear_img/6678329.jpg","show blot")</f>
        <v>show blot</v>
      </c>
      <c r="J7489" s="5" t="s">
        <v>14741</v>
      </c>
      <c r="L7489" s="11">
        <v>5.1340673279889746</v>
      </c>
      <c r="N7489" s="12"/>
    </row>
    <row r="7490" spans="1:14" s="5" customFormat="1" ht="15" customHeight="1" x14ac:dyDescent="0.25">
      <c r="A7490" s="9" t="s">
        <v>14742</v>
      </c>
      <c r="C7490" s="9" t="str">
        <f>HYPERLINK("http://www.ncbi.nlm.nih.gov/protein/227496324","Tgs1")</f>
        <v>Tgs1</v>
      </c>
      <c r="D7490" s="10">
        <f t="shared" si="116"/>
        <v>2.611497315433291</v>
      </c>
      <c r="F7490" s="8" t="str">
        <f>HYPERLINK("https://esbl.nhlbi.nih.gov/Databases/mpkFractions/proteomic_fractions_log_files/Yang_log_img/227496324.jpg","show blot")</f>
        <v>show blot</v>
      </c>
      <c r="H7490" s="8" t="str">
        <f>HYPERLINK("https://esbl.nhlbi.nih.gov/Databases/mpkFractions/proteomic_fractions_linear_files/Yang_linear_img/227496324.jpg","show blot")</f>
        <v>show blot</v>
      </c>
      <c r="J7490" s="5" t="s">
        <v>14743</v>
      </c>
      <c r="L7490" s="11">
        <v>2.611497315433291</v>
      </c>
      <c r="N7490" s="12"/>
    </row>
    <row r="7491" spans="1:14" s="5" customFormat="1" ht="15" customHeight="1" x14ac:dyDescent="0.25">
      <c r="A7491" s="9" t="s">
        <v>14744</v>
      </c>
      <c r="C7491" s="9" t="str">
        <f>HYPERLINK("http://www.ncbi.nlm.nih.gov/protein/241982820","Thada")</f>
        <v>Thada</v>
      </c>
      <c r="D7491" s="10">
        <f t="shared" si="116"/>
        <v>3.315320048295777</v>
      </c>
      <c r="F7491" s="8" t="str">
        <f>HYPERLINK("https://esbl.nhlbi.nih.gov/Databases/mpkFractions/proteomic_fractions_log_files/Yang_log_img/241982820.jpg","show blot")</f>
        <v>show blot</v>
      </c>
      <c r="H7491" s="8" t="str">
        <f>HYPERLINK("https://esbl.nhlbi.nih.gov/Databases/mpkFractions/proteomic_fractions_linear_files/Yang_linear_img/241982820.jpg","show blot")</f>
        <v>show blot</v>
      </c>
      <c r="J7491" s="5" t="s">
        <v>14745</v>
      </c>
      <c r="L7491" s="11">
        <v>3.315320048295777</v>
      </c>
      <c r="N7491" s="12"/>
    </row>
    <row r="7492" spans="1:14" s="5" customFormat="1" ht="15" customHeight="1" x14ac:dyDescent="0.25">
      <c r="A7492" s="9" t="s">
        <v>14746</v>
      </c>
      <c r="C7492" s="9" t="str">
        <f>HYPERLINK("http://www.ncbi.nlm.nih.gov/protein/47059073","Thbs1")</f>
        <v>Thbs1</v>
      </c>
      <c r="D7492" s="10">
        <f t="shared" si="116"/>
        <v>3.692932698083089</v>
      </c>
      <c r="F7492" s="8" t="str">
        <f>HYPERLINK("https://esbl.nhlbi.nih.gov/Databases/mpkFractions/proteomic_fractions_log_files/Yang_log_img/47059073.jpg","show blot")</f>
        <v>show blot</v>
      </c>
      <c r="H7492" s="8" t="str">
        <f>HYPERLINK("https://esbl.nhlbi.nih.gov/Databases/mpkFractions/proteomic_fractions_linear_files/Yang_linear_img/47059073.jpg","show blot")</f>
        <v>show blot</v>
      </c>
      <c r="J7492" s="5" t="s">
        <v>14747</v>
      </c>
      <c r="L7492" s="11">
        <v>3.692932698083089</v>
      </c>
      <c r="N7492" s="12"/>
    </row>
    <row r="7493" spans="1:14" s="5" customFormat="1" ht="15" customHeight="1" x14ac:dyDescent="0.25">
      <c r="A7493" s="9" t="s">
        <v>14748</v>
      </c>
      <c r="C7493" s="9" t="str">
        <f>HYPERLINK("http://www.ncbi.nlm.nih.gov/protein/29243946","Thnsl1")</f>
        <v>Thnsl1</v>
      </c>
      <c r="D7493" s="10">
        <f t="shared" ref="D7493:D7556" si="117">L7493</f>
        <v>3.2515975866912559</v>
      </c>
      <c r="F7493" s="8" t="str">
        <f>HYPERLINK("https://esbl.nhlbi.nih.gov/Databases/mpkFractions/proteomic_fractions_log_files/Yang_log_img/29243946.jpg","show blot")</f>
        <v>show blot</v>
      </c>
      <c r="H7493" s="8" t="str">
        <f>HYPERLINK("https://esbl.nhlbi.nih.gov/Databases/mpkFractions/proteomic_fractions_linear_files/Yang_linear_img/29243946.jpg","show blot")</f>
        <v>show blot</v>
      </c>
      <c r="J7493" s="5" t="s">
        <v>14749</v>
      </c>
      <c r="L7493" s="11">
        <v>3.2515975866912559</v>
      </c>
      <c r="N7493" s="12"/>
    </row>
    <row r="7494" spans="1:14" s="5" customFormat="1" ht="15" customHeight="1" x14ac:dyDescent="0.25">
      <c r="A7494" s="9" t="s">
        <v>14750</v>
      </c>
      <c r="C7494" s="9" t="str">
        <f>HYPERLINK("http://www.ncbi.nlm.nih.gov/protein/47604972","Thnsl1")</f>
        <v>Thnsl1</v>
      </c>
      <c r="D7494" s="10">
        <f t="shared" si="117"/>
        <v>3.2515975866912559</v>
      </c>
      <c r="F7494" s="8" t="str">
        <f>HYPERLINK("https://esbl.nhlbi.nih.gov/Databases/mpkFractions/proteomic_fractions_log_files/Yang_log_img/47604972.jpg","show blot")</f>
        <v>show blot</v>
      </c>
      <c r="H7494" s="8" t="str">
        <f>HYPERLINK("https://esbl.nhlbi.nih.gov/Databases/mpkFractions/proteomic_fractions_linear_files/Yang_linear_img/47604972.jpg","show blot")</f>
        <v>show blot</v>
      </c>
      <c r="J7494" s="5" t="s">
        <v>14751</v>
      </c>
      <c r="L7494" s="11">
        <v>3.2515975866912559</v>
      </c>
      <c r="N7494" s="12"/>
    </row>
    <row r="7495" spans="1:14" s="5" customFormat="1" ht="15" customHeight="1" x14ac:dyDescent="0.25">
      <c r="A7495" s="9" t="s">
        <v>14752</v>
      </c>
      <c r="C7495" s="9" t="str">
        <f>HYPERLINK("http://www.ncbi.nlm.nih.gov/protein/23956332","Thoc1")</f>
        <v>Thoc1</v>
      </c>
      <c r="D7495" s="10">
        <f t="shared" si="117"/>
        <v>2.9556877503135062</v>
      </c>
      <c r="F7495" s="8" t="str">
        <f>HYPERLINK("https://esbl.nhlbi.nih.gov/Databases/mpkFractions/proteomic_fractions_log_files/Yang_log_img/23956332.jpg","show blot")</f>
        <v>show blot</v>
      </c>
      <c r="H7495" s="8" t="str">
        <f>HYPERLINK("https://esbl.nhlbi.nih.gov/Databases/mpkFractions/proteomic_fractions_linear_files/Yang_linear_img/23956332.jpg","show blot")</f>
        <v>show blot</v>
      </c>
      <c r="J7495" s="5" t="s">
        <v>14753</v>
      </c>
      <c r="L7495" s="11">
        <v>2.9556877503135062</v>
      </c>
      <c r="N7495" s="12"/>
    </row>
    <row r="7496" spans="1:14" s="5" customFormat="1" ht="15" customHeight="1" x14ac:dyDescent="0.25">
      <c r="A7496" s="9" t="s">
        <v>14754</v>
      </c>
      <c r="C7496" s="9" t="str">
        <f>HYPERLINK("http://www.ncbi.nlm.nih.gov/protein/125656163","Thoc2")</f>
        <v>Thoc2</v>
      </c>
      <c r="D7496" s="10">
        <f t="shared" si="117"/>
        <v>3.7328621030826099</v>
      </c>
      <c r="F7496" s="8" t="str">
        <f>HYPERLINK("https://esbl.nhlbi.nih.gov/Databases/mpkFractions/proteomic_fractions_log_files/Yang_log_img/125656163.jpg","show blot")</f>
        <v>show blot</v>
      </c>
      <c r="H7496" s="8" t="str">
        <f>HYPERLINK("https://esbl.nhlbi.nih.gov/Databases/mpkFractions/proteomic_fractions_linear_files/Yang_linear_img/125656163.jpg","show blot")</f>
        <v>show blot</v>
      </c>
      <c r="J7496" s="5" t="s">
        <v>14755</v>
      </c>
      <c r="L7496" s="11">
        <v>3.7328621030826099</v>
      </c>
      <c r="N7496" s="12"/>
    </row>
    <row r="7497" spans="1:14" s="5" customFormat="1" ht="15" customHeight="1" x14ac:dyDescent="0.25">
      <c r="A7497" s="9" t="s">
        <v>14756</v>
      </c>
      <c r="C7497" s="9" t="str">
        <f>HYPERLINK("http://www.ncbi.nlm.nih.gov/protein/254553424","Thoc3")</f>
        <v>Thoc3</v>
      </c>
      <c r="D7497" s="10">
        <f t="shared" si="117"/>
        <v>3.5171217069523362</v>
      </c>
      <c r="F7497" s="8" t="str">
        <f>HYPERLINK("https://esbl.nhlbi.nih.gov/Databases/mpkFractions/proteomic_fractions_log_files/Yang_log_img/254553424.jpg","show blot")</f>
        <v>show blot</v>
      </c>
      <c r="H7497" s="8" t="str">
        <f>HYPERLINK("https://esbl.nhlbi.nih.gov/Databases/mpkFractions/proteomic_fractions_linear_files/Yang_linear_img/254553424.jpg","show blot")</f>
        <v>show blot</v>
      </c>
      <c r="J7497" s="5" t="s">
        <v>14757</v>
      </c>
      <c r="L7497" s="11">
        <v>3.5171217069523362</v>
      </c>
      <c r="N7497" s="12"/>
    </row>
    <row r="7498" spans="1:14" s="5" customFormat="1" ht="15" customHeight="1" x14ac:dyDescent="0.25">
      <c r="A7498" s="9" t="s">
        <v>14758</v>
      </c>
      <c r="C7498" s="9" t="str">
        <f>HYPERLINK("http://www.ncbi.nlm.nih.gov/protein/56605680","Thoc6")</f>
        <v>Thoc6</v>
      </c>
      <c r="D7498" s="10">
        <f t="shared" si="117"/>
        <v>4.0219222809279884</v>
      </c>
      <c r="F7498" s="8" t="str">
        <f>HYPERLINK("https://esbl.nhlbi.nih.gov/Databases/mpkFractions/proteomic_fractions_log_files/Yang_log_img/56605680.jpg","show blot")</f>
        <v>show blot</v>
      </c>
      <c r="H7498" s="8" t="str">
        <f>HYPERLINK("https://esbl.nhlbi.nih.gov/Databases/mpkFractions/proteomic_fractions_linear_files/Yang_linear_img/56605680.jpg","show blot")</f>
        <v>show blot</v>
      </c>
      <c r="J7498" s="5" t="s">
        <v>14759</v>
      </c>
      <c r="L7498" s="11">
        <v>4.0219222809279884</v>
      </c>
      <c r="N7498" s="12"/>
    </row>
    <row r="7499" spans="1:14" s="5" customFormat="1" ht="15" customHeight="1" x14ac:dyDescent="0.25">
      <c r="A7499" s="9" t="s">
        <v>14760</v>
      </c>
      <c r="C7499" s="9" t="str">
        <f>HYPERLINK("http://www.ncbi.nlm.nih.gov/protein/239916005","Thop1")</f>
        <v>Thop1</v>
      </c>
      <c r="D7499" s="10">
        <f t="shared" si="117"/>
        <v>5.5801613124835008</v>
      </c>
      <c r="F7499" s="8" t="str">
        <f>HYPERLINK("https://esbl.nhlbi.nih.gov/Databases/mpkFractions/proteomic_fractions_log_files/Yang_log_img/239916005.jpg","show blot")</f>
        <v>show blot</v>
      </c>
      <c r="H7499" s="8" t="str">
        <f>HYPERLINK("https://esbl.nhlbi.nih.gov/Databases/mpkFractions/proteomic_fractions_linear_files/Yang_linear_img/239916005.jpg","show blot")</f>
        <v>show blot</v>
      </c>
      <c r="J7499" s="5" t="s">
        <v>14761</v>
      </c>
      <c r="L7499" s="11">
        <v>5.5801613124835008</v>
      </c>
      <c r="N7499" s="12"/>
    </row>
    <row r="7500" spans="1:14" s="5" customFormat="1" ht="15" customHeight="1" x14ac:dyDescent="0.25">
      <c r="A7500" s="9" t="s">
        <v>14762</v>
      </c>
      <c r="C7500" s="9" t="str">
        <f>HYPERLINK("http://www.ncbi.nlm.nih.gov/protein/68533246","Thrap3")</f>
        <v>Thrap3</v>
      </c>
      <c r="D7500" s="10">
        <f t="shared" si="117"/>
        <v>4.788490579942251</v>
      </c>
      <c r="F7500" s="8" t="str">
        <f>HYPERLINK("https://esbl.nhlbi.nih.gov/Databases/mpkFractions/proteomic_fractions_log_files/Yang_log_img/68533246.jpg","show blot")</f>
        <v>show blot</v>
      </c>
      <c r="H7500" s="8" t="str">
        <f>HYPERLINK("https://esbl.nhlbi.nih.gov/Databases/mpkFractions/proteomic_fractions_linear_files/Yang_linear_img/68533246.jpg","show blot")</f>
        <v>show blot</v>
      </c>
      <c r="J7500" s="5" t="s">
        <v>14763</v>
      </c>
      <c r="L7500" s="11">
        <v>4.788490579942251</v>
      </c>
      <c r="N7500" s="12"/>
    </row>
    <row r="7501" spans="1:14" s="5" customFormat="1" ht="15" customHeight="1" x14ac:dyDescent="0.25">
      <c r="A7501" s="9" t="s">
        <v>14764</v>
      </c>
      <c r="C7501" s="9" t="str">
        <f>HYPERLINK("http://www.ncbi.nlm.nih.gov/protein/23346499","Thtpa")</f>
        <v>Thtpa</v>
      </c>
      <c r="D7501" s="10">
        <f t="shared" si="117"/>
        <v>5.1330470182795809</v>
      </c>
      <c r="F7501" s="8" t="str">
        <f>HYPERLINK("https://esbl.nhlbi.nih.gov/Databases/mpkFractions/proteomic_fractions_log_files/Yang_log_img/23346499.jpg","show blot")</f>
        <v>show blot</v>
      </c>
      <c r="H7501" s="8" t="str">
        <f>HYPERLINK("https://esbl.nhlbi.nih.gov/Databases/mpkFractions/proteomic_fractions_linear_files/Yang_linear_img/23346499.jpg","show blot")</f>
        <v>show blot</v>
      </c>
      <c r="J7501" s="5" t="s">
        <v>14765</v>
      </c>
      <c r="L7501" s="11">
        <v>5.1330470182795809</v>
      </c>
      <c r="N7501" s="12"/>
    </row>
    <row r="7502" spans="1:14" s="5" customFormat="1" ht="15" customHeight="1" x14ac:dyDescent="0.25">
      <c r="A7502" s="9" t="s">
        <v>14766</v>
      </c>
      <c r="C7502" s="9" t="str">
        <f>HYPERLINK("http://www.ncbi.nlm.nih.gov/protein/21704176","Thumpd1")</f>
        <v>Thumpd1</v>
      </c>
      <c r="D7502" s="10">
        <f t="shared" si="117"/>
        <v>5.246978047689896</v>
      </c>
      <c r="F7502" s="8" t="str">
        <f>HYPERLINK("https://esbl.nhlbi.nih.gov/Databases/mpkFractions/proteomic_fractions_log_files/Yang_log_img/21704176.jpg","show blot")</f>
        <v>show blot</v>
      </c>
      <c r="H7502" s="8" t="str">
        <f>HYPERLINK("https://esbl.nhlbi.nih.gov/Databases/mpkFractions/proteomic_fractions_linear_files/Yang_linear_img/21704176.jpg","show blot")</f>
        <v>show blot</v>
      </c>
      <c r="J7502" s="5" t="s">
        <v>14767</v>
      </c>
      <c r="L7502" s="11">
        <v>5.246978047689896</v>
      </c>
      <c r="N7502" s="12"/>
    </row>
    <row r="7503" spans="1:14" s="5" customFormat="1" ht="15" customHeight="1" x14ac:dyDescent="0.25">
      <c r="A7503" s="9" t="s">
        <v>14768</v>
      </c>
      <c r="C7503" s="9" t="str">
        <f>HYPERLINK("http://www.ncbi.nlm.nih.gov/protein/6680129","Thumpd3")</f>
        <v>Thumpd3</v>
      </c>
      <c r="D7503" s="10">
        <f t="shared" si="117"/>
        <v>4.6872820379756472</v>
      </c>
      <c r="F7503" s="8" t="str">
        <f>HYPERLINK("https://esbl.nhlbi.nih.gov/Databases/mpkFractions/proteomic_fractions_log_files/Yang_log_img/6680129.jpg","show blot")</f>
        <v>show blot</v>
      </c>
      <c r="H7503" s="8" t="str">
        <f>HYPERLINK("https://esbl.nhlbi.nih.gov/Databases/mpkFractions/proteomic_fractions_linear_files/Yang_linear_img/6680129.jpg","show blot")</f>
        <v>show blot</v>
      </c>
      <c r="J7503" s="5" t="s">
        <v>14769</v>
      </c>
      <c r="L7503" s="11">
        <v>4.6872820379756472</v>
      </c>
      <c r="N7503" s="12"/>
    </row>
    <row r="7504" spans="1:14" s="5" customFormat="1" ht="15" customHeight="1" x14ac:dyDescent="0.25">
      <c r="A7504" s="9" t="s">
        <v>14770</v>
      </c>
      <c r="C7504" s="9" t="str">
        <f>HYPERLINK("http://www.ncbi.nlm.nih.gov/protein/21362343","Thyn1")</f>
        <v>Thyn1</v>
      </c>
      <c r="D7504" s="10">
        <f t="shared" si="117"/>
        <v>3.9491723262549119</v>
      </c>
      <c r="F7504" s="8" t="str">
        <f>HYPERLINK("https://esbl.nhlbi.nih.gov/Databases/mpkFractions/proteomic_fractions_log_files/Yang_log_img/21362343.jpg","show blot")</f>
        <v>show blot</v>
      </c>
      <c r="H7504" s="8" t="str">
        <f>HYPERLINK("https://esbl.nhlbi.nih.gov/Databases/mpkFractions/proteomic_fractions_linear_files/Yang_linear_img/21362343.jpg","show blot")</f>
        <v>show blot</v>
      </c>
      <c r="J7504" s="5" t="s">
        <v>14771</v>
      </c>
      <c r="L7504" s="11">
        <v>3.9491723262549119</v>
      </c>
      <c r="N7504" s="12"/>
    </row>
    <row r="7505" spans="1:14" s="5" customFormat="1" ht="15" customHeight="1" x14ac:dyDescent="0.25">
      <c r="A7505" s="9" t="s">
        <v>14772</v>
      </c>
      <c r="C7505" s="9" t="str">
        <f>HYPERLINK("http://www.ncbi.nlm.nih.gov/protein/255760009","Tia1")</f>
        <v>Tia1</v>
      </c>
      <c r="D7505" s="10">
        <f t="shared" si="117"/>
        <v>4.7735057865449759</v>
      </c>
      <c r="F7505" s="8" t="str">
        <f>HYPERLINK("https://esbl.nhlbi.nih.gov/Databases/mpkFractions/proteomic_fractions_log_files/Yang_log_img/255760009.jpg","show blot")</f>
        <v>show blot</v>
      </c>
      <c r="H7505" s="8" t="str">
        <f>HYPERLINK("https://esbl.nhlbi.nih.gov/Databases/mpkFractions/proteomic_fractions_linear_files/Yang_linear_img/255760009.jpg","show blot")</f>
        <v>show blot</v>
      </c>
      <c r="J7505" s="5" t="s">
        <v>14773</v>
      </c>
      <c r="L7505" s="11">
        <v>4.7735057865449759</v>
      </c>
      <c r="N7505" s="12"/>
    </row>
    <row r="7506" spans="1:14" s="5" customFormat="1" ht="15" customHeight="1" x14ac:dyDescent="0.25">
      <c r="A7506" s="9" t="s">
        <v>14774</v>
      </c>
      <c r="C7506" s="9" t="str">
        <f>HYPERLINK("http://www.ncbi.nlm.nih.gov/protein/255760011","Tia1")</f>
        <v>Tia1</v>
      </c>
      <c r="D7506" s="10">
        <f t="shared" si="117"/>
        <v>4.7735057865449759</v>
      </c>
      <c r="F7506" s="8" t="str">
        <f>HYPERLINK("https://esbl.nhlbi.nih.gov/Databases/mpkFractions/proteomic_fractions_log_files/Yang_log_img/255760011.jpg","show blot")</f>
        <v>show blot</v>
      </c>
      <c r="H7506" s="8" t="str">
        <f>HYPERLINK("https://esbl.nhlbi.nih.gov/Databases/mpkFractions/proteomic_fractions_linear_files/Yang_linear_img/255760011.jpg","show blot")</f>
        <v>show blot</v>
      </c>
      <c r="J7506" s="5" t="s">
        <v>14775</v>
      </c>
      <c r="L7506" s="11">
        <v>4.7735057865449759</v>
      </c>
      <c r="N7506" s="12"/>
    </row>
    <row r="7507" spans="1:14" s="5" customFormat="1" ht="15" customHeight="1" x14ac:dyDescent="0.25">
      <c r="A7507" s="9" t="s">
        <v>14776</v>
      </c>
      <c r="C7507" s="9" t="str">
        <f>HYPERLINK("http://www.ncbi.nlm.nih.gov/protein/6755783","Tia1")</f>
        <v>Tia1</v>
      </c>
      <c r="D7507" s="10">
        <f t="shared" si="117"/>
        <v>4.7735057865449759</v>
      </c>
      <c r="F7507" s="8" t="str">
        <f>HYPERLINK("https://esbl.nhlbi.nih.gov/Databases/mpkFractions/proteomic_fractions_log_files/Yang_log_img/6755783.jpg","show blot")</f>
        <v>show blot</v>
      </c>
      <c r="H7507" s="8" t="str">
        <f>HYPERLINK("https://esbl.nhlbi.nih.gov/Databases/mpkFractions/proteomic_fractions_linear_files/Yang_linear_img/6755783.jpg","show blot")</f>
        <v>show blot</v>
      </c>
      <c r="J7507" s="5" t="s">
        <v>14777</v>
      </c>
      <c r="L7507" s="11">
        <v>4.7735057865449759</v>
      </c>
      <c r="N7507" s="12"/>
    </row>
    <row r="7508" spans="1:14" s="5" customFormat="1" ht="15" customHeight="1" x14ac:dyDescent="0.25">
      <c r="A7508" s="9" t="s">
        <v>14778</v>
      </c>
      <c r="C7508" s="9" t="str">
        <f>HYPERLINK("http://www.ncbi.nlm.nih.gov/protein/6678349","Tial1")</f>
        <v>Tial1</v>
      </c>
      <c r="D7508" s="10">
        <f t="shared" si="117"/>
        <v>4.8606812505176844</v>
      </c>
      <c r="F7508" s="8" t="str">
        <f>HYPERLINK("https://esbl.nhlbi.nih.gov/Databases/mpkFractions/proteomic_fractions_log_files/Yang_log_img/6678349.jpg","show blot")</f>
        <v>show blot</v>
      </c>
      <c r="H7508" s="8" t="str">
        <f>HYPERLINK("https://esbl.nhlbi.nih.gov/Databases/mpkFractions/proteomic_fractions_linear_files/Yang_linear_img/6678349.jpg","show blot")</f>
        <v>show blot</v>
      </c>
      <c r="J7508" s="5" t="s">
        <v>14779</v>
      </c>
      <c r="L7508" s="11">
        <v>4.8606812505176844</v>
      </c>
      <c r="N7508" s="12"/>
    </row>
    <row r="7509" spans="1:14" s="5" customFormat="1" ht="15" customHeight="1" x14ac:dyDescent="0.25">
      <c r="A7509" s="9" t="s">
        <v>14780</v>
      </c>
      <c r="C7509" s="9" t="str">
        <f>HYPERLINK("http://www.ncbi.nlm.nih.gov/protein/21553067","Tifa")</f>
        <v>Tifa</v>
      </c>
      <c r="D7509" s="10">
        <f t="shared" si="117"/>
        <v>3.0621699350205351</v>
      </c>
      <c r="F7509" s="8" t="str">
        <f>HYPERLINK("https://esbl.nhlbi.nih.gov/Databases/mpkFractions/proteomic_fractions_log_files/Yang_log_img/21553067.jpg","show blot")</f>
        <v>show blot</v>
      </c>
      <c r="H7509" s="8" t="str">
        <f>HYPERLINK("https://esbl.nhlbi.nih.gov/Databases/mpkFractions/proteomic_fractions_linear_files/Yang_linear_img/21553067.jpg","show blot")</f>
        <v>show blot</v>
      </c>
      <c r="J7509" s="5" t="s">
        <v>14781</v>
      </c>
      <c r="L7509" s="11">
        <v>3.0621699350205351</v>
      </c>
      <c r="N7509" s="12"/>
    </row>
    <row r="7510" spans="1:14" s="5" customFormat="1" ht="15" customHeight="1" x14ac:dyDescent="0.25">
      <c r="A7510" s="9" t="s">
        <v>14782</v>
      </c>
      <c r="C7510" s="9" t="str">
        <f>HYPERLINK("http://www.ncbi.nlm.nih.gov/protein/209862977","Timeless")</f>
        <v>Timeless</v>
      </c>
      <c r="D7510" s="10">
        <f t="shared" si="117"/>
        <v>4.9978869608362206</v>
      </c>
      <c r="F7510" s="8" t="str">
        <f>HYPERLINK("https://esbl.nhlbi.nih.gov/Databases/mpkFractions/proteomic_fractions_log_files/Yang_log_img/209862977.jpg","show blot")</f>
        <v>show blot</v>
      </c>
      <c r="H7510" s="8" t="str">
        <f>HYPERLINK("https://esbl.nhlbi.nih.gov/Databases/mpkFractions/proteomic_fractions_linear_files/Yang_linear_img/209862977.jpg","show blot")</f>
        <v>show blot</v>
      </c>
      <c r="J7510" s="5" t="s">
        <v>14783</v>
      </c>
      <c r="L7510" s="11">
        <v>4.9978869608362206</v>
      </c>
      <c r="N7510" s="12"/>
    </row>
    <row r="7511" spans="1:14" s="5" customFormat="1" ht="15" customHeight="1" x14ac:dyDescent="0.25">
      <c r="A7511" s="9" t="s">
        <v>14784</v>
      </c>
      <c r="C7511" s="9" t="str">
        <f>HYPERLINK("http://www.ncbi.nlm.nih.gov/protein/255760015","Timeless")</f>
        <v>Timeless</v>
      </c>
      <c r="D7511" s="10">
        <f t="shared" si="117"/>
        <v>4.9978869608362206</v>
      </c>
      <c r="F7511" s="8" t="str">
        <f>HYPERLINK("https://esbl.nhlbi.nih.gov/Databases/mpkFractions/proteomic_fractions_log_files/Yang_log_img/255760015.jpg","show blot")</f>
        <v>show blot</v>
      </c>
      <c r="H7511" s="8" t="str">
        <f>HYPERLINK("https://esbl.nhlbi.nih.gov/Databases/mpkFractions/proteomic_fractions_linear_files/Yang_linear_img/255760015.jpg","show blot")</f>
        <v>show blot</v>
      </c>
      <c r="J7511" s="5" t="s">
        <v>14785</v>
      </c>
      <c r="L7511" s="11">
        <v>4.9978869608362206</v>
      </c>
      <c r="N7511" s="12"/>
    </row>
    <row r="7512" spans="1:14" s="5" customFormat="1" ht="15" customHeight="1" x14ac:dyDescent="0.25">
      <c r="A7512" s="9" t="s">
        <v>14786</v>
      </c>
      <c r="C7512" s="9" t="str">
        <f>HYPERLINK("http://www.ncbi.nlm.nih.gov/protein/6755789","Timeless")</f>
        <v>Timeless</v>
      </c>
      <c r="D7512" s="10">
        <f t="shared" si="117"/>
        <v>4.9978869608362206</v>
      </c>
      <c r="F7512" s="8" t="str">
        <f>HYPERLINK("https://esbl.nhlbi.nih.gov/Databases/mpkFractions/proteomic_fractions_log_files/Yang_log_img/6755789.jpg","show blot")</f>
        <v>show blot</v>
      </c>
      <c r="H7512" s="8" t="str">
        <f>HYPERLINK("https://esbl.nhlbi.nih.gov/Databases/mpkFractions/proteomic_fractions_linear_files/Yang_linear_img/6755789.jpg","show blot")</f>
        <v>show blot</v>
      </c>
      <c r="J7512" s="5" t="s">
        <v>14787</v>
      </c>
      <c r="L7512" s="11">
        <v>4.9978869608362206</v>
      </c>
      <c r="N7512" s="12"/>
    </row>
    <row r="7513" spans="1:14" s="5" customFormat="1" ht="15" customHeight="1" x14ac:dyDescent="0.25">
      <c r="A7513" s="9" t="s">
        <v>14788</v>
      </c>
      <c r="C7513" s="9" t="str">
        <f>HYPERLINK("http://www.ncbi.nlm.nih.gov/protein/158937240","Timm10")</f>
        <v>Timm10</v>
      </c>
      <c r="D7513" s="10">
        <f t="shared" si="117"/>
        <v>3.8396824600259061</v>
      </c>
      <c r="F7513" s="8" t="str">
        <f>HYPERLINK("https://esbl.nhlbi.nih.gov/Databases/mpkFractions/proteomic_fractions_log_files/Yang_log_img/158937240.jpg","show blot")</f>
        <v>show blot</v>
      </c>
      <c r="H7513" s="8" t="str">
        <f>HYPERLINK("https://esbl.nhlbi.nih.gov/Databases/mpkFractions/proteomic_fractions_linear_files/Yang_linear_img/158937240.jpg","show blot")</f>
        <v>show blot</v>
      </c>
      <c r="J7513" s="5" t="s">
        <v>14789</v>
      </c>
      <c r="L7513" s="11">
        <v>3.8396824600259061</v>
      </c>
      <c r="N7513" s="12"/>
    </row>
    <row r="7514" spans="1:14" s="5" customFormat="1" ht="15" customHeight="1" x14ac:dyDescent="0.25">
      <c r="A7514" s="9" t="s">
        <v>14790</v>
      </c>
      <c r="C7514" s="9" t="str">
        <f>HYPERLINK("http://www.ncbi.nlm.nih.gov/protein/9507187","Timm10b")</f>
        <v>Timm10b</v>
      </c>
      <c r="D7514" s="10">
        <f t="shared" si="117"/>
        <v>4.2427419128339752</v>
      </c>
      <c r="F7514" s="8" t="str">
        <f>HYPERLINK("https://esbl.nhlbi.nih.gov/Databases/mpkFractions/proteomic_fractions_log_files/Yang_log_img/9507187.jpg","show blot")</f>
        <v>show blot</v>
      </c>
      <c r="H7514" s="8" t="str">
        <f>HYPERLINK("https://esbl.nhlbi.nih.gov/Databases/mpkFractions/proteomic_fractions_linear_files/Yang_linear_img/9507187.jpg","show blot")</f>
        <v>show blot</v>
      </c>
      <c r="J7514" s="5" t="s">
        <v>14791</v>
      </c>
      <c r="L7514" s="11">
        <v>4.2427419128339752</v>
      </c>
      <c r="N7514" s="12"/>
    </row>
    <row r="7515" spans="1:14" s="5" customFormat="1" ht="15" customHeight="1" x14ac:dyDescent="0.25">
      <c r="A7515" s="9" t="s">
        <v>14792</v>
      </c>
      <c r="C7515" s="9" t="str">
        <f>HYPERLINK("http://www.ncbi.nlm.nih.gov/protein/7305581","Timm13")</f>
        <v>Timm13</v>
      </c>
      <c r="D7515" s="10">
        <f t="shared" si="117"/>
        <v>4.9627650601571851</v>
      </c>
      <c r="F7515" s="8" t="str">
        <f>HYPERLINK("https://esbl.nhlbi.nih.gov/Databases/mpkFractions/proteomic_fractions_log_files/Yang_log_img/7305581.jpg","show blot")</f>
        <v>show blot</v>
      </c>
      <c r="H7515" s="8" t="str">
        <f>HYPERLINK("https://esbl.nhlbi.nih.gov/Databases/mpkFractions/proteomic_fractions_linear_files/Yang_linear_img/7305581.jpg","show blot")</f>
        <v>show blot</v>
      </c>
      <c r="J7515" s="5" t="s">
        <v>14793</v>
      </c>
      <c r="L7515" s="11">
        <v>4.9627650601571851</v>
      </c>
      <c r="N7515" s="12"/>
    </row>
    <row r="7516" spans="1:14" s="5" customFormat="1" ht="15" customHeight="1" x14ac:dyDescent="0.25">
      <c r="A7516" s="9" t="s">
        <v>14794</v>
      </c>
      <c r="C7516" s="9" t="str">
        <f>HYPERLINK("http://www.ncbi.nlm.nih.gov/protein/33468937","Timm17b")</f>
        <v>Timm17b</v>
      </c>
      <c r="D7516" s="10">
        <f t="shared" si="117"/>
        <v>4.2543817057777122</v>
      </c>
      <c r="F7516" s="8" t="str">
        <f>HYPERLINK("https://esbl.nhlbi.nih.gov/Databases/mpkFractions/proteomic_fractions_log_files/Yang_log_img/33468937.jpg","show blot")</f>
        <v>show blot</v>
      </c>
      <c r="H7516" s="8" t="str">
        <f>HYPERLINK("https://esbl.nhlbi.nih.gov/Databases/mpkFractions/proteomic_fractions_linear_files/Yang_linear_img/33468937.jpg","show blot")</f>
        <v>show blot</v>
      </c>
      <c r="J7516" s="5" t="s">
        <v>14795</v>
      </c>
      <c r="L7516" s="11">
        <v>4.2543817057777122</v>
      </c>
      <c r="N7516" s="12"/>
    </row>
    <row r="7517" spans="1:14" s="5" customFormat="1" ht="15" customHeight="1" x14ac:dyDescent="0.25">
      <c r="A7517" s="9" t="s">
        <v>14796</v>
      </c>
      <c r="C7517" s="9" t="str">
        <f>HYPERLINK("http://www.ncbi.nlm.nih.gov/protein/21313128","Timm21")</f>
        <v>Timm21</v>
      </c>
      <c r="D7517" s="10">
        <f t="shared" si="117"/>
        <v>3.2632062148098959</v>
      </c>
      <c r="F7517" s="8" t="str">
        <f>HYPERLINK("https://esbl.nhlbi.nih.gov/Databases/mpkFractions/proteomic_fractions_log_files/Yang_log_img/21313128.jpg","show blot")</f>
        <v>show blot</v>
      </c>
      <c r="H7517" s="8" t="str">
        <f>HYPERLINK("https://esbl.nhlbi.nih.gov/Databases/mpkFractions/proteomic_fractions_linear_files/Yang_linear_img/21313128.jpg","show blot")</f>
        <v>show blot</v>
      </c>
      <c r="J7517" s="5" t="s">
        <v>14797</v>
      </c>
      <c r="L7517" s="11">
        <v>3.2632062148098959</v>
      </c>
      <c r="N7517" s="12"/>
    </row>
    <row r="7518" spans="1:14" s="5" customFormat="1" ht="15" customHeight="1" x14ac:dyDescent="0.25">
      <c r="A7518" s="9" t="s">
        <v>14798</v>
      </c>
      <c r="C7518" s="9" t="str">
        <f>HYPERLINK("http://www.ncbi.nlm.nih.gov/protein/296785067","Timm22")</f>
        <v>Timm22</v>
      </c>
      <c r="D7518" s="10">
        <f t="shared" si="117"/>
        <v>3.8786433411085022</v>
      </c>
      <c r="F7518" s="8" t="str">
        <f>HYPERLINK("https://esbl.nhlbi.nih.gov/Databases/mpkFractions/proteomic_fractions_log_files/Yang_log_img/296785067.jpg","show blot")</f>
        <v>show blot</v>
      </c>
      <c r="H7518" s="8" t="str">
        <f>HYPERLINK("https://esbl.nhlbi.nih.gov/Databases/mpkFractions/proteomic_fractions_linear_files/Yang_linear_img/296785067.jpg","show blot")</f>
        <v>show blot</v>
      </c>
      <c r="J7518" s="5" t="s">
        <v>14799</v>
      </c>
      <c r="L7518" s="11">
        <v>3.8786433411085022</v>
      </c>
      <c r="N7518" s="12"/>
    </row>
    <row r="7519" spans="1:14" s="5" customFormat="1" ht="15" customHeight="1" x14ac:dyDescent="0.25">
      <c r="A7519" s="9" t="s">
        <v>14800</v>
      </c>
      <c r="C7519" s="9" t="str">
        <f>HYPERLINK("http://www.ncbi.nlm.nih.gov/protein/31543865","Timm22")</f>
        <v>Timm22</v>
      </c>
      <c r="D7519" s="10">
        <f t="shared" si="117"/>
        <v>3.8786433411085022</v>
      </c>
      <c r="F7519" s="8" t="str">
        <f>HYPERLINK("https://esbl.nhlbi.nih.gov/Databases/mpkFractions/proteomic_fractions_log_files/Yang_log_img/31543865.jpg","show blot")</f>
        <v>show blot</v>
      </c>
      <c r="H7519" s="8" t="str">
        <f>HYPERLINK("https://esbl.nhlbi.nih.gov/Databases/mpkFractions/proteomic_fractions_linear_files/Yang_linear_img/31543865.jpg","show blot")</f>
        <v>show blot</v>
      </c>
      <c r="J7519" s="5" t="s">
        <v>14801</v>
      </c>
      <c r="L7519" s="11">
        <v>3.8786433411085022</v>
      </c>
      <c r="N7519" s="12"/>
    </row>
    <row r="7520" spans="1:14" s="5" customFormat="1" ht="15" customHeight="1" x14ac:dyDescent="0.25">
      <c r="A7520" s="9" t="s">
        <v>14802</v>
      </c>
      <c r="C7520" s="9" t="str">
        <f>HYPERLINK("http://www.ncbi.nlm.nih.gov/protein/254675168","Timm23")</f>
        <v>Timm23</v>
      </c>
      <c r="D7520" s="10">
        <f t="shared" si="117"/>
        <v>4.5982967013574294</v>
      </c>
      <c r="F7520" s="8" t="str">
        <f>HYPERLINK("https://esbl.nhlbi.nih.gov/Databases/mpkFractions/proteomic_fractions_log_files/Yang_log_img/254675168.jpg","show blot")</f>
        <v>show blot</v>
      </c>
      <c r="H7520" s="8" t="str">
        <f>HYPERLINK("https://esbl.nhlbi.nih.gov/Databases/mpkFractions/proteomic_fractions_linear_files/Yang_linear_img/254675168.jpg","show blot")</f>
        <v>show blot</v>
      </c>
      <c r="J7520" s="5" t="s">
        <v>14803</v>
      </c>
      <c r="L7520" s="11">
        <v>4.5982967013574294</v>
      </c>
      <c r="N7520" s="12"/>
    </row>
    <row r="7521" spans="1:14" s="5" customFormat="1" ht="15" customHeight="1" x14ac:dyDescent="0.25">
      <c r="A7521" s="9" t="s">
        <v>14804</v>
      </c>
      <c r="C7521" s="9" t="str">
        <f>HYPERLINK("http://www.ncbi.nlm.nih.gov/protein/170763467","Timm44")</f>
        <v>Timm44</v>
      </c>
      <c r="D7521" s="10">
        <f t="shared" si="117"/>
        <v>5.2236886077678992</v>
      </c>
      <c r="F7521" s="8" t="str">
        <f>HYPERLINK("https://esbl.nhlbi.nih.gov/Databases/mpkFractions/proteomic_fractions_log_files/Yang_log_img/170763467.jpg","show blot")</f>
        <v>show blot</v>
      </c>
      <c r="H7521" s="8" t="str">
        <f>HYPERLINK("https://esbl.nhlbi.nih.gov/Databases/mpkFractions/proteomic_fractions_linear_files/Yang_linear_img/170763467.jpg","show blot")</f>
        <v>show blot</v>
      </c>
      <c r="J7521" s="5" t="s">
        <v>14805</v>
      </c>
      <c r="L7521" s="11">
        <v>5.2236886077678992</v>
      </c>
      <c r="N7521" s="12"/>
    </row>
    <row r="7522" spans="1:14" s="5" customFormat="1" ht="15" customHeight="1" x14ac:dyDescent="0.25">
      <c r="A7522" s="9" t="s">
        <v>14806</v>
      </c>
      <c r="C7522" s="9" t="str">
        <f>HYPERLINK("http://www.ncbi.nlm.nih.gov/protein/22094989","Timm50")</f>
        <v>Timm50</v>
      </c>
      <c r="D7522" s="10">
        <f t="shared" si="117"/>
        <v>5.4600970721308064</v>
      </c>
      <c r="F7522" s="8" t="str">
        <f>HYPERLINK("https://esbl.nhlbi.nih.gov/Databases/mpkFractions/proteomic_fractions_log_files/Yang_log_img/22094989.jpg","show blot")</f>
        <v>show blot</v>
      </c>
      <c r="H7522" s="8" t="str">
        <f>HYPERLINK("https://esbl.nhlbi.nih.gov/Databases/mpkFractions/proteomic_fractions_linear_files/Yang_linear_img/22094989.jpg","show blot")</f>
        <v>show blot</v>
      </c>
      <c r="J7522" s="5" t="s">
        <v>14807</v>
      </c>
      <c r="L7522" s="11">
        <v>5.4600970721308064</v>
      </c>
      <c r="N7522" s="12"/>
    </row>
    <row r="7523" spans="1:14" s="5" customFormat="1" ht="15" customHeight="1" x14ac:dyDescent="0.25">
      <c r="A7523" s="9" t="s">
        <v>14808</v>
      </c>
      <c r="C7523" s="9" t="str">
        <f>HYPERLINK("http://www.ncbi.nlm.nih.gov/protein/7305577","Timm8a1")</f>
        <v>Timm8a1</v>
      </c>
      <c r="D7523" s="10">
        <f t="shared" si="117"/>
        <v>4.7272524537900926</v>
      </c>
      <c r="F7523" s="8" t="str">
        <f>HYPERLINK("https://esbl.nhlbi.nih.gov/Databases/mpkFractions/proteomic_fractions_log_files/Yang_log_img/7305577.jpg","show blot")</f>
        <v>show blot</v>
      </c>
      <c r="H7523" s="8" t="str">
        <f>HYPERLINK("https://esbl.nhlbi.nih.gov/Databases/mpkFractions/proteomic_fractions_linear_files/Yang_linear_img/7305577.jpg","show blot")</f>
        <v>show blot</v>
      </c>
      <c r="J7523" s="5" t="s">
        <v>14809</v>
      </c>
      <c r="L7523" s="11">
        <v>4.7272524537900926</v>
      </c>
      <c r="N7523" s="12"/>
    </row>
    <row r="7524" spans="1:14" s="5" customFormat="1" ht="15" customHeight="1" x14ac:dyDescent="0.25">
      <c r="A7524" s="9" t="s">
        <v>14810</v>
      </c>
      <c r="C7524" s="9" t="str">
        <f>HYPERLINK("http://www.ncbi.nlm.nih.gov/protein/83627687","Timm8a2")</f>
        <v>Timm8a2</v>
      </c>
      <c r="D7524" s="10">
        <f t="shared" si="117"/>
        <v>4.4744276291902843</v>
      </c>
      <c r="F7524" s="8" t="str">
        <f>HYPERLINK("https://esbl.nhlbi.nih.gov/Databases/mpkFractions/proteomic_fractions_log_files/Yang_log_img/83627687.jpg","show blot")</f>
        <v>show blot</v>
      </c>
      <c r="H7524" s="8" t="str">
        <f>HYPERLINK("https://esbl.nhlbi.nih.gov/Databases/mpkFractions/proteomic_fractions_linear_files/Yang_linear_img/83627687.jpg","show blot")</f>
        <v>show blot</v>
      </c>
      <c r="J7524" s="5" t="s">
        <v>14811</v>
      </c>
      <c r="L7524" s="11">
        <v>4.4744276291902843</v>
      </c>
      <c r="N7524" s="12"/>
    </row>
    <row r="7525" spans="1:14" s="5" customFormat="1" ht="15" customHeight="1" x14ac:dyDescent="0.25">
      <c r="A7525" s="9" t="s">
        <v>14812</v>
      </c>
      <c r="C7525" s="9" t="str">
        <f>HYPERLINK("http://www.ncbi.nlm.nih.gov/protein/7305579","Timm8b")</f>
        <v>Timm8b</v>
      </c>
      <c r="D7525" s="10">
        <f t="shared" si="117"/>
        <v>5.5032001047827563</v>
      </c>
      <c r="F7525" s="8" t="str">
        <f>HYPERLINK("https://esbl.nhlbi.nih.gov/Databases/mpkFractions/proteomic_fractions_log_files/Yang_log_img/7305579.jpg","show blot")</f>
        <v>show blot</v>
      </c>
      <c r="H7525" s="8" t="str">
        <f>HYPERLINK("https://esbl.nhlbi.nih.gov/Databases/mpkFractions/proteomic_fractions_linear_files/Yang_linear_img/7305579.jpg","show blot")</f>
        <v>show blot</v>
      </c>
      <c r="J7525" s="5" t="s">
        <v>14813</v>
      </c>
      <c r="L7525" s="11">
        <v>5.5032001047827563</v>
      </c>
      <c r="N7525" s="12"/>
    </row>
    <row r="7526" spans="1:14" s="5" customFormat="1" ht="15" customHeight="1" x14ac:dyDescent="0.25">
      <c r="A7526" s="9" t="s">
        <v>14814</v>
      </c>
      <c r="C7526" s="9" t="str">
        <f>HYPERLINK("http://www.ncbi.nlm.nih.gov/protein/67846099;7305573","Timm9")</f>
        <v>Timm9</v>
      </c>
      <c r="D7526" s="10">
        <f t="shared" si="117"/>
        <v>5.242338981657725</v>
      </c>
      <c r="F7526" s="8" t="str">
        <f>HYPERLINK("https://esbl.nhlbi.nih.gov/Databases/mpkFractions/proteomic_fractions_log_files/Yang_log_img/67846099;7305573.jpg","show blot")</f>
        <v>show blot</v>
      </c>
      <c r="H7526" s="8" t="str">
        <f>HYPERLINK("https://esbl.nhlbi.nih.gov/Databases/mpkFractions/proteomic_fractions_linear_files/Yang_linear_img/67846099;7305573.jpg","show blot")</f>
        <v>show blot</v>
      </c>
      <c r="J7526" s="5" t="s">
        <v>14815</v>
      </c>
      <c r="L7526" s="11">
        <v>5.242338981657725</v>
      </c>
      <c r="N7526" s="12"/>
    </row>
    <row r="7527" spans="1:14" s="5" customFormat="1" ht="15" customHeight="1" x14ac:dyDescent="0.25">
      <c r="A7527" s="9" t="s">
        <v>14816</v>
      </c>
      <c r="C7527" s="9" t="str">
        <f>HYPERLINK("http://www.ncbi.nlm.nih.gov/protein/7305573","Timm9")</f>
        <v>Timm9</v>
      </c>
      <c r="D7527" s="10">
        <f t="shared" si="117"/>
        <v>5.242338981657725</v>
      </c>
      <c r="F7527" s="8" t="str">
        <f>HYPERLINK("https://esbl.nhlbi.nih.gov/Databases/mpkFractions/proteomic_fractions_log_files/Yang_log_img/7305573.jpg","show blot")</f>
        <v>show blot</v>
      </c>
      <c r="H7527" s="8" t="str">
        <f>HYPERLINK("https://esbl.nhlbi.nih.gov/Databases/mpkFractions/proteomic_fractions_linear_files/Yang_linear_img/7305573.jpg","show blot")</f>
        <v>show blot</v>
      </c>
      <c r="J7527" s="5" t="s">
        <v>14815</v>
      </c>
      <c r="L7527" s="11">
        <v>5.242338981657725</v>
      </c>
      <c r="N7527" s="12"/>
    </row>
    <row r="7528" spans="1:14" s="5" customFormat="1" ht="15" customHeight="1" x14ac:dyDescent="0.25">
      <c r="A7528" s="9" t="s">
        <v>14817</v>
      </c>
      <c r="C7528" s="9" t="str">
        <f>HYPERLINK("http://www.ncbi.nlm.nih.gov/protein/225543444","Timmdc1")</f>
        <v>Timmdc1</v>
      </c>
      <c r="D7528" s="10">
        <f t="shared" si="117"/>
        <v>4.1290075386945686</v>
      </c>
      <c r="F7528" s="8" t="str">
        <f>HYPERLINK("https://esbl.nhlbi.nih.gov/Databases/mpkFractions/proteomic_fractions_log_files/Yang_log_img/225543444.jpg","show blot")</f>
        <v>show blot</v>
      </c>
      <c r="H7528" s="8" t="str">
        <f>HYPERLINK("https://esbl.nhlbi.nih.gov/Databases/mpkFractions/proteomic_fractions_linear_files/Yang_linear_img/225543444.jpg","show blot")</f>
        <v>show blot</v>
      </c>
      <c r="J7528" s="5" t="s">
        <v>14818</v>
      </c>
      <c r="L7528" s="11">
        <v>4.1290075386945686</v>
      </c>
      <c r="N7528" s="12"/>
    </row>
    <row r="7529" spans="1:14" s="5" customFormat="1" ht="15" customHeight="1" x14ac:dyDescent="0.25">
      <c r="A7529" s="9" t="s">
        <v>14819</v>
      </c>
      <c r="C7529" s="9" t="str">
        <f>HYPERLINK("http://www.ncbi.nlm.nih.gov/protein/31542102","Tiparp")</f>
        <v>Tiparp</v>
      </c>
      <c r="D7529" s="10">
        <f t="shared" si="117"/>
        <v>4.6698522617676153</v>
      </c>
      <c r="F7529" s="8" t="str">
        <f>HYPERLINK("https://esbl.nhlbi.nih.gov/Databases/mpkFractions/proteomic_fractions_log_files/Yang_log_img/31542102.jpg","show blot")</f>
        <v>show blot</v>
      </c>
      <c r="H7529" s="8" t="str">
        <f>HYPERLINK("https://esbl.nhlbi.nih.gov/Databases/mpkFractions/proteomic_fractions_linear_files/Yang_linear_img/31542102.jpg","show blot")</f>
        <v>show blot</v>
      </c>
      <c r="J7529" s="5" t="s">
        <v>14820</v>
      </c>
      <c r="L7529" s="11">
        <v>4.6698522617676153</v>
      </c>
      <c r="N7529" s="12"/>
    </row>
    <row r="7530" spans="1:14" s="5" customFormat="1" ht="15" customHeight="1" x14ac:dyDescent="0.25">
      <c r="A7530" s="9" t="s">
        <v>14821</v>
      </c>
      <c r="C7530" s="9" t="str">
        <f>HYPERLINK("http://www.ncbi.nlm.nih.gov/protein/21313608","Tipin")</f>
        <v>Tipin</v>
      </c>
      <c r="D7530" s="10">
        <f t="shared" si="117"/>
        <v>4.7481610682515116</v>
      </c>
      <c r="F7530" s="8" t="str">
        <f>HYPERLINK("https://esbl.nhlbi.nih.gov/Databases/mpkFractions/proteomic_fractions_log_files/Yang_log_img/21313608.jpg","show blot")</f>
        <v>show blot</v>
      </c>
      <c r="H7530" s="8" t="str">
        <f>HYPERLINK("https://esbl.nhlbi.nih.gov/Databases/mpkFractions/proteomic_fractions_linear_files/Yang_linear_img/21313608.jpg","show blot")</f>
        <v>show blot</v>
      </c>
      <c r="J7530" s="5" t="s">
        <v>14822</v>
      </c>
      <c r="L7530" s="11">
        <v>4.7481610682515116</v>
      </c>
      <c r="N7530" s="12"/>
    </row>
    <row r="7531" spans="1:14" s="5" customFormat="1" ht="15" customHeight="1" x14ac:dyDescent="0.25">
      <c r="A7531" s="9" t="s">
        <v>14823</v>
      </c>
      <c r="C7531" s="9" t="str">
        <f>HYPERLINK("http://www.ncbi.nlm.nih.gov/protein/21704010","Tiprl")</f>
        <v>Tiprl</v>
      </c>
      <c r="D7531" s="10">
        <f t="shared" si="117"/>
        <v>4.5442798335171579</v>
      </c>
      <c r="F7531" s="8" t="str">
        <f>HYPERLINK("https://esbl.nhlbi.nih.gov/Databases/mpkFractions/proteomic_fractions_log_files/Yang_log_img/21704010.jpg","show blot")</f>
        <v>show blot</v>
      </c>
      <c r="H7531" s="8" t="str">
        <f>HYPERLINK("https://esbl.nhlbi.nih.gov/Databases/mpkFractions/proteomic_fractions_linear_files/Yang_linear_img/21704010.jpg","show blot")</f>
        <v>show blot</v>
      </c>
      <c r="J7531" s="5" t="s">
        <v>14824</v>
      </c>
      <c r="L7531" s="11">
        <v>4.5442798335171579</v>
      </c>
      <c r="N7531" s="12"/>
    </row>
    <row r="7532" spans="1:14" s="5" customFormat="1" ht="15" customHeight="1" x14ac:dyDescent="0.25">
      <c r="A7532" s="9" t="s">
        <v>14825</v>
      </c>
      <c r="C7532" s="9" t="str">
        <f>HYPERLINK("http://www.ncbi.nlm.nih.gov/protein/21311861","Tjap1")</f>
        <v>Tjap1</v>
      </c>
      <c r="D7532" s="10">
        <f t="shared" si="117"/>
        <v>4.1473323778817459</v>
      </c>
      <c r="F7532" s="8" t="str">
        <f>HYPERLINK("https://esbl.nhlbi.nih.gov/Databases/mpkFractions/proteomic_fractions_log_files/Yang_log_img/21311861.jpg","show blot")</f>
        <v>show blot</v>
      </c>
      <c r="H7532" s="8" t="str">
        <f>HYPERLINK("https://esbl.nhlbi.nih.gov/Databases/mpkFractions/proteomic_fractions_linear_files/Yang_linear_img/21311861.jpg","show blot")</f>
        <v>show blot</v>
      </c>
      <c r="J7532" s="5" t="s">
        <v>14826</v>
      </c>
      <c r="L7532" s="11">
        <v>4.1473323778817459</v>
      </c>
      <c r="N7532" s="12"/>
    </row>
    <row r="7533" spans="1:14" s="5" customFormat="1" ht="15" customHeight="1" x14ac:dyDescent="0.25">
      <c r="A7533" s="9" t="s">
        <v>14827</v>
      </c>
      <c r="C7533" s="9" t="str">
        <f>HYPERLINK("http://www.ncbi.nlm.nih.gov/protein/254675277","Tjp1")</f>
        <v>Tjp1</v>
      </c>
      <c r="D7533" s="10">
        <f t="shared" si="117"/>
        <v>4.6184000576449877</v>
      </c>
      <c r="F7533" s="8" t="str">
        <f>HYPERLINK("https://esbl.nhlbi.nih.gov/Databases/mpkFractions/proteomic_fractions_log_files/Yang_log_img/254675277.jpg","show blot")</f>
        <v>show blot</v>
      </c>
      <c r="H7533" s="8" t="str">
        <f>HYPERLINK("https://esbl.nhlbi.nih.gov/Databases/mpkFractions/proteomic_fractions_linear_files/Yang_linear_img/254675277.jpg","show blot")</f>
        <v>show blot</v>
      </c>
      <c r="J7533" s="5" t="s">
        <v>14828</v>
      </c>
      <c r="L7533" s="11">
        <v>4.6184000576449877</v>
      </c>
      <c r="N7533" s="12"/>
    </row>
    <row r="7534" spans="1:14" s="5" customFormat="1" ht="15" customHeight="1" x14ac:dyDescent="0.25">
      <c r="A7534" s="9" t="s">
        <v>14829</v>
      </c>
      <c r="C7534" s="9" t="str">
        <f>HYPERLINK("http://www.ncbi.nlm.nih.gov/protein/254675279","Tjp1")</f>
        <v>Tjp1</v>
      </c>
      <c r="D7534" s="10">
        <f t="shared" si="117"/>
        <v>4.6184000576449877</v>
      </c>
      <c r="F7534" s="8" t="str">
        <f>HYPERLINK("https://esbl.nhlbi.nih.gov/Databases/mpkFractions/proteomic_fractions_log_files/Yang_log_img/254675279.jpg","show blot")</f>
        <v>show blot</v>
      </c>
      <c r="H7534" s="8" t="str">
        <f>HYPERLINK("https://esbl.nhlbi.nih.gov/Databases/mpkFractions/proteomic_fractions_linear_files/Yang_linear_img/254675279.jpg","show blot")</f>
        <v>show blot</v>
      </c>
      <c r="J7534" s="5" t="s">
        <v>14830</v>
      </c>
      <c r="L7534" s="11">
        <v>4.6184000576449877</v>
      </c>
      <c r="N7534" s="12"/>
    </row>
    <row r="7535" spans="1:14" s="5" customFormat="1" ht="15" customHeight="1" x14ac:dyDescent="0.25">
      <c r="A7535" s="9" t="s">
        <v>14831</v>
      </c>
      <c r="C7535" s="9" t="str">
        <f>HYPERLINK("http://www.ncbi.nlm.nih.gov/protein/160333863","Tjp2")</f>
        <v>Tjp2</v>
      </c>
      <c r="D7535" s="10">
        <f t="shared" si="117"/>
        <v>5.7078945452445362</v>
      </c>
      <c r="F7535" s="8" t="str">
        <f>HYPERLINK("https://esbl.nhlbi.nih.gov/Databases/mpkFractions/proteomic_fractions_log_files/Yang_log_img/160333863.jpg","show blot")</f>
        <v>show blot</v>
      </c>
      <c r="H7535" s="8" t="str">
        <f>HYPERLINK("https://esbl.nhlbi.nih.gov/Databases/mpkFractions/proteomic_fractions_linear_files/Yang_linear_img/160333863.jpg","show blot")</f>
        <v>show blot</v>
      </c>
      <c r="J7535" s="5" t="s">
        <v>14832</v>
      </c>
      <c r="L7535" s="11">
        <v>5.7078945452445362</v>
      </c>
      <c r="N7535" s="12"/>
    </row>
    <row r="7536" spans="1:14" s="5" customFormat="1" ht="15" customHeight="1" x14ac:dyDescent="0.25">
      <c r="A7536" s="9" t="s">
        <v>14833</v>
      </c>
      <c r="C7536" s="9" t="str">
        <f>HYPERLINK("http://www.ncbi.nlm.nih.gov/protein/312222765","Tjp2")</f>
        <v>Tjp2</v>
      </c>
      <c r="D7536" s="10">
        <f t="shared" si="117"/>
        <v>5.7078945452445362</v>
      </c>
      <c r="F7536" s="8" t="str">
        <f>HYPERLINK("https://esbl.nhlbi.nih.gov/Databases/mpkFractions/proteomic_fractions_log_files/Yang_log_img/312222765.jpg","show blot")</f>
        <v>show blot</v>
      </c>
      <c r="H7536" s="8" t="str">
        <f>HYPERLINK("https://esbl.nhlbi.nih.gov/Databases/mpkFractions/proteomic_fractions_linear_files/Yang_linear_img/312222765.jpg","show blot")</f>
        <v>show blot</v>
      </c>
      <c r="J7536" s="5" t="s">
        <v>14834</v>
      </c>
      <c r="L7536" s="11">
        <v>5.7078945452445362</v>
      </c>
      <c r="N7536" s="12"/>
    </row>
    <row r="7537" spans="1:14" s="5" customFormat="1" ht="15" customHeight="1" x14ac:dyDescent="0.25">
      <c r="A7537" s="9" t="s">
        <v>14835</v>
      </c>
      <c r="C7537" s="9" t="str">
        <f>HYPERLINK("http://www.ncbi.nlm.nih.gov/protein/530788242","Tjp3")</f>
        <v>Tjp3</v>
      </c>
      <c r="D7537" s="10">
        <f t="shared" si="117"/>
        <v>4.8506670269170122</v>
      </c>
      <c r="F7537" s="8" t="str">
        <f>HYPERLINK("https://esbl.nhlbi.nih.gov/Databases/mpkFractions/proteomic_fractions_log_files/Yang_log_img/530788242.jpg","show blot")</f>
        <v>show blot</v>
      </c>
      <c r="H7537" s="8" t="str">
        <f>HYPERLINK("https://esbl.nhlbi.nih.gov/Databases/mpkFractions/proteomic_fractions_linear_files/Yang_linear_img/530788242.jpg","show blot")</f>
        <v>show blot</v>
      </c>
      <c r="J7537" s="5" t="s">
        <v>14836</v>
      </c>
      <c r="L7537" s="11">
        <v>4.8506670269170122</v>
      </c>
      <c r="N7537" s="12"/>
    </row>
    <row r="7538" spans="1:14" s="5" customFormat="1" ht="15" customHeight="1" x14ac:dyDescent="0.25">
      <c r="A7538" s="9" t="s">
        <v>14837</v>
      </c>
      <c r="C7538" s="9" t="str">
        <f>HYPERLINK("http://www.ncbi.nlm.nih.gov/protein/114052811","Tjp3")</f>
        <v>Tjp3</v>
      </c>
      <c r="D7538" s="10">
        <f t="shared" si="117"/>
        <v>4.8506670269170122</v>
      </c>
      <c r="F7538" s="8" t="str">
        <f>HYPERLINK("https://esbl.nhlbi.nih.gov/Databases/mpkFractions/proteomic_fractions_log_files/Yang_log_img/114052811.jpg","show blot")</f>
        <v>show blot</v>
      </c>
      <c r="H7538" s="8" t="str">
        <f>HYPERLINK("https://esbl.nhlbi.nih.gov/Databases/mpkFractions/proteomic_fractions_linear_files/Yang_linear_img/114052811.jpg","show blot")</f>
        <v>show blot</v>
      </c>
      <c r="J7538" s="5" t="s">
        <v>14838</v>
      </c>
      <c r="L7538" s="11">
        <v>4.8506670269170122</v>
      </c>
      <c r="N7538" s="12"/>
    </row>
    <row r="7539" spans="1:14" s="5" customFormat="1" ht="15" customHeight="1" x14ac:dyDescent="0.25">
      <c r="A7539" s="9" t="s">
        <v>14839</v>
      </c>
      <c r="C7539" s="9" t="str">
        <f>HYPERLINK("http://www.ncbi.nlm.nih.gov/protein/6678359","Tkt")</f>
        <v>Tkt</v>
      </c>
      <c r="D7539" s="10">
        <f t="shared" si="117"/>
        <v>6.708575646124415</v>
      </c>
      <c r="F7539" s="8" t="str">
        <f>HYPERLINK("https://esbl.nhlbi.nih.gov/Databases/mpkFractions/proteomic_fractions_log_files/Yang_log_img/6678359.jpg","show blot")</f>
        <v>show blot</v>
      </c>
      <c r="H7539" s="8" t="str">
        <f>HYPERLINK("https://esbl.nhlbi.nih.gov/Databases/mpkFractions/proteomic_fractions_linear_files/Yang_linear_img/6678359.jpg","show blot")</f>
        <v>show blot</v>
      </c>
      <c r="J7539" s="5" t="s">
        <v>14840</v>
      </c>
      <c r="L7539" s="11">
        <v>6.708575646124415</v>
      </c>
      <c r="N7539" s="12"/>
    </row>
    <row r="7540" spans="1:14" s="5" customFormat="1" ht="15" customHeight="1" x14ac:dyDescent="0.25">
      <c r="A7540" s="9" t="s">
        <v>14841</v>
      </c>
      <c r="C7540" s="9" t="str">
        <f>HYPERLINK("http://www.ncbi.nlm.nih.gov/protein/148287022","Tktl2")</f>
        <v>Tktl2</v>
      </c>
      <c r="D7540" s="10">
        <f t="shared" si="117"/>
        <v>4.708686885890037</v>
      </c>
      <c r="F7540" s="8" t="str">
        <f>HYPERLINK("https://esbl.nhlbi.nih.gov/Databases/mpkFractions/proteomic_fractions_log_files/Yang_log_img/148287022.jpg","show blot")</f>
        <v>show blot</v>
      </c>
      <c r="H7540" s="8" t="str">
        <f>HYPERLINK("https://esbl.nhlbi.nih.gov/Databases/mpkFractions/proteomic_fractions_linear_files/Yang_linear_img/148287022.jpg","show blot")</f>
        <v>show blot</v>
      </c>
      <c r="J7540" s="5" t="s">
        <v>14842</v>
      </c>
      <c r="L7540" s="11">
        <v>4.708686885890037</v>
      </c>
      <c r="N7540" s="12"/>
    </row>
    <row r="7541" spans="1:14" s="5" customFormat="1" ht="15" customHeight="1" x14ac:dyDescent="0.25">
      <c r="A7541" s="9" t="s">
        <v>14843</v>
      </c>
      <c r="C7541" s="9" t="str">
        <f>HYPERLINK("http://www.ncbi.nlm.nih.gov/protein/409191601;148287022","Tktl2")</f>
        <v>Tktl2</v>
      </c>
      <c r="D7541" s="10">
        <f t="shared" si="117"/>
        <v>4.708686885890037</v>
      </c>
      <c r="F7541" s="8" t="str">
        <f>HYPERLINK("https://esbl.nhlbi.nih.gov/Databases/mpkFractions/proteomic_fractions_log_files/Yang_log_img/409191601;148287022.jpg","show blot")</f>
        <v>show blot</v>
      </c>
      <c r="H7541" s="8" t="str">
        <f>HYPERLINK("https://esbl.nhlbi.nih.gov/Databases/mpkFractions/proteomic_fractions_linear_files/Yang_linear_img/409191601;148287022.jpg","show blot")</f>
        <v>show blot</v>
      </c>
      <c r="J7541" s="5" t="s">
        <v>14842</v>
      </c>
      <c r="L7541" s="11">
        <v>4.708686885890037</v>
      </c>
      <c r="N7541" s="12"/>
    </row>
    <row r="7542" spans="1:14" s="5" customFormat="1" ht="15" customHeight="1" x14ac:dyDescent="0.25">
      <c r="A7542" s="9" t="s">
        <v>14844</v>
      </c>
      <c r="C7542" s="9" t="str">
        <f>HYPERLINK("http://www.ncbi.nlm.nih.gov/protein/21539617","Tlcd1")</f>
        <v>Tlcd1</v>
      </c>
      <c r="D7542" s="10">
        <f t="shared" si="117"/>
        <v>3.637403141017697</v>
      </c>
      <c r="F7542" s="8" t="str">
        <f>HYPERLINK("https://esbl.nhlbi.nih.gov/Databases/mpkFractions/proteomic_fractions_log_files/Yang_log_img/21539617.jpg","show blot")</f>
        <v>show blot</v>
      </c>
      <c r="H7542" s="8" t="str">
        <f>HYPERLINK("https://esbl.nhlbi.nih.gov/Databases/mpkFractions/proteomic_fractions_linear_files/Yang_linear_img/21539617.jpg","show blot")</f>
        <v>show blot</v>
      </c>
      <c r="J7542" s="5" t="s">
        <v>14845</v>
      </c>
      <c r="L7542" s="11">
        <v>3.637403141017697</v>
      </c>
      <c r="N7542" s="12"/>
    </row>
    <row r="7543" spans="1:14" s="5" customFormat="1" ht="15" customHeight="1" x14ac:dyDescent="0.25">
      <c r="A7543" s="9" t="s">
        <v>14846</v>
      </c>
      <c r="C7543" s="9" t="str">
        <f>HYPERLINK("http://www.ncbi.nlm.nih.gov/protein/145207950","Tle3")</f>
        <v>Tle3</v>
      </c>
      <c r="D7543" s="10">
        <f t="shared" si="117"/>
        <v>3.579254489685217</v>
      </c>
      <c r="F7543" s="8" t="str">
        <f>HYPERLINK("https://esbl.nhlbi.nih.gov/Databases/mpkFractions/proteomic_fractions_log_files/Yang_log_img/145207950.jpg","show blot")</f>
        <v>show blot</v>
      </c>
      <c r="H7543" s="8" t="str">
        <f>HYPERLINK("https://esbl.nhlbi.nih.gov/Databases/mpkFractions/proteomic_fractions_linear_files/Yang_linear_img/145207950.jpg","show blot")</f>
        <v>show blot</v>
      </c>
      <c r="J7543" s="5" t="s">
        <v>14847</v>
      </c>
      <c r="L7543" s="11">
        <v>3.579254489685217</v>
      </c>
      <c r="N7543" s="12"/>
    </row>
    <row r="7544" spans="1:14" s="5" customFormat="1" ht="15" customHeight="1" x14ac:dyDescent="0.25">
      <c r="A7544" s="9" t="s">
        <v>14848</v>
      </c>
      <c r="C7544" s="9" t="str">
        <f>HYPERLINK("http://www.ncbi.nlm.nih.gov/protein/145207972","Tle3")</f>
        <v>Tle3</v>
      </c>
      <c r="D7544" s="10">
        <f t="shared" si="117"/>
        <v>3.579254489685217</v>
      </c>
      <c r="F7544" s="8" t="str">
        <f>HYPERLINK("https://esbl.nhlbi.nih.gov/Databases/mpkFractions/proteomic_fractions_log_files/Yang_log_img/145207972.jpg","show blot")</f>
        <v>show blot</v>
      </c>
      <c r="H7544" s="8" t="str">
        <f>HYPERLINK("https://esbl.nhlbi.nih.gov/Databases/mpkFractions/proteomic_fractions_linear_files/Yang_linear_img/145207972.jpg","show blot")</f>
        <v>show blot</v>
      </c>
      <c r="J7544" s="5" t="s">
        <v>14849</v>
      </c>
      <c r="L7544" s="11">
        <v>3.579254489685217</v>
      </c>
      <c r="N7544" s="12"/>
    </row>
    <row r="7545" spans="1:14" s="5" customFormat="1" ht="15" customHeight="1" x14ac:dyDescent="0.25">
      <c r="A7545" s="9" t="s">
        <v>14850</v>
      </c>
      <c r="C7545" s="9" t="str">
        <f>HYPERLINK("http://www.ncbi.nlm.nih.gov/protein/145207988","Tle3")</f>
        <v>Tle3</v>
      </c>
      <c r="D7545" s="10">
        <f t="shared" si="117"/>
        <v>3.579254489685217</v>
      </c>
      <c r="F7545" s="8" t="str">
        <f>HYPERLINK("https://esbl.nhlbi.nih.gov/Databases/mpkFractions/proteomic_fractions_log_files/Yang_log_img/145207988.jpg","show blot")</f>
        <v>show blot</v>
      </c>
      <c r="H7545" s="8" t="str">
        <f>HYPERLINK("https://esbl.nhlbi.nih.gov/Databases/mpkFractions/proteomic_fractions_linear_files/Yang_linear_img/145207988.jpg","show blot")</f>
        <v>show blot</v>
      </c>
      <c r="J7545" s="5" t="s">
        <v>14851</v>
      </c>
      <c r="L7545" s="11">
        <v>3.579254489685217</v>
      </c>
      <c r="N7545" s="12"/>
    </row>
    <row r="7546" spans="1:14" s="5" customFormat="1" ht="15" customHeight="1" x14ac:dyDescent="0.25">
      <c r="A7546" s="9" t="s">
        <v>14852</v>
      </c>
      <c r="C7546" s="9" t="str">
        <f>HYPERLINK("http://www.ncbi.nlm.nih.gov/protein/227116327","Tln1")</f>
        <v>Tln1</v>
      </c>
      <c r="D7546" s="10">
        <f t="shared" si="117"/>
        <v>5.5996251746507992</v>
      </c>
      <c r="F7546" s="8" t="str">
        <f>HYPERLINK("https://esbl.nhlbi.nih.gov/Databases/mpkFractions/proteomic_fractions_log_files/Yang_log_img/227116327.jpg","show blot")</f>
        <v>show blot</v>
      </c>
      <c r="H7546" s="8" t="str">
        <f>HYPERLINK("https://esbl.nhlbi.nih.gov/Databases/mpkFractions/proteomic_fractions_linear_files/Yang_linear_img/227116327.jpg","show blot")</f>
        <v>show blot</v>
      </c>
      <c r="J7546" s="5" t="s">
        <v>14853</v>
      </c>
      <c r="L7546" s="11">
        <v>5.5996251746507992</v>
      </c>
      <c r="N7546" s="12"/>
    </row>
    <row r="7547" spans="1:14" s="5" customFormat="1" ht="15" customHeight="1" x14ac:dyDescent="0.25">
      <c r="A7547" s="9" t="s">
        <v>14854</v>
      </c>
      <c r="C7547" s="9" t="str">
        <f>HYPERLINK("http://www.ncbi.nlm.nih.gov/protein/163310736","Tln2")</f>
        <v>Tln2</v>
      </c>
      <c r="D7547" s="10">
        <f t="shared" si="117"/>
        <v>4.7459793844577334</v>
      </c>
      <c r="F7547" s="8" t="str">
        <f>HYPERLINK("https://esbl.nhlbi.nih.gov/Databases/mpkFractions/proteomic_fractions_log_files/Yang_log_img/163310736.jpg","show blot")</f>
        <v>show blot</v>
      </c>
      <c r="H7547" s="8" t="str">
        <f>HYPERLINK("https://esbl.nhlbi.nih.gov/Databases/mpkFractions/proteomic_fractions_linear_files/Yang_linear_img/163310736.jpg","show blot")</f>
        <v>show blot</v>
      </c>
      <c r="J7547" s="5" t="s">
        <v>14855</v>
      </c>
      <c r="L7547" s="11">
        <v>4.7459793844577334</v>
      </c>
      <c r="N7547" s="12"/>
    </row>
    <row r="7548" spans="1:14" s="5" customFormat="1" ht="15" customHeight="1" x14ac:dyDescent="0.25">
      <c r="A7548" s="9" t="s">
        <v>14856</v>
      </c>
      <c r="C7548" s="9" t="str">
        <f>HYPERLINK("http://www.ncbi.nlm.nih.gov/protein/45429999","Tlr13")</f>
        <v>Tlr13</v>
      </c>
      <c r="D7548" s="10">
        <f t="shared" si="117"/>
        <v>1.7714020126425529</v>
      </c>
      <c r="F7548" s="8" t="str">
        <f>HYPERLINK("https://esbl.nhlbi.nih.gov/Databases/mpkFractions/proteomic_fractions_log_files/Yang_log_img/45429999.jpg","show blot")</f>
        <v>show blot</v>
      </c>
      <c r="H7548" s="8" t="str">
        <f>HYPERLINK("https://esbl.nhlbi.nih.gov/Databases/mpkFractions/proteomic_fractions_linear_files/Yang_linear_img/45429999.jpg","show blot")</f>
        <v>show blot</v>
      </c>
      <c r="J7548" s="5" t="s">
        <v>14857</v>
      </c>
      <c r="L7548" s="11">
        <v>1.7714020126425529</v>
      </c>
      <c r="N7548" s="12"/>
    </row>
    <row r="7549" spans="1:14" s="5" customFormat="1" ht="15" customHeight="1" x14ac:dyDescent="0.25">
      <c r="A7549" s="9" t="s">
        <v>14858</v>
      </c>
      <c r="C7549" s="9" t="str">
        <f>HYPERLINK("http://www.ncbi.nlm.nih.gov/protein/18875360","Tlr7")</f>
        <v>Tlr7</v>
      </c>
      <c r="D7549" s="10">
        <f t="shared" si="117"/>
        <v>4.7666836925400542</v>
      </c>
      <c r="F7549" s="8" t="str">
        <f>HYPERLINK("https://esbl.nhlbi.nih.gov/Databases/mpkFractions/proteomic_fractions_log_files/Yang_log_img/18875360.jpg","show blot")</f>
        <v>show blot</v>
      </c>
      <c r="H7549" s="8" t="str">
        <f>HYPERLINK("https://esbl.nhlbi.nih.gov/Databases/mpkFractions/proteomic_fractions_linear_files/Yang_linear_img/18875360.jpg","show blot")</f>
        <v>show blot</v>
      </c>
      <c r="J7549" s="5" t="s">
        <v>14859</v>
      </c>
      <c r="L7549" s="11">
        <v>4.7666836925400542</v>
      </c>
      <c r="N7549" s="12"/>
    </row>
    <row r="7550" spans="1:14" s="5" customFormat="1" ht="15" customHeight="1" x14ac:dyDescent="0.25">
      <c r="A7550" s="9" t="s">
        <v>14860</v>
      </c>
      <c r="C7550" s="9" t="str">
        <f>HYPERLINK("http://www.ncbi.nlm.nih.gov/protein/229324850","Tm2d2")</f>
        <v>Tm2d2</v>
      </c>
      <c r="D7550" s="10">
        <f t="shared" si="117"/>
        <v>2.9338865796580369</v>
      </c>
      <c r="F7550" s="8" t="str">
        <f>HYPERLINK("https://esbl.nhlbi.nih.gov/Databases/mpkFractions/proteomic_fractions_log_files/Yang_log_img/229324850.jpg","show blot")</f>
        <v>show blot</v>
      </c>
      <c r="H7550" s="8" t="str">
        <f>HYPERLINK("https://esbl.nhlbi.nih.gov/Databases/mpkFractions/proteomic_fractions_linear_files/Yang_linear_img/229324850.jpg","show blot")</f>
        <v>show blot</v>
      </c>
      <c r="J7550" s="5" t="s">
        <v>14861</v>
      </c>
      <c r="L7550" s="11">
        <v>2.9338865796580369</v>
      </c>
      <c r="N7550" s="12"/>
    </row>
    <row r="7551" spans="1:14" s="5" customFormat="1" ht="15" customHeight="1" x14ac:dyDescent="0.25">
      <c r="A7551" s="9" t="s">
        <v>14862</v>
      </c>
      <c r="C7551" s="9" t="str">
        <f>HYPERLINK("http://www.ncbi.nlm.nih.gov/protein/119964708","Tm7sf3")</f>
        <v>Tm7sf3</v>
      </c>
      <c r="D7551" s="10">
        <f t="shared" si="117"/>
        <v>2.6975580343657191</v>
      </c>
      <c r="F7551" s="8" t="str">
        <f>HYPERLINK("https://esbl.nhlbi.nih.gov/Databases/mpkFractions/proteomic_fractions_log_files/Yang_log_img/119964708.jpg","show blot")</f>
        <v>show blot</v>
      </c>
      <c r="H7551" s="8" t="str">
        <f>HYPERLINK("https://esbl.nhlbi.nih.gov/Databases/mpkFractions/proteomic_fractions_linear_files/Yang_linear_img/119964708.jpg","show blot")</f>
        <v>show blot</v>
      </c>
      <c r="J7551" s="5" t="s">
        <v>14863</v>
      </c>
      <c r="L7551" s="11">
        <v>2.6975580343657191</v>
      </c>
      <c r="N7551" s="12"/>
    </row>
    <row r="7552" spans="1:14" s="5" customFormat="1" ht="15" customHeight="1" x14ac:dyDescent="0.25">
      <c r="A7552" s="9" t="s">
        <v>14864</v>
      </c>
      <c r="C7552" s="9" t="str">
        <f>HYPERLINK("http://www.ncbi.nlm.nih.gov/protein/27229185","Tm9sf1")</f>
        <v>Tm9sf1</v>
      </c>
      <c r="D7552" s="10">
        <f t="shared" si="117"/>
        <v>4.1817987737100122</v>
      </c>
      <c r="F7552" s="8" t="str">
        <f>HYPERLINK("https://esbl.nhlbi.nih.gov/Databases/mpkFractions/proteomic_fractions_log_files/Yang_log_img/27229185.jpg","show blot")</f>
        <v>show blot</v>
      </c>
      <c r="H7552" s="8" t="str">
        <f>HYPERLINK("https://esbl.nhlbi.nih.gov/Databases/mpkFractions/proteomic_fractions_linear_files/Yang_linear_img/27229185.jpg","show blot")</f>
        <v>show blot</v>
      </c>
      <c r="J7552" s="5" t="s">
        <v>14865</v>
      </c>
      <c r="L7552" s="11">
        <v>4.1817987737100122</v>
      </c>
      <c r="N7552" s="12"/>
    </row>
    <row r="7553" spans="1:14" s="5" customFormat="1" ht="15" customHeight="1" x14ac:dyDescent="0.25">
      <c r="A7553" s="9" t="s">
        <v>14866</v>
      </c>
      <c r="C7553" s="9" t="str">
        <f>HYPERLINK("http://www.ncbi.nlm.nih.gov/protein/188528894","Tm9sf2")</f>
        <v>Tm9sf2</v>
      </c>
      <c r="D7553" s="10">
        <f t="shared" si="117"/>
        <v>4.7824428144811124</v>
      </c>
      <c r="F7553" s="8" t="str">
        <f>HYPERLINK("https://esbl.nhlbi.nih.gov/Databases/mpkFractions/proteomic_fractions_log_files/Yang_log_img/188528894.jpg","show blot")</f>
        <v>show blot</v>
      </c>
      <c r="H7553" s="8" t="str">
        <f>HYPERLINK("https://esbl.nhlbi.nih.gov/Databases/mpkFractions/proteomic_fractions_linear_files/Yang_linear_img/188528894.jpg","show blot")</f>
        <v>show blot</v>
      </c>
      <c r="J7553" s="5" t="s">
        <v>14867</v>
      </c>
      <c r="L7553" s="11">
        <v>4.7824428144811124</v>
      </c>
      <c r="N7553" s="12"/>
    </row>
    <row r="7554" spans="1:14" s="5" customFormat="1" ht="15" customHeight="1" x14ac:dyDescent="0.25">
      <c r="A7554" s="9" t="s">
        <v>14868</v>
      </c>
      <c r="C7554" s="9" t="str">
        <f>HYPERLINK("http://www.ncbi.nlm.nih.gov/protein/19111162","Tm9sf3")</f>
        <v>Tm9sf3</v>
      </c>
      <c r="D7554" s="10">
        <f t="shared" si="117"/>
        <v>4.1394641189259103</v>
      </c>
      <c r="F7554" s="8" t="str">
        <f>HYPERLINK("https://esbl.nhlbi.nih.gov/Databases/mpkFractions/proteomic_fractions_log_files/Yang_log_img/19111162.jpg","show blot")</f>
        <v>show blot</v>
      </c>
      <c r="H7554" s="8" t="str">
        <f>HYPERLINK("https://esbl.nhlbi.nih.gov/Databases/mpkFractions/proteomic_fractions_linear_files/Yang_linear_img/19111162.jpg","show blot")</f>
        <v>show blot</v>
      </c>
      <c r="J7554" s="5" t="s">
        <v>14869</v>
      </c>
      <c r="L7554" s="11">
        <v>4.1394641189259103</v>
      </c>
      <c r="N7554" s="12"/>
    </row>
    <row r="7555" spans="1:14" s="5" customFormat="1" ht="15" customHeight="1" x14ac:dyDescent="0.25">
      <c r="A7555" s="9" t="s">
        <v>14870</v>
      </c>
      <c r="C7555" s="9" t="str">
        <f>HYPERLINK("http://www.ncbi.nlm.nih.gov/protein/31542095","Tm9sf4")</f>
        <v>Tm9sf4</v>
      </c>
      <c r="D7555" s="10">
        <f t="shared" si="117"/>
        <v>3.9978694924048659</v>
      </c>
      <c r="F7555" s="8" t="str">
        <f>HYPERLINK("https://esbl.nhlbi.nih.gov/Databases/mpkFractions/proteomic_fractions_log_files/Yang_log_img/31542095.jpg","show blot")</f>
        <v>show blot</v>
      </c>
      <c r="H7555" s="8" t="str">
        <f>HYPERLINK("https://esbl.nhlbi.nih.gov/Databases/mpkFractions/proteomic_fractions_linear_files/Yang_linear_img/31542095.jpg","show blot")</f>
        <v>show blot</v>
      </c>
      <c r="J7555" s="5" t="s">
        <v>14871</v>
      </c>
      <c r="L7555" s="11">
        <v>3.9978694924048659</v>
      </c>
      <c r="N7555" s="12"/>
    </row>
    <row r="7556" spans="1:14" s="5" customFormat="1" ht="15" customHeight="1" x14ac:dyDescent="0.25">
      <c r="A7556" s="9" t="s">
        <v>14872</v>
      </c>
      <c r="C7556" s="9" t="str">
        <f>HYPERLINK("http://www.ncbi.nlm.nih.gov/protein/309264231","Tma7-ps")</f>
        <v>Tma7-ps</v>
      </c>
      <c r="D7556" s="10">
        <f t="shared" si="117"/>
        <v>5.3550821872878887</v>
      </c>
      <c r="F7556" s="8" t="str">
        <f>HYPERLINK("https://esbl.nhlbi.nih.gov/Databases/mpkFractions/proteomic_fractions_log_files/Yang_log_img/309264231.jpg","show blot")</f>
        <v>show blot</v>
      </c>
      <c r="H7556" s="8" t="str">
        <f>HYPERLINK("https://esbl.nhlbi.nih.gov/Databases/mpkFractions/proteomic_fractions_linear_files/Yang_linear_img/309264231.jpg","show blot")</f>
        <v>show blot</v>
      </c>
      <c r="J7556" s="5" t="s">
        <v>7828</v>
      </c>
      <c r="L7556" s="11">
        <v>5.3550821872878887</v>
      </c>
      <c r="N7556" s="12"/>
    </row>
    <row r="7557" spans="1:14" s="5" customFormat="1" ht="15" customHeight="1" x14ac:dyDescent="0.25">
      <c r="A7557" s="9" t="s">
        <v>14873</v>
      </c>
      <c r="C7557" s="9" t="str">
        <f>HYPERLINK("http://www.ncbi.nlm.nih.gov/protein/283945625","Tmbim6")</f>
        <v>Tmbim6</v>
      </c>
      <c r="D7557" s="10">
        <f t="shared" ref="D7557:D7620" si="118">L7557</f>
        <v>4.4220811957511437</v>
      </c>
      <c r="F7557" s="8" t="str">
        <f>HYPERLINK("https://esbl.nhlbi.nih.gov/Databases/mpkFractions/proteomic_fractions_log_files/Yang_log_img/283945625.jpg","show blot")</f>
        <v>show blot</v>
      </c>
      <c r="H7557" s="8" t="str">
        <f>HYPERLINK("https://esbl.nhlbi.nih.gov/Databases/mpkFractions/proteomic_fractions_linear_files/Yang_linear_img/283945625.jpg","show blot")</f>
        <v>show blot</v>
      </c>
      <c r="J7557" s="5" t="s">
        <v>14874</v>
      </c>
      <c r="L7557" s="11">
        <v>4.4220811957511437</v>
      </c>
      <c r="N7557" s="12"/>
    </row>
    <row r="7558" spans="1:14" s="5" customFormat="1" ht="15" customHeight="1" x14ac:dyDescent="0.25">
      <c r="A7558" s="9" t="s">
        <v>14875</v>
      </c>
      <c r="C7558" s="9" t="str">
        <f>HYPERLINK("http://www.ncbi.nlm.nih.gov/protein/283945625;283945630","Tmbim6")</f>
        <v>Tmbim6</v>
      </c>
      <c r="D7558" s="10">
        <f t="shared" si="118"/>
        <v>4.4220811957511437</v>
      </c>
      <c r="F7558" s="8" t="str">
        <f>HYPERLINK("https://esbl.nhlbi.nih.gov/Databases/mpkFractions/proteomic_fractions_log_files/Yang_log_img/283945625;283945630.jpg","show blot")</f>
        <v>show blot</v>
      </c>
      <c r="H7558" s="8" t="str">
        <f>HYPERLINK("https://esbl.nhlbi.nih.gov/Databases/mpkFractions/proteomic_fractions_linear_files/Yang_linear_img/283945625;283945630.jpg","show blot")</f>
        <v>show blot</v>
      </c>
      <c r="J7558" s="5" t="s">
        <v>14874</v>
      </c>
      <c r="L7558" s="11">
        <v>4.4220811957511437</v>
      </c>
      <c r="N7558" s="12"/>
    </row>
    <row r="7559" spans="1:14" s="5" customFormat="1" ht="15" customHeight="1" x14ac:dyDescent="0.25">
      <c r="A7559" s="9" t="s">
        <v>14876</v>
      </c>
      <c r="C7559" s="9" t="str">
        <f>HYPERLINK("http://www.ncbi.nlm.nih.gov/protein/283945630","Tmbim6")</f>
        <v>Tmbim6</v>
      </c>
      <c r="D7559" s="10">
        <f t="shared" si="118"/>
        <v>4.4220811957511437</v>
      </c>
      <c r="F7559" s="8" t="str">
        <f>HYPERLINK("https://esbl.nhlbi.nih.gov/Databases/mpkFractions/proteomic_fractions_log_files/Yang_log_img/283945630.jpg","show blot")</f>
        <v>show blot</v>
      </c>
      <c r="H7559" s="8" t="str">
        <f>HYPERLINK("https://esbl.nhlbi.nih.gov/Databases/mpkFractions/proteomic_fractions_linear_files/Yang_linear_img/283945630.jpg","show blot")</f>
        <v>show blot</v>
      </c>
      <c r="J7559" s="5" t="s">
        <v>14874</v>
      </c>
      <c r="L7559" s="11">
        <v>4.4220811957511437</v>
      </c>
      <c r="N7559" s="12"/>
    </row>
    <row r="7560" spans="1:14" s="5" customFormat="1" ht="15" customHeight="1" x14ac:dyDescent="0.25">
      <c r="A7560" s="9" t="s">
        <v>14877</v>
      </c>
      <c r="C7560" s="9" t="str">
        <f>HYPERLINK("http://www.ncbi.nlm.nih.gov/protein/31542282","Tmc7")</f>
        <v>Tmc7</v>
      </c>
      <c r="D7560" s="10">
        <f t="shared" si="118"/>
        <v>2.5185297955388628</v>
      </c>
      <c r="F7560" s="8" t="str">
        <f>HYPERLINK("https://esbl.nhlbi.nih.gov/Databases/mpkFractions/proteomic_fractions_log_files/Yang_log_img/31542282.jpg","show blot")</f>
        <v>show blot</v>
      </c>
      <c r="H7560" s="8" t="str">
        <f>HYPERLINK("https://esbl.nhlbi.nih.gov/Databases/mpkFractions/proteomic_fractions_linear_files/Yang_linear_img/31542282.jpg","show blot")</f>
        <v>show blot</v>
      </c>
      <c r="J7560" s="5" t="s">
        <v>14878</v>
      </c>
      <c r="L7560" s="11">
        <v>2.5185297955388628</v>
      </c>
      <c r="N7560" s="12"/>
    </row>
    <row r="7561" spans="1:14" s="5" customFormat="1" ht="15" customHeight="1" x14ac:dyDescent="0.25">
      <c r="A7561" s="9" t="s">
        <v>14879</v>
      </c>
      <c r="C7561" s="9" t="str">
        <f>HYPERLINK("http://www.ncbi.nlm.nih.gov/protein/87116677","Tmco1")</f>
        <v>Tmco1</v>
      </c>
      <c r="D7561" s="10">
        <f t="shared" si="118"/>
        <v>4.9832124879740913</v>
      </c>
      <c r="F7561" s="8" t="str">
        <f>HYPERLINK("https://esbl.nhlbi.nih.gov/Databases/mpkFractions/proteomic_fractions_log_files/Yang_log_img/87116677.jpg","show blot")</f>
        <v>show blot</v>
      </c>
      <c r="H7561" s="8" t="str">
        <f>HYPERLINK("https://esbl.nhlbi.nih.gov/Databases/mpkFractions/proteomic_fractions_linear_files/Yang_linear_img/87116677.jpg","show blot")</f>
        <v>show blot</v>
      </c>
      <c r="J7561" s="5" t="s">
        <v>14880</v>
      </c>
      <c r="L7561" s="11">
        <v>4.9832124879740913</v>
      </c>
      <c r="N7561" s="12"/>
    </row>
    <row r="7562" spans="1:14" s="5" customFormat="1" ht="15" customHeight="1" x14ac:dyDescent="0.25">
      <c r="A7562" s="9" t="s">
        <v>14881</v>
      </c>
      <c r="C7562" s="9" t="str">
        <f>HYPERLINK("http://www.ncbi.nlm.nih.gov/protein/21313340","Tmco4")</f>
        <v>Tmco4</v>
      </c>
      <c r="D7562" s="10">
        <f t="shared" si="118"/>
        <v>2.967914446915449</v>
      </c>
      <c r="F7562" s="8" t="str">
        <f>HYPERLINK("https://esbl.nhlbi.nih.gov/Databases/mpkFractions/proteomic_fractions_log_files/Yang_log_img/21313340.jpg","show blot")</f>
        <v>show blot</v>
      </c>
      <c r="H7562" s="8" t="str">
        <f>HYPERLINK("https://esbl.nhlbi.nih.gov/Databases/mpkFractions/proteomic_fractions_linear_files/Yang_linear_img/21313340.jpg","show blot")</f>
        <v>show blot</v>
      </c>
      <c r="J7562" s="5" t="s">
        <v>14882</v>
      </c>
      <c r="L7562" s="11">
        <v>2.967914446915449</v>
      </c>
      <c r="N7562" s="12"/>
    </row>
    <row r="7563" spans="1:14" s="5" customFormat="1" ht="15" customHeight="1" x14ac:dyDescent="0.25">
      <c r="A7563" s="9" t="s">
        <v>14883</v>
      </c>
      <c r="C7563" s="9" t="str">
        <f>HYPERLINK("http://www.ncbi.nlm.nih.gov/protein/112181164","Tmco6")</f>
        <v>Tmco6</v>
      </c>
      <c r="D7563" s="10">
        <f t="shared" si="118"/>
        <v>4.1169771297887721</v>
      </c>
      <c r="F7563" s="8" t="str">
        <f>HYPERLINK("https://esbl.nhlbi.nih.gov/Databases/mpkFractions/proteomic_fractions_log_files/Yang_log_img/112181164.jpg","show blot")</f>
        <v>show blot</v>
      </c>
      <c r="H7563" s="8" t="str">
        <f>HYPERLINK("https://esbl.nhlbi.nih.gov/Databases/mpkFractions/proteomic_fractions_linear_files/Yang_linear_img/112181164.jpg","show blot")</f>
        <v>show blot</v>
      </c>
      <c r="J7563" s="5" t="s">
        <v>14884</v>
      </c>
      <c r="L7563" s="11">
        <v>4.1169771297887721</v>
      </c>
      <c r="N7563" s="12"/>
    </row>
    <row r="7564" spans="1:14" s="5" customFormat="1" ht="15" customHeight="1" x14ac:dyDescent="0.25">
      <c r="A7564" s="9" t="s">
        <v>14885</v>
      </c>
      <c r="C7564" s="9" t="str">
        <f>HYPERLINK("http://www.ncbi.nlm.nih.gov/protein/85362703","Tmed1")</f>
        <v>Tmed1</v>
      </c>
      <c r="D7564" s="10">
        <f t="shared" si="118"/>
        <v>4.2771250015128404</v>
      </c>
      <c r="F7564" s="8" t="str">
        <f>HYPERLINK("https://esbl.nhlbi.nih.gov/Databases/mpkFractions/proteomic_fractions_log_files/Yang_log_img/85362703.jpg","show blot")</f>
        <v>show blot</v>
      </c>
      <c r="H7564" s="8" t="str">
        <f>HYPERLINK("https://esbl.nhlbi.nih.gov/Databases/mpkFractions/proteomic_fractions_linear_files/Yang_linear_img/85362703.jpg","show blot")</f>
        <v>show blot</v>
      </c>
      <c r="J7564" s="5" t="s">
        <v>14886</v>
      </c>
      <c r="L7564" s="11">
        <v>4.2771250015128404</v>
      </c>
      <c r="N7564" s="12"/>
    </row>
    <row r="7565" spans="1:14" s="5" customFormat="1" ht="15" customHeight="1" x14ac:dyDescent="0.25">
      <c r="A7565" s="9" t="s">
        <v>14887</v>
      </c>
      <c r="C7565" s="9" t="str">
        <f>HYPERLINK("http://www.ncbi.nlm.nih.gov/protein/21312062","Tmed10")</f>
        <v>Tmed10</v>
      </c>
      <c r="D7565" s="10">
        <f t="shared" si="118"/>
        <v>6.3791140336979897</v>
      </c>
      <c r="F7565" s="8" t="str">
        <f>HYPERLINK("https://esbl.nhlbi.nih.gov/Databases/mpkFractions/proteomic_fractions_log_files/Yang_log_img/21312062.jpg","show blot")</f>
        <v>show blot</v>
      </c>
      <c r="H7565" s="8" t="str">
        <f>HYPERLINK("https://esbl.nhlbi.nih.gov/Databases/mpkFractions/proteomic_fractions_linear_files/Yang_linear_img/21312062.jpg","show blot")</f>
        <v>show blot</v>
      </c>
      <c r="J7565" s="5" t="s">
        <v>14888</v>
      </c>
      <c r="L7565" s="11">
        <v>6.3791140336979897</v>
      </c>
      <c r="N7565" s="12"/>
    </row>
    <row r="7566" spans="1:14" s="5" customFormat="1" ht="15" customHeight="1" x14ac:dyDescent="0.25">
      <c r="A7566" s="9" t="s">
        <v>14889</v>
      </c>
      <c r="C7566" s="9" t="str">
        <f>HYPERLINK("http://www.ncbi.nlm.nih.gov/protein/281427153","Tmed3")</f>
        <v>Tmed3</v>
      </c>
      <c r="D7566" s="10">
        <f t="shared" si="118"/>
        <v>4.4095327660594243</v>
      </c>
      <c r="F7566" s="8" t="str">
        <f>HYPERLINK("https://esbl.nhlbi.nih.gov/Databases/mpkFractions/proteomic_fractions_log_files/Yang_log_img/281427153.jpg","show blot")</f>
        <v>show blot</v>
      </c>
      <c r="H7566" s="8" t="str">
        <f>HYPERLINK("https://esbl.nhlbi.nih.gov/Databases/mpkFractions/proteomic_fractions_linear_files/Yang_linear_img/281427153.jpg","show blot")</f>
        <v>show blot</v>
      </c>
      <c r="J7566" s="5" t="s">
        <v>14890</v>
      </c>
      <c r="L7566" s="11">
        <v>4.4095327660594243</v>
      </c>
      <c r="N7566" s="12"/>
    </row>
    <row r="7567" spans="1:14" s="5" customFormat="1" ht="15" customHeight="1" x14ac:dyDescent="0.25">
      <c r="A7567" s="9" t="s">
        <v>14891</v>
      </c>
      <c r="C7567" s="9" t="str">
        <f>HYPERLINK("http://www.ncbi.nlm.nih.gov/protein/19527236","Tmed4")</f>
        <v>Tmed4</v>
      </c>
      <c r="D7567" s="10">
        <f t="shared" si="118"/>
        <v>5.8105325560828058</v>
      </c>
      <c r="F7567" s="8" t="str">
        <f>HYPERLINK("https://esbl.nhlbi.nih.gov/Databases/mpkFractions/proteomic_fractions_log_files/Yang_log_img/19527236.jpg","show blot")</f>
        <v>show blot</v>
      </c>
      <c r="H7567" s="8" t="str">
        <f>HYPERLINK("https://esbl.nhlbi.nih.gov/Databases/mpkFractions/proteomic_fractions_linear_files/Yang_linear_img/19527236.jpg","show blot")</f>
        <v>show blot</v>
      </c>
      <c r="J7567" s="5" t="s">
        <v>14892</v>
      </c>
      <c r="L7567" s="11">
        <v>5.8105325560828058</v>
      </c>
      <c r="N7567" s="12"/>
    </row>
    <row r="7568" spans="1:14" s="5" customFormat="1" ht="15" customHeight="1" x14ac:dyDescent="0.25">
      <c r="A7568" s="9" t="s">
        <v>14893</v>
      </c>
      <c r="C7568" s="9" t="str">
        <f>HYPERLINK("http://www.ncbi.nlm.nih.gov/protein/21746165","Tmed5")</f>
        <v>Tmed5</v>
      </c>
      <c r="D7568" s="10">
        <f t="shared" si="118"/>
        <v>4.9201545523554966</v>
      </c>
      <c r="F7568" s="8" t="str">
        <f>HYPERLINK("https://esbl.nhlbi.nih.gov/Databases/mpkFractions/proteomic_fractions_log_files/Yang_log_img/21746165.jpg","show blot")</f>
        <v>show blot</v>
      </c>
      <c r="H7568" s="8" t="str">
        <f>HYPERLINK("https://esbl.nhlbi.nih.gov/Databases/mpkFractions/proteomic_fractions_linear_files/Yang_linear_img/21746165.jpg","show blot")</f>
        <v>show blot</v>
      </c>
      <c r="J7568" s="5" t="s">
        <v>14894</v>
      </c>
      <c r="L7568" s="11">
        <v>4.9201545523554966</v>
      </c>
      <c r="N7568" s="12"/>
    </row>
    <row r="7569" spans="1:14" s="5" customFormat="1" ht="15" customHeight="1" x14ac:dyDescent="0.25">
      <c r="A7569" s="9" t="s">
        <v>14895</v>
      </c>
      <c r="C7569" s="9" t="str">
        <f>HYPERLINK("http://www.ncbi.nlm.nih.gov/protein/255003819","Tmed7")</f>
        <v>Tmed7</v>
      </c>
      <c r="D7569" s="10">
        <f t="shared" si="118"/>
        <v>5.8548839149263454</v>
      </c>
      <c r="F7569" s="8" t="str">
        <f>HYPERLINK("https://esbl.nhlbi.nih.gov/Databases/mpkFractions/proteomic_fractions_log_files/Yang_log_img/255003819.jpg","show blot")</f>
        <v>show blot</v>
      </c>
      <c r="H7569" s="8" t="str">
        <f>HYPERLINK("https://esbl.nhlbi.nih.gov/Databases/mpkFractions/proteomic_fractions_linear_files/Yang_linear_img/255003819.jpg","show blot")</f>
        <v>show blot</v>
      </c>
      <c r="J7569" s="5" t="s">
        <v>14896</v>
      </c>
      <c r="L7569" s="11">
        <v>5.8548839149263454</v>
      </c>
      <c r="N7569" s="12"/>
    </row>
    <row r="7570" spans="1:14" s="5" customFormat="1" ht="15" customHeight="1" x14ac:dyDescent="0.25">
      <c r="A7570" s="9" t="s">
        <v>14897</v>
      </c>
      <c r="C7570" s="9" t="str">
        <f>HYPERLINK("http://www.ncbi.nlm.nih.gov/protein/145966911","Tmed9")</f>
        <v>Tmed9</v>
      </c>
      <c r="D7570" s="10">
        <f t="shared" si="118"/>
        <v>5.9369552425923944</v>
      </c>
      <c r="F7570" s="8" t="str">
        <f>HYPERLINK("https://esbl.nhlbi.nih.gov/Databases/mpkFractions/proteomic_fractions_log_files/Yang_log_img/145966911.jpg","show blot")</f>
        <v>show blot</v>
      </c>
      <c r="H7570" s="8" t="str">
        <f>HYPERLINK("https://esbl.nhlbi.nih.gov/Databases/mpkFractions/proteomic_fractions_linear_files/Yang_linear_img/145966911.jpg","show blot")</f>
        <v>show blot</v>
      </c>
      <c r="J7570" s="5" t="s">
        <v>14898</v>
      </c>
      <c r="L7570" s="11">
        <v>5.9369552425923944</v>
      </c>
      <c r="N7570" s="12"/>
    </row>
    <row r="7571" spans="1:14" s="5" customFormat="1" ht="15" customHeight="1" x14ac:dyDescent="0.25">
      <c r="A7571" s="9" t="s">
        <v>14899</v>
      </c>
      <c r="C7571" s="9" t="str">
        <f>HYPERLINK("http://www.ncbi.nlm.nih.gov/protein/145966766","Tmem102")</f>
        <v>Tmem102</v>
      </c>
      <c r="D7571" s="10">
        <f t="shared" si="118"/>
        <v>2.731917626082411</v>
      </c>
      <c r="F7571" s="8" t="str">
        <f>HYPERLINK("https://esbl.nhlbi.nih.gov/Databases/mpkFractions/proteomic_fractions_log_files/Yang_log_img/145966766.jpg","show blot")</f>
        <v>show blot</v>
      </c>
      <c r="H7571" s="8" t="str">
        <f>HYPERLINK("https://esbl.nhlbi.nih.gov/Databases/mpkFractions/proteomic_fractions_linear_files/Yang_linear_img/145966766.jpg","show blot")</f>
        <v>show blot</v>
      </c>
      <c r="J7571" s="5" t="s">
        <v>14900</v>
      </c>
      <c r="L7571" s="11">
        <v>2.731917626082411</v>
      </c>
      <c r="N7571" s="12"/>
    </row>
    <row r="7572" spans="1:14" s="5" customFormat="1" ht="15" customHeight="1" x14ac:dyDescent="0.25">
      <c r="A7572" s="9" t="s">
        <v>14901</v>
      </c>
      <c r="C7572" s="9" t="str">
        <f>HYPERLINK("http://www.ncbi.nlm.nih.gov/protein/188035856","Tmem106b")</f>
        <v>Tmem106b</v>
      </c>
      <c r="D7572" s="10">
        <f t="shared" si="118"/>
        <v>4.8082410939090012</v>
      </c>
      <c r="F7572" s="8" t="str">
        <f>HYPERLINK("https://esbl.nhlbi.nih.gov/Databases/mpkFractions/proteomic_fractions_log_files/Yang_log_img/188035856.jpg","show blot")</f>
        <v>show blot</v>
      </c>
      <c r="H7572" s="8" t="str">
        <f>HYPERLINK("https://esbl.nhlbi.nih.gov/Databases/mpkFractions/proteomic_fractions_linear_files/Yang_linear_img/188035856.jpg","show blot")</f>
        <v>show blot</v>
      </c>
      <c r="J7572" s="5" t="s">
        <v>14902</v>
      </c>
      <c r="L7572" s="11">
        <v>4.8082410939090012</v>
      </c>
      <c r="N7572" s="12"/>
    </row>
    <row r="7573" spans="1:14" s="5" customFormat="1" ht="15" customHeight="1" x14ac:dyDescent="0.25">
      <c r="A7573" s="9" t="s">
        <v>14903</v>
      </c>
      <c r="C7573" s="9" t="str">
        <f>HYPERLINK("http://www.ncbi.nlm.nih.gov/protein/19527378","Tmem109")</f>
        <v>Tmem109</v>
      </c>
      <c r="D7573" s="10">
        <f t="shared" si="118"/>
        <v>5.3692683692178358</v>
      </c>
      <c r="F7573" s="8" t="str">
        <f>HYPERLINK("https://esbl.nhlbi.nih.gov/Databases/mpkFractions/proteomic_fractions_log_files/Yang_log_img/19527378.jpg","show blot")</f>
        <v>show blot</v>
      </c>
      <c r="H7573" s="8" t="str">
        <f>HYPERLINK("https://esbl.nhlbi.nih.gov/Databases/mpkFractions/proteomic_fractions_linear_files/Yang_linear_img/19527378.jpg","show blot")</f>
        <v>show blot</v>
      </c>
      <c r="J7573" s="5" t="s">
        <v>14904</v>
      </c>
      <c r="L7573" s="11">
        <v>5.3692683692178358</v>
      </c>
      <c r="N7573" s="12"/>
    </row>
    <row r="7574" spans="1:14" s="5" customFormat="1" ht="15" customHeight="1" x14ac:dyDescent="0.25">
      <c r="A7574" s="9" t="s">
        <v>14905</v>
      </c>
      <c r="C7574" s="9" t="str">
        <f>HYPERLINK("http://www.ncbi.nlm.nih.gov/protein/27734998","Tmem11")</f>
        <v>Tmem11</v>
      </c>
      <c r="D7574" s="10">
        <f t="shared" si="118"/>
        <v>4.0945408685328717</v>
      </c>
      <c r="F7574" s="8" t="str">
        <f>HYPERLINK("https://esbl.nhlbi.nih.gov/Databases/mpkFractions/proteomic_fractions_log_files/Yang_log_img/27734998.jpg","show blot")</f>
        <v>show blot</v>
      </c>
      <c r="H7574" s="8" t="str">
        <f>HYPERLINK("https://esbl.nhlbi.nih.gov/Databases/mpkFractions/proteomic_fractions_linear_files/Yang_linear_img/27734998.jpg","show blot")</f>
        <v>show blot</v>
      </c>
      <c r="J7574" s="5" t="s">
        <v>14906</v>
      </c>
      <c r="L7574" s="11">
        <v>4.0945408685328717</v>
      </c>
      <c r="N7574" s="12"/>
    </row>
    <row r="7575" spans="1:14" s="5" customFormat="1" ht="15" customHeight="1" x14ac:dyDescent="0.25">
      <c r="A7575" s="9" t="s">
        <v>14907</v>
      </c>
      <c r="C7575" s="9" t="str">
        <f>HYPERLINK("http://www.ncbi.nlm.nih.gov/protein/281182922","Tmem11")</f>
        <v>Tmem11</v>
      </c>
      <c r="D7575" s="10">
        <f t="shared" si="118"/>
        <v>4.0945408685328717</v>
      </c>
      <c r="F7575" s="8" t="str">
        <f>HYPERLINK("https://esbl.nhlbi.nih.gov/Databases/mpkFractions/proteomic_fractions_log_files/Yang_log_img/281182922.jpg","show blot")</f>
        <v>show blot</v>
      </c>
      <c r="H7575" s="8" t="str">
        <f>HYPERLINK("https://esbl.nhlbi.nih.gov/Databases/mpkFractions/proteomic_fractions_linear_files/Yang_linear_img/281182922.jpg","show blot")</f>
        <v>show blot</v>
      </c>
      <c r="J7575" s="5" t="s">
        <v>14908</v>
      </c>
      <c r="L7575" s="11">
        <v>4.0945408685328717</v>
      </c>
      <c r="N7575" s="12"/>
    </row>
    <row r="7576" spans="1:14" s="5" customFormat="1" ht="15" customHeight="1" x14ac:dyDescent="0.25">
      <c r="A7576" s="9" t="s">
        <v>14909</v>
      </c>
      <c r="C7576" s="9" t="str">
        <f>HYPERLINK("http://www.ncbi.nlm.nih.gov/protein/9790165","Tmem115")</f>
        <v>Tmem115</v>
      </c>
      <c r="D7576" s="10">
        <f t="shared" si="118"/>
        <v>3.9905908793945928</v>
      </c>
      <c r="F7576" s="8" t="str">
        <f>HYPERLINK("https://esbl.nhlbi.nih.gov/Databases/mpkFractions/proteomic_fractions_log_files/Yang_log_img/9790165.jpg","show blot")</f>
        <v>show blot</v>
      </c>
      <c r="H7576" s="8" t="str">
        <f>HYPERLINK("https://esbl.nhlbi.nih.gov/Databases/mpkFractions/proteomic_fractions_linear_files/Yang_linear_img/9790165.jpg","show blot")</f>
        <v>show blot</v>
      </c>
      <c r="J7576" s="5" t="s">
        <v>14910</v>
      </c>
      <c r="L7576" s="11">
        <v>3.9905908793945928</v>
      </c>
      <c r="N7576" s="12"/>
    </row>
    <row r="7577" spans="1:14" s="5" customFormat="1" ht="15" customHeight="1" x14ac:dyDescent="0.25">
      <c r="A7577" s="9" t="s">
        <v>14911</v>
      </c>
      <c r="C7577" s="9" t="str">
        <f>HYPERLINK("http://www.ncbi.nlm.nih.gov/protein/29789387","Tmem120a")</f>
        <v>Tmem120a</v>
      </c>
      <c r="D7577" s="10">
        <f t="shared" si="118"/>
        <v>2.7792235014030382</v>
      </c>
      <c r="F7577" s="8" t="str">
        <f>HYPERLINK("https://esbl.nhlbi.nih.gov/Databases/mpkFractions/proteomic_fractions_log_files/Yang_log_img/29789387.jpg","show blot")</f>
        <v>show blot</v>
      </c>
      <c r="H7577" s="8" t="str">
        <f>HYPERLINK("https://esbl.nhlbi.nih.gov/Databases/mpkFractions/proteomic_fractions_linear_files/Yang_linear_img/29789387.jpg","show blot")</f>
        <v>show blot</v>
      </c>
      <c r="J7577" s="5" t="s">
        <v>14912</v>
      </c>
      <c r="L7577" s="11">
        <v>2.7792235014030382</v>
      </c>
      <c r="N7577" s="12"/>
    </row>
    <row r="7578" spans="1:14" s="5" customFormat="1" ht="15" customHeight="1" x14ac:dyDescent="0.25">
      <c r="A7578" s="9" t="s">
        <v>14913</v>
      </c>
      <c r="C7578" s="9" t="str">
        <f>HYPERLINK("http://www.ncbi.nlm.nih.gov/protein/58037123","Tmem126b")</f>
        <v>Tmem126b</v>
      </c>
      <c r="D7578" s="10">
        <f t="shared" si="118"/>
        <v>3.287995018805439</v>
      </c>
      <c r="F7578" s="8" t="str">
        <f>HYPERLINK("https://esbl.nhlbi.nih.gov/Databases/mpkFractions/proteomic_fractions_log_files/Yang_log_img/58037123.jpg","show blot")</f>
        <v>show blot</v>
      </c>
      <c r="H7578" s="8" t="str">
        <f>HYPERLINK("https://esbl.nhlbi.nih.gov/Databases/mpkFractions/proteomic_fractions_linear_files/Yang_linear_img/58037123.jpg","show blot")</f>
        <v>show blot</v>
      </c>
      <c r="J7578" s="5" t="s">
        <v>14914</v>
      </c>
      <c r="L7578" s="11">
        <v>3.287995018805439</v>
      </c>
      <c r="N7578" s="12"/>
    </row>
    <row r="7579" spans="1:14" s="5" customFormat="1" ht="15" customHeight="1" x14ac:dyDescent="0.25">
      <c r="A7579" s="9" t="s">
        <v>14915</v>
      </c>
      <c r="C7579" s="9" t="str">
        <f>HYPERLINK("http://www.ncbi.nlm.nih.gov/protein/21624623","Tmem138")</f>
        <v>Tmem138</v>
      </c>
      <c r="D7579" s="10">
        <f t="shared" si="118"/>
        <v>3.117530976604165</v>
      </c>
      <c r="F7579" s="8" t="str">
        <f>HYPERLINK("https://esbl.nhlbi.nih.gov/Databases/mpkFractions/proteomic_fractions_log_files/Yang_log_img/21624623.jpg","show blot")</f>
        <v>show blot</v>
      </c>
      <c r="H7579" s="8" t="str">
        <f>HYPERLINK("https://esbl.nhlbi.nih.gov/Databases/mpkFractions/proteomic_fractions_linear_files/Yang_linear_img/21624623.jpg","show blot")</f>
        <v>show blot</v>
      </c>
      <c r="J7579" s="5" t="s">
        <v>14916</v>
      </c>
      <c r="L7579" s="11">
        <v>3.117530976604165</v>
      </c>
      <c r="N7579" s="12"/>
    </row>
    <row r="7580" spans="1:14" s="5" customFormat="1" ht="15" customHeight="1" x14ac:dyDescent="0.25">
      <c r="A7580" s="9" t="s">
        <v>14917</v>
      </c>
      <c r="C7580" s="9" t="str">
        <f>HYPERLINK("http://www.ncbi.nlm.nih.gov/protein/120952692","Tmem147")</f>
        <v>Tmem147</v>
      </c>
      <c r="D7580" s="10">
        <f t="shared" si="118"/>
        <v>3.3318265883300748</v>
      </c>
      <c r="F7580" s="8" t="str">
        <f>HYPERLINK("https://esbl.nhlbi.nih.gov/Databases/mpkFractions/proteomic_fractions_log_files/Yang_log_img/120952692.jpg","show blot")</f>
        <v>show blot</v>
      </c>
      <c r="H7580" s="8" t="str">
        <f>HYPERLINK("https://esbl.nhlbi.nih.gov/Databases/mpkFractions/proteomic_fractions_linear_files/Yang_linear_img/120952692.jpg","show blot")</f>
        <v>show blot</v>
      </c>
      <c r="J7580" s="5" t="s">
        <v>14918</v>
      </c>
      <c r="L7580" s="11">
        <v>3.3318265883300748</v>
      </c>
      <c r="N7580" s="12"/>
    </row>
    <row r="7581" spans="1:14" s="5" customFormat="1" ht="15" customHeight="1" x14ac:dyDescent="0.25">
      <c r="A7581" s="9" t="s">
        <v>14919</v>
      </c>
      <c r="C7581" s="9" t="str">
        <f>HYPERLINK("http://www.ncbi.nlm.nih.gov/protein/13384766","Tmem14c")</f>
        <v>Tmem14c</v>
      </c>
      <c r="D7581" s="10">
        <f t="shared" si="118"/>
        <v>3.481643117466144</v>
      </c>
      <c r="F7581" s="8" t="str">
        <f>HYPERLINK("https://esbl.nhlbi.nih.gov/Databases/mpkFractions/proteomic_fractions_log_files/Yang_log_img/13384766.jpg","show blot")</f>
        <v>show blot</v>
      </c>
      <c r="H7581" s="8" t="str">
        <f>HYPERLINK("https://esbl.nhlbi.nih.gov/Databases/mpkFractions/proteomic_fractions_linear_files/Yang_linear_img/13384766.jpg","show blot")</f>
        <v>show blot</v>
      </c>
      <c r="J7581" s="5" t="s">
        <v>14920</v>
      </c>
      <c r="L7581" s="11">
        <v>3.481643117466144</v>
      </c>
      <c r="N7581" s="12"/>
    </row>
    <row r="7582" spans="1:14" s="5" customFormat="1" ht="15" customHeight="1" x14ac:dyDescent="0.25">
      <c r="A7582" s="9" t="s">
        <v>14921</v>
      </c>
      <c r="C7582" s="9" t="str">
        <f>HYPERLINK("http://www.ncbi.nlm.nih.gov/protein/58037143","Tmem160")</f>
        <v>Tmem160</v>
      </c>
      <c r="D7582" s="10">
        <f t="shared" si="118"/>
        <v>3.2936222356598459</v>
      </c>
      <c r="F7582" s="8" t="str">
        <f>HYPERLINK("https://esbl.nhlbi.nih.gov/Databases/mpkFractions/proteomic_fractions_log_files/Yang_log_img/58037143.jpg","show blot")</f>
        <v>show blot</v>
      </c>
      <c r="H7582" s="8" t="str">
        <f>HYPERLINK("https://esbl.nhlbi.nih.gov/Databases/mpkFractions/proteomic_fractions_linear_files/Yang_linear_img/58037143.jpg","show blot")</f>
        <v>show blot</v>
      </c>
      <c r="J7582" s="5" t="s">
        <v>14922</v>
      </c>
      <c r="L7582" s="11">
        <v>3.2936222356598459</v>
      </c>
      <c r="N7582" s="12"/>
    </row>
    <row r="7583" spans="1:14" s="5" customFormat="1" ht="15" customHeight="1" x14ac:dyDescent="0.25">
      <c r="A7583" s="9" t="s">
        <v>14923</v>
      </c>
      <c r="C7583" s="9" t="str">
        <f>HYPERLINK("http://www.ncbi.nlm.nih.gov/protein/111154067","Tmem165")</f>
        <v>Tmem165</v>
      </c>
      <c r="D7583" s="10">
        <f t="shared" si="118"/>
        <v>4.6277544233687324</v>
      </c>
      <c r="F7583" s="8" t="str">
        <f>HYPERLINK("https://esbl.nhlbi.nih.gov/Databases/mpkFractions/proteomic_fractions_log_files/Yang_log_img/111154067.jpg","show blot")</f>
        <v>show blot</v>
      </c>
      <c r="H7583" s="8" t="str">
        <f>HYPERLINK("https://esbl.nhlbi.nih.gov/Databases/mpkFractions/proteomic_fractions_linear_files/Yang_linear_img/111154067.jpg","show blot")</f>
        <v>show blot</v>
      </c>
      <c r="J7583" s="5" t="s">
        <v>14924</v>
      </c>
      <c r="L7583" s="11">
        <v>4.6277544233687324</v>
      </c>
      <c r="N7583" s="12"/>
    </row>
    <row r="7584" spans="1:14" s="5" customFormat="1" ht="15" customHeight="1" x14ac:dyDescent="0.25">
      <c r="A7584" s="9" t="s">
        <v>14925</v>
      </c>
      <c r="C7584" s="9" t="str">
        <f>HYPERLINK("http://www.ncbi.nlm.nih.gov/protein/225007607","Tmem167")</f>
        <v>Tmem167</v>
      </c>
      <c r="D7584" s="10">
        <f t="shared" si="118"/>
        <v>4.698199445882584</v>
      </c>
      <c r="F7584" s="8" t="str">
        <f>HYPERLINK("https://esbl.nhlbi.nih.gov/Databases/mpkFractions/proteomic_fractions_log_files/Yang_log_img/225007607.jpg","show blot")</f>
        <v>show blot</v>
      </c>
      <c r="H7584" s="8" t="str">
        <f>HYPERLINK("https://esbl.nhlbi.nih.gov/Databases/mpkFractions/proteomic_fractions_linear_files/Yang_linear_img/225007607.jpg","show blot")</f>
        <v>show blot</v>
      </c>
      <c r="J7584" s="5" t="s">
        <v>14926</v>
      </c>
      <c r="L7584" s="11">
        <v>4.698199445882584</v>
      </c>
      <c r="N7584" s="12"/>
    </row>
    <row r="7585" spans="1:14" s="5" customFormat="1" ht="15" customHeight="1" x14ac:dyDescent="0.25">
      <c r="A7585" s="9" t="s">
        <v>14927</v>
      </c>
      <c r="C7585" s="9" t="str">
        <f>HYPERLINK("http://www.ncbi.nlm.nih.gov/protein/27532967","Tmem168")</f>
        <v>Tmem168</v>
      </c>
      <c r="D7585" s="10">
        <f t="shared" si="118"/>
        <v>2.1611303611611001</v>
      </c>
      <c r="F7585" s="8" t="str">
        <f>HYPERLINK("https://esbl.nhlbi.nih.gov/Databases/mpkFractions/proteomic_fractions_log_files/Yang_log_img/27532967.jpg","show blot")</f>
        <v>show blot</v>
      </c>
      <c r="H7585" s="8" t="str">
        <f>HYPERLINK("https://esbl.nhlbi.nih.gov/Databases/mpkFractions/proteomic_fractions_linear_files/Yang_linear_img/27532967.jpg","show blot")</f>
        <v>show blot</v>
      </c>
      <c r="J7585" s="5" t="s">
        <v>14928</v>
      </c>
      <c r="L7585" s="11">
        <v>2.1611303611611001</v>
      </c>
      <c r="N7585" s="12"/>
    </row>
    <row r="7586" spans="1:14" s="5" customFormat="1" ht="15" customHeight="1" x14ac:dyDescent="0.25">
      <c r="A7586" s="9" t="s">
        <v>14929</v>
      </c>
      <c r="C7586" s="9" t="str">
        <f>HYPERLINK("http://www.ncbi.nlm.nih.gov/protein/254692993","Tmem173")</f>
        <v>Tmem173</v>
      </c>
      <c r="D7586" s="10">
        <f t="shared" si="118"/>
        <v>2.8135809885681922</v>
      </c>
      <c r="F7586" s="8" t="str">
        <f>HYPERLINK("https://esbl.nhlbi.nih.gov/Databases/mpkFractions/proteomic_fractions_log_files/Yang_log_img/254692993.jpg","show blot")</f>
        <v>show blot</v>
      </c>
      <c r="H7586" s="8" t="str">
        <f>HYPERLINK("https://esbl.nhlbi.nih.gov/Databases/mpkFractions/proteomic_fractions_linear_files/Yang_linear_img/254692993.jpg","show blot")</f>
        <v>show blot</v>
      </c>
      <c r="J7586" s="5" t="s">
        <v>14930</v>
      </c>
      <c r="L7586" s="11">
        <v>2.8135809885681922</v>
      </c>
      <c r="N7586" s="12"/>
    </row>
    <row r="7587" spans="1:14" s="5" customFormat="1" ht="15" customHeight="1" x14ac:dyDescent="0.25">
      <c r="A7587" s="9" t="s">
        <v>14931</v>
      </c>
      <c r="C7587" s="9" t="str">
        <f>HYPERLINK("http://www.ncbi.nlm.nih.gov/protein/254587930","Tmem175")</f>
        <v>Tmem175</v>
      </c>
      <c r="D7587" s="10">
        <f t="shared" si="118"/>
        <v>3.2561058743919569</v>
      </c>
      <c r="F7587" s="8" t="str">
        <f>HYPERLINK("https://esbl.nhlbi.nih.gov/Databases/mpkFractions/proteomic_fractions_log_files/Yang_log_img/254587930.jpg","show blot")</f>
        <v>show blot</v>
      </c>
      <c r="H7587" s="8" t="str">
        <f>HYPERLINK("https://esbl.nhlbi.nih.gov/Databases/mpkFractions/proteomic_fractions_linear_files/Yang_linear_img/254587930.jpg","show blot")</f>
        <v>show blot</v>
      </c>
      <c r="J7587" s="5" t="s">
        <v>14932</v>
      </c>
      <c r="L7587" s="11">
        <v>3.2561058743919569</v>
      </c>
      <c r="N7587" s="12"/>
    </row>
    <row r="7588" spans="1:14" s="5" customFormat="1" ht="15" customHeight="1" x14ac:dyDescent="0.25">
      <c r="A7588" s="9" t="s">
        <v>14933</v>
      </c>
      <c r="C7588" s="9" t="str">
        <f>HYPERLINK("http://www.ncbi.nlm.nih.gov/protein/254587932","Tmem175")</f>
        <v>Tmem175</v>
      </c>
      <c r="D7588" s="10">
        <f t="shared" si="118"/>
        <v>3.2561058743919569</v>
      </c>
      <c r="F7588" s="8" t="str">
        <f>HYPERLINK("https://esbl.nhlbi.nih.gov/Databases/mpkFractions/proteomic_fractions_log_files/Yang_log_img/254587932.jpg","show blot")</f>
        <v>show blot</v>
      </c>
      <c r="H7588" s="8" t="str">
        <f>HYPERLINK("https://esbl.nhlbi.nih.gov/Databases/mpkFractions/proteomic_fractions_linear_files/Yang_linear_img/254587932.jpg","show blot")</f>
        <v>show blot</v>
      </c>
      <c r="J7588" s="5" t="s">
        <v>14934</v>
      </c>
      <c r="L7588" s="11">
        <v>3.2561058743919569</v>
      </c>
      <c r="N7588" s="12"/>
    </row>
    <row r="7589" spans="1:14" s="5" customFormat="1" ht="15" customHeight="1" x14ac:dyDescent="0.25">
      <c r="A7589" s="9" t="s">
        <v>14935</v>
      </c>
      <c r="C7589" s="9" t="str">
        <f>HYPERLINK("http://www.ncbi.nlm.nih.gov/protein/12746434","Tmem176b")</f>
        <v>Tmem176b</v>
      </c>
      <c r="D7589" s="10">
        <f t="shared" si="118"/>
        <v>2.08878853964378</v>
      </c>
      <c r="F7589" s="8" t="str">
        <f>HYPERLINK("https://esbl.nhlbi.nih.gov/Databases/mpkFractions/proteomic_fractions_log_files/Yang_log_img/12746434.jpg","show blot")</f>
        <v>show blot</v>
      </c>
      <c r="H7589" s="8" t="str">
        <f>HYPERLINK("https://esbl.nhlbi.nih.gov/Databases/mpkFractions/proteomic_fractions_linear_files/Yang_linear_img/12746434.jpg","show blot")</f>
        <v>show blot</v>
      </c>
      <c r="J7589" s="5" t="s">
        <v>14936</v>
      </c>
      <c r="L7589" s="11">
        <v>2.08878853964378</v>
      </c>
      <c r="N7589" s="12"/>
    </row>
    <row r="7590" spans="1:14" s="5" customFormat="1" ht="15" customHeight="1" x14ac:dyDescent="0.25">
      <c r="A7590" s="9" t="s">
        <v>14937</v>
      </c>
      <c r="C7590" s="9" t="str">
        <f>HYPERLINK("http://www.ncbi.nlm.nih.gov/protein/27228988","Tmem186")</f>
        <v>Tmem186</v>
      </c>
      <c r="D7590" s="10">
        <f t="shared" si="118"/>
        <v>2.7815322915145262</v>
      </c>
      <c r="F7590" s="8" t="str">
        <f>HYPERLINK("https://esbl.nhlbi.nih.gov/Databases/mpkFractions/proteomic_fractions_log_files/Yang_log_img/27228988.jpg","show blot")</f>
        <v>show blot</v>
      </c>
      <c r="H7590" s="8" t="str">
        <f>HYPERLINK("https://esbl.nhlbi.nih.gov/Databases/mpkFractions/proteomic_fractions_linear_files/Yang_linear_img/27228988.jpg","show blot")</f>
        <v>show blot</v>
      </c>
      <c r="J7590" s="5" t="s">
        <v>14938</v>
      </c>
      <c r="L7590" s="11">
        <v>2.7815322915145262</v>
      </c>
      <c r="N7590" s="12"/>
    </row>
    <row r="7591" spans="1:14" s="5" customFormat="1" ht="15" customHeight="1" x14ac:dyDescent="0.25">
      <c r="A7591" s="9" t="s">
        <v>14939</v>
      </c>
      <c r="C7591" s="9" t="str">
        <f>HYPERLINK("http://www.ncbi.nlm.nih.gov/protein/21704060","Tmem189")</f>
        <v>Tmem189</v>
      </c>
      <c r="D7591" s="10">
        <f t="shared" si="118"/>
        <v>3.7279119837547592</v>
      </c>
      <c r="F7591" s="8" t="str">
        <f>HYPERLINK("https://esbl.nhlbi.nih.gov/Databases/mpkFractions/proteomic_fractions_log_files/Yang_log_img/21704060.jpg","show blot")</f>
        <v>show blot</v>
      </c>
      <c r="H7591" s="8" t="str">
        <f>HYPERLINK("https://esbl.nhlbi.nih.gov/Databases/mpkFractions/proteomic_fractions_linear_files/Yang_linear_img/21704060.jpg","show blot")</f>
        <v>show blot</v>
      </c>
      <c r="J7591" s="5" t="s">
        <v>14940</v>
      </c>
      <c r="L7591" s="11">
        <v>3.7279119837547592</v>
      </c>
      <c r="N7591" s="12"/>
    </row>
    <row r="7592" spans="1:14" s="5" customFormat="1" ht="15" customHeight="1" x14ac:dyDescent="0.25">
      <c r="A7592" s="9" t="s">
        <v>14941</v>
      </c>
      <c r="C7592" s="9" t="str">
        <f>HYPERLINK("http://www.ncbi.nlm.nih.gov/protein/19526846","Tmem19")</f>
        <v>Tmem19</v>
      </c>
      <c r="D7592" s="10">
        <f t="shared" si="118"/>
        <v>3.4710057640529852</v>
      </c>
      <c r="F7592" s="8" t="str">
        <f>HYPERLINK("https://esbl.nhlbi.nih.gov/Databases/mpkFractions/proteomic_fractions_log_files/Yang_log_img/19526846.jpg","show blot")</f>
        <v>show blot</v>
      </c>
      <c r="H7592" s="8" t="str">
        <f>HYPERLINK("https://esbl.nhlbi.nih.gov/Databases/mpkFractions/proteomic_fractions_linear_files/Yang_linear_img/19526846.jpg","show blot")</f>
        <v>show blot</v>
      </c>
      <c r="J7592" s="5" t="s">
        <v>14942</v>
      </c>
      <c r="L7592" s="11">
        <v>3.4710057640529852</v>
      </c>
      <c r="N7592" s="12"/>
    </row>
    <row r="7593" spans="1:14" s="5" customFormat="1" ht="15" customHeight="1" x14ac:dyDescent="0.25">
      <c r="A7593" s="9" t="s">
        <v>14943</v>
      </c>
      <c r="C7593" s="9" t="str">
        <f>HYPERLINK("http://www.ncbi.nlm.nih.gov/protein/254939603","Tmem192")</f>
        <v>Tmem192</v>
      </c>
      <c r="D7593" s="10">
        <f t="shared" si="118"/>
        <v>3.6714223713321341</v>
      </c>
      <c r="F7593" s="8" t="str">
        <f>HYPERLINK("https://esbl.nhlbi.nih.gov/Databases/mpkFractions/proteomic_fractions_log_files/Yang_log_img/254939603.jpg","show blot")</f>
        <v>show blot</v>
      </c>
      <c r="H7593" s="8" t="str">
        <f>HYPERLINK("https://esbl.nhlbi.nih.gov/Databases/mpkFractions/proteomic_fractions_linear_files/Yang_linear_img/254939603.jpg","show blot")</f>
        <v>show blot</v>
      </c>
      <c r="J7593" s="5" t="s">
        <v>14944</v>
      </c>
      <c r="L7593" s="11">
        <v>3.6714223713321341</v>
      </c>
      <c r="N7593" s="12"/>
    </row>
    <row r="7594" spans="1:14" s="5" customFormat="1" ht="15" customHeight="1" x14ac:dyDescent="0.25">
      <c r="A7594" s="9" t="s">
        <v>14945</v>
      </c>
      <c r="C7594" s="9" t="str">
        <f>HYPERLINK("http://www.ncbi.nlm.nih.gov/protein/58037311","Tmem192")</f>
        <v>Tmem192</v>
      </c>
      <c r="D7594" s="10">
        <f t="shared" si="118"/>
        <v>3.6714223713321341</v>
      </c>
      <c r="F7594" s="8" t="str">
        <f>HYPERLINK("https://esbl.nhlbi.nih.gov/Databases/mpkFractions/proteomic_fractions_log_files/Yang_log_img/58037311.jpg","show blot")</f>
        <v>show blot</v>
      </c>
      <c r="H7594" s="8" t="str">
        <f>HYPERLINK("https://esbl.nhlbi.nih.gov/Databases/mpkFractions/proteomic_fractions_linear_files/Yang_linear_img/58037311.jpg","show blot")</f>
        <v>show blot</v>
      </c>
      <c r="J7594" s="5" t="s">
        <v>14946</v>
      </c>
      <c r="L7594" s="11">
        <v>3.6714223713321341</v>
      </c>
      <c r="N7594" s="12"/>
    </row>
    <row r="7595" spans="1:14" s="5" customFormat="1" ht="15" customHeight="1" x14ac:dyDescent="0.25">
      <c r="A7595" s="9" t="s">
        <v>14947</v>
      </c>
      <c r="C7595" s="9" t="str">
        <f>HYPERLINK("http://www.ncbi.nlm.nih.gov/protein/76253926","Tmem2")</f>
        <v>Tmem2</v>
      </c>
      <c r="D7595" s="10">
        <f t="shared" si="118"/>
        <v>3.4440670305540739</v>
      </c>
      <c r="F7595" s="8" t="str">
        <f>HYPERLINK("https://esbl.nhlbi.nih.gov/Databases/mpkFractions/proteomic_fractions_log_files/Yang_log_img/76253926.jpg","show blot")</f>
        <v>show blot</v>
      </c>
      <c r="H7595" s="8" t="str">
        <f>HYPERLINK("https://esbl.nhlbi.nih.gov/Databases/mpkFractions/proteomic_fractions_linear_files/Yang_linear_img/76253926.jpg","show blot")</f>
        <v>show blot</v>
      </c>
      <c r="J7595" s="5" t="s">
        <v>14948</v>
      </c>
      <c r="L7595" s="11">
        <v>3.4440670305540739</v>
      </c>
      <c r="N7595" s="12"/>
    </row>
    <row r="7596" spans="1:14" s="5" customFormat="1" ht="15" customHeight="1" x14ac:dyDescent="0.25">
      <c r="A7596" s="9" t="s">
        <v>14949</v>
      </c>
      <c r="C7596" s="9" t="str">
        <f>HYPERLINK("http://www.ncbi.nlm.nih.gov/protein/331284197","Tmem200c")</f>
        <v>Tmem200c</v>
      </c>
      <c r="D7596" s="10">
        <f t="shared" si="118"/>
        <v>4.0101657490787304</v>
      </c>
      <c r="F7596" s="8" t="str">
        <f>HYPERLINK("https://esbl.nhlbi.nih.gov/Databases/mpkFractions/proteomic_fractions_log_files/Yang_log_img/331284197.jpg","show blot")</f>
        <v>show blot</v>
      </c>
      <c r="H7596" s="8" t="str">
        <f>HYPERLINK("https://esbl.nhlbi.nih.gov/Databases/mpkFractions/proteomic_fractions_linear_files/Yang_linear_img/331284197.jpg","show blot")</f>
        <v>show blot</v>
      </c>
      <c r="J7596" s="5" t="s">
        <v>14950</v>
      </c>
      <c r="L7596" s="11">
        <v>4.0101657490787304</v>
      </c>
      <c r="N7596" s="12"/>
    </row>
    <row r="7597" spans="1:14" s="5" customFormat="1" ht="15" customHeight="1" x14ac:dyDescent="0.25">
      <c r="A7597" s="9" t="s">
        <v>14951</v>
      </c>
      <c r="C7597" s="9" t="str">
        <f>HYPERLINK("http://www.ncbi.nlm.nih.gov/protein/31982159","Tmem205")</f>
        <v>Tmem205</v>
      </c>
      <c r="D7597" s="10">
        <f t="shared" si="118"/>
        <v>4.083525790790584</v>
      </c>
      <c r="F7597" s="8" t="str">
        <f>HYPERLINK("https://esbl.nhlbi.nih.gov/Databases/mpkFractions/proteomic_fractions_log_files/Yang_log_img/31982159.jpg","show blot")</f>
        <v>show blot</v>
      </c>
      <c r="H7597" s="8" t="str">
        <f>HYPERLINK("https://esbl.nhlbi.nih.gov/Databases/mpkFractions/proteomic_fractions_linear_files/Yang_linear_img/31982159.jpg","show blot")</f>
        <v>show blot</v>
      </c>
      <c r="J7597" s="5" t="s">
        <v>14952</v>
      </c>
      <c r="L7597" s="11">
        <v>4.083525790790584</v>
      </c>
      <c r="N7597" s="12"/>
    </row>
    <row r="7598" spans="1:14" s="5" customFormat="1" ht="15" customHeight="1" x14ac:dyDescent="0.25">
      <c r="A7598" s="9" t="s">
        <v>14953</v>
      </c>
      <c r="C7598" s="9" t="str">
        <f>HYPERLINK("http://www.ncbi.nlm.nih.gov/protein/359718989","Tmem205")</f>
        <v>Tmem205</v>
      </c>
      <c r="D7598" s="10">
        <f t="shared" si="118"/>
        <v>4.083525790790584</v>
      </c>
      <c r="F7598" s="8" t="str">
        <f>HYPERLINK("https://esbl.nhlbi.nih.gov/Databases/mpkFractions/proteomic_fractions_log_files/Yang_log_img/359718989.jpg","show blot")</f>
        <v>show blot</v>
      </c>
      <c r="H7598" s="8" t="str">
        <f>HYPERLINK("https://esbl.nhlbi.nih.gov/Databases/mpkFractions/proteomic_fractions_linear_files/Yang_linear_img/359718989.jpg","show blot")</f>
        <v>show blot</v>
      </c>
      <c r="J7598" s="5" t="s">
        <v>14954</v>
      </c>
      <c r="L7598" s="11">
        <v>4.083525790790584</v>
      </c>
      <c r="N7598" s="12"/>
    </row>
    <row r="7599" spans="1:14" s="5" customFormat="1" ht="15" customHeight="1" x14ac:dyDescent="0.25">
      <c r="A7599" s="9" t="s">
        <v>14955</v>
      </c>
      <c r="C7599" s="9" t="str">
        <f>HYPERLINK("http://www.ncbi.nlm.nih.gov/protein/13384906","Tmem208")</f>
        <v>Tmem208</v>
      </c>
      <c r="D7599" s="10">
        <f t="shared" si="118"/>
        <v>2.655132978705208</v>
      </c>
      <c r="F7599" s="8" t="str">
        <f>HYPERLINK("https://esbl.nhlbi.nih.gov/Databases/mpkFractions/proteomic_fractions_log_files/Yang_log_img/13384906.jpg","show blot")</f>
        <v>show blot</v>
      </c>
      <c r="H7599" s="8" t="str">
        <f>HYPERLINK("https://esbl.nhlbi.nih.gov/Databases/mpkFractions/proteomic_fractions_linear_files/Yang_linear_img/13384906.jpg","show blot")</f>
        <v>show blot</v>
      </c>
      <c r="J7599" s="5" t="s">
        <v>14956</v>
      </c>
      <c r="L7599" s="11">
        <v>2.655132978705208</v>
      </c>
      <c r="N7599" s="12"/>
    </row>
    <row r="7600" spans="1:14" s="5" customFormat="1" ht="15" customHeight="1" x14ac:dyDescent="0.25">
      <c r="A7600" s="9" t="s">
        <v>14957</v>
      </c>
      <c r="C7600" s="9" t="str">
        <f>HYPERLINK("http://www.ncbi.nlm.nih.gov/protein/31559970","Tmem214")</f>
        <v>Tmem214</v>
      </c>
      <c r="D7600" s="10">
        <f t="shared" si="118"/>
        <v>4.0426561336594018</v>
      </c>
      <c r="F7600" s="8" t="str">
        <f>HYPERLINK("https://esbl.nhlbi.nih.gov/Databases/mpkFractions/proteomic_fractions_log_files/Yang_log_img/31559970.jpg","show blot")</f>
        <v>show blot</v>
      </c>
      <c r="H7600" s="8" t="str">
        <f>HYPERLINK("https://esbl.nhlbi.nih.gov/Databases/mpkFractions/proteomic_fractions_linear_files/Yang_linear_img/31559970.jpg","show blot")</f>
        <v>show blot</v>
      </c>
      <c r="J7600" s="5" t="s">
        <v>14958</v>
      </c>
      <c r="L7600" s="11">
        <v>4.0426561336594018</v>
      </c>
      <c r="N7600" s="12"/>
    </row>
    <row r="7601" spans="1:14" s="5" customFormat="1" ht="15" customHeight="1" x14ac:dyDescent="0.25">
      <c r="A7601" s="9" t="s">
        <v>14959</v>
      </c>
      <c r="C7601" s="9" t="str">
        <f>HYPERLINK("http://www.ncbi.nlm.nih.gov/protein/213972600","Tmem230")</f>
        <v>Tmem230</v>
      </c>
      <c r="D7601" s="10">
        <f t="shared" si="118"/>
        <v>3.893661577697324</v>
      </c>
      <c r="F7601" s="8" t="str">
        <f>HYPERLINK("https://esbl.nhlbi.nih.gov/Databases/mpkFractions/proteomic_fractions_log_files/Yang_log_img/213972600.jpg","show blot")</f>
        <v>show blot</v>
      </c>
      <c r="H7601" s="8" t="str">
        <f>HYPERLINK("https://esbl.nhlbi.nih.gov/Databases/mpkFractions/proteomic_fractions_linear_files/Yang_linear_img/213972600.jpg","show blot")</f>
        <v>show blot</v>
      </c>
      <c r="J7601" s="5" t="s">
        <v>14960</v>
      </c>
      <c r="L7601" s="11">
        <v>3.893661577697324</v>
      </c>
      <c r="N7601" s="12"/>
    </row>
    <row r="7602" spans="1:14" s="5" customFormat="1" ht="15" customHeight="1" x14ac:dyDescent="0.25">
      <c r="A7602" s="9" t="s">
        <v>14961</v>
      </c>
      <c r="C7602" s="9" t="str">
        <f>HYPERLINK("http://www.ncbi.nlm.nih.gov/protein/75677480","Tmem231")</f>
        <v>Tmem231</v>
      </c>
      <c r="D7602" s="10">
        <f t="shared" si="118"/>
        <v>2.6823799580475911</v>
      </c>
      <c r="F7602" s="8" t="str">
        <f>HYPERLINK("https://esbl.nhlbi.nih.gov/Databases/mpkFractions/proteomic_fractions_log_files/Yang_log_img/75677480.jpg","show blot")</f>
        <v>show blot</v>
      </c>
      <c r="H7602" s="8" t="str">
        <f>HYPERLINK("https://esbl.nhlbi.nih.gov/Databases/mpkFractions/proteomic_fractions_linear_files/Yang_linear_img/75677480.jpg","show blot")</f>
        <v>show blot</v>
      </c>
      <c r="J7602" s="5" t="s">
        <v>14962</v>
      </c>
      <c r="L7602" s="11">
        <v>2.6823799580475911</v>
      </c>
      <c r="N7602" s="12"/>
    </row>
    <row r="7603" spans="1:14" s="5" customFormat="1" ht="15" customHeight="1" x14ac:dyDescent="0.25">
      <c r="A7603" s="9" t="s">
        <v>14963</v>
      </c>
      <c r="C7603" s="9" t="str">
        <f>HYPERLINK("http://www.ncbi.nlm.nih.gov/protein/395132459;395132466","Tmem254b")</f>
        <v>Tmem254b</v>
      </c>
      <c r="D7603" s="10">
        <f t="shared" si="118"/>
        <v>5.1266780740449152</v>
      </c>
      <c r="F7603" s="8" t="str">
        <f>HYPERLINK("https://esbl.nhlbi.nih.gov/Databases/mpkFractions/proteomic_fractions_log_files/Yang_log_img/395132459;395132466.jpg","show blot")</f>
        <v>show blot</v>
      </c>
      <c r="H7603" s="8" t="str">
        <f>HYPERLINK("https://esbl.nhlbi.nih.gov/Databases/mpkFractions/proteomic_fractions_linear_files/Yang_linear_img/395132459;395132466.jpg","show blot")</f>
        <v>show blot</v>
      </c>
      <c r="J7603" s="5" t="s">
        <v>14964</v>
      </c>
      <c r="L7603" s="11">
        <v>5.1266780740449152</v>
      </c>
      <c r="N7603" s="12"/>
    </row>
    <row r="7604" spans="1:14" s="5" customFormat="1" ht="15" customHeight="1" x14ac:dyDescent="0.25">
      <c r="A7604" s="9" t="s">
        <v>14965</v>
      </c>
      <c r="C7604" s="9" t="str">
        <f>HYPERLINK("http://www.ncbi.nlm.nih.gov/protein/395132457","Tmem254b")</f>
        <v>Tmem254b</v>
      </c>
      <c r="D7604" s="10">
        <f t="shared" si="118"/>
        <v>5.1266780740449152</v>
      </c>
      <c r="F7604" s="8" t="str">
        <f>HYPERLINK("https://esbl.nhlbi.nih.gov/Databases/mpkFractions/proteomic_fractions_log_files/Yang_log_img/395132457.jpg","show blot")</f>
        <v>show blot</v>
      </c>
      <c r="H7604" s="8" t="str">
        <f>HYPERLINK("https://esbl.nhlbi.nih.gov/Databases/mpkFractions/proteomic_fractions_linear_files/Yang_linear_img/395132457.jpg","show blot")</f>
        <v>show blot</v>
      </c>
      <c r="J7604" s="5" t="s">
        <v>14966</v>
      </c>
      <c r="L7604" s="11">
        <v>5.1266780740449152</v>
      </c>
      <c r="N7604" s="12"/>
    </row>
    <row r="7605" spans="1:14" s="5" customFormat="1" ht="15" customHeight="1" x14ac:dyDescent="0.25">
      <c r="A7605" s="9" t="s">
        <v>14967</v>
      </c>
      <c r="C7605" s="9" t="str">
        <f>HYPERLINK("http://www.ncbi.nlm.nih.gov/protein/395132466","Tmem254c")</f>
        <v>Tmem254c</v>
      </c>
      <c r="D7605" s="10">
        <f t="shared" si="118"/>
        <v>3.477954624008313</v>
      </c>
      <c r="F7605" s="8" t="str">
        <f>HYPERLINK("https://esbl.nhlbi.nih.gov/Databases/mpkFractions/proteomic_fractions_log_files/Yang_log_img/395132466.jpg","show blot")</f>
        <v>show blot</v>
      </c>
      <c r="H7605" s="8" t="str">
        <f>HYPERLINK("https://esbl.nhlbi.nih.gov/Databases/mpkFractions/proteomic_fractions_linear_files/Yang_linear_img/395132466.jpg","show blot")</f>
        <v>show blot</v>
      </c>
      <c r="J7605" s="5" t="s">
        <v>14968</v>
      </c>
      <c r="L7605" s="11">
        <v>3.477954624008313</v>
      </c>
      <c r="N7605" s="12"/>
    </row>
    <row r="7606" spans="1:14" s="5" customFormat="1" ht="15" customHeight="1" x14ac:dyDescent="0.25">
      <c r="A7606" s="9" t="s">
        <v>14969</v>
      </c>
      <c r="C7606" s="9" t="str">
        <f>HYPERLINK("http://www.ncbi.nlm.nih.gov/protein/110625730","Tmem256")</f>
        <v>Tmem256</v>
      </c>
      <c r="D7606" s="10">
        <f t="shared" si="118"/>
        <v>3.9541403188991748</v>
      </c>
      <c r="F7606" s="8" t="str">
        <f>HYPERLINK("https://esbl.nhlbi.nih.gov/Databases/mpkFractions/proteomic_fractions_log_files/Yang_log_img/110625730.jpg","show blot")</f>
        <v>show blot</v>
      </c>
      <c r="H7606" s="8" t="str">
        <f>HYPERLINK("https://esbl.nhlbi.nih.gov/Databases/mpkFractions/proteomic_fractions_linear_files/Yang_linear_img/110625730.jpg","show blot")</f>
        <v>show blot</v>
      </c>
      <c r="J7606" s="5" t="s">
        <v>14970</v>
      </c>
      <c r="L7606" s="11">
        <v>3.9541403188991748</v>
      </c>
      <c r="N7606" s="12"/>
    </row>
    <row r="7607" spans="1:14" s="5" customFormat="1" ht="15" customHeight="1" x14ac:dyDescent="0.25">
      <c r="A7607" s="9" t="s">
        <v>14971</v>
      </c>
      <c r="C7607" s="9" t="str">
        <f>HYPERLINK("http://www.ncbi.nlm.nih.gov/protein/19526900","Tmem30a")</f>
        <v>Tmem30a</v>
      </c>
      <c r="D7607" s="10">
        <f t="shared" si="118"/>
        <v>3.2140875019222692</v>
      </c>
      <c r="F7607" s="8" t="str">
        <f>HYPERLINK("https://esbl.nhlbi.nih.gov/Databases/mpkFractions/proteomic_fractions_log_files/Yang_log_img/19526900.jpg","show blot")</f>
        <v>show blot</v>
      </c>
      <c r="H7607" s="8" t="str">
        <f>HYPERLINK("https://esbl.nhlbi.nih.gov/Databases/mpkFractions/proteomic_fractions_linear_files/Yang_linear_img/19526900.jpg","show blot")</f>
        <v>show blot</v>
      </c>
      <c r="J7607" s="5" t="s">
        <v>14972</v>
      </c>
      <c r="L7607" s="11">
        <v>3.2140875019222692</v>
      </c>
      <c r="N7607" s="12"/>
    </row>
    <row r="7608" spans="1:14" s="5" customFormat="1" ht="15" customHeight="1" x14ac:dyDescent="0.25">
      <c r="A7608" s="9" t="s">
        <v>14973</v>
      </c>
      <c r="C7608" s="9" t="str">
        <f>HYPERLINK("http://www.ncbi.nlm.nih.gov/protein/22267448","Tmem33")</f>
        <v>Tmem33</v>
      </c>
      <c r="D7608" s="10">
        <f t="shared" si="118"/>
        <v>5.4495683082586179</v>
      </c>
      <c r="F7608" s="8" t="str">
        <f>HYPERLINK("https://esbl.nhlbi.nih.gov/Databases/mpkFractions/proteomic_fractions_log_files/Yang_log_img/22267448.jpg","show blot")</f>
        <v>show blot</v>
      </c>
      <c r="H7608" s="8" t="str">
        <f>HYPERLINK("https://esbl.nhlbi.nih.gov/Databases/mpkFractions/proteomic_fractions_linear_files/Yang_linear_img/22267448.jpg","show blot")</f>
        <v>show blot</v>
      </c>
      <c r="J7608" s="5" t="s">
        <v>14974</v>
      </c>
      <c r="L7608" s="11">
        <v>5.4495683082586179</v>
      </c>
      <c r="N7608" s="12"/>
    </row>
    <row r="7609" spans="1:14" s="5" customFormat="1" ht="15" customHeight="1" x14ac:dyDescent="0.25">
      <c r="A7609" s="9" t="s">
        <v>14975</v>
      </c>
      <c r="C7609" s="9" t="str">
        <f>HYPERLINK("http://www.ncbi.nlm.nih.gov/protein/68533251","Tmem33")</f>
        <v>Tmem33</v>
      </c>
      <c r="D7609" s="10">
        <f t="shared" si="118"/>
        <v>5.4495683082586179</v>
      </c>
      <c r="F7609" s="8" t="str">
        <f>HYPERLINK("https://esbl.nhlbi.nih.gov/Databases/mpkFractions/proteomic_fractions_log_files/Yang_log_img/68533251.jpg","show blot")</f>
        <v>show blot</v>
      </c>
      <c r="H7609" s="8" t="str">
        <f>HYPERLINK("https://esbl.nhlbi.nih.gov/Databases/mpkFractions/proteomic_fractions_linear_files/Yang_linear_img/68533251.jpg","show blot")</f>
        <v>show blot</v>
      </c>
      <c r="J7609" s="5" t="s">
        <v>14976</v>
      </c>
      <c r="L7609" s="11">
        <v>5.4495683082586179</v>
      </c>
      <c r="N7609" s="12"/>
    </row>
    <row r="7610" spans="1:14" s="5" customFormat="1" ht="15" customHeight="1" x14ac:dyDescent="0.25">
      <c r="A7610" s="9" t="s">
        <v>14977</v>
      </c>
      <c r="C7610" s="9" t="str">
        <f>HYPERLINK("http://www.ncbi.nlm.nih.gov/protein/85662379","Tmem41b")</f>
        <v>Tmem41b</v>
      </c>
      <c r="D7610" s="10">
        <f t="shared" si="118"/>
        <v>2.6328565839940561</v>
      </c>
      <c r="F7610" s="8" t="str">
        <f>HYPERLINK("https://esbl.nhlbi.nih.gov/Databases/mpkFractions/proteomic_fractions_log_files/Yang_log_img/85662379.jpg","show blot")</f>
        <v>show blot</v>
      </c>
      <c r="H7610" s="8" t="str">
        <f>HYPERLINK("https://esbl.nhlbi.nih.gov/Databases/mpkFractions/proteomic_fractions_linear_files/Yang_linear_img/85662379.jpg","show blot")</f>
        <v>show blot</v>
      </c>
      <c r="J7610" s="5" t="s">
        <v>14978</v>
      </c>
      <c r="L7610" s="11">
        <v>2.6328565839940561</v>
      </c>
      <c r="N7610" s="12"/>
    </row>
    <row r="7611" spans="1:14" s="5" customFormat="1" ht="15" customHeight="1" x14ac:dyDescent="0.25">
      <c r="A7611" s="9" t="s">
        <v>14979</v>
      </c>
      <c r="C7611" s="9" t="str">
        <f>HYPERLINK("http://www.ncbi.nlm.nih.gov/protein/21311891","Tmem43")</f>
        <v>Tmem43</v>
      </c>
      <c r="D7611" s="10">
        <f t="shared" si="118"/>
        <v>4.2043841820117036</v>
      </c>
      <c r="F7611" s="8" t="str">
        <f>HYPERLINK("https://esbl.nhlbi.nih.gov/Databases/mpkFractions/proteomic_fractions_log_files/Yang_log_img/21311891.jpg","show blot")</f>
        <v>show blot</v>
      </c>
      <c r="H7611" s="8" t="str">
        <f>HYPERLINK("https://esbl.nhlbi.nih.gov/Databases/mpkFractions/proteomic_fractions_linear_files/Yang_linear_img/21311891.jpg","show blot")</f>
        <v>show blot</v>
      </c>
      <c r="J7611" s="5" t="s">
        <v>14980</v>
      </c>
      <c r="L7611" s="11">
        <v>4.2043841820117036</v>
      </c>
      <c r="N7611" s="12"/>
    </row>
    <row r="7612" spans="1:14" s="5" customFormat="1" ht="15" customHeight="1" x14ac:dyDescent="0.25">
      <c r="A7612" s="9" t="s">
        <v>14981</v>
      </c>
      <c r="C7612" s="9" t="str">
        <f>HYPERLINK("http://www.ncbi.nlm.nih.gov/protein/21450349","Tmem45b")</f>
        <v>Tmem45b</v>
      </c>
      <c r="D7612" s="10">
        <f t="shared" si="118"/>
        <v>3.6919182061412119</v>
      </c>
      <c r="F7612" s="8" t="str">
        <f>HYPERLINK("https://esbl.nhlbi.nih.gov/Databases/mpkFractions/proteomic_fractions_log_files/Yang_log_img/21450349.jpg","show blot")</f>
        <v>show blot</v>
      </c>
      <c r="H7612" s="8" t="str">
        <f>HYPERLINK("https://esbl.nhlbi.nih.gov/Databases/mpkFractions/proteomic_fractions_linear_files/Yang_linear_img/21450349.jpg","show blot")</f>
        <v>show blot</v>
      </c>
      <c r="J7612" s="5" t="s">
        <v>14982</v>
      </c>
      <c r="L7612" s="11">
        <v>3.6919182061412119</v>
      </c>
      <c r="N7612" s="12"/>
    </row>
    <row r="7613" spans="1:14" s="5" customFormat="1" ht="15" customHeight="1" x14ac:dyDescent="0.25">
      <c r="A7613" s="9" t="s">
        <v>14983</v>
      </c>
      <c r="C7613" s="9" t="str">
        <f>HYPERLINK("http://www.ncbi.nlm.nih.gov/protein/34610239","Tmem50a")</f>
        <v>Tmem50a</v>
      </c>
      <c r="D7613" s="10">
        <f t="shared" si="118"/>
        <v>3.0358761181953691</v>
      </c>
      <c r="F7613" s="8" t="str">
        <f>HYPERLINK("https://esbl.nhlbi.nih.gov/Databases/mpkFractions/proteomic_fractions_log_files/Yang_log_img/34610239.jpg","show blot")</f>
        <v>show blot</v>
      </c>
      <c r="H7613" s="8" t="str">
        <f>HYPERLINK("https://esbl.nhlbi.nih.gov/Databases/mpkFractions/proteomic_fractions_linear_files/Yang_linear_img/34610239.jpg","show blot")</f>
        <v>show blot</v>
      </c>
      <c r="J7613" s="5" t="s">
        <v>14984</v>
      </c>
      <c r="L7613" s="11">
        <v>3.0358761181953691</v>
      </c>
      <c r="N7613" s="12"/>
    </row>
    <row r="7614" spans="1:14" s="5" customFormat="1" ht="15" customHeight="1" x14ac:dyDescent="0.25">
      <c r="A7614" s="9" t="s">
        <v>14985</v>
      </c>
      <c r="C7614" s="9" t="str">
        <f>HYPERLINK("http://www.ncbi.nlm.nih.gov/protein/21313410","Tmem50b")</f>
        <v>Tmem50b</v>
      </c>
      <c r="D7614" s="10">
        <f t="shared" si="118"/>
        <v>4.5746751586059453</v>
      </c>
      <c r="F7614" s="8" t="str">
        <f>HYPERLINK("https://esbl.nhlbi.nih.gov/Databases/mpkFractions/proteomic_fractions_log_files/Yang_log_img/21313410.jpg","show blot")</f>
        <v>show blot</v>
      </c>
      <c r="H7614" s="8" t="str">
        <f>HYPERLINK("https://esbl.nhlbi.nih.gov/Databases/mpkFractions/proteomic_fractions_linear_files/Yang_linear_img/21313410.jpg","show blot")</f>
        <v>show blot</v>
      </c>
      <c r="J7614" s="5" t="s">
        <v>14986</v>
      </c>
      <c r="L7614" s="11">
        <v>4.5746751586059453</v>
      </c>
      <c r="N7614" s="12"/>
    </row>
    <row r="7615" spans="1:14" s="5" customFormat="1" ht="15" customHeight="1" x14ac:dyDescent="0.25">
      <c r="A7615" s="9" t="s">
        <v>14987</v>
      </c>
      <c r="C7615" s="9" t="str">
        <f>HYPERLINK("http://www.ncbi.nlm.nih.gov/protein/21312268","Tmem55a")</f>
        <v>Tmem55a</v>
      </c>
      <c r="D7615" s="10">
        <f t="shared" si="118"/>
        <v>4.4529224976006327</v>
      </c>
      <c r="F7615" s="8" t="str">
        <f>HYPERLINK("https://esbl.nhlbi.nih.gov/Databases/mpkFractions/proteomic_fractions_log_files/Yang_log_img/21312268.jpg","show blot")</f>
        <v>show blot</v>
      </c>
      <c r="H7615" s="8" t="str">
        <f>HYPERLINK("https://esbl.nhlbi.nih.gov/Databases/mpkFractions/proteomic_fractions_linear_files/Yang_linear_img/21312268.jpg","show blot")</f>
        <v>show blot</v>
      </c>
      <c r="J7615" s="5" t="s">
        <v>14988</v>
      </c>
      <c r="L7615" s="11">
        <v>4.4529224976006327</v>
      </c>
      <c r="N7615" s="12"/>
    </row>
    <row r="7616" spans="1:14" s="5" customFormat="1" ht="15" customHeight="1" x14ac:dyDescent="0.25">
      <c r="A7616" s="9" t="s">
        <v>14989</v>
      </c>
      <c r="C7616" s="9" t="str">
        <f>HYPERLINK("http://www.ncbi.nlm.nih.gov/protein/84095197","Tmem55b")</f>
        <v>Tmem55b</v>
      </c>
      <c r="D7616" s="10">
        <f t="shared" si="118"/>
        <v>4.0742788506763334</v>
      </c>
      <c r="F7616" s="8" t="str">
        <f>HYPERLINK("https://esbl.nhlbi.nih.gov/Databases/mpkFractions/proteomic_fractions_log_files/Yang_log_img/84095197.jpg","show blot")</f>
        <v>show blot</v>
      </c>
      <c r="H7616" s="8" t="str">
        <f>HYPERLINK("https://esbl.nhlbi.nih.gov/Databases/mpkFractions/proteomic_fractions_linear_files/Yang_linear_img/84095197.jpg","show blot")</f>
        <v>show blot</v>
      </c>
      <c r="J7616" s="5" t="s">
        <v>14990</v>
      </c>
      <c r="L7616" s="11">
        <v>4.0742788506763334</v>
      </c>
      <c r="N7616" s="12"/>
    </row>
    <row r="7617" spans="1:14" s="5" customFormat="1" ht="15" customHeight="1" x14ac:dyDescent="0.25">
      <c r="A7617" s="9" t="s">
        <v>14991</v>
      </c>
      <c r="C7617" s="9" t="str">
        <f>HYPERLINK("http://www.ncbi.nlm.nih.gov/protein/227330571","Tmem59")</f>
        <v>Tmem59</v>
      </c>
      <c r="D7617" s="10">
        <f t="shared" si="118"/>
        <v>2.6941262407329791</v>
      </c>
      <c r="F7617" s="8" t="str">
        <f>HYPERLINK("https://esbl.nhlbi.nih.gov/Databases/mpkFractions/proteomic_fractions_log_files/Yang_log_img/227330571.jpg","show blot")</f>
        <v>show blot</v>
      </c>
      <c r="H7617" s="8" t="str">
        <f>HYPERLINK("https://esbl.nhlbi.nih.gov/Databases/mpkFractions/proteomic_fractions_linear_files/Yang_linear_img/227330571.jpg","show blot")</f>
        <v>show blot</v>
      </c>
      <c r="J7617" s="5" t="s">
        <v>14992</v>
      </c>
      <c r="L7617" s="11">
        <v>2.6941262407329791</v>
      </c>
      <c r="N7617" s="12"/>
    </row>
    <row r="7618" spans="1:14" s="5" customFormat="1" ht="15" customHeight="1" x14ac:dyDescent="0.25">
      <c r="A7618" s="9" t="s">
        <v>14993</v>
      </c>
      <c r="C7618" s="9" t="str">
        <f>HYPERLINK("http://www.ncbi.nlm.nih.gov/protein/21450147","Tmem63a")</f>
        <v>Tmem63a</v>
      </c>
      <c r="D7618" s="10">
        <f t="shared" si="118"/>
        <v>3.6332926336791989</v>
      </c>
      <c r="F7618" s="8" t="str">
        <f>HYPERLINK("https://esbl.nhlbi.nih.gov/Databases/mpkFractions/proteomic_fractions_log_files/Yang_log_img/21450147.jpg","show blot")</f>
        <v>show blot</v>
      </c>
      <c r="H7618" s="8" t="str">
        <f>HYPERLINK("https://esbl.nhlbi.nih.gov/Databases/mpkFractions/proteomic_fractions_linear_files/Yang_linear_img/21450147.jpg","show blot")</f>
        <v>show blot</v>
      </c>
      <c r="J7618" s="5" t="s">
        <v>14994</v>
      </c>
      <c r="L7618" s="11">
        <v>3.6332926336791989</v>
      </c>
      <c r="N7618" s="12"/>
    </row>
    <row r="7619" spans="1:14" s="5" customFormat="1" ht="15" customHeight="1" x14ac:dyDescent="0.25">
      <c r="A7619" s="9" t="s">
        <v>14995</v>
      </c>
      <c r="C7619" s="9" t="str">
        <f>HYPERLINK("http://www.ncbi.nlm.nih.gov/protein/226342964","Tmem63b")</f>
        <v>Tmem63b</v>
      </c>
      <c r="D7619" s="10">
        <f t="shared" si="118"/>
        <v>0.977964145024658</v>
      </c>
      <c r="F7619" s="8" t="str">
        <f>HYPERLINK("https://esbl.nhlbi.nih.gov/Databases/mpkFractions/proteomic_fractions_log_files/Yang_log_img/226342964.jpg","show blot")</f>
        <v>show blot</v>
      </c>
      <c r="H7619" s="8" t="str">
        <f>HYPERLINK("https://esbl.nhlbi.nih.gov/Databases/mpkFractions/proteomic_fractions_linear_files/Yang_linear_img/226342964.jpg","show blot")</f>
        <v>show blot</v>
      </c>
      <c r="J7619" s="5" t="s">
        <v>14996</v>
      </c>
      <c r="L7619" s="11">
        <v>0.977964145024658</v>
      </c>
      <c r="N7619" s="12"/>
    </row>
    <row r="7620" spans="1:14" s="5" customFormat="1" ht="15" customHeight="1" x14ac:dyDescent="0.25">
      <c r="A7620" s="9" t="s">
        <v>14997</v>
      </c>
      <c r="C7620" s="9" t="str">
        <f>HYPERLINK("http://www.ncbi.nlm.nih.gov/protein/70778812","Tmem65")</f>
        <v>Tmem65</v>
      </c>
      <c r="D7620" s="10">
        <f t="shared" si="118"/>
        <v>2.666280339481006</v>
      </c>
      <c r="F7620" s="8" t="str">
        <f>HYPERLINK("https://esbl.nhlbi.nih.gov/Databases/mpkFractions/proteomic_fractions_log_files/Yang_log_img/70778812.jpg","show blot")</f>
        <v>show blot</v>
      </c>
      <c r="H7620" s="8" t="str">
        <f>HYPERLINK("https://esbl.nhlbi.nih.gov/Databases/mpkFractions/proteomic_fractions_linear_files/Yang_linear_img/70778812.jpg","show blot")</f>
        <v>show blot</v>
      </c>
      <c r="J7620" s="5" t="s">
        <v>14998</v>
      </c>
      <c r="L7620" s="11">
        <v>2.666280339481006</v>
      </c>
      <c r="N7620" s="12"/>
    </row>
    <row r="7621" spans="1:14" s="5" customFormat="1" ht="15" customHeight="1" x14ac:dyDescent="0.25">
      <c r="A7621" s="9" t="s">
        <v>14999</v>
      </c>
      <c r="C7621" s="9" t="str">
        <f>HYPERLINK("http://www.ncbi.nlm.nih.gov/protein/158631230","Tmem66")</f>
        <v>Tmem66</v>
      </c>
      <c r="D7621" s="10">
        <f t="shared" ref="D7621:D7684" si="119">L7621</f>
        <v>2.9862746491177261</v>
      </c>
      <c r="F7621" s="8" t="str">
        <f>HYPERLINK("https://esbl.nhlbi.nih.gov/Databases/mpkFractions/proteomic_fractions_log_files/Yang_log_img/158631230.jpg","show blot")</f>
        <v>show blot</v>
      </c>
      <c r="H7621" s="8" t="str">
        <f>HYPERLINK("https://esbl.nhlbi.nih.gov/Databases/mpkFractions/proteomic_fractions_linear_files/Yang_linear_img/158631230.jpg","show blot")</f>
        <v>show blot</v>
      </c>
      <c r="J7621" s="5" t="s">
        <v>15000</v>
      </c>
      <c r="L7621" s="11">
        <v>2.9862746491177261</v>
      </c>
      <c r="N7621" s="12"/>
    </row>
    <row r="7622" spans="1:14" s="5" customFormat="1" ht="15" customHeight="1" x14ac:dyDescent="0.25">
      <c r="A7622" s="9" t="s">
        <v>15001</v>
      </c>
      <c r="C7622" s="9" t="str">
        <f>HYPERLINK("http://www.ncbi.nlm.nih.gov/protein/117647263","Tmem70")</f>
        <v>Tmem70</v>
      </c>
      <c r="D7622" s="10">
        <f t="shared" si="119"/>
        <v>2.234916575322019</v>
      </c>
      <c r="F7622" s="8" t="str">
        <f>HYPERLINK("https://esbl.nhlbi.nih.gov/Databases/mpkFractions/proteomic_fractions_log_files/Yang_log_img/117647263.jpg","show blot")</f>
        <v>show blot</v>
      </c>
      <c r="H7622" s="8" t="str">
        <f>HYPERLINK("https://esbl.nhlbi.nih.gov/Databases/mpkFractions/proteomic_fractions_linear_files/Yang_linear_img/117647263.jpg","show blot")</f>
        <v>show blot</v>
      </c>
      <c r="J7622" s="5" t="s">
        <v>15002</v>
      </c>
      <c r="L7622" s="11">
        <v>2.234916575322019</v>
      </c>
      <c r="N7622" s="12"/>
    </row>
    <row r="7623" spans="1:14" s="5" customFormat="1" ht="15" customHeight="1" x14ac:dyDescent="0.25">
      <c r="A7623" s="9" t="s">
        <v>15003</v>
      </c>
      <c r="C7623" s="9" t="str">
        <f>HYPERLINK("http://www.ncbi.nlm.nih.gov/protein/117647265","Tmem70")</f>
        <v>Tmem70</v>
      </c>
      <c r="D7623" s="10">
        <f t="shared" si="119"/>
        <v>2.234916575322019</v>
      </c>
      <c r="F7623" s="8" t="str">
        <f>HYPERLINK("https://esbl.nhlbi.nih.gov/Databases/mpkFractions/proteomic_fractions_log_files/Yang_log_img/117647265.jpg","show blot")</f>
        <v>show blot</v>
      </c>
      <c r="H7623" s="8" t="str">
        <f>HYPERLINK("https://esbl.nhlbi.nih.gov/Databases/mpkFractions/proteomic_fractions_linear_files/Yang_linear_img/117647265.jpg","show blot")</f>
        <v>show blot</v>
      </c>
      <c r="J7623" s="5" t="s">
        <v>15004</v>
      </c>
      <c r="L7623" s="11">
        <v>2.234916575322019</v>
      </c>
      <c r="N7623" s="12"/>
    </row>
    <row r="7624" spans="1:14" s="5" customFormat="1" ht="15" customHeight="1" x14ac:dyDescent="0.25">
      <c r="A7624" s="9" t="s">
        <v>15005</v>
      </c>
      <c r="C7624" s="9" t="str">
        <f>HYPERLINK("http://www.ncbi.nlm.nih.gov/protein/160333201","Tmem87a")</f>
        <v>Tmem87a</v>
      </c>
      <c r="D7624" s="10">
        <f t="shared" si="119"/>
        <v>3.0577268145290741</v>
      </c>
      <c r="F7624" s="8" t="str">
        <f>HYPERLINK("https://esbl.nhlbi.nih.gov/Databases/mpkFractions/proteomic_fractions_log_files/Yang_log_img/160333201.jpg","show blot")</f>
        <v>show blot</v>
      </c>
      <c r="H7624" s="8" t="str">
        <f>HYPERLINK("https://esbl.nhlbi.nih.gov/Databases/mpkFractions/proteomic_fractions_linear_files/Yang_linear_img/160333201.jpg","show blot")</f>
        <v>show blot</v>
      </c>
      <c r="J7624" s="5" t="s">
        <v>15006</v>
      </c>
      <c r="L7624" s="11">
        <v>3.0577268145290741</v>
      </c>
      <c r="N7624" s="12"/>
    </row>
    <row r="7625" spans="1:14" s="5" customFormat="1" ht="15" customHeight="1" x14ac:dyDescent="0.25">
      <c r="A7625" s="9" t="s">
        <v>15007</v>
      </c>
      <c r="C7625" s="9" t="str">
        <f>HYPERLINK("http://www.ncbi.nlm.nih.gov/protein/160333204","Tmem87a")</f>
        <v>Tmem87a</v>
      </c>
      <c r="D7625" s="10">
        <f t="shared" si="119"/>
        <v>3.0577268145290741</v>
      </c>
      <c r="F7625" s="8" t="str">
        <f>HYPERLINK("https://esbl.nhlbi.nih.gov/Databases/mpkFractions/proteomic_fractions_log_files/Yang_log_img/160333204.jpg","show blot")</f>
        <v>show blot</v>
      </c>
      <c r="H7625" s="8" t="str">
        <f>HYPERLINK("https://esbl.nhlbi.nih.gov/Databases/mpkFractions/proteomic_fractions_linear_files/Yang_linear_img/160333204.jpg","show blot")</f>
        <v>show blot</v>
      </c>
      <c r="J7625" s="5" t="s">
        <v>15008</v>
      </c>
      <c r="L7625" s="11">
        <v>3.0577268145290741</v>
      </c>
      <c r="N7625" s="12"/>
    </row>
    <row r="7626" spans="1:14" s="5" customFormat="1" ht="15" customHeight="1" x14ac:dyDescent="0.25">
      <c r="A7626" s="9" t="s">
        <v>15009</v>
      </c>
      <c r="C7626" s="9" t="str">
        <f>HYPERLINK("http://www.ncbi.nlm.nih.gov/protein/160333208","Tmem87a")</f>
        <v>Tmem87a</v>
      </c>
      <c r="D7626" s="10">
        <f t="shared" si="119"/>
        <v>3.0577268145290741</v>
      </c>
      <c r="F7626" s="8" t="str">
        <f>HYPERLINK("https://esbl.nhlbi.nih.gov/Databases/mpkFractions/proteomic_fractions_log_files/Yang_log_img/160333208.jpg","show blot")</f>
        <v>show blot</v>
      </c>
      <c r="H7626" s="8" t="str">
        <f>HYPERLINK("https://esbl.nhlbi.nih.gov/Databases/mpkFractions/proteomic_fractions_linear_files/Yang_linear_img/160333208.jpg","show blot")</f>
        <v>show blot</v>
      </c>
      <c r="J7626" s="5" t="s">
        <v>15010</v>
      </c>
      <c r="L7626" s="11">
        <v>3.0577268145290741</v>
      </c>
      <c r="N7626" s="12"/>
    </row>
    <row r="7627" spans="1:14" s="5" customFormat="1" ht="15" customHeight="1" x14ac:dyDescent="0.25">
      <c r="A7627" s="9" t="s">
        <v>15011</v>
      </c>
      <c r="C7627" s="9" t="str">
        <f>HYPERLINK("http://www.ncbi.nlm.nih.gov/protein/254553287","Tmem89")</f>
        <v>Tmem89</v>
      </c>
      <c r="D7627" s="10">
        <f t="shared" si="119"/>
        <v>3.8902149583248069</v>
      </c>
      <c r="F7627" s="8" t="str">
        <f>HYPERLINK("https://esbl.nhlbi.nih.gov/Databases/mpkFractions/proteomic_fractions_log_files/Yang_log_img/254553287.jpg","show blot")</f>
        <v>show blot</v>
      </c>
      <c r="H7627" s="8" t="str">
        <f>HYPERLINK("https://esbl.nhlbi.nih.gov/Databases/mpkFractions/proteomic_fractions_linear_files/Yang_linear_img/254553287.jpg","show blot")</f>
        <v>show blot</v>
      </c>
      <c r="J7627" s="5" t="s">
        <v>15012</v>
      </c>
      <c r="L7627" s="11">
        <v>3.8902149583248069</v>
      </c>
      <c r="N7627" s="12"/>
    </row>
    <row r="7628" spans="1:14" s="5" customFormat="1" ht="15" customHeight="1" x14ac:dyDescent="0.25">
      <c r="A7628" s="9" t="s">
        <v>15013</v>
      </c>
      <c r="C7628" s="9" t="str">
        <f>HYPERLINK("http://www.ncbi.nlm.nih.gov/protein/236466816","Tmem9")</f>
        <v>Tmem9</v>
      </c>
      <c r="D7628" s="10">
        <f t="shared" si="119"/>
        <v>2.4039328772969388</v>
      </c>
      <c r="F7628" s="8" t="str">
        <f>HYPERLINK("https://esbl.nhlbi.nih.gov/Databases/mpkFractions/proteomic_fractions_log_files/Yang_log_img/236466816.jpg","show blot")</f>
        <v>show blot</v>
      </c>
      <c r="H7628" s="8" t="str">
        <f>HYPERLINK("https://esbl.nhlbi.nih.gov/Databases/mpkFractions/proteomic_fractions_linear_files/Yang_linear_img/236466816.jpg","show blot")</f>
        <v>show blot</v>
      </c>
      <c r="J7628" s="5" t="s">
        <v>15014</v>
      </c>
      <c r="L7628" s="11">
        <v>2.4039328772969388</v>
      </c>
      <c r="N7628" s="12"/>
    </row>
    <row r="7629" spans="1:14" s="5" customFormat="1" ht="15" customHeight="1" x14ac:dyDescent="0.25">
      <c r="A7629" s="9" t="s">
        <v>15015</v>
      </c>
      <c r="C7629" s="9" t="str">
        <f>HYPERLINK("http://www.ncbi.nlm.nih.gov/protein/19526880","Tmem97")</f>
        <v>Tmem97</v>
      </c>
      <c r="D7629" s="10">
        <f t="shared" si="119"/>
        <v>2.6908485309717429</v>
      </c>
      <c r="F7629" s="8" t="str">
        <f>HYPERLINK("https://esbl.nhlbi.nih.gov/Databases/mpkFractions/proteomic_fractions_log_files/Yang_log_img/19526880.jpg","show blot")</f>
        <v>show blot</v>
      </c>
      <c r="H7629" s="8" t="str">
        <f>HYPERLINK("https://esbl.nhlbi.nih.gov/Databases/mpkFractions/proteomic_fractions_linear_files/Yang_linear_img/19526880.jpg","show blot")</f>
        <v>show blot</v>
      </c>
      <c r="J7629" s="5" t="s">
        <v>15016</v>
      </c>
      <c r="L7629" s="11">
        <v>2.6908485309717429</v>
      </c>
      <c r="N7629" s="12"/>
    </row>
    <row r="7630" spans="1:14" s="5" customFormat="1" ht="15" customHeight="1" x14ac:dyDescent="0.25">
      <c r="A7630" s="9" t="s">
        <v>15017</v>
      </c>
      <c r="C7630" s="9" t="str">
        <f>HYPERLINK("http://www.ncbi.nlm.nih.gov/protein/10092671","Tmem9b")</f>
        <v>Tmem9b</v>
      </c>
      <c r="D7630" s="10">
        <f t="shared" si="119"/>
        <v>3.8320563437118511</v>
      </c>
      <c r="F7630" s="8" t="str">
        <f>HYPERLINK("https://esbl.nhlbi.nih.gov/Databases/mpkFractions/proteomic_fractions_log_files/Yang_log_img/10092671.jpg","show blot")</f>
        <v>show blot</v>
      </c>
      <c r="H7630" s="8" t="str">
        <f>HYPERLINK("https://esbl.nhlbi.nih.gov/Databases/mpkFractions/proteomic_fractions_linear_files/Yang_linear_img/10092671.jpg","show blot")</f>
        <v>show blot</v>
      </c>
      <c r="J7630" s="5" t="s">
        <v>15018</v>
      </c>
      <c r="L7630" s="11">
        <v>3.8320563437118511</v>
      </c>
      <c r="N7630" s="12"/>
    </row>
    <row r="7631" spans="1:14" s="5" customFormat="1" ht="15" customHeight="1" x14ac:dyDescent="0.25">
      <c r="A7631" s="9" t="s">
        <v>15019</v>
      </c>
      <c r="C7631" s="9" t="str">
        <f>HYPERLINK("http://www.ncbi.nlm.nih.gov/protein/8394460","Tmod3")</f>
        <v>Tmod3</v>
      </c>
      <c r="D7631" s="10">
        <f t="shared" si="119"/>
        <v>5.4570046733953053</v>
      </c>
      <c r="F7631" s="8" t="str">
        <f>HYPERLINK("https://esbl.nhlbi.nih.gov/Databases/mpkFractions/proteomic_fractions_log_files/Yang_log_img/8394460.jpg","show blot")</f>
        <v>show blot</v>
      </c>
      <c r="H7631" s="8" t="str">
        <f>HYPERLINK("https://esbl.nhlbi.nih.gov/Databases/mpkFractions/proteomic_fractions_linear_files/Yang_linear_img/8394460.jpg","show blot")</f>
        <v>show blot</v>
      </c>
      <c r="J7631" s="5" t="s">
        <v>15020</v>
      </c>
      <c r="L7631" s="11">
        <v>5.4570046733953053</v>
      </c>
      <c r="N7631" s="12"/>
    </row>
    <row r="7632" spans="1:14" s="5" customFormat="1" ht="15" customHeight="1" x14ac:dyDescent="0.25">
      <c r="A7632" s="9" t="s">
        <v>15021</v>
      </c>
      <c r="C7632" s="9" t="str">
        <f>HYPERLINK("http://www.ncbi.nlm.nih.gov/protein/121949760","Tmpo")</f>
        <v>Tmpo</v>
      </c>
      <c r="D7632" s="10">
        <f t="shared" si="119"/>
        <v>6.8878959619582529</v>
      </c>
      <c r="F7632" s="8" t="str">
        <f>HYPERLINK("https://esbl.nhlbi.nih.gov/Databases/mpkFractions/proteomic_fractions_log_files/Yang_log_img/121949760.jpg","show blot")</f>
        <v>show blot</v>
      </c>
      <c r="H7632" s="8" t="str">
        <f>HYPERLINK("https://esbl.nhlbi.nih.gov/Databases/mpkFractions/proteomic_fractions_linear_files/Yang_linear_img/121949760.jpg","show blot")</f>
        <v>show blot</v>
      </c>
      <c r="J7632" s="5" t="s">
        <v>15022</v>
      </c>
      <c r="L7632" s="11">
        <v>6.8878959619582529</v>
      </c>
      <c r="N7632" s="12"/>
    </row>
    <row r="7633" spans="1:14" s="5" customFormat="1" ht="15" customHeight="1" x14ac:dyDescent="0.25">
      <c r="A7633" s="9" t="s">
        <v>15023</v>
      </c>
      <c r="C7633" s="9" t="str">
        <f>HYPERLINK("http://www.ncbi.nlm.nih.gov/protein/121949763","Tmpo")</f>
        <v>Tmpo</v>
      </c>
      <c r="D7633" s="10">
        <f t="shared" si="119"/>
        <v>6.8878959619582529</v>
      </c>
      <c r="F7633" s="8" t="str">
        <f>HYPERLINK("https://esbl.nhlbi.nih.gov/Databases/mpkFractions/proteomic_fractions_log_files/Yang_log_img/121949763.jpg","show blot")</f>
        <v>show blot</v>
      </c>
      <c r="H7633" s="8" t="str">
        <f>HYPERLINK("https://esbl.nhlbi.nih.gov/Databases/mpkFractions/proteomic_fractions_linear_files/Yang_linear_img/121949763.jpg","show blot")</f>
        <v>show blot</v>
      </c>
      <c r="J7633" s="5" t="s">
        <v>15024</v>
      </c>
      <c r="L7633" s="11">
        <v>6.8878959619582529</v>
      </c>
      <c r="N7633" s="12"/>
    </row>
    <row r="7634" spans="1:14" s="5" customFormat="1" ht="15" customHeight="1" x14ac:dyDescent="0.25">
      <c r="A7634" s="9" t="s">
        <v>15025</v>
      </c>
      <c r="C7634" s="9" t="str">
        <f>HYPERLINK("http://www.ncbi.nlm.nih.gov/protein/121949765","Tmpo")</f>
        <v>Tmpo</v>
      </c>
      <c r="D7634" s="10">
        <f t="shared" si="119"/>
        <v>6.8878959619582529</v>
      </c>
      <c r="F7634" s="8" t="str">
        <f>HYPERLINK("https://esbl.nhlbi.nih.gov/Databases/mpkFractions/proteomic_fractions_log_files/Yang_log_img/121949765.jpg","show blot")</f>
        <v>show blot</v>
      </c>
      <c r="H7634" s="8" t="str">
        <f>HYPERLINK("https://esbl.nhlbi.nih.gov/Databases/mpkFractions/proteomic_fractions_linear_files/Yang_linear_img/121949765.jpg","show blot")</f>
        <v>show blot</v>
      </c>
      <c r="J7634" s="5" t="s">
        <v>15026</v>
      </c>
      <c r="L7634" s="11">
        <v>6.8878959619582529</v>
      </c>
      <c r="N7634" s="12"/>
    </row>
    <row r="7635" spans="1:14" s="5" customFormat="1" ht="15" customHeight="1" x14ac:dyDescent="0.25">
      <c r="A7635" s="9" t="s">
        <v>15027</v>
      </c>
      <c r="C7635" s="9" t="str">
        <f>HYPERLINK("http://www.ncbi.nlm.nih.gov/protein/121949767","Tmpo")</f>
        <v>Tmpo</v>
      </c>
      <c r="D7635" s="10">
        <f t="shared" si="119"/>
        <v>6.8878959619582529</v>
      </c>
      <c r="F7635" s="8" t="str">
        <f>HYPERLINK("https://esbl.nhlbi.nih.gov/Databases/mpkFractions/proteomic_fractions_log_files/Yang_log_img/121949767.jpg","show blot")</f>
        <v>show blot</v>
      </c>
      <c r="H7635" s="8" t="str">
        <f>HYPERLINK("https://esbl.nhlbi.nih.gov/Databases/mpkFractions/proteomic_fractions_linear_files/Yang_linear_img/121949767.jpg","show blot")</f>
        <v>show blot</v>
      </c>
      <c r="J7635" s="5" t="s">
        <v>15028</v>
      </c>
      <c r="L7635" s="11">
        <v>6.8878959619582529</v>
      </c>
      <c r="N7635" s="12"/>
    </row>
    <row r="7636" spans="1:14" s="5" customFormat="1" ht="15" customHeight="1" x14ac:dyDescent="0.25">
      <c r="A7636" s="9" t="s">
        <v>15029</v>
      </c>
      <c r="C7636" s="9" t="str">
        <f>HYPERLINK("http://www.ncbi.nlm.nih.gov/protein/121949769","Tmpo")</f>
        <v>Tmpo</v>
      </c>
      <c r="D7636" s="10">
        <f t="shared" si="119"/>
        <v>6.8878959619582529</v>
      </c>
      <c r="F7636" s="8" t="str">
        <f>HYPERLINK("https://esbl.nhlbi.nih.gov/Databases/mpkFractions/proteomic_fractions_log_files/Yang_log_img/121949769.jpg","show blot")</f>
        <v>show blot</v>
      </c>
      <c r="H7636" s="8" t="str">
        <f>HYPERLINK("https://esbl.nhlbi.nih.gov/Databases/mpkFractions/proteomic_fractions_linear_files/Yang_linear_img/121949769.jpg","show blot")</f>
        <v>show blot</v>
      </c>
      <c r="J7636" s="5" t="s">
        <v>15030</v>
      </c>
      <c r="L7636" s="11">
        <v>6.8878959619582529</v>
      </c>
      <c r="N7636" s="12"/>
    </row>
    <row r="7637" spans="1:14" s="5" customFormat="1" ht="15" customHeight="1" x14ac:dyDescent="0.25">
      <c r="A7637" s="9" t="s">
        <v>15031</v>
      </c>
      <c r="C7637" s="9" t="str">
        <f>HYPERLINK("http://www.ncbi.nlm.nih.gov/protein/121949779","Tmpo")</f>
        <v>Tmpo</v>
      </c>
      <c r="D7637" s="10">
        <f t="shared" si="119"/>
        <v>6.8878959619582529</v>
      </c>
      <c r="F7637" s="8" t="str">
        <f>HYPERLINK("https://esbl.nhlbi.nih.gov/Databases/mpkFractions/proteomic_fractions_log_files/Yang_log_img/121949779.jpg","show blot")</f>
        <v>show blot</v>
      </c>
      <c r="H7637" s="8" t="str">
        <f>HYPERLINK("https://esbl.nhlbi.nih.gov/Databases/mpkFractions/proteomic_fractions_linear_files/Yang_linear_img/121949779.jpg","show blot")</f>
        <v>show blot</v>
      </c>
      <c r="J7637" s="5" t="s">
        <v>15032</v>
      </c>
      <c r="L7637" s="11">
        <v>6.8878959619582529</v>
      </c>
      <c r="N7637" s="12"/>
    </row>
    <row r="7638" spans="1:14" s="5" customFormat="1" ht="15" customHeight="1" x14ac:dyDescent="0.25">
      <c r="A7638" s="9" t="s">
        <v>15033</v>
      </c>
      <c r="C7638" s="9" t="str">
        <f>HYPERLINK("http://www.ncbi.nlm.nih.gov/protein/317008614","Tmppe")</f>
        <v>Tmppe</v>
      </c>
      <c r="D7638" s="10">
        <f t="shared" si="119"/>
        <v>2.4604682735010468</v>
      </c>
      <c r="F7638" s="8" t="str">
        <f>HYPERLINK("https://esbl.nhlbi.nih.gov/Databases/mpkFractions/proteomic_fractions_log_files/Yang_log_img/317008614.jpg","show blot")</f>
        <v>show blot</v>
      </c>
      <c r="H7638" s="8" t="str">
        <f>HYPERLINK("https://esbl.nhlbi.nih.gov/Databases/mpkFractions/proteomic_fractions_linear_files/Yang_linear_img/317008614.jpg","show blot")</f>
        <v>show blot</v>
      </c>
      <c r="J7638" s="5" t="s">
        <v>15034</v>
      </c>
      <c r="L7638" s="11">
        <v>2.4604682735010468</v>
      </c>
      <c r="N7638" s="12"/>
    </row>
    <row r="7639" spans="1:14" s="5" customFormat="1" ht="15" customHeight="1" x14ac:dyDescent="0.25">
      <c r="A7639" s="9" t="s">
        <v>15035</v>
      </c>
      <c r="C7639" s="9" t="str">
        <f>HYPERLINK("http://www.ncbi.nlm.nih.gov/protein/148747219","Tmprss11bnl")</f>
        <v>Tmprss11bnl</v>
      </c>
      <c r="D7639" s="10">
        <f t="shared" si="119"/>
        <v>5.2196565152342158</v>
      </c>
      <c r="F7639" s="8" t="str">
        <f>HYPERLINK("https://esbl.nhlbi.nih.gov/Databases/mpkFractions/proteomic_fractions_log_files/Yang_log_img/148747219.jpg","show blot")</f>
        <v>show blot</v>
      </c>
      <c r="H7639" s="8" t="str">
        <f>HYPERLINK("https://esbl.nhlbi.nih.gov/Databases/mpkFractions/proteomic_fractions_linear_files/Yang_linear_img/148747219.jpg","show blot")</f>
        <v>show blot</v>
      </c>
      <c r="J7639" s="5" t="s">
        <v>15036</v>
      </c>
      <c r="L7639" s="11">
        <v>5.2196565152342158</v>
      </c>
      <c r="N7639" s="12"/>
    </row>
    <row r="7640" spans="1:14" s="5" customFormat="1" ht="15" customHeight="1" x14ac:dyDescent="0.25">
      <c r="A7640" s="9" t="s">
        <v>15037</v>
      </c>
      <c r="C7640" s="9" t="str">
        <f>HYPERLINK("http://www.ncbi.nlm.nih.gov/protein/188536038","Tmprss11g")</f>
        <v>Tmprss11g</v>
      </c>
      <c r="D7640" s="10">
        <f t="shared" si="119"/>
        <v>3.5790627693971961</v>
      </c>
      <c r="F7640" s="8" t="str">
        <f>HYPERLINK("https://esbl.nhlbi.nih.gov/Databases/mpkFractions/proteomic_fractions_log_files/Yang_log_img/188536038.jpg","show blot")</f>
        <v>show blot</v>
      </c>
      <c r="H7640" s="8" t="str">
        <f>HYPERLINK("https://esbl.nhlbi.nih.gov/Databases/mpkFractions/proteomic_fractions_linear_files/Yang_linear_img/188536038.jpg","show blot")</f>
        <v>show blot</v>
      </c>
      <c r="J7640" s="5" t="s">
        <v>15038</v>
      </c>
      <c r="L7640" s="11">
        <v>3.5790627693971961</v>
      </c>
      <c r="N7640" s="12"/>
    </row>
    <row r="7641" spans="1:14" s="5" customFormat="1" ht="15" customHeight="1" x14ac:dyDescent="0.25">
      <c r="A7641" s="9" t="s">
        <v>15039</v>
      </c>
      <c r="C7641" s="9" t="str">
        <f>HYPERLINK("http://www.ncbi.nlm.nih.gov/protein/34328226","Tmprss2")</f>
        <v>Tmprss2</v>
      </c>
      <c r="D7641" s="10">
        <f t="shared" si="119"/>
        <v>3.4673954972962422</v>
      </c>
      <c r="F7641" s="8" t="str">
        <f>HYPERLINK("https://esbl.nhlbi.nih.gov/Databases/mpkFractions/proteomic_fractions_log_files/Yang_log_img/34328226.jpg","show blot")</f>
        <v>show blot</v>
      </c>
      <c r="H7641" s="8" t="str">
        <f>HYPERLINK("https://esbl.nhlbi.nih.gov/Databases/mpkFractions/proteomic_fractions_linear_files/Yang_linear_img/34328226.jpg","show blot")</f>
        <v>show blot</v>
      </c>
      <c r="J7641" s="5" t="s">
        <v>15040</v>
      </c>
      <c r="L7641" s="11">
        <v>3.4673954972962422</v>
      </c>
      <c r="N7641" s="12"/>
    </row>
    <row r="7642" spans="1:14" s="5" customFormat="1" ht="15" customHeight="1" x14ac:dyDescent="0.25">
      <c r="A7642" s="9" t="s">
        <v>15041</v>
      </c>
      <c r="C7642" s="9" t="str">
        <f>HYPERLINK("http://www.ncbi.nlm.nih.gov/protein/21703806","Tmprss4")</f>
        <v>Tmprss4</v>
      </c>
      <c r="D7642" s="10">
        <f t="shared" si="119"/>
        <v>2.839892393145075</v>
      </c>
      <c r="F7642" s="8" t="str">
        <f>HYPERLINK("https://esbl.nhlbi.nih.gov/Databases/mpkFractions/proteomic_fractions_log_files/Yang_log_img/21703806.jpg","show blot")</f>
        <v>show blot</v>
      </c>
      <c r="H7642" s="8" t="str">
        <f>HYPERLINK("https://esbl.nhlbi.nih.gov/Databases/mpkFractions/proteomic_fractions_linear_files/Yang_linear_img/21703806.jpg","show blot")</f>
        <v>show blot</v>
      </c>
      <c r="J7642" s="5" t="s">
        <v>15042</v>
      </c>
      <c r="L7642" s="11">
        <v>2.839892393145075</v>
      </c>
      <c r="N7642" s="12"/>
    </row>
    <row r="7643" spans="1:14" s="5" customFormat="1" ht="15" customHeight="1" x14ac:dyDescent="0.25">
      <c r="A7643" s="9" t="s">
        <v>15043</v>
      </c>
      <c r="C7643" s="9" t="str">
        <f>HYPERLINK("http://www.ncbi.nlm.nih.gov/protein/126517491","Tmsb15b1")</f>
        <v>Tmsb15b1</v>
      </c>
      <c r="D7643" s="10">
        <f t="shared" si="119"/>
        <v>4.9683089955579032</v>
      </c>
      <c r="F7643" s="8" t="str">
        <f>HYPERLINK("https://esbl.nhlbi.nih.gov/Databases/mpkFractions/proteomic_fractions_log_files/Yang_log_img/126517491.jpg","show blot")</f>
        <v>show blot</v>
      </c>
      <c r="H7643" s="8" t="str">
        <f>HYPERLINK("https://esbl.nhlbi.nih.gov/Databases/mpkFractions/proteomic_fractions_linear_files/Yang_linear_img/126517491.jpg","show blot")</f>
        <v>show blot</v>
      </c>
      <c r="J7643" s="5" t="s">
        <v>15044</v>
      </c>
      <c r="L7643" s="11">
        <v>4.9683089955579032</v>
      </c>
      <c r="N7643" s="12"/>
    </row>
    <row r="7644" spans="1:14" s="5" customFormat="1" ht="15" customHeight="1" x14ac:dyDescent="0.25">
      <c r="A7644" s="9" t="s">
        <v>15045</v>
      </c>
      <c r="C7644" s="9" t="str">
        <f>HYPERLINK("http://www.ncbi.nlm.nih.gov/protein/124378056","Tmsb15b2")</f>
        <v>Tmsb15b2</v>
      </c>
      <c r="D7644" s="10">
        <f t="shared" si="119"/>
        <v>4.7963148846432668</v>
      </c>
      <c r="F7644" s="8" t="str">
        <f>HYPERLINK("https://esbl.nhlbi.nih.gov/Databases/mpkFractions/proteomic_fractions_log_files/Yang_log_img/124378056.jpg","show blot")</f>
        <v>show blot</v>
      </c>
      <c r="H7644" s="8" t="str">
        <f>HYPERLINK("https://esbl.nhlbi.nih.gov/Databases/mpkFractions/proteomic_fractions_linear_files/Yang_linear_img/124378056.jpg","show blot")</f>
        <v>show blot</v>
      </c>
      <c r="J7644" s="5" t="s">
        <v>15044</v>
      </c>
      <c r="L7644" s="11">
        <v>4.7963148846432668</v>
      </c>
      <c r="N7644" s="12"/>
    </row>
    <row r="7645" spans="1:14" s="5" customFormat="1" ht="15" customHeight="1" x14ac:dyDescent="0.25">
      <c r="A7645" s="9" t="s">
        <v>15046</v>
      </c>
      <c r="C7645" s="9" t="str">
        <f>HYPERLINK("http://www.ncbi.nlm.nih.gov/protein/46402291","Tmsb15l")</f>
        <v>Tmsb15l</v>
      </c>
      <c r="D7645" s="10">
        <f t="shared" si="119"/>
        <v>4.5410423795399613</v>
      </c>
      <c r="F7645" s="8" t="str">
        <f>HYPERLINK("https://esbl.nhlbi.nih.gov/Databases/mpkFractions/proteomic_fractions_log_files/Yang_log_img/46402291.jpg","show blot")</f>
        <v>show blot</v>
      </c>
      <c r="H7645" s="8" t="str">
        <f>HYPERLINK("https://esbl.nhlbi.nih.gov/Databases/mpkFractions/proteomic_fractions_linear_files/Yang_linear_img/46402291.jpg","show blot")</f>
        <v>show blot</v>
      </c>
      <c r="J7645" s="5" t="s">
        <v>15047</v>
      </c>
      <c r="L7645" s="11">
        <v>4.5410423795399613</v>
      </c>
      <c r="N7645" s="12"/>
    </row>
    <row r="7646" spans="1:14" s="5" customFormat="1" ht="15" customHeight="1" x14ac:dyDescent="0.25">
      <c r="A7646" s="9" t="s">
        <v>15048</v>
      </c>
      <c r="C7646" s="9" t="str">
        <f>HYPERLINK("http://www.ncbi.nlm.nih.gov/protein/10946578","Tmsb4x")</f>
        <v>Tmsb4x</v>
      </c>
      <c r="D7646" s="10">
        <f t="shared" si="119"/>
        <v>4.6507404366393459</v>
      </c>
      <c r="F7646" s="8" t="str">
        <f>HYPERLINK("https://esbl.nhlbi.nih.gov/Databases/mpkFractions/proteomic_fractions_log_files/Yang_log_img/10946578.jpg","show blot")</f>
        <v>show blot</v>
      </c>
      <c r="H7646" s="8" t="str">
        <f>HYPERLINK("https://esbl.nhlbi.nih.gov/Databases/mpkFractions/proteomic_fractions_linear_files/Yang_linear_img/10946578.jpg","show blot")</f>
        <v>show blot</v>
      </c>
      <c r="J7646" s="5" t="s">
        <v>15049</v>
      </c>
      <c r="L7646" s="11">
        <v>4.6507404366393459</v>
      </c>
      <c r="N7646" s="12"/>
    </row>
    <row r="7647" spans="1:14" s="5" customFormat="1" ht="15" customHeight="1" x14ac:dyDescent="0.25">
      <c r="A7647" s="9" t="s">
        <v>15050</v>
      </c>
      <c r="C7647" s="9" t="str">
        <f>HYPERLINK("http://www.ncbi.nlm.nih.gov/protein/75677476","Tmtc3")</f>
        <v>Tmtc3</v>
      </c>
      <c r="D7647" s="10">
        <f t="shared" si="119"/>
        <v>4.1535767345033898</v>
      </c>
      <c r="F7647" s="8" t="str">
        <f>HYPERLINK("https://esbl.nhlbi.nih.gov/Databases/mpkFractions/proteomic_fractions_log_files/Yang_log_img/75677476.jpg","show blot")</f>
        <v>show blot</v>
      </c>
      <c r="H7647" s="8" t="str">
        <f>HYPERLINK("https://esbl.nhlbi.nih.gov/Databases/mpkFractions/proteomic_fractions_linear_files/Yang_linear_img/75677476.jpg","show blot")</f>
        <v>show blot</v>
      </c>
      <c r="J7647" s="5" t="s">
        <v>15051</v>
      </c>
      <c r="L7647" s="11">
        <v>4.1535767345033898</v>
      </c>
      <c r="N7647" s="12"/>
    </row>
    <row r="7648" spans="1:14" s="5" customFormat="1" ht="15" customHeight="1" x14ac:dyDescent="0.25">
      <c r="A7648" s="9" t="s">
        <v>15052</v>
      </c>
      <c r="C7648" s="9" t="str">
        <f>HYPERLINK("http://www.ncbi.nlm.nih.gov/protein/158517929","Tmtc3")</f>
        <v>Tmtc3</v>
      </c>
      <c r="D7648" s="10">
        <f t="shared" si="119"/>
        <v>4.1535767345033898</v>
      </c>
      <c r="F7648" s="8" t="str">
        <f>HYPERLINK("https://esbl.nhlbi.nih.gov/Databases/mpkFractions/proteomic_fractions_log_files/Yang_log_img/158517929.jpg","show blot")</f>
        <v>show blot</v>
      </c>
      <c r="H7648" s="8" t="str">
        <f>HYPERLINK("https://esbl.nhlbi.nih.gov/Databases/mpkFractions/proteomic_fractions_linear_files/Yang_linear_img/158517929.jpg","show blot")</f>
        <v>show blot</v>
      </c>
      <c r="J7648" s="5" t="s">
        <v>15053</v>
      </c>
      <c r="L7648" s="11">
        <v>4.1535767345033898</v>
      </c>
      <c r="N7648" s="12"/>
    </row>
    <row r="7649" spans="1:14" s="5" customFormat="1" ht="15" customHeight="1" x14ac:dyDescent="0.25">
      <c r="A7649" s="9" t="s">
        <v>15054</v>
      </c>
      <c r="C7649" s="9" t="str">
        <f>HYPERLINK("http://www.ncbi.nlm.nih.gov/protein/11967945","Tmub1")</f>
        <v>Tmub1</v>
      </c>
      <c r="D7649" s="10">
        <f t="shared" si="119"/>
        <v>2.5950680231046559</v>
      </c>
      <c r="F7649" s="8" t="str">
        <f>HYPERLINK("https://esbl.nhlbi.nih.gov/Databases/mpkFractions/proteomic_fractions_log_files/Yang_log_img/11967945.jpg","show blot")</f>
        <v>show blot</v>
      </c>
      <c r="H7649" s="8" t="str">
        <f>HYPERLINK("https://esbl.nhlbi.nih.gov/Databases/mpkFractions/proteomic_fractions_linear_files/Yang_linear_img/11967945.jpg","show blot")</f>
        <v>show blot</v>
      </c>
      <c r="J7649" s="5" t="s">
        <v>15055</v>
      </c>
      <c r="L7649" s="11">
        <v>2.5950680231046559</v>
      </c>
      <c r="N7649" s="12"/>
    </row>
    <row r="7650" spans="1:14" s="5" customFormat="1" ht="15" customHeight="1" x14ac:dyDescent="0.25">
      <c r="A7650" s="9" t="s">
        <v>15056</v>
      </c>
      <c r="C7650" s="9" t="str">
        <f>HYPERLINK("http://www.ncbi.nlm.nih.gov/protein/33859722","Tmx1")</f>
        <v>Tmx1</v>
      </c>
      <c r="D7650" s="10">
        <f t="shared" si="119"/>
        <v>5.9248685151721299</v>
      </c>
      <c r="F7650" s="8" t="str">
        <f>HYPERLINK("https://esbl.nhlbi.nih.gov/Databases/mpkFractions/proteomic_fractions_log_files/Yang_log_img/33859722.jpg","show blot")</f>
        <v>show blot</v>
      </c>
      <c r="H7650" s="8" t="str">
        <f>HYPERLINK("https://esbl.nhlbi.nih.gov/Databases/mpkFractions/proteomic_fractions_linear_files/Yang_linear_img/33859722.jpg","show blot")</f>
        <v>show blot</v>
      </c>
      <c r="J7650" s="5" t="s">
        <v>15057</v>
      </c>
      <c r="L7650" s="11">
        <v>5.9248685151721299</v>
      </c>
      <c r="N7650" s="12"/>
    </row>
    <row r="7651" spans="1:14" s="5" customFormat="1" ht="15" customHeight="1" x14ac:dyDescent="0.25">
      <c r="A7651" s="9" t="s">
        <v>15058</v>
      </c>
      <c r="C7651" s="9" t="str">
        <f>HYPERLINK("http://www.ncbi.nlm.nih.gov/protein/21313210","Tmx2")</f>
        <v>Tmx2</v>
      </c>
      <c r="D7651" s="10">
        <f t="shared" si="119"/>
        <v>4.3295938424627831</v>
      </c>
      <c r="F7651" s="8" t="str">
        <f>HYPERLINK("https://esbl.nhlbi.nih.gov/Databases/mpkFractions/proteomic_fractions_log_files/Yang_log_img/21313210.jpg","show blot")</f>
        <v>show blot</v>
      </c>
      <c r="H7651" s="8" t="str">
        <f>HYPERLINK("https://esbl.nhlbi.nih.gov/Databases/mpkFractions/proteomic_fractions_linear_files/Yang_linear_img/21313210.jpg","show blot")</f>
        <v>show blot</v>
      </c>
      <c r="J7651" s="5" t="s">
        <v>15059</v>
      </c>
      <c r="L7651" s="11">
        <v>4.3295938424627831</v>
      </c>
      <c r="N7651" s="12"/>
    </row>
    <row r="7652" spans="1:14" s="5" customFormat="1" ht="15" customHeight="1" x14ac:dyDescent="0.25">
      <c r="A7652" s="9" t="s">
        <v>15060</v>
      </c>
      <c r="C7652" s="9" t="str">
        <f>HYPERLINK("http://www.ncbi.nlm.nih.gov/protein/117606385","Tmx3")</f>
        <v>Tmx3</v>
      </c>
      <c r="D7652" s="10">
        <f t="shared" si="119"/>
        <v>3.84620956124721</v>
      </c>
      <c r="F7652" s="8" t="str">
        <f>HYPERLINK("https://esbl.nhlbi.nih.gov/Databases/mpkFractions/proteomic_fractions_log_files/Yang_log_img/117606385.jpg","show blot")</f>
        <v>show blot</v>
      </c>
      <c r="H7652" s="8" t="str">
        <f>HYPERLINK("https://esbl.nhlbi.nih.gov/Databases/mpkFractions/proteomic_fractions_linear_files/Yang_linear_img/117606385.jpg","show blot")</f>
        <v>show blot</v>
      </c>
      <c r="J7652" s="5" t="s">
        <v>15061</v>
      </c>
      <c r="L7652" s="11">
        <v>3.84620956124721</v>
      </c>
      <c r="N7652" s="12"/>
    </row>
    <row r="7653" spans="1:14" s="5" customFormat="1" ht="15" customHeight="1" x14ac:dyDescent="0.25">
      <c r="A7653" s="9" t="s">
        <v>15062</v>
      </c>
      <c r="C7653" s="9" t="str">
        <f>HYPERLINK("http://www.ncbi.nlm.nih.gov/protein/112817607","Tmx4")</f>
        <v>Tmx4</v>
      </c>
      <c r="D7653" s="10">
        <f t="shared" si="119"/>
        <v>4.1038366413838334</v>
      </c>
      <c r="F7653" s="8" t="str">
        <f>HYPERLINK("https://esbl.nhlbi.nih.gov/Databases/mpkFractions/proteomic_fractions_log_files/Yang_log_img/112817607.jpg","show blot")</f>
        <v>show blot</v>
      </c>
      <c r="H7653" s="8" t="str">
        <f>HYPERLINK("https://esbl.nhlbi.nih.gov/Databases/mpkFractions/proteomic_fractions_linear_files/Yang_linear_img/112817607.jpg","show blot")</f>
        <v>show blot</v>
      </c>
      <c r="J7653" s="5" t="s">
        <v>15063</v>
      </c>
      <c r="L7653" s="11">
        <v>4.1038366413838334</v>
      </c>
      <c r="N7653" s="12"/>
    </row>
    <row r="7654" spans="1:14" s="5" customFormat="1" ht="15" customHeight="1" x14ac:dyDescent="0.25">
      <c r="A7654" s="9" t="s">
        <v>15064</v>
      </c>
      <c r="C7654" s="9" t="str">
        <f>HYPERLINK("http://www.ncbi.nlm.nih.gov/protein/194394239","Tnfaip2")</f>
        <v>Tnfaip2</v>
      </c>
      <c r="D7654" s="10">
        <f t="shared" si="119"/>
        <v>1.540714402342688</v>
      </c>
      <c r="F7654" s="8" t="str">
        <f>HYPERLINK("https://esbl.nhlbi.nih.gov/Databases/mpkFractions/proteomic_fractions_log_files/Yang_log_img/194394239.jpg","show blot")</f>
        <v>show blot</v>
      </c>
      <c r="H7654" s="8" t="str">
        <f>HYPERLINK("https://esbl.nhlbi.nih.gov/Databases/mpkFractions/proteomic_fractions_linear_files/Yang_linear_img/194394239.jpg","show blot")</f>
        <v>show blot</v>
      </c>
      <c r="J7654" s="5" t="s">
        <v>15065</v>
      </c>
      <c r="L7654" s="11">
        <v>1.540714402342688</v>
      </c>
      <c r="N7654" s="12"/>
    </row>
    <row r="7655" spans="1:14" s="5" customFormat="1" ht="15" customHeight="1" x14ac:dyDescent="0.25">
      <c r="A7655" s="9" t="s">
        <v>15066</v>
      </c>
      <c r="C7655" s="9" t="str">
        <f>HYPERLINK("http://www.ncbi.nlm.nih.gov/protein/295444879","Tnfaip8")</f>
        <v>Tnfaip8</v>
      </c>
      <c r="D7655" s="10">
        <f t="shared" si="119"/>
        <v>5.5922986188726664</v>
      </c>
      <c r="F7655" s="8" t="str">
        <f>HYPERLINK("https://esbl.nhlbi.nih.gov/Databases/mpkFractions/proteomic_fractions_log_files/Yang_log_img/295444879.jpg","show blot")</f>
        <v>show blot</v>
      </c>
      <c r="H7655" s="8" t="str">
        <f>HYPERLINK("https://esbl.nhlbi.nih.gov/Databases/mpkFractions/proteomic_fractions_linear_files/Yang_linear_img/295444879.jpg","show blot")</f>
        <v>show blot</v>
      </c>
      <c r="J7655" s="5" t="s">
        <v>15067</v>
      </c>
      <c r="L7655" s="11">
        <v>5.5922986188726664</v>
      </c>
      <c r="N7655" s="12"/>
    </row>
    <row r="7656" spans="1:14" s="5" customFormat="1" ht="15" customHeight="1" x14ac:dyDescent="0.25">
      <c r="A7656" s="9" t="s">
        <v>15068</v>
      </c>
      <c r="C7656" s="9" t="str">
        <f>HYPERLINK("http://www.ncbi.nlm.nih.gov/protein/295444881","Tnfaip8")</f>
        <v>Tnfaip8</v>
      </c>
      <c r="D7656" s="10">
        <f t="shared" si="119"/>
        <v>5.5922986188726664</v>
      </c>
      <c r="F7656" s="8" t="str">
        <f>HYPERLINK("https://esbl.nhlbi.nih.gov/Databases/mpkFractions/proteomic_fractions_log_files/Yang_log_img/295444881.jpg","show blot")</f>
        <v>show blot</v>
      </c>
      <c r="H7656" s="8" t="str">
        <f>HYPERLINK("https://esbl.nhlbi.nih.gov/Databases/mpkFractions/proteomic_fractions_linear_files/Yang_linear_img/295444881.jpg","show blot")</f>
        <v>show blot</v>
      </c>
      <c r="J7656" s="5" t="s">
        <v>15069</v>
      </c>
      <c r="L7656" s="11">
        <v>5.5922986188726664</v>
      </c>
      <c r="N7656" s="12"/>
    </row>
    <row r="7657" spans="1:14" s="5" customFormat="1" ht="15" customHeight="1" x14ac:dyDescent="0.25">
      <c r="A7657" s="9" t="s">
        <v>15070</v>
      </c>
      <c r="C7657" s="9" t="str">
        <f>HYPERLINK("http://www.ncbi.nlm.nih.gov/protein/295444883","Tnfaip8")</f>
        <v>Tnfaip8</v>
      </c>
      <c r="D7657" s="10">
        <f t="shared" si="119"/>
        <v>5.5922986188726664</v>
      </c>
      <c r="F7657" s="8" t="str">
        <f>HYPERLINK("https://esbl.nhlbi.nih.gov/Databases/mpkFractions/proteomic_fractions_log_files/Yang_log_img/295444883.jpg","show blot")</f>
        <v>show blot</v>
      </c>
      <c r="H7657" s="8" t="str">
        <f>HYPERLINK("https://esbl.nhlbi.nih.gov/Databases/mpkFractions/proteomic_fractions_linear_files/Yang_linear_img/295444883.jpg","show blot")</f>
        <v>show blot</v>
      </c>
      <c r="J7657" s="5" t="s">
        <v>15071</v>
      </c>
      <c r="L7657" s="11">
        <v>5.5922986188726664</v>
      </c>
      <c r="N7657" s="12"/>
    </row>
    <row r="7658" spans="1:14" s="5" customFormat="1" ht="15" customHeight="1" x14ac:dyDescent="0.25">
      <c r="A7658" s="9" t="s">
        <v>15072</v>
      </c>
      <c r="C7658" s="9" t="str">
        <f>HYPERLINK("http://www.ncbi.nlm.nih.gov/protein/31560244","Tnfaip8l1")</f>
        <v>Tnfaip8l1</v>
      </c>
      <c r="D7658" s="10">
        <f t="shared" si="119"/>
        <v>3.335420212028922</v>
      </c>
      <c r="F7658" s="8" t="str">
        <f>HYPERLINK("https://esbl.nhlbi.nih.gov/Databases/mpkFractions/proteomic_fractions_log_files/Yang_log_img/31560244.jpg","show blot")</f>
        <v>show blot</v>
      </c>
      <c r="H7658" s="8" t="str">
        <f>HYPERLINK("https://esbl.nhlbi.nih.gov/Databases/mpkFractions/proteomic_fractions_linear_files/Yang_linear_img/31560244.jpg","show blot")</f>
        <v>show blot</v>
      </c>
      <c r="J7658" s="5" t="s">
        <v>15073</v>
      </c>
      <c r="L7658" s="11">
        <v>3.335420212028922</v>
      </c>
      <c r="N7658" s="12"/>
    </row>
    <row r="7659" spans="1:14" s="5" customFormat="1" ht="15" customHeight="1" x14ac:dyDescent="0.25">
      <c r="A7659" s="9" t="s">
        <v>15074</v>
      </c>
      <c r="C7659" s="9" t="str">
        <f>HYPERLINK("http://www.ncbi.nlm.nih.gov/protein/244792359","Tnik")</f>
        <v>Tnik</v>
      </c>
      <c r="D7659" s="10">
        <f t="shared" si="119"/>
        <v>2.5303619411518361</v>
      </c>
      <c r="F7659" s="8" t="str">
        <f>HYPERLINK("https://esbl.nhlbi.nih.gov/Databases/mpkFractions/proteomic_fractions_log_files/Yang_log_img/244792359.jpg","show blot")</f>
        <v>show blot</v>
      </c>
      <c r="H7659" s="8" t="str">
        <f>HYPERLINK("https://esbl.nhlbi.nih.gov/Databases/mpkFractions/proteomic_fractions_linear_files/Yang_linear_img/244792359.jpg","show blot")</f>
        <v>show blot</v>
      </c>
      <c r="J7659" s="5" t="s">
        <v>15075</v>
      </c>
      <c r="L7659" s="11">
        <v>2.5303619411518361</v>
      </c>
      <c r="N7659" s="12"/>
    </row>
    <row r="7660" spans="1:14" s="5" customFormat="1" ht="15" customHeight="1" x14ac:dyDescent="0.25">
      <c r="A7660" s="9" t="s">
        <v>15076</v>
      </c>
      <c r="C7660" s="9" t="str">
        <f>HYPERLINK("http://www.ncbi.nlm.nih.gov/protein/244792600","Tnik")</f>
        <v>Tnik</v>
      </c>
      <c r="D7660" s="10">
        <f t="shared" si="119"/>
        <v>2.5303619411518361</v>
      </c>
      <c r="F7660" s="8" t="str">
        <f>HYPERLINK("https://esbl.nhlbi.nih.gov/Databases/mpkFractions/proteomic_fractions_log_files/Yang_log_img/244792600.jpg","show blot")</f>
        <v>show blot</v>
      </c>
      <c r="H7660" s="8" t="str">
        <f>HYPERLINK("https://esbl.nhlbi.nih.gov/Databases/mpkFractions/proteomic_fractions_linear_files/Yang_linear_img/244792600.jpg","show blot")</f>
        <v>show blot</v>
      </c>
      <c r="J7660" s="5" t="s">
        <v>15077</v>
      </c>
      <c r="L7660" s="11">
        <v>2.5303619411518361</v>
      </c>
      <c r="N7660" s="12"/>
    </row>
    <row r="7661" spans="1:14" s="5" customFormat="1" ht="15" customHeight="1" x14ac:dyDescent="0.25">
      <c r="A7661" s="9" t="s">
        <v>15078</v>
      </c>
      <c r="C7661" s="9" t="str">
        <f>HYPERLINK("http://www.ncbi.nlm.nih.gov/protein/244792613","Tnik")</f>
        <v>Tnik</v>
      </c>
      <c r="D7661" s="10">
        <f t="shared" si="119"/>
        <v>2.5303619411518361</v>
      </c>
      <c r="F7661" s="8" t="str">
        <f>HYPERLINK("https://esbl.nhlbi.nih.gov/Databases/mpkFractions/proteomic_fractions_log_files/Yang_log_img/244792613.jpg","show blot")</f>
        <v>show blot</v>
      </c>
      <c r="H7661" s="8" t="str">
        <f>HYPERLINK("https://esbl.nhlbi.nih.gov/Databases/mpkFractions/proteomic_fractions_linear_files/Yang_linear_img/244792613.jpg","show blot")</f>
        <v>show blot</v>
      </c>
      <c r="J7661" s="5" t="s">
        <v>15079</v>
      </c>
      <c r="L7661" s="11">
        <v>2.5303619411518361</v>
      </c>
      <c r="N7661" s="12"/>
    </row>
    <row r="7662" spans="1:14" s="5" customFormat="1" ht="15" customHeight="1" x14ac:dyDescent="0.25">
      <c r="A7662" s="9" t="s">
        <v>15080</v>
      </c>
      <c r="C7662" s="9" t="str">
        <f>HYPERLINK("http://www.ncbi.nlm.nih.gov/protein/244792650","Tnik")</f>
        <v>Tnik</v>
      </c>
      <c r="D7662" s="10">
        <f t="shared" si="119"/>
        <v>2.5303619411518361</v>
      </c>
      <c r="F7662" s="8" t="str">
        <f>HYPERLINK("https://esbl.nhlbi.nih.gov/Databases/mpkFractions/proteomic_fractions_log_files/Yang_log_img/244792650.jpg","show blot")</f>
        <v>show blot</v>
      </c>
      <c r="H7662" s="8" t="str">
        <f>HYPERLINK("https://esbl.nhlbi.nih.gov/Databases/mpkFractions/proteomic_fractions_linear_files/Yang_linear_img/244792650.jpg","show blot")</f>
        <v>show blot</v>
      </c>
      <c r="J7662" s="5" t="s">
        <v>15081</v>
      </c>
      <c r="L7662" s="11">
        <v>2.5303619411518361</v>
      </c>
      <c r="N7662" s="12"/>
    </row>
    <row r="7663" spans="1:14" s="5" customFormat="1" ht="15" customHeight="1" x14ac:dyDescent="0.25">
      <c r="A7663" s="9" t="s">
        <v>15082</v>
      </c>
      <c r="C7663" s="9" t="str">
        <f>HYPERLINK("http://www.ncbi.nlm.nih.gov/protein/254939617","Tnip1")</f>
        <v>Tnip1</v>
      </c>
      <c r="D7663" s="10">
        <f t="shared" si="119"/>
        <v>3.8670635108145031</v>
      </c>
      <c r="F7663" s="8" t="str">
        <f>HYPERLINK("https://esbl.nhlbi.nih.gov/Databases/mpkFractions/proteomic_fractions_log_files/Yang_log_img/254939617.jpg","show blot")</f>
        <v>show blot</v>
      </c>
      <c r="H7663" s="8" t="str">
        <f>HYPERLINK("https://esbl.nhlbi.nih.gov/Databases/mpkFractions/proteomic_fractions_linear_files/Yang_linear_img/254939617.jpg","show blot")</f>
        <v>show blot</v>
      </c>
      <c r="J7663" s="5" t="s">
        <v>15083</v>
      </c>
      <c r="L7663" s="11">
        <v>3.8670635108145031</v>
      </c>
      <c r="N7663" s="12"/>
    </row>
    <row r="7664" spans="1:14" s="5" customFormat="1" ht="15" customHeight="1" x14ac:dyDescent="0.25">
      <c r="A7664" s="9" t="s">
        <v>15084</v>
      </c>
      <c r="C7664" s="9" t="str">
        <f>HYPERLINK("http://www.ncbi.nlm.nih.gov/protein/407027872;313103031","Tnip1")</f>
        <v>Tnip1</v>
      </c>
      <c r="D7664" s="10">
        <f t="shared" si="119"/>
        <v>3.8670635108145031</v>
      </c>
      <c r="F7664" s="8" t="str">
        <f>HYPERLINK("https://esbl.nhlbi.nih.gov/Databases/mpkFractions/proteomic_fractions_log_files/Yang_log_img/407027872;313103031.jpg","show blot")</f>
        <v>show blot</v>
      </c>
      <c r="H7664" s="8" t="str">
        <f>HYPERLINK("https://esbl.nhlbi.nih.gov/Databases/mpkFractions/proteomic_fractions_linear_files/Yang_linear_img/407027872;313103031.jpg","show blot")</f>
        <v>show blot</v>
      </c>
      <c r="J7664" s="5" t="s">
        <v>15085</v>
      </c>
      <c r="L7664" s="11">
        <v>3.8670635108145031</v>
      </c>
      <c r="N7664" s="12"/>
    </row>
    <row r="7665" spans="1:14" s="5" customFormat="1" ht="15" customHeight="1" x14ac:dyDescent="0.25">
      <c r="A7665" s="9" t="s">
        <v>15086</v>
      </c>
      <c r="C7665" s="9" t="str">
        <f>HYPERLINK("http://www.ncbi.nlm.nih.gov/protein/407027874","Tnip1")</f>
        <v>Tnip1</v>
      </c>
      <c r="D7665" s="10">
        <f t="shared" si="119"/>
        <v>3.8670635108145031</v>
      </c>
      <c r="F7665" s="8" t="str">
        <f>HYPERLINK("https://esbl.nhlbi.nih.gov/Databases/mpkFractions/proteomic_fractions_log_files/Yang_log_img/407027874.jpg","show blot")</f>
        <v>show blot</v>
      </c>
      <c r="H7665" s="8" t="str">
        <f>HYPERLINK("https://esbl.nhlbi.nih.gov/Databases/mpkFractions/proteomic_fractions_linear_files/Yang_linear_img/407027874.jpg","show blot")</f>
        <v>show blot</v>
      </c>
      <c r="J7665" s="5" t="s">
        <v>15087</v>
      </c>
      <c r="L7665" s="11">
        <v>3.8670635108145031</v>
      </c>
      <c r="N7665" s="12"/>
    </row>
    <row r="7666" spans="1:14" s="5" customFormat="1" ht="15" customHeight="1" x14ac:dyDescent="0.25">
      <c r="A7666" s="9" t="s">
        <v>15088</v>
      </c>
      <c r="C7666" s="9" t="str">
        <f>HYPERLINK("http://www.ncbi.nlm.nih.gov/protein/124486923","Tnks1bp1")</f>
        <v>Tnks1bp1</v>
      </c>
      <c r="D7666" s="10">
        <f t="shared" si="119"/>
        <v>4.3897783704222597</v>
      </c>
      <c r="F7666" s="8" t="str">
        <f>HYPERLINK("https://esbl.nhlbi.nih.gov/Databases/mpkFractions/proteomic_fractions_log_files/Yang_log_img/124486923.jpg","show blot")</f>
        <v>show blot</v>
      </c>
      <c r="H7666" s="8" t="str">
        <f>HYPERLINK("https://esbl.nhlbi.nih.gov/Databases/mpkFractions/proteomic_fractions_linear_files/Yang_linear_img/124486923.jpg","show blot")</f>
        <v>show blot</v>
      </c>
      <c r="J7666" s="5" t="s">
        <v>15089</v>
      </c>
      <c r="L7666" s="11">
        <v>4.3897783704222597</v>
      </c>
      <c r="N7666" s="12"/>
    </row>
    <row r="7667" spans="1:14" s="5" customFormat="1" ht="15" customHeight="1" x14ac:dyDescent="0.25">
      <c r="A7667" s="9" t="s">
        <v>15090</v>
      </c>
      <c r="C7667" s="9" t="str">
        <f>HYPERLINK("http://www.ncbi.nlm.nih.gov/protein/6678391","Tnni2")</f>
        <v>Tnni2</v>
      </c>
      <c r="D7667" s="10">
        <f t="shared" si="119"/>
        <v>4.3608116760167936</v>
      </c>
      <c r="F7667" s="8" t="str">
        <f>HYPERLINK("https://esbl.nhlbi.nih.gov/Databases/mpkFractions/proteomic_fractions_log_files/Yang_log_img/6678391.jpg","show blot")</f>
        <v>show blot</v>
      </c>
      <c r="H7667" s="8" t="str">
        <f>HYPERLINK("https://esbl.nhlbi.nih.gov/Databases/mpkFractions/proteomic_fractions_linear_files/Yang_linear_img/6678391.jpg","show blot")</f>
        <v>show blot</v>
      </c>
      <c r="J7667" s="5" t="s">
        <v>15091</v>
      </c>
      <c r="L7667" s="11">
        <v>4.3608116760167936</v>
      </c>
      <c r="N7667" s="12"/>
    </row>
    <row r="7668" spans="1:14" s="5" customFormat="1" ht="15" customHeight="1" x14ac:dyDescent="0.25">
      <c r="A7668" s="9" t="s">
        <v>15092</v>
      </c>
      <c r="C7668" s="9" t="str">
        <f>HYPERLINK("http://www.ncbi.nlm.nih.gov/protein/115385966","Tnpo1")</f>
        <v>Tnpo1</v>
      </c>
      <c r="D7668" s="10">
        <f t="shared" si="119"/>
        <v>5.0950386723585721</v>
      </c>
      <c r="F7668" s="8" t="str">
        <f>HYPERLINK("https://esbl.nhlbi.nih.gov/Databases/mpkFractions/proteomic_fractions_log_files/Yang_log_img/115385966.jpg","show blot")</f>
        <v>show blot</v>
      </c>
      <c r="H7668" s="8" t="str">
        <f>HYPERLINK("https://esbl.nhlbi.nih.gov/Databases/mpkFractions/proteomic_fractions_linear_files/Yang_linear_img/115385966.jpg","show blot")</f>
        <v>show blot</v>
      </c>
      <c r="J7668" s="5" t="s">
        <v>15093</v>
      </c>
      <c r="L7668" s="11">
        <v>5.0950386723585721</v>
      </c>
      <c r="N7668" s="12"/>
    </row>
    <row r="7669" spans="1:14" s="5" customFormat="1" ht="15" customHeight="1" x14ac:dyDescent="0.25">
      <c r="A7669" s="9" t="s">
        <v>15094</v>
      </c>
      <c r="C7669" s="9" t="str">
        <f>HYPERLINK("http://www.ncbi.nlm.nih.gov/protein/115385968","Tnpo1")</f>
        <v>Tnpo1</v>
      </c>
      <c r="D7669" s="10">
        <f t="shared" si="119"/>
        <v>5.0950386723585721</v>
      </c>
      <c r="F7669" s="8" t="str">
        <f>HYPERLINK("https://esbl.nhlbi.nih.gov/Databases/mpkFractions/proteomic_fractions_log_files/Yang_log_img/115385968.jpg","show blot")</f>
        <v>show blot</v>
      </c>
      <c r="H7669" s="8" t="str">
        <f>HYPERLINK("https://esbl.nhlbi.nih.gov/Databases/mpkFractions/proteomic_fractions_linear_files/Yang_linear_img/115385968.jpg","show blot")</f>
        <v>show blot</v>
      </c>
      <c r="J7669" s="5" t="s">
        <v>15095</v>
      </c>
      <c r="L7669" s="11">
        <v>5.0950386723585721</v>
      </c>
      <c r="N7669" s="12"/>
    </row>
    <row r="7670" spans="1:14" s="5" customFormat="1" ht="15" customHeight="1" x14ac:dyDescent="0.25">
      <c r="A7670" s="9" t="s">
        <v>15096</v>
      </c>
      <c r="C7670" s="9" t="str">
        <f>HYPERLINK("http://www.ncbi.nlm.nih.gov/protein/170932528","Tnpo2")</f>
        <v>Tnpo2</v>
      </c>
      <c r="D7670" s="10">
        <f t="shared" si="119"/>
        <v>4.8650337031434407</v>
      </c>
      <c r="F7670" s="8" t="str">
        <f>HYPERLINK("https://esbl.nhlbi.nih.gov/Databases/mpkFractions/proteomic_fractions_log_files/Yang_log_img/170932528.jpg","show blot")</f>
        <v>show blot</v>
      </c>
      <c r="H7670" s="8" t="str">
        <f>HYPERLINK("https://esbl.nhlbi.nih.gov/Databases/mpkFractions/proteomic_fractions_linear_files/Yang_linear_img/170932528.jpg","show blot")</f>
        <v>show blot</v>
      </c>
      <c r="J7670" s="5" t="s">
        <v>15097</v>
      </c>
      <c r="L7670" s="11">
        <v>4.8650337031434407</v>
      </c>
      <c r="N7670" s="12"/>
    </row>
    <row r="7671" spans="1:14" s="5" customFormat="1" ht="15" customHeight="1" x14ac:dyDescent="0.25">
      <c r="A7671" s="9" t="s">
        <v>15098</v>
      </c>
      <c r="C7671" s="9" t="str">
        <f>HYPERLINK("http://www.ncbi.nlm.nih.gov/protein/54312056","Tnpo3")</f>
        <v>Tnpo3</v>
      </c>
      <c r="D7671" s="10">
        <f t="shared" si="119"/>
        <v>4.5715232858729058</v>
      </c>
      <c r="F7671" s="8" t="str">
        <f>HYPERLINK("https://esbl.nhlbi.nih.gov/Databases/mpkFractions/proteomic_fractions_log_files/Yang_log_img/54312056.jpg","show blot")</f>
        <v>show blot</v>
      </c>
      <c r="H7671" s="8" t="str">
        <f>HYPERLINK("https://esbl.nhlbi.nih.gov/Databases/mpkFractions/proteomic_fractions_linear_files/Yang_linear_img/54312056.jpg","show blot")</f>
        <v>show blot</v>
      </c>
      <c r="J7671" s="5" t="s">
        <v>15099</v>
      </c>
      <c r="L7671" s="11">
        <v>4.5715232858729058</v>
      </c>
      <c r="N7671" s="12"/>
    </row>
    <row r="7672" spans="1:14" s="5" customFormat="1" ht="15" customHeight="1" x14ac:dyDescent="0.25">
      <c r="A7672" s="9" t="s">
        <v>15100</v>
      </c>
      <c r="C7672" s="9" t="str">
        <f>HYPERLINK("http://www.ncbi.nlm.nih.gov/protein/159110982","Tnrc6b")</f>
        <v>Tnrc6b</v>
      </c>
      <c r="D7672" s="10">
        <f t="shared" si="119"/>
        <v>1.9678366398931011</v>
      </c>
      <c r="F7672" s="8" t="str">
        <f>HYPERLINK("https://esbl.nhlbi.nih.gov/Databases/mpkFractions/proteomic_fractions_log_files/Yang_log_img/159110982.jpg","show blot")</f>
        <v>show blot</v>
      </c>
      <c r="H7672" s="8" t="str">
        <f>HYPERLINK("https://esbl.nhlbi.nih.gov/Databases/mpkFractions/proteomic_fractions_linear_files/Yang_linear_img/159110982.jpg","show blot")</f>
        <v>show blot</v>
      </c>
      <c r="J7672" s="5" t="s">
        <v>15101</v>
      </c>
      <c r="L7672" s="11">
        <v>1.9678366398931011</v>
      </c>
      <c r="N7672" s="12"/>
    </row>
    <row r="7673" spans="1:14" s="5" customFormat="1" ht="15" customHeight="1" x14ac:dyDescent="0.25">
      <c r="A7673" s="9" t="s">
        <v>15102</v>
      </c>
      <c r="C7673" s="9" t="str">
        <f>HYPERLINK("http://www.ncbi.nlm.nih.gov/protein/67782332","Tnrc6b")</f>
        <v>Tnrc6b</v>
      </c>
      <c r="D7673" s="10">
        <f t="shared" si="119"/>
        <v>1.9678366398931011</v>
      </c>
      <c r="F7673" s="8" t="str">
        <f>HYPERLINK("https://esbl.nhlbi.nih.gov/Databases/mpkFractions/proteomic_fractions_log_files/Yang_log_img/67782332.jpg","show blot")</f>
        <v>show blot</v>
      </c>
      <c r="H7673" s="8" t="str">
        <f>HYPERLINK("https://esbl.nhlbi.nih.gov/Databases/mpkFractions/proteomic_fractions_linear_files/Yang_linear_img/67782332.jpg","show blot")</f>
        <v>show blot</v>
      </c>
      <c r="J7673" s="5" t="s">
        <v>15103</v>
      </c>
      <c r="L7673" s="11">
        <v>1.9678366398931011</v>
      </c>
      <c r="N7673" s="12"/>
    </row>
    <row r="7674" spans="1:14" s="5" customFormat="1" ht="15" customHeight="1" x14ac:dyDescent="0.25">
      <c r="A7674" s="9" t="s">
        <v>15104</v>
      </c>
      <c r="C7674" s="9" t="str">
        <f>HYPERLINK("http://www.ncbi.nlm.nih.gov/protein/124378035","Tnrc6c")</f>
        <v>Tnrc6c</v>
      </c>
      <c r="D7674" s="10" t="str">
        <f t="shared" si="119"/>
        <v>-</v>
      </c>
      <c r="F7674" s="8" t="str">
        <f>HYPERLINK("https://esbl.nhlbi.nih.gov/Databases/mpkFractions/proteomic_fractions_log_files/Yang_log_img/124378035.jpg","show blot")</f>
        <v>show blot</v>
      </c>
      <c r="H7674" s="8" t="str">
        <f>HYPERLINK("https://esbl.nhlbi.nih.gov/Databases/mpkFractions/proteomic_fractions_linear_files/Yang_linear_img/124378035.jpg","show blot")</f>
        <v>show blot</v>
      </c>
      <c r="J7674" s="5" t="s">
        <v>15105</v>
      </c>
      <c r="L7674" s="13" t="s">
        <v>389</v>
      </c>
      <c r="N7674" s="12"/>
    </row>
    <row r="7675" spans="1:14" s="5" customFormat="1" ht="15" customHeight="1" x14ac:dyDescent="0.25">
      <c r="A7675" s="9" t="s">
        <v>15106</v>
      </c>
      <c r="C7675" s="9" t="str">
        <f>HYPERLINK("http://www.ncbi.nlm.nih.gov/protein/226437589","Tns1")</f>
        <v>Tns1</v>
      </c>
      <c r="D7675" s="10">
        <f t="shared" si="119"/>
        <v>3.8918545726319071</v>
      </c>
      <c r="F7675" s="8" t="str">
        <f>HYPERLINK("https://esbl.nhlbi.nih.gov/Databases/mpkFractions/proteomic_fractions_log_files/Yang_log_img/226437589.jpg","show blot")</f>
        <v>show blot</v>
      </c>
      <c r="H7675" s="8" t="str">
        <f>HYPERLINK("https://esbl.nhlbi.nih.gov/Databases/mpkFractions/proteomic_fractions_linear_files/Yang_linear_img/226437589.jpg","show blot")</f>
        <v>show blot</v>
      </c>
      <c r="J7675" s="5" t="s">
        <v>15107</v>
      </c>
      <c r="L7675" s="11">
        <v>3.8918545726319071</v>
      </c>
      <c r="N7675" s="12"/>
    </row>
    <row r="7676" spans="1:14" s="5" customFormat="1" ht="15" customHeight="1" x14ac:dyDescent="0.25">
      <c r="A7676" s="9" t="s">
        <v>15108</v>
      </c>
      <c r="C7676" s="9" t="str">
        <f>HYPERLINK("http://www.ncbi.nlm.nih.gov/protein/134152676","Tns3")</f>
        <v>Tns3</v>
      </c>
      <c r="D7676" s="10">
        <f t="shared" si="119"/>
        <v>4.0631588052291194</v>
      </c>
      <c r="F7676" s="8" t="str">
        <f>HYPERLINK("https://esbl.nhlbi.nih.gov/Databases/mpkFractions/proteomic_fractions_log_files/Yang_log_img/134152676.jpg","show blot")</f>
        <v>show blot</v>
      </c>
      <c r="H7676" s="8" t="str">
        <f>HYPERLINK("https://esbl.nhlbi.nih.gov/Databases/mpkFractions/proteomic_fractions_linear_files/Yang_linear_img/134152676.jpg","show blot")</f>
        <v>show blot</v>
      </c>
      <c r="J7676" s="5" t="s">
        <v>15109</v>
      </c>
      <c r="L7676" s="11">
        <v>4.0631588052291194</v>
      </c>
      <c r="N7676" s="12"/>
    </row>
    <row r="7677" spans="1:14" s="5" customFormat="1" ht="15" customHeight="1" x14ac:dyDescent="0.25">
      <c r="A7677" s="9" t="s">
        <v>15110</v>
      </c>
      <c r="C7677" s="9" t="str">
        <f>HYPERLINK("http://www.ncbi.nlm.nih.gov/protein/21311839","Toe1")</f>
        <v>Toe1</v>
      </c>
      <c r="D7677" s="10">
        <f t="shared" si="119"/>
        <v>4.807856806525308</v>
      </c>
      <c r="F7677" s="8" t="str">
        <f>HYPERLINK("https://esbl.nhlbi.nih.gov/Databases/mpkFractions/proteomic_fractions_log_files/Yang_log_img/21311839.jpg","show blot")</f>
        <v>show blot</v>
      </c>
      <c r="H7677" s="8" t="str">
        <f>HYPERLINK("https://esbl.nhlbi.nih.gov/Databases/mpkFractions/proteomic_fractions_linear_files/Yang_linear_img/21311839.jpg","show blot")</f>
        <v>show blot</v>
      </c>
      <c r="J7677" s="5" t="s">
        <v>15111</v>
      </c>
      <c r="L7677" s="11">
        <v>4.807856806525308</v>
      </c>
      <c r="N7677" s="12"/>
    </row>
    <row r="7678" spans="1:14" s="5" customFormat="1" ht="15" customHeight="1" x14ac:dyDescent="0.25">
      <c r="A7678" s="9" t="s">
        <v>15112</v>
      </c>
      <c r="C7678" s="9" t="str">
        <f>HYPERLINK("http://www.ncbi.nlm.nih.gov/protein/13591860","Tollip")</f>
        <v>Tollip</v>
      </c>
      <c r="D7678" s="10">
        <f t="shared" si="119"/>
        <v>4.2868579154461104</v>
      </c>
      <c r="F7678" s="8" t="str">
        <f>HYPERLINK("https://esbl.nhlbi.nih.gov/Databases/mpkFractions/proteomic_fractions_log_files/Yang_log_img/13591860.jpg","show blot")</f>
        <v>show blot</v>
      </c>
      <c r="H7678" s="8" t="str">
        <f>HYPERLINK("https://esbl.nhlbi.nih.gov/Databases/mpkFractions/proteomic_fractions_linear_files/Yang_linear_img/13591860.jpg","show blot")</f>
        <v>show blot</v>
      </c>
      <c r="J7678" s="5" t="s">
        <v>15113</v>
      </c>
      <c r="L7678" s="11">
        <v>4.2868579154461104</v>
      </c>
      <c r="N7678" s="12"/>
    </row>
    <row r="7679" spans="1:14" s="5" customFormat="1" ht="15" customHeight="1" x14ac:dyDescent="0.25">
      <c r="A7679" s="9" t="s">
        <v>15114</v>
      </c>
      <c r="C7679" s="9" t="str">
        <f>HYPERLINK("http://www.ncbi.nlm.nih.gov/protein/210147426","Tom1")</f>
        <v>Tom1</v>
      </c>
      <c r="D7679" s="10">
        <f t="shared" si="119"/>
        <v>4.3786983237406742</v>
      </c>
      <c r="F7679" s="8" t="str">
        <f>HYPERLINK("https://esbl.nhlbi.nih.gov/Databases/mpkFractions/proteomic_fractions_log_files/Yang_log_img/210147426.jpg","show blot")</f>
        <v>show blot</v>
      </c>
      <c r="H7679" s="8" t="str">
        <f>HYPERLINK("https://esbl.nhlbi.nih.gov/Databases/mpkFractions/proteomic_fractions_linear_files/Yang_linear_img/210147426.jpg","show blot")</f>
        <v>show blot</v>
      </c>
      <c r="J7679" s="5" t="s">
        <v>15115</v>
      </c>
      <c r="L7679" s="11">
        <v>4.3786983237406742</v>
      </c>
      <c r="N7679" s="12"/>
    </row>
    <row r="7680" spans="1:14" s="5" customFormat="1" ht="15" customHeight="1" x14ac:dyDescent="0.25">
      <c r="A7680" s="9" t="s">
        <v>15116</v>
      </c>
      <c r="C7680" s="9" t="str">
        <f>HYPERLINK("http://www.ncbi.nlm.nih.gov/protein/6755847","Tom1")</f>
        <v>Tom1</v>
      </c>
      <c r="D7680" s="10">
        <f t="shared" si="119"/>
        <v>4.3786983237406742</v>
      </c>
      <c r="F7680" s="8" t="str">
        <f>HYPERLINK("https://esbl.nhlbi.nih.gov/Databases/mpkFractions/proteomic_fractions_log_files/Yang_log_img/6755847.jpg","show blot")</f>
        <v>show blot</v>
      </c>
      <c r="H7680" s="8" t="str">
        <f>HYPERLINK("https://esbl.nhlbi.nih.gov/Databases/mpkFractions/proteomic_fractions_linear_files/Yang_linear_img/6755847.jpg","show blot")</f>
        <v>show blot</v>
      </c>
      <c r="J7680" s="5" t="s">
        <v>15117</v>
      </c>
      <c r="L7680" s="11">
        <v>4.3786983237406742</v>
      </c>
      <c r="N7680" s="12"/>
    </row>
    <row r="7681" spans="1:14" s="5" customFormat="1" ht="15" customHeight="1" x14ac:dyDescent="0.25">
      <c r="A7681" s="9" t="s">
        <v>15118</v>
      </c>
      <c r="C7681" s="9" t="str">
        <f>HYPERLINK("http://www.ncbi.nlm.nih.gov/protein/110625896","Tom1l1")</f>
        <v>Tom1l1</v>
      </c>
      <c r="D7681" s="10">
        <f t="shared" si="119"/>
        <v>5.889575255187685</v>
      </c>
      <c r="F7681" s="8" t="str">
        <f>HYPERLINK("https://esbl.nhlbi.nih.gov/Databases/mpkFractions/proteomic_fractions_log_files/Yang_log_img/110625896.jpg","show blot")</f>
        <v>show blot</v>
      </c>
      <c r="H7681" s="8" t="str">
        <f>HYPERLINK("https://esbl.nhlbi.nih.gov/Databases/mpkFractions/proteomic_fractions_linear_files/Yang_linear_img/110625896.jpg","show blot")</f>
        <v>show blot</v>
      </c>
      <c r="J7681" s="5" t="s">
        <v>15119</v>
      </c>
      <c r="L7681" s="11">
        <v>5.889575255187685</v>
      </c>
      <c r="N7681" s="12"/>
    </row>
    <row r="7682" spans="1:14" s="5" customFormat="1" ht="15" customHeight="1" x14ac:dyDescent="0.25">
      <c r="A7682" s="9" t="s">
        <v>15120</v>
      </c>
      <c r="C7682" s="9" t="str">
        <f>HYPERLINK("http://www.ncbi.nlm.nih.gov/protein/31982091","Tomm22")</f>
        <v>Tomm22</v>
      </c>
      <c r="D7682" s="10">
        <f t="shared" si="119"/>
        <v>5.3066540301480734</v>
      </c>
      <c r="F7682" s="8" t="str">
        <f>HYPERLINK("https://esbl.nhlbi.nih.gov/Databases/mpkFractions/proteomic_fractions_log_files/Yang_log_img/31982091.jpg","show blot")</f>
        <v>show blot</v>
      </c>
      <c r="H7682" s="8" t="str">
        <f>HYPERLINK("https://esbl.nhlbi.nih.gov/Databases/mpkFractions/proteomic_fractions_linear_files/Yang_linear_img/31982091.jpg","show blot")</f>
        <v>show blot</v>
      </c>
      <c r="J7682" s="5" t="s">
        <v>15121</v>
      </c>
      <c r="L7682" s="11">
        <v>5.3066540301480734</v>
      </c>
      <c r="N7682" s="12"/>
    </row>
    <row r="7683" spans="1:14" s="5" customFormat="1" ht="15" customHeight="1" x14ac:dyDescent="0.25">
      <c r="A7683" s="9" t="s">
        <v>15122</v>
      </c>
      <c r="C7683" s="9" t="str">
        <f>HYPERLINK("http://www.ncbi.nlm.nih.gov/protein/13385500","Tomm34")</f>
        <v>Tomm34</v>
      </c>
      <c r="D7683" s="10">
        <f t="shared" si="119"/>
        <v>5.5228305060653309</v>
      </c>
      <c r="F7683" s="8" t="str">
        <f>HYPERLINK("https://esbl.nhlbi.nih.gov/Databases/mpkFractions/proteomic_fractions_log_files/Yang_log_img/13385500.jpg","show blot")</f>
        <v>show blot</v>
      </c>
      <c r="H7683" s="8" t="str">
        <f>HYPERLINK("https://esbl.nhlbi.nih.gov/Databases/mpkFractions/proteomic_fractions_linear_files/Yang_linear_img/13385500.jpg","show blot")</f>
        <v>show blot</v>
      </c>
      <c r="J7683" s="5" t="s">
        <v>15123</v>
      </c>
      <c r="L7683" s="11">
        <v>5.5228305060653309</v>
      </c>
      <c r="N7683" s="12"/>
    </row>
    <row r="7684" spans="1:14" s="5" customFormat="1" ht="15" customHeight="1" x14ac:dyDescent="0.25">
      <c r="A7684" s="9" t="s">
        <v>15124</v>
      </c>
      <c r="C7684" s="9" t="str">
        <f>HYPERLINK("http://www.ncbi.nlm.nih.gov/protein/157909797","Tomm40")</f>
        <v>Tomm40</v>
      </c>
      <c r="D7684" s="10">
        <f t="shared" si="119"/>
        <v>5.0962645998261511</v>
      </c>
      <c r="F7684" s="8" t="str">
        <f>HYPERLINK("https://esbl.nhlbi.nih.gov/Databases/mpkFractions/proteomic_fractions_log_files/Yang_log_img/157909797.jpg","show blot")</f>
        <v>show blot</v>
      </c>
      <c r="H7684" s="8" t="str">
        <f>HYPERLINK("https://esbl.nhlbi.nih.gov/Databases/mpkFractions/proteomic_fractions_linear_files/Yang_linear_img/157909797.jpg","show blot")</f>
        <v>show blot</v>
      </c>
      <c r="J7684" s="5" t="s">
        <v>15125</v>
      </c>
      <c r="L7684" s="11">
        <v>5.0962645998261511</v>
      </c>
      <c r="N7684" s="12"/>
    </row>
    <row r="7685" spans="1:14" s="5" customFormat="1" ht="15" customHeight="1" x14ac:dyDescent="0.25">
      <c r="A7685" s="9" t="s">
        <v>15126</v>
      </c>
      <c r="C7685" s="9" t="str">
        <f>HYPERLINK("http://www.ncbi.nlm.nih.gov/protein/153791486","Tomm5")</f>
        <v>Tomm5</v>
      </c>
      <c r="D7685" s="10">
        <f t="shared" ref="D7685:D7748" si="120">L7685</f>
        <v>5.1410257494366114</v>
      </c>
      <c r="F7685" s="8" t="str">
        <f>HYPERLINK("https://esbl.nhlbi.nih.gov/Databases/mpkFractions/proteomic_fractions_log_files/Yang_log_img/153791486.jpg","show blot")</f>
        <v>show blot</v>
      </c>
      <c r="H7685" s="8" t="str">
        <f>HYPERLINK("https://esbl.nhlbi.nih.gov/Databases/mpkFractions/proteomic_fractions_linear_files/Yang_linear_img/153791486.jpg","show blot")</f>
        <v>show blot</v>
      </c>
      <c r="J7685" s="5" t="s">
        <v>15127</v>
      </c>
      <c r="L7685" s="11">
        <v>5.1410257494366114</v>
      </c>
      <c r="N7685" s="12"/>
    </row>
    <row r="7686" spans="1:14" s="5" customFormat="1" ht="15" customHeight="1" x14ac:dyDescent="0.25">
      <c r="A7686" s="9" t="s">
        <v>15128</v>
      </c>
      <c r="C7686" s="9" t="str">
        <f>HYPERLINK("http://www.ncbi.nlm.nih.gov/protein/197382455","Tomm5")</f>
        <v>Tomm5</v>
      </c>
      <c r="D7686" s="10">
        <f t="shared" si="120"/>
        <v>5.1410257494366114</v>
      </c>
      <c r="F7686" s="8" t="str">
        <f>HYPERLINK("https://esbl.nhlbi.nih.gov/Databases/mpkFractions/proteomic_fractions_log_files/Yang_log_img/197382455.jpg","show blot")</f>
        <v>show blot</v>
      </c>
      <c r="H7686" s="8" t="str">
        <f>HYPERLINK("https://esbl.nhlbi.nih.gov/Databases/mpkFractions/proteomic_fractions_linear_files/Yang_linear_img/197382455.jpg","show blot")</f>
        <v>show blot</v>
      </c>
      <c r="J7686" s="5" t="s">
        <v>15129</v>
      </c>
      <c r="L7686" s="11">
        <v>5.1410257494366114</v>
      </c>
      <c r="N7686" s="12"/>
    </row>
    <row r="7687" spans="1:14" s="5" customFormat="1" ht="15" customHeight="1" x14ac:dyDescent="0.25">
      <c r="A7687" s="9" t="s">
        <v>15130</v>
      </c>
      <c r="C7687" s="9" t="str">
        <f>HYPERLINK("http://www.ncbi.nlm.nih.gov/protein/21313592","Tomm7")</f>
        <v>Tomm7</v>
      </c>
      <c r="D7687" s="10">
        <f t="shared" si="120"/>
        <v>5.1567968410149376</v>
      </c>
      <c r="F7687" s="8" t="str">
        <f>HYPERLINK("https://esbl.nhlbi.nih.gov/Databases/mpkFractions/proteomic_fractions_log_files/Yang_log_img/21313592.jpg","show blot")</f>
        <v>show blot</v>
      </c>
      <c r="H7687" s="8" t="str">
        <f>HYPERLINK("https://esbl.nhlbi.nih.gov/Databases/mpkFractions/proteomic_fractions_linear_files/Yang_linear_img/21313592.jpg","show blot")</f>
        <v>show blot</v>
      </c>
      <c r="J7687" s="5" t="s">
        <v>15131</v>
      </c>
      <c r="L7687" s="11">
        <v>5.1567968410149376</v>
      </c>
      <c r="N7687" s="12"/>
    </row>
    <row r="7688" spans="1:14" s="5" customFormat="1" ht="15" customHeight="1" x14ac:dyDescent="0.25">
      <c r="A7688" s="9" t="s">
        <v>15132</v>
      </c>
      <c r="C7688" s="9" t="str">
        <f>HYPERLINK("http://www.ncbi.nlm.nih.gov/protein/27552760","Tomm70a")</f>
        <v>Tomm70a</v>
      </c>
      <c r="D7688" s="10">
        <f t="shared" si="120"/>
        <v>5.0798126119335869</v>
      </c>
      <c r="F7688" s="8" t="str">
        <f>HYPERLINK("https://esbl.nhlbi.nih.gov/Databases/mpkFractions/proteomic_fractions_log_files/Yang_log_img/27552760.jpg","show blot")</f>
        <v>show blot</v>
      </c>
      <c r="H7688" s="8" t="str">
        <f>HYPERLINK("https://esbl.nhlbi.nih.gov/Databases/mpkFractions/proteomic_fractions_linear_files/Yang_linear_img/27552760.jpg","show blot")</f>
        <v>show blot</v>
      </c>
      <c r="J7688" s="5" t="s">
        <v>15133</v>
      </c>
      <c r="L7688" s="11">
        <v>5.0798126119335869</v>
      </c>
      <c r="N7688" s="12"/>
    </row>
    <row r="7689" spans="1:14" s="5" customFormat="1" ht="15" customHeight="1" x14ac:dyDescent="0.25">
      <c r="A7689" s="9" t="s">
        <v>15134</v>
      </c>
      <c r="C7689" s="9" t="str">
        <f>HYPERLINK("http://www.ncbi.nlm.nih.gov/protein/187608797","Tonsl")</f>
        <v>Tonsl</v>
      </c>
      <c r="D7689" s="10">
        <f t="shared" si="120"/>
        <v>4.1310993314475573</v>
      </c>
      <c r="F7689" s="8" t="str">
        <f>HYPERLINK("https://esbl.nhlbi.nih.gov/Databases/mpkFractions/proteomic_fractions_log_files/Yang_log_img/187608797.jpg","show blot")</f>
        <v>show blot</v>
      </c>
      <c r="H7689" s="8" t="str">
        <f>HYPERLINK("https://esbl.nhlbi.nih.gov/Databases/mpkFractions/proteomic_fractions_linear_files/Yang_linear_img/187608797.jpg","show blot")</f>
        <v>show blot</v>
      </c>
      <c r="J7689" s="5" t="s">
        <v>15135</v>
      </c>
      <c r="L7689" s="11">
        <v>4.1310993314475573</v>
      </c>
      <c r="N7689" s="12"/>
    </row>
    <row r="7690" spans="1:14" s="5" customFormat="1" ht="15" customHeight="1" x14ac:dyDescent="0.25">
      <c r="A7690" s="9" t="s">
        <v>15136</v>
      </c>
      <c r="C7690" s="9" t="str">
        <f>HYPERLINK("http://www.ncbi.nlm.nih.gov/protein/112734855","Top1")</f>
        <v>Top1</v>
      </c>
      <c r="D7690" s="10">
        <f t="shared" si="120"/>
        <v>5.3282071086379101</v>
      </c>
      <c r="F7690" s="8" t="str">
        <f>HYPERLINK("https://esbl.nhlbi.nih.gov/Databases/mpkFractions/proteomic_fractions_log_files/Yang_log_img/112734855.jpg","show blot")</f>
        <v>show blot</v>
      </c>
      <c r="H7690" s="8" t="str">
        <f>HYPERLINK("https://esbl.nhlbi.nih.gov/Databases/mpkFractions/proteomic_fractions_linear_files/Yang_linear_img/112734855.jpg","show blot")</f>
        <v>show blot</v>
      </c>
      <c r="J7690" s="5" t="s">
        <v>15137</v>
      </c>
      <c r="L7690" s="11">
        <v>5.3282071086379101</v>
      </c>
      <c r="N7690" s="12"/>
    </row>
    <row r="7691" spans="1:14" s="5" customFormat="1" ht="15" customHeight="1" x14ac:dyDescent="0.25">
      <c r="A7691" s="9" t="s">
        <v>15138</v>
      </c>
      <c r="C7691" s="9" t="str">
        <f>HYPERLINK("http://www.ncbi.nlm.nih.gov/protein/50657345","Top1mt")</f>
        <v>Top1mt</v>
      </c>
      <c r="D7691" s="10">
        <f t="shared" si="120"/>
        <v>3.9323077034855638</v>
      </c>
      <c r="F7691" s="8" t="str">
        <f>HYPERLINK("https://esbl.nhlbi.nih.gov/Databases/mpkFractions/proteomic_fractions_log_files/Yang_log_img/50657345.jpg","show blot")</f>
        <v>show blot</v>
      </c>
      <c r="H7691" s="8" t="str">
        <f>HYPERLINK("https://esbl.nhlbi.nih.gov/Databases/mpkFractions/proteomic_fractions_linear_files/Yang_linear_img/50657345.jpg","show blot")</f>
        <v>show blot</v>
      </c>
      <c r="J7691" s="5" t="s">
        <v>15139</v>
      </c>
      <c r="L7691" s="11">
        <v>3.9323077034855638</v>
      </c>
      <c r="N7691" s="12"/>
    </row>
    <row r="7692" spans="1:14" s="5" customFormat="1" ht="15" customHeight="1" x14ac:dyDescent="0.25">
      <c r="A7692" s="9" t="s">
        <v>15140</v>
      </c>
      <c r="C7692" s="9" t="str">
        <f>HYPERLINK("http://www.ncbi.nlm.nih.gov/protein/153945749","Top2a")</f>
        <v>Top2a</v>
      </c>
      <c r="D7692" s="10">
        <f t="shared" si="120"/>
        <v>2.641383705017581</v>
      </c>
      <c r="F7692" s="8" t="str">
        <f>HYPERLINK("https://esbl.nhlbi.nih.gov/Databases/mpkFractions/proteomic_fractions_log_files/Yang_log_img/153945749.jpg","show blot")</f>
        <v>show blot</v>
      </c>
      <c r="H7692" s="8" t="str">
        <f>HYPERLINK("https://esbl.nhlbi.nih.gov/Databases/mpkFractions/proteomic_fractions_linear_files/Yang_linear_img/153945749.jpg","show blot")</f>
        <v>show blot</v>
      </c>
      <c r="J7692" s="5" t="s">
        <v>15141</v>
      </c>
      <c r="L7692" s="11">
        <v>2.641383705017581</v>
      </c>
      <c r="N7692" s="12"/>
    </row>
    <row r="7693" spans="1:14" s="5" customFormat="1" ht="15" customHeight="1" x14ac:dyDescent="0.25">
      <c r="A7693" s="9" t="s">
        <v>15142</v>
      </c>
      <c r="C7693" s="9" t="str">
        <f>HYPERLINK("http://www.ncbi.nlm.nih.gov/protein/34328148","Top2b")</f>
        <v>Top2b</v>
      </c>
      <c r="D7693" s="10">
        <f t="shared" si="120"/>
        <v>4.0736309093008209</v>
      </c>
      <c r="F7693" s="8" t="str">
        <f>HYPERLINK("https://esbl.nhlbi.nih.gov/Databases/mpkFractions/proteomic_fractions_log_files/Yang_log_img/34328148.jpg","show blot")</f>
        <v>show blot</v>
      </c>
      <c r="H7693" s="8" t="str">
        <f>HYPERLINK("https://esbl.nhlbi.nih.gov/Databases/mpkFractions/proteomic_fractions_linear_files/Yang_linear_img/34328148.jpg","show blot")</f>
        <v>show blot</v>
      </c>
      <c r="J7693" s="5" t="s">
        <v>15143</v>
      </c>
      <c r="L7693" s="11">
        <v>4.0736309093008209</v>
      </c>
      <c r="N7693" s="12"/>
    </row>
    <row r="7694" spans="1:14" s="5" customFormat="1" ht="15" customHeight="1" x14ac:dyDescent="0.25">
      <c r="A7694" s="9" t="s">
        <v>15144</v>
      </c>
      <c r="C7694" s="9" t="str">
        <f>HYPERLINK("http://www.ncbi.nlm.nih.gov/protein/6678403","Top3a")</f>
        <v>Top3a</v>
      </c>
      <c r="D7694" s="10">
        <f t="shared" si="120"/>
        <v>3.448048971589905</v>
      </c>
      <c r="F7694" s="8" t="str">
        <f>HYPERLINK("https://esbl.nhlbi.nih.gov/Databases/mpkFractions/proteomic_fractions_log_files/Yang_log_img/6678403.jpg","show blot")</f>
        <v>show blot</v>
      </c>
      <c r="H7694" s="8" t="str">
        <f>HYPERLINK("https://esbl.nhlbi.nih.gov/Databases/mpkFractions/proteomic_fractions_linear_files/Yang_linear_img/6678403.jpg","show blot")</f>
        <v>show blot</v>
      </c>
      <c r="J7694" s="5" t="s">
        <v>15145</v>
      </c>
      <c r="L7694" s="11">
        <v>3.448048971589905</v>
      </c>
      <c r="N7694" s="12"/>
    </row>
    <row r="7695" spans="1:14" s="5" customFormat="1" ht="15" customHeight="1" x14ac:dyDescent="0.25">
      <c r="A7695" s="9" t="s">
        <v>15146</v>
      </c>
      <c r="C7695" s="9" t="str">
        <f>HYPERLINK("http://www.ncbi.nlm.nih.gov/protein/6755851","Top3b")</f>
        <v>Top3b</v>
      </c>
      <c r="D7695" s="10">
        <f t="shared" si="120"/>
        <v>4.5730233623886321</v>
      </c>
      <c r="F7695" s="8" t="str">
        <f>HYPERLINK("https://esbl.nhlbi.nih.gov/Databases/mpkFractions/proteomic_fractions_log_files/Yang_log_img/6755851.jpg","show blot")</f>
        <v>show blot</v>
      </c>
      <c r="H7695" s="8" t="str">
        <f>HYPERLINK("https://esbl.nhlbi.nih.gov/Databases/mpkFractions/proteomic_fractions_linear_files/Yang_linear_img/6755851.jpg","show blot")</f>
        <v>show blot</v>
      </c>
      <c r="J7695" s="5" t="s">
        <v>15147</v>
      </c>
      <c r="L7695" s="11">
        <v>4.5730233623886321</v>
      </c>
      <c r="N7695" s="12"/>
    </row>
    <row r="7696" spans="1:14" s="5" customFormat="1" ht="15" customHeight="1" x14ac:dyDescent="0.25">
      <c r="A7696" s="9" t="s">
        <v>15148</v>
      </c>
      <c r="C7696" s="9" t="str">
        <f>HYPERLINK("http://www.ncbi.nlm.nih.gov/protein/21450255","Tor1a")</f>
        <v>Tor1a</v>
      </c>
      <c r="D7696" s="10">
        <f t="shared" si="120"/>
        <v>4.0213874329282584</v>
      </c>
      <c r="F7696" s="8" t="str">
        <f>HYPERLINK("https://esbl.nhlbi.nih.gov/Databases/mpkFractions/proteomic_fractions_log_files/Yang_log_img/21450255.jpg","show blot")</f>
        <v>show blot</v>
      </c>
      <c r="H7696" s="8" t="str">
        <f>HYPERLINK("https://esbl.nhlbi.nih.gov/Databases/mpkFractions/proteomic_fractions_linear_files/Yang_linear_img/21450255.jpg","show blot")</f>
        <v>show blot</v>
      </c>
      <c r="J7696" s="5" t="s">
        <v>15149</v>
      </c>
      <c r="L7696" s="11">
        <v>4.0213874329282584</v>
      </c>
      <c r="N7696" s="12"/>
    </row>
    <row r="7697" spans="1:14" s="5" customFormat="1" ht="15" customHeight="1" x14ac:dyDescent="0.25">
      <c r="A7697" s="9" t="s">
        <v>15150</v>
      </c>
      <c r="C7697" s="9" t="str">
        <f>HYPERLINK("http://www.ncbi.nlm.nih.gov/protein/229608948","Tor1aip1")</f>
        <v>Tor1aip1</v>
      </c>
      <c r="D7697" s="10">
        <f t="shared" si="120"/>
        <v>3.9747806439958322</v>
      </c>
      <c r="F7697" s="8" t="str">
        <f>HYPERLINK("https://esbl.nhlbi.nih.gov/Databases/mpkFractions/proteomic_fractions_log_files/Yang_log_img/229608948.jpg","show blot")</f>
        <v>show blot</v>
      </c>
      <c r="H7697" s="8" t="str">
        <f>HYPERLINK("https://esbl.nhlbi.nih.gov/Databases/mpkFractions/proteomic_fractions_linear_files/Yang_linear_img/229608948.jpg","show blot")</f>
        <v>show blot</v>
      </c>
      <c r="J7697" s="5" t="s">
        <v>15151</v>
      </c>
      <c r="L7697" s="11">
        <v>3.9747806439958322</v>
      </c>
      <c r="N7697" s="12"/>
    </row>
    <row r="7698" spans="1:14" s="5" customFormat="1" ht="15" customHeight="1" x14ac:dyDescent="0.25">
      <c r="A7698" s="9" t="s">
        <v>15152</v>
      </c>
      <c r="C7698" s="9" t="str">
        <f>HYPERLINK("http://www.ncbi.nlm.nih.gov/protein/229608944","Tor1aip1")</f>
        <v>Tor1aip1</v>
      </c>
      <c r="D7698" s="10">
        <f t="shared" si="120"/>
        <v>3.9747806439958322</v>
      </c>
      <c r="F7698" s="8" t="str">
        <f>HYPERLINK("https://esbl.nhlbi.nih.gov/Databases/mpkFractions/proteomic_fractions_log_files/Yang_log_img/229608944.jpg","show blot")</f>
        <v>show blot</v>
      </c>
      <c r="H7698" s="8" t="str">
        <f>HYPERLINK("https://esbl.nhlbi.nih.gov/Databases/mpkFractions/proteomic_fractions_linear_files/Yang_linear_img/229608944.jpg","show blot")</f>
        <v>show blot</v>
      </c>
      <c r="J7698" s="5" t="s">
        <v>15153</v>
      </c>
      <c r="L7698" s="11">
        <v>3.9747806439958322</v>
      </c>
      <c r="N7698" s="12"/>
    </row>
    <row r="7699" spans="1:14" s="5" customFormat="1" ht="15" customHeight="1" x14ac:dyDescent="0.25">
      <c r="A7699" s="9" t="s">
        <v>15154</v>
      </c>
      <c r="C7699" s="9" t="str">
        <f>HYPERLINK("http://www.ncbi.nlm.nih.gov/protein/229608946","Tor1aip1")</f>
        <v>Tor1aip1</v>
      </c>
      <c r="D7699" s="10">
        <f t="shared" si="120"/>
        <v>3.9747806439958322</v>
      </c>
      <c r="F7699" s="8" t="str">
        <f>HYPERLINK("https://esbl.nhlbi.nih.gov/Databases/mpkFractions/proteomic_fractions_log_files/Yang_log_img/229608946.jpg","show blot")</f>
        <v>show blot</v>
      </c>
      <c r="H7699" s="8" t="str">
        <f>HYPERLINK("https://esbl.nhlbi.nih.gov/Databases/mpkFractions/proteomic_fractions_linear_files/Yang_linear_img/229608946.jpg","show blot")</f>
        <v>show blot</v>
      </c>
      <c r="J7699" s="5" t="s">
        <v>15155</v>
      </c>
      <c r="L7699" s="11">
        <v>3.9747806439958322</v>
      </c>
      <c r="N7699" s="12"/>
    </row>
    <row r="7700" spans="1:14" s="5" customFormat="1" ht="15" customHeight="1" x14ac:dyDescent="0.25">
      <c r="A7700" s="9" t="s">
        <v>15156</v>
      </c>
      <c r="C7700" s="9" t="str">
        <f>HYPERLINK("http://www.ncbi.nlm.nih.gov/protein/229892347","Tor1aip2")</f>
        <v>Tor1aip2</v>
      </c>
      <c r="D7700" s="10">
        <f t="shared" si="120"/>
        <v>3.7768198990371231</v>
      </c>
      <c r="F7700" s="8" t="str">
        <f>HYPERLINK("https://esbl.nhlbi.nih.gov/Databases/mpkFractions/proteomic_fractions_log_files/Yang_log_img/229892347.jpg","show blot")</f>
        <v>show blot</v>
      </c>
      <c r="H7700" s="8" t="str">
        <f>HYPERLINK("https://esbl.nhlbi.nih.gov/Databases/mpkFractions/proteomic_fractions_linear_files/Yang_linear_img/229892347.jpg","show blot")</f>
        <v>show blot</v>
      </c>
      <c r="J7700" s="5" t="s">
        <v>15157</v>
      </c>
      <c r="L7700" s="11">
        <v>3.7768198990371231</v>
      </c>
      <c r="N7700" s="12"/>
    </row>
    <row r="7701" spans="1:14" s="5" customFormat="1" ht="15" customHeight="1" x14ac:dyDescent="0.25">
      <c r="A7701" s="9" t="s">
        <v>15158</v>
      </c>
      <c r="C7701" s="9" t="str">
        <f>HYPERLINK("http://www.ncbi.nlm.nih.gov/protein/11612513","Tor1aip2")</f>
        <v>Tor1aip2</v>
      </c>
      <c r="D7701" s="10">
        <f t="shared" si="120"/>
        <v>3.7768198990371231</v>
      </c>
      <c r="F7701" s="8" t="str">
        <f>HYPERLINK("https://esbl.nhlbi.nih.gov/Databases/mpkFractions/proteomic_fractions_log_files/Yang_log_img/11612513.jpg","show blot")</f>
        <v>show blot</v>
      </c>
      <c r="H7701" s="8" t="str">
        <f>HYPERLINK("https://esbl.nhlbi.nih.gov/Databases/mpkFractions/proteomic_fractions_linear_files/Yang_linear_img/11612513.jpg","show blot")</f>
        <v>show blot</v>
      </c>
      <c r="J7701" s="5" t="s">
        <v>15159</v>
      </c>
      <c r="L7701" s="11">
        <v>3.7768198990371231</v>
      </c>
      <c r="N7701" s="12"/>
    </row>
    <row r="7702" spans="1:14" s="5" customFormat="1" ht="15" customHeight="1" x14ac:dyDescent="0.25">
      <c r="A7702" s="9" t="s">
        <v>15160</v>
      </c>
      <c r="C7702" s="9" t="str">
        <f>HYPERLINK("http://www.ncbi.nlm.nih.gov/protein/31559990","Tor1b")</f>
        <v>Tor1b</v>
      </c>
      <c r="D7702" s="10">
        <f t="shared" si="120"/>
        <v>4.485652681809178</v>
      </c>
      <c r="F7702" s="8" t="str">
        <f>HYPERLINK("https://esbl.nhlbi.nih.gov/Databases/mpkFractions/proteomic_fractions_log_files/Yang_log_img/31559990.jpg","show blot")</f>
        <v>show blot</v>
      </c>
      <c r="H7702" s="8" t="str">
        <f>HYPERLINK("https://esbl.nhlbi.nih.gov/Databases/mpkFractions/proteomic_fractions_linear_files/Yang_linear_img/31559990.jpg","show blot")</f>
        <v>show blot</v>
      </c>
      <c r="J7702" s="5" t="s">
        <v>15161</v>
      </c>
      <c r="L7702" s="11">
        <v>4.485652681809178</v>
      </c>
      <c r="N7702" s="12"/>
    </row>
    <row r="7703" spans="1:14" s="5" customFormat="1" ht="15" customHeight="1" x14ac:dyDescent="0.25">
      <c r="A7703" s="9" t="s">
        <v>15162</v>
      </c>
      <c r="C7703" s="9" t="str">
        <f>HYPERLINK("http://www.ncbi.nlm.nih.gov/protein/22779883","Tor2a")</f>
        <v>Tor2a</v>
      </c>
      <c r="D7703" s="10">
        <f t="shared" si="120"/>
        <v>2.9951562363969599</v>
      </c>
      <c r="F7703" s="8" t="str">
        <f>HYPERLINK("https://esbl.nhlbi.nih.gov/Databases/mpkFractions/proteomic_fractions_log_files/Yang_log_img/22779883.jpg","show blot")</f>
        <v>show blot</v>
      </c>
      <c r="H7703" s="8" t="str">
        <f>HYPERLINK("https://esbl.nhlbi.nih.gov/Databases/mpkFractions/proteomic_fractions_linear_files/Yang_linear_img/22779883.jpg","show blot")</f>
        <v>show blot</v>
      </c>
      <c r="J7703" s="5" t="s">
        <v>15163</v>
      </c>
      <c r="L7703" s="11">
        <v>2.9951562363969599</v>
      </c>
      <c r="N7703" s="12"/>
    </row>
    <row r="7704" spans="1:14" s="5" customFormat="1" ht="15" customHeight="1" x14ac:dyDescent="0.25">
      <c r="A7704" s="9" t="s">
        <v>15164</v>
      </c>
      <c r="C7704" s="9" t="str">
        <f>HYPERLINK("http://www.ncbi.nlm.nih.gov/protein/224809275","Tor3a")</f>
        <v>Tor3a</v>
      </c>
      <c r="D7704" s="10">
        <f t="shared" si="120"/>
        <v>3.610518628963725</v>
      </c>
      <c r="F7704" s="8" t="str">
        <f>HYPERLINK("https://esbl.nhlbi.nih.gov/Databases/mpkFractions/proteomic_fractions_log_files/Yang_log_img/224809275.jpg","show blot")</f>
        <v>show blot</v>
      </c>
      <c r="H7704" s="8" t="str">
        <f>HYPERLINK("https://esbl.nhlbi.nih.gov/Databases/mpkFractions/proteomic_fractions_linear_files/Yang_linear_img/224809275.jpg","show blot")</f>
        <v>show blot</v>
      </c>
      <c r="J7704" s="5" t="s">
        <v>15165</v>
      </c>
      <c r="L7704" s="11">
        <v>3.610518628963725</v>
      </c>
      <c r="N7704" s="12"/>
    </row>
    <row r="7705" spans="1:14" s="5" customFormat="1" ht="15" customHeight="1" x14ac:dyDescent="0.25">
      <c r="A7705" s="9" t="s">
        <v>15166</v>
      </c>
      <c r="C7705" s="9" t="str">
        <f>HYPERLINK("http://www.ncbi.nlm.nih.gov/protein/258645109","Tpbg")</f>
        <v>Tpbg</v>
      </c>
      <c r="D7705" s="10">
        <f t="shared" si="120"/>
        <v>1.9590413923210941</v>
      </c>
      <c r="F7705" s="8" t="str">
        <f>HYPERLINK("https://esbl.nhlbi.nih.gov/Databases/mpkFractions/proteomic_fractions_log_files/Yang_log_img/258645109.jpg","show blot")</f>
        <v>show blot</v>
      </c>
      <c r="H7705" s="8" t="str">
        <f>HYPERLINK("https://esbl.nhlbi.nih.gov/Databases/mpkFractions/proteomic_fractions_linear_files/Yang_linear_img/258645109.jpg","show blot")</f>
        <v>show blot</v>
      </c>
      <c r="J7705" s="5" t="s">
        <v>15167</v>
      </c>
      <c r="L7705" s="11">
        <v>1.9590413923210941</v>
      </c>
      <c r="N7705" s="12"/>
    </row>
    <row r="7706" spans="1:14" s="5" customFormat="1" ht="15" customHeight="1" x14ac:dyDescent="0.25">
      <c r="A7706" s="9" t="s">
        <v>15168</v>
      </c>
      <c r="C7706" s="9" t="str">
        <f>HYPERLINK("http://www.ncbi.nlm.nih.gov/protein/6678407","Tpd52")</f>
        <v>Tpd52</v>
      </c>
      <c r="D7706" s="10">
        <f t="shared" si="120"/>
        <v>6.2189614845990846</v>
      </c>
      <c r="F7706" s="8" t="str">
        <f>HYPERLINK("https://esbl.nhlbi.nih.gov/Databases/mpkFractions/proteomic_fractions_log_files/Yang_log_img/6678407.jpg","show blot")</f>
        <v>show blot</v>
      </c>
      <c r="H7706" s="8" t="str">
        <f>HYPERLINK("https://esbl.nhlbi.nih.gov/Databases/mpkFractions/proteomic_fractions_linear_files/Yang_linear_img/6678407.jpg","show blot")</f>
        <v>show blot</v>
      </c>
      <c r="J7706" s="5" t="s">
        <v>15169</v>
      </c>
      <c r="L7706" s="11">
        <v>6.2189614845990846</v>
      </c>
      <c r="N7706" s="12"/>
    </row>
    <row r="7707" spans="1:14" s="5" customFormat="1" ht="15" customHeight="1" x14ac:dyDescent="0.25">
      <c r="A7707" s="9" t="s">
        <v>15170</v>
      </c>
      <c r="C7707" s="9" t="str">
        <f>HYPERLINK("http://www.ncbi.nlm.nih.gov/protein/70608194","Tpd52")</f>
        <v>Tpd52</v>
      </c>
      <c r="D7707" s="10">
        <f t="shared" si="120"/>
        <v>6.2189614845990846</v>
      </c>
      <c r="F7707" s="8" t="str">
        <f>HYPERLINK("https://esbl.nhlbi.nih.gov/Databases/mpkFractions/proteomic_fractions_log_files/Yang_log_img/70608194.jpg","show blot")</f>
        <v>show blot</v>
      </c>
      <c r="H7707" s="8" t="str">
        <f>HYPERLINK("https://esbl.nhlbi.nih.gov/Databases/mpkFractions/proteomic_fractions_linear_files/Yang_linear_img/70608194.jpg","show blot")</f>
        <v>show blot</v>
      </c>
      <c r="J7707" s="5" t="s">
        <v>15171</v>
      </c>
      <c r="L7707" s="11">
        <v>6.2189614845990846</v>
      </c>
      <c r="N7707" s="12"/>
    </row>
    <row r="7708" spans="1:14" s="5" customFormat="1" ht="15" customHeight="1" x14ac:dyDescent="0.25">
      <c r="A7708" s="9" t="s">
        <v>15172</v>
      </c>
      <c r="C7708" s="9" t="str">
        <f>HYPERLINK("http://www.ncbi.nlm.nih.gov/protein/70608198","Tpd52")</f>
        <v>Tpd52</v>
      </c>
      <c r="D7708" s="10">
        <f t="shared" si="120"/>
        <v>6.2189614845990846</v>
      </c>
      <c r="F7708" s="8" t="str">
        <f>HYPERLINK("https://esbl.nhlbi.nih.gov/Databases/mpkFractions/proteomic_fractions_log_files/Yang_log_img/70608198.jpg","show blot")</f>
        <v>show blot</v>
      </c>
      <c r="H7708" s="8" t="str">
        <f>HYPERLINK("https://esbl.nhlbi.nih.gov/Databases/mpkFractions/proteomic_fractions_linear_files/Yang_linear_img/70608198.jpg","show blot")</f>
        <v>show blot</v>
      </c>
      <c r="J7708" s="5" t="s">
        <v>15173</v>
      </c>
      <c r="L7708" s="11">
        <v>6.2189614845990846</v>
      </c>
      <c r="N7708" s="12"/>
    </row>
    <row r="7709" spans="1:14" s="5" customFormat="1" ht="15" customHeight="1" x14ac:dyDescent="0.25">
      <c r="A7709" s="9" t="s">
        <v>15174</v>
      </c>
      <c r="C7709" s="9" t="str">
        <f>HYPERLINK("http://www.ncbi.nlm.nih.gov/protein/70608205","Tpd52")</f>
        <v>Tpd52</v>
      </c>
      <c r="D7709" s="10">
        <f t="shared" si="120"/>
        <v>6.2189614845990846</v>
      </c>
      <c r="F7709" s="8" t="str">
        <f>HYPERLINK("https://esbl.nhlbi.nih.gov/Databases/mpkFractions/proteomic_fractions_log_files/Yang_log_img/70608205.jpg","show blot")</f>
        <v>show blot</v>
      </c>
      <c r="H7709" s="8" t="str">
        <f>HYPERLINK("https://esbl.nhlbi.nih.gov/Databases/mpkFractions/proteomic_fractions_linear_files/Yang_linear_img/70608205.jpg","show blot")</f>
        <v>show blot</v>
      </c>
      <c r="J7709" s="5" t="s">
        <v>15175</v>
      </c>
      <c r="L7709" s="11">
        <v>6.2189614845990846</v>
      </c>
      <c r="N7709" s="12"/>
    </row>
    <row r="7710" spans="1:14" s="5" customFormat="1" ht="15" customHeight="1" x14ac:dyDescent="0.25">
      <c r="A7710" s="9" t="s">
        <v>15176</v>
      </c>
      <c r="C7710" s="9" t="str">
        <f>HYPERLINK("http://www.ncbi.nlm.nih.gov/protein/70608214","Tpd52")</f>
        <v>Tpd52</v>
      </c>
      <c r="D7710" s="10">
        <f t="shared" si="120"/>
        <v>6.2189614845990846</v>
      </c>
      <c r="F7710" s="8" t="str">
        <f>HYPERLINK("https://esbl.nhlbi.nih.gov/Databases/mpkFractions/proteomic_fractions_log_files/Yang_log_img/70608214.jpg","show blot")</f>
        <v>show blot</v>
      </c>
      <c r="H7710" s="8" t="str">
        <f>HYPERLINK("https://esbl.nhlbi.nih.gov/Databases/mpkFractions/proteomic_fractions_linear_files/Yang_linear_img/70608214.jpg","show blot")</f>
        <v>show blot</v>
      </c>
      <c r="J7710" s="5" t="s">
        <v>15177</v>
      </c>
      <c r="L7710" s="11">
        <v>6.2189614845990846</v>
      </c>
      <c r="N7710" s="12"/>
    </row>
    <row r="7711" spans="1:14" s="5" customFormat="1" ht="15" customHeight="1" x14ac:dyDescent="0.25">
      <c r="A7711" s="9" t="s">
        <v>15178</v>
      </c>
      <c r="C7711" s="9" t="str">
        <f>HYPERLINK("http://www.ncbi.nlm.nih.gov/protein/6678409","Tpd52l1")</f>
        <v>Tpd52l1</v>
      </c>
      <c r="D7711" s="10">
        <f t="shared" si="120"/>
        <v>5.5380835549689413</v>
      </c>
      <c r="F7711" s="8" t="str">
        <f>HYPERLINK("https://esbl.nhlbi.nih.gov/Databases/mpkFractions/proteomic_fractions_log_files/Yang_log_img/6678409.jpg","show blot")</f>
        <v>show blot</v>
      </c>
      <c r="H7711" s="8" t="str">
        <f>HYPERLINK("https://esbl.nhlbi.nih.gov/Databases/mpkFractions/proteomic_fractions_linear_files/Yang_linear_img/6678409.jpg","show blot")</f>
        <v>show blot</v>
      </c>
      <c r="J7711" s="5" t="s">
        <v>15179</v>
      </c>
      <c r="L7711" s="11">
        <v>5.5380835549689413</v>
      </c>
      <c r="N7711" s="12"/>
    </row>
    <row r="7712" spans="1:14" s="5" customFormat="1" ht="15" customHeight="1" x14ac:dyDescent="0.25">
      <c r="A7712" s="9" t="s">
        <v>15180</v>
      </c>
      <c r="C7712" s="9" t="str">
        <f>HYPERLINK("http://www.ncbi.nlm.nih.gov/protein/31560247","Tpd52l2")</f>
        <v>Tpd52l2</v>
      </c>
      <c r="D7712" s="10">
        <f t="shared" si="120"/>
        <v>5.5686034611710014</v>
      </c>
      <c r="F7712" s="8" t="str">
        <f>HYPERLINK("https://esbl.nhlbi.nih.gov/Databases/mpkFractions/proteomic_fractions_log_files/Yang_log_img/31560247.jpg","show blot")</f>
        <v>show blot</v>
      </c>
      <c r="H7712" s="8" t="str">
        <f>HYPERLINK("https://esbl.nhlbi.nih.gov/Databases/mpkFractions/proteomic_fractions_linear_files/Yang_linear_img/31560247.jpg","show blot")</f>
        <v>show blot</v>
      </c>
      <c r="J7712" s="5" t="s">
        <v>15181</v>
      </c>
      <c r="L7712" s="11">
        <v>5.5686034611710014</v>
      </c>
      <c r="N7712" s="12"/>
    </row>
    <row r="7713" spans="1:14" s="5" customFormat="1" ht="15" customHeight="1" x14ac:dyDescent="0.25">
      <c r="A7713" s="9" t="s">
        <v>15182</v>
      </c>
      <c r="C7713" s="9" t="str">
        <f>HYPERLINK("http://www.ncbi.nlm.nih.gov/protein/226958349","Tpi1")</f>
        <v>Tpi1</v>
      </c>
      <c r="D7713" s="10">
        <f t="shared" si="120"/>
        <v>7.2195057357428087</v>
      </c>
      <c r="F7713" s="8" t="str">
        <f>HYPERLINK("https://esbl.nhlbi.nih.gov/Databases/mpkFractions/proteomic_fractions_log_files/Yang_log_img/226958349.jpg","show blot")</f>
        <v>show blot</v>
      </c>
      <c r="H7713" s="8" t="str">
        <f>HYPERLINK("https://esbl.nhlbi.nih.gov/Databases/mpkFractions/proteomic_fractions_linear_files/Yang_linear_img/226958349.jpg","show blot")</f>
        <v>show blot</v>
      </c>
      <c r="J7713" s="5" t="s">
        <v>15183</v>
      </c>
      <c r="L7713" s="11">
        <v>7.2195057357428087</v>
      </c>
      <c r="N7713" s="12"/>
    </row>
    <row r="7714" spans="1:14" s="5" customFormat="1" ht="15" customHeight="1" x14ac:dyDescent="0.25">
      <c r="A7714" s="9" t="s">
        <v>15184</v>
      </c>
      <c r="C7714" s="9" t="str">
        <f>HYPERLINK("http://www.ncbi.nlm.nih.gov/protein/7305589","Tpk1")</f>
        <v>Tpk1</v>
      </c>
      <c r="D7714" s="10">
        <f t="shared" si="120"/>
        <v>5.1993901351806908</v>
      </c>
      <c r="F7714" s="8" t="str">
        <f>HYPERLINK("https://esbl.nhlbi.nih.gov/Databases/mpkFractions/proteomic_fractions_log_files/Yang_log_img/7305589.jpg","show blot")</f>
        <v>show blot</v>
      </c>
      <c r="H7714" s="8" t="str">
        <f>HYPERLINK("https://esbl.nhlbi.nih.gov/Databases/mpkFractions/proteomic_fractions_linear_files/Yang_linear_img/7305589.jpg","show blot")</f>
        <v>show blot</v>
      </c>
      <c r="J7714" s="5" t="s">
        <v>15185</v>
      </c>
      <c r="L7714" s="11">
        <v>5.1993901351806908</v>
      </c>
      <c r="N7714" s="12"/>
    </row>
    <row r="7715" spans="1:14" s="5" customFormat="1" ht="15" customHeight="1" x14ac:dyDescent="0.25">
      <c r="A7715" s="9" t="s">
        <v>15186</v>
      </c>
      <c r="C7715" s="9" t="str">
        <f>HYPERLINK("http://www.ncbi.nlm.nih.gov/protein/256000780","Tpm1")</f>
        <v>Tpm1</v>
      </c>
      <c r="D7715" s="10">
        <f t="shared" si="120"/>
        <v>6.7736607761021128</v>
      </c>
      <c r="F7715" s="8" t="str">
        <f>HYPERLINK("https://esbl.nhlbi.nih.gov/Databases/mpkFractions/proteomic_fractions_log_files/Yang_log_img/256000780.jpg","show blot")</f>
        <v>show blot</v>
      </c>
      <c r="H7715" s="8" t="str">
        <f>HYPERLINK("https://esbl.nhlbi.nih.gov/Databases/mpkFractions/proteomic_fractions_linear_files/Yang_linear_img/256000780.jpg","show blot")</f>
        <v>show blot</v>
      </c>
      <c r="J7715" s="5" t="s">
        <v>15187</v>
      </c>
      <c r="L7715" s="11">
        <v>6.7736607761021128</v>
      </c>
      <c r="N7715" s="12"/>
    </row>
    <row r="7716" spans="1:14" s="5" customFormat="1" ht="15" customHeight="1" x14ac:dyDescent="0.25">
      <c r="A7716" s="9" t="s">
        <v>15188</v>
      </c>
      <c r="C7716" s="9" t="str">
        <f>HYPERLINK("http://www.ncbi.nlm.nih.gov/protein/256000782","Tpm1")</f>
        <v>Tpm1</v>
      </c>
      <c r="D7716" s="10">
        <f t="shared" si="120"/>
        <v>6.7736607761021128</v>
      </c>
      <c r="F7716" s="8" t="str">
        <f>HYPERLINK("https://esbl.nhlbi.nih.gov/Databases/mpkFractions/proteomic_fractions_log_files/Yang_log_img/256000782.jpg","show blot")</f>
        <v>show blot</v>
      </c>
      <c r="H7716" s="8" t="str">
        <f>HYPERLINK("https://esbl.nhlbi.nih.gov/Databases/mpkFractions/proteomic_fractions_linear_files/Yang_linear_img/256000782.jpg","show blot")</f>
        <v>show blot</v>
      </c>
      <c r="J7716" s="5" t="s">
        <v>15189</v>
      </c>
      <c r="L7716" s="11">
        <v>6.7736607761021128</v>
      </c>
      <c r="N7716" s="12"/>
    </row>
    <row r="7717" spans="1:14" s="5" customFormat="1" ht="15" customHeight="1" x14ac:dyDescent="0.25">
      <c r="A7717" s="9" t="s">
        <v>15190</v>
      </c>
      <c r="C7717" s="9" t="str">
        <f>HYPERLINK("http://www.ncbi.nlm.nih.gov/protein/256000784","Tpm1")</f>
        <v>Tpm1</v>
      </c>
      <c r="D7717" s="10">
        <f t="shared" si="120"/>
        <v>6.7736607761021128</v>
      </c>
      <c r="F7717" s="8" t="str">
        <f>HYPERLINK("https://esbl.nhlbi.nih.gov/Databases/mpkFractions/proteomic_fractions_log_files/Yang_log_img/256000784.jpg","show blot")</f>
        <v>show blot</v>
      </c>
      <c r="H7717" s="8" t="str">
        <f>HYPERLINK("https://esbl.nhlbi.nih.gov/Databases/mpkFractions/proteomic_fractions_linear_files/Yang_linear_img/256000784.jpg","show blot")</f>
        <v>show blot</v>
      </c>
      <c r="J7717" s="5" t="s">
        <v>15191</v>
      </c>
      <c r="L7717" s="11">
        <v>6.7736607761021128</v>
      </c>
      <c r="N7717" s="12"/>
    </row>
    <row r="7718" spans="1:14" s="5" customFormat="1" ht="15" customHeight="1" x14ac:dyDescent="0.25">
      <c r="A7718" s="9" t="s">
        <v>15192</v>
      </c>
      <c r="C7718" s="9" t="str">
        <f>HYPERLINK("http://www.ncbi.nlm.nih.gov/protein/256000786","Tpm1")</f>
        <v>Tpm1</v>
      </c>
      <c r="D7718" s="10">
        <f t="shared" si="120"/>
        <v>6.7736607761021128</v>
      </c>
      <c r="F7718" s="8" t="str">
        <f>HYPERLINK("https://esbl.nhlbi.nih.gov/Databases/mpkFractions/proteomic_fractions_log_files/Yang_log_img/256000786.jpg","show blot")</f>
        <v>show blot</v>
      </c>
      <c r="H7718" s="8" t="str">
        <f>HYPERLINK("https://esbl.nhlbi.nih.gov/Databases/mpkFractions/proteomic_fractions_linear_files/Yang_linear_img/256000786.jpg","show blot")</f>
        <v>show blot</v>
      </c>
      <c r="J7718" s="5" t="s">
        <v>15193</v>
      </c>
      <c r="L7718" s="11">
        <v>6.7736607761021128</v>
      </c>
      <c r="N7718" s="12"/>
    </row>
    <row r="7719" spans="1:14" s="5" customFormat="1" ht="15" customHeight="1" x14ac:dyDescent="0.25">
      <c r="A7719" s="9" t="s">
        <v>15194</v>
      </c>
      <c r="C7719" s="9" t="str">
        <f>HYPERLINK("http://www.ncbi.nlm.nih.gov/protein/256000788","Tpm1")</f>
        <v>Tpm1</v>
      </c>
      <c r="D7719" s="10">
        <f t="shared" si="120"/>
        <v>6.7736607761021128</v>
      </c>
      <c r="F7719" s="8" t="str">
        <f>HYPERLINK("https://esbl.nhlbi.nih.gov/Databases/mpkFractions/proteomic_fractions_log_files/Yang_log_img/256000788.jpg","show blot")</f>
        <v>show blot</v>
      </c>
      <c r="H7719" s="8" t="str">
        <f>HYPERLINK("https://esbl.nhlbi.nih.gov/Databases/mpkFractions/proteomic_fractions_linear_files/Yang_linear_img/256000788.jpg","show blot")</f>
        <v>show blot</v>
      </c>
      <c r="J7719" s="5" t="s">
        <v>15195</v>
      </c>
      <c r="L7719" s="11">
        <v>6.7736607761021128</v>
      </c>
      <c r="N7719" s="12"/>
    </row>
    <row r="7720" spans="1:14" s="5" customFormat="1" ht="15" customHeight="1" x14ac:dyDescent="0.25">
      <c r="A7720" s="9" t="s">
        <v>15196</v>
      </c>
      <c r="C7720" s="9" t="str">
        <f>HYPERLINK("http://www.ncbi.nlm.nih.gov/protein/256000790","Tpm1")</f>
        <v>Tpm1</v>
      </c>
      <c r="D7720" s="10">
        <f t="shared" si="120"/>
        <v>6.7736607761021128</v>
      </c>
      <c r="F7720" s="8" t="str">
        <f>HYPERLINK("https://esbl.nhlbi.nih.gov/Databases/mpkFractions/proteomic_fractions_log_files/Yang_log_img/256000790.jpg","show blot")</f>
        <v>show blot</v>
      </c>
      <c r="H7720" s="8" t="str">
        <f>HYPERLINK("https://esbl.nhlbi.nih.gov/Databases/mpkFractions/proteomic_fractions_linear_files/Yang_linear_img/256000790.jpg","show blot")</f>
        <v>show blot</v>
      </c>
      <c r="J7720" s="5" t="s">
        <v>15197</v>
      </c>
      <c r="L7720" s="11">
        <v>6.7736607761021128</v>
      </c>
      <c r="N7720" s="12"/>
    </row>
    <row r="7721" spans="1:14" s="5" customFormat="1" ht="15" customHeight="1" x14ac:dyDescent="0.25">
      <c r="A7721" s="9" t="s">
        <v>15198</v>
      </c>
      <c r="C7721" s="9" t="str">
        <f>HYPERLINK("http://www.ncbi.nlm.nih.gov/protein/256000792","Tpm1")</f>
        <v>Tpm1</v>
      </c>
      <c r="D7721" s="10">
        <f t="shared" si="120"/>
        <v>6.7736607761021128</v>
      </c>
      <c r="F7721" s="8" t="str">
        <f>HYPERLINK("https://esbl.nhlbi.nih.gov/Databases/mpkFractions/proteomic_fractions_log_files/Yang_log_img/256000792.jpg","show blot")</f>
        <v>show blot</v>
      </c>
      <c r="H7721" s="8" t="str">
        <f>HYPERLINK("https://esbl.nhlbi.nih.gov/Databases/mpkFractions/proteomic_fractions_linear_files/Yang_linear_img/256000792.jpg","show blot")</f>
        <v>show blot</v>
      </c>
      <c r="J7721" s="5" t="s">
        <v>15199</v>
      </c>
      <c r="L7721" s="11">
        <v>6.7736607761021128</v>
      </c>
      <c r="N7721" s="12"/>
    </row>
    <row r="7722" spans="1:14" s="5" customFormat="1" ht="15" customHeight="1" x14ac:dyDescent="0.25">
      <c r="A7722" s="9" t="s">
        <v>15200</v>
      </c>
      <c r="C7722" s="9" t="str">
        <f>HYPERLINK("http://www.ncbi.nlm.nih.gov/protein/256000794","Tpm1")</f>
        <v>Tpm1</v>
      </c>
      <c r="D7722" s="10">
        <f t="shared" si="120"/>
        <v>6.7736607761021128</v>
      </c>
      <c r="F7722" s="8" t="str">
        <f>HYPERLINK("https://esbl.nhlbi.nih.gov/Databases/mpkFractions/proteomic_fractions_log_files/Yang_log_img/256000794.jpg","show blot")</f>
        <v>show blot</v>
      </c>
      <c r="H7722" s="8" t="str">
        <f>HYPERLINK("https://esbl.nhlbi.nih.gov/Databases/mpkFractions/proteomic_fractions_linear_files/Yang_linear_img/256000794.jpg","show blot")</f>
        <v>show blot</v>
      </c>
      <c r="J7722" s="5" t="s">
        <v>15201</v>
      </c>
      <c r="L7722" s="11">
        <v>6.7736607761021128</v>
      </c>
      <c r="N7722" s="12"/>
    </row>
    <row r="7723" spans="1:14" s="5" customFormat="1" ht="15" customHeight="1" x14ac:dyDescent="0.25">
      <c r="A7723" s="9" t="s">
        <v>15202</v>
      </c>
      <c r="C7723" s="9" t="str">
        <f>HYPERLINK("http://www.ncbi.nlm.nih.gov/protein/256000796","Tpm1")</f>
        <v>Tpm1</v>
      </c>
      <c r="D7723" s="10">
        <f t="shared" si="120"/>
        <v>6.7736607761021128</v>
      </c>
      <c r="F7723" s="8" t="str">
        <f>HYPERLINK("https://esbl.nhlbi.nih.gov/Databases/mpkFractions/proteomic_fractions_log_files/Yang_log_img/256000796.jpg","show blot")</f>
        <v>show blot</v>
      </c>
      <c r="H7723" s="8" t="str">
        <f>HYPERLINK("https://esbl.nhlbi.nih.gov/Databases/mpkFractions/proteomic_fractions_linear_files/Yang_linear_img/256000796.jpg","show blot")</f>
        <v>show blot</v>
      </c>
      <c r="J7723" s="5" t="s">
        <v>15203</v>
      </c>
      <c r="L7723" s="11">
        <v>6.7736607761021128</v>
      </c>
      <c r="N7723" s="12"/>
    </row>
    <row r="7724" spans="1:14" s="5" customFormat="1" ht="15" customHeight="1" x14ac:dyDescent="0.25">
      <c r="A7724" s="9" t="s">
        <v>15204</v>
      </c>
      <c r="C7724" s="9" t="str">
        <f>HYPERLINK("http://www.ncbi.nlm.nih.gov/protein/31560030","Tpm1")</f>
        <v>Tpm1</v>
      </c>
      <c r="D7724" s="10">
        <f t="shared" si="120"/>
        <v>6.7736607761021128</v>
      </c>
      <c r="F7724" s="8" t="str">
        <f>HYPERLINK("https://esbl.nhlbi.nih.gov/Databases/mpkFractions/proteomic_fractions_log_files/Yang_log_img/31560030.jpg","show blot")</f>
        <v>show blot</v>
      </c>
      <c r="H7724" s="8" t="str">
        <f>HYPERLINK("https://esbl.nhlbi.nih.gov/Databases/mpkFractions/proteomic_fractions_linear_files/Yang_linear_img/31560030.jpg","show blot")</f>
        <v>show blot</v>
      </c>
      <c r="J7724" s="5" t="s">
        <v>15205</v>
      </c>
      <c r="L7724" s="11">
        <v>6.7736607761021128</v>
      </c>
      <c r="N7724" s="12"/>
    </row>
    <row r="7725" spans="1:14" s="5" customFormat="1" ht="15" customHeight="1" x14ac:dyDescent="0.25">
      <c r="A7725" s="9" t="s">
        <v>15206</v>
      </c>
      <c r="C7725" s="9" t="str">
        <f>HYPERLINK("http://www.ncbi.nlm.nih.gov/protein/482677662","Tpm2")</f>
        <v>Tpm2</v>
      </c>
      <c r="D7725" s="10">
        <f t="shared" si="120"/>
        <v>6.3603864078818191</v>
      </c>
      <c r="F7725" s="8" t="str">
        <f>HYPERLINK("https://esbl.nhlbi.nih.gov/Databases/mpkFractions/proteomic_fractions_log_files/Yang_log_img/482677662.jpg","show blot")</f>
        <v>show blot</v>
      </c>
      <c r="H7725" s="8" t="str">
        <f>HYPERLINK("https://esbl.nhlbi.nih.gov/Databases/mpkFractions/proteomic_fractions_linear_files/Yang_linear_img/482677662.jpg","show blot")</f>
        <v>show blot</v>
      </c>
      <c r="J7725" s="5" t="s">
        <v>15207</v>
      </c>
      <c r="L7725" s="11">
        <v>6.3603864078818191</v>
      </c>
      <c r="N7725" s="12"/>
    </row>
    <row r="7726" spans="1:14" s="5" customFormat="1" ht="15" customHeight="1" x14ac:dyDescent="0.25">
      <c r="A7726" s="9" t="s">
        <v>15208</v>
      </c>
      <c r="C7726" s="9" t="str">
        <f>HYPERLINK("http://www.ncbi.nlm.nih.gov/protein/482677666","Tpm2")</f>
        <v>Tpm2</v>
      </c>
      <c r="D7726" s="10">
        <f t="shared" si="120"/>
        <v>6.3603864078818191</v>
      </c>
      <c r="F7726" s="8" t="str">
        <f>HYPERLINK("https://esbl.nhlbi.nih.gov/Databases/mpkFractions/proteomic_fractions_log_files/Yang_log_img/482677666.jpg","show blot")</f>
        <v>show blot</v>
      </c>
      <c r="H7726" s="8" t="str">
        <f>HYPERLINK("https://esbl.nhlbi.nih.gov/Databases/mpkFractions/proteomic_fractions_linear_files/Yang_linear_img/482677666.jpg","show blot")</f>
        <v>show blot</v>
      </c>
      <c r="J7726" s="5" t="s">
        <v>15209</v>
      </c>
      <c r="L7726" s="11">
        <v>6.3603864078818191</v>
      </c>
      <c r="N7726" s="12"/>
    </row>
    <row r="7727" spans="1:14" s="5" customFormat="1" ht="15" customHeight="1" x14ac:dyDescent="0.25">
      <c r="A7727" s="9" t="s">
        <v>15210</v>
      </c>
      <c r="C7727" s="9" t="str">
        <f>HYPERLINK("http://www.ncbi.nlm.nih.gov/protein/11875203","Tpm2")</f>
        <v>Tpm2</v>
      </c>
      <c r="D7727" s="10">
        <f t="shared" si="120"/>
        <v>6.3603864078818191</v>
      </c>
      <c r="F7727" s="8" t="str">
        <f>HYPERLINK("https://esbl.nhlbi.nih.gov/Databases/mpkFractions/proteomic_fractions_log_files/Yang_log_img/11875203.jpg","show blot")</f>
        <v>show blot</v>
      </c>
      <c r="H7727" s="8" t="str">
        <f>HYPERLINK("https://esbl.nhlbi.nih.gov/Databases/mpkFractions/proteomic_fractions_linear_files/Yang_linear_img/11875203.jpg","show blot")</f>
        <v>show blot</v>
      </c>
      <c r="J7727" s="5" t="s">
        <v>15211</v>
      </c>
      <c r="L7727" s="11">
        <v>6.3603864078818191</v>
      </c>
      <c r="N7727" s="12"/>
    </row>
    <row r="7728" spans="1:14" s="5" customFormat="1" ht="15" customHeight="1" x14ac:dyDescent="0.25">
      <c r="A7728" s="9" t="s">
        <v>15212</v>
      </c>
      <c r="C7728" s="9" t="str">
        <f>HYPERLINK("http://www.ncbi.nlm.nih.gov/protein/359279904","Tpm3")</f>
        <v>Tpm3</v>
      </c>
      <c r="D7728" s="10">
        <f t="shared" si="120"/>
        <v>6.7734681465065956</v>
      </c>
      <c r="F7728" s="8" t="str">
        <f>HYPERLINK("https://esbl.nhlbi.nih.gov/Databases/mpkFractions/proteomic_fractions_log_files/Yang_log_img/359279904.jpg","show blot")</f>
        <v>show blot</v>
      </c>
      <c r="H7728" s="8" t="str">
        <f>HYPERLINK("https://esbl.nhlbi.nih.gov/Databases/mpkFractions/proteomic_fractions_linear_files/Yang_linear_img/359279904.jpg","show blot")</f>
        <v>show blot</v>
      </c>
      <c r="J7728" s="5" t="s">
        <v>15213</v>
      </c>
      <c r="L7728" s="11">
        <v>6.7734681465065956</v>
      </c>
      <c r="N7728" s="12"/>
    </row>
    <row r="7729" spans="1:14" s="5" customFormat="1" ht="15" customHeight="1" x14ac:dyDescent="0.25">
      <c r="A7729" s="9" t="s">
        <v>15214</v>
      </c>
      <c r="C7729" s="9" t="str">
        <f>HYPERLINK("http://www.ncbi.nlm.nih.gov/protein/359279908","Tpm3")</f>
        <v>Tpm3</v>
      </c>
      <c r="D7729" s="10">
        <f t="shared" si="120"/>
        <v>6.7734681465065956</v>
      </c>
      <c r="F7729" s="8" t="str">
        <f>HYPERLINK("https://esbl.nhlbi.nih.gov/Databases/mpkFractions/proteomic_fractions_log_files/Yang_log_img/359279908.jpg","show blot")</f>
        <v>show blot</v>
      </c>
      <c r="H7729" s="8" t="str">
        <f>HYPERLINK("https://esbl.nhlbi.nih.gov/Databases/mpkFractions/proteomic_fractions_linear_files/Yang_linear_img/359279908.jpg","show blot")</f>
        <v>show blot</v>
      </c>
      <c r="J7729" s="5" t="s">
        <v>15215</v>
      </c>
      <c r="L7729" s="11">
        <v>6.7734681465065956</v>
      </c>
      <c r="N7729" s="12"/>
    </row>
    <row r="7730" spans="1:14" s="5" customFormat="1" ht="15" customHeight="1" x14ac:dyDescent="0.25">
      <c r="A7730" s="9" t="s">
        <v>15216</v>
      </c>
      <c r="C7730" s="9" t="str">
        <f>HYPERLINK("http://www.ncbi.nlm.nih.gov/protein/40254525","Tpm3")</f>
        <v>Tpm3</v>
      </c>
      <c r="D7730" s="10">
        <f t="shared" si="120"/>
        <v>6.7734681465065956</v>
      </c>
      <c r="F7730" s="8" t="str">
        <f>HYPERLINK("https://esbl.nhlbi.nih.gov/Databases/mpkFractions/proteomic_fractions_log_files/Yang_log_img/40254525.jpg","show blot")</f>
        <v>show blot</v>
      </c>
      <c r="H7730" s="8" t="str">
        <f>HYPERLINK("https://esbl.nhlbi.nih.gov/Databases/mpkFractions/proteomic_fractions_linear_files/Yang_linear_img/40254525.jpg","show blot")</f>
        <v>show blot</v>
      </c>
      <c r="J7730" s="5" t="s">
        <v>15217</v>
      </c>
      <c r="L7730" s="11">
        <v>6.7734681465065956</v>
      </c>
      <c r="N7730" s="12"/>
    </row>
    <row r="7731" spans="1:14" s="5" customFormat="1" ht="15" customHeight="1" x14ac:dyDescent="0.25">
      <c r="A7731" s="9" t="s">
        <v>15218</v>
      </c>
      <c r="C7731" s="9" t="str">
        <f>HYPERLINK("http://www.ncbi.nlm.nih.gov/protein/418203916","Tpm3")</f>
        <v>Tpm3</v>
      </c>
      <c r="D7731" s="10">
        <f t="shared" si="120"/>
        <v>6.7734681465065956</v>
      </c>
      <c r="F7731" s="8" t="str">
        <f>HYPERLINK("https://esbl.nhlbi.nih.gov/Databases/mpkFractions/proteomic_fractions_log_files/Yang_log_img/418203916.jpg","show blot")</f>
        <v>show blot</v>
      </c>
      <c r="H7731" s="8" t="str">
        <f>HYPERLINK("https://esbl.nhlbi.nih.gov/Databases/mpkFractions/proteomic_fractions_linear_files/Yang_linear_img/418203916.jpg","show blot")</f>
        <v>show blot</v>
      </c>
      <c r="J7731" s="5" t="s">
        <v>15219</v>
      </c>
      <c r="L7731" s="11">
        <v>6.7734681465065956</v>
      </c>
      <c r="N7731" s="12"/>
    </row>
    <row r="7732" spans="1:14" s="5" customFormat="1" ht="15" customHeight="1" x14ac:dyDescent="0.25">
      <c r="A7732" s="9" t="s">
        <v>15220</v>
      </c>
      <c r="C7732" s="9" t="str">
        <f>HYPERLINK("http://www.ncbi.nlm.nih.gov/protein/47894398","Tpm4")</f>
        <v>Tpm4</v>
      </c>
      <c r="D7732" s="10">
        <f t="shared" si="120"/>
        <v>6.244599042354892</v>
      </c>
      <c r="F7732" s="8" t="str">
        <f>HYPERLINK("https://esbl.nhlbi.nih.gov/Databases/mpkFractions/proteomic_fractions_log_files/Yang_log_img/47894398.jpg","show blot")</f>
        <v>show blot</v>
      </c>
      <c r="H7732" s="8" t="str">
        <f>HYPERLINK("https://esbl.nhlbi.nih.gov/Databases/mpkFractions/proteomic_fractions_linear_files/Yang_linear_img/47894398.jpg","show blot")</f>
        <v>show blot</v>
      </c>
      <c r="J7732" s="5" t="s">
        <v>15221</v>
      </c>
      <c r="L7732" s="11">
        <v>6.244599042354892</v>
      </c>
      <c r="N7732" s="12"/>
    </row>
    <row r="7733" spans="1:14" s="5" customFormat="1" ht="15" customHeight="1" x14ac:dyDescent="0.25">
      <c r="A7733" s="9" t="s">
        <v>15222</v>
      </c>
      <c r="C7733" s="9" t="str">
        <f>HYPERLINK("http://www.ncbi.nlm.nih.gov/protein/253795504","Tpmt")</f>
        <v>Tpmt</v>
      </c>
      <c r="D7733" s="10">
        <f t="shared" si="120"/>
        <v>3.6359086500380311</v>
      </c>
      <c r="F7733" s="8" t="str">
        <f>HYPERLINK("https://esbl.nhlbi.nih.gov/Databases/mpkFractions/proteomic_fractions_log_files/Yang_log_img/253795504.jpg","show blot")</f>
        <v>show blot</v>
      </c>
      <c r="H7733" s="8" t="str">
        <f>HYPERLINK("https://esbl.nhlbi.nih.gov/Databases/mpkFractions/proteomic_fractions_linear_files/Yang_linear_img/253795504.jpg","show blot")</f>
        <v>show blot</v>
      </c>
      <c r="J7733" s="5" t="s">
        <v>15223</v>
      </c>
      <c r="L7733" s="11">
        <v>3.6359086500380311</v>
      </c>
      <c r="N7733" s="12"/>
    </row>
    <row r="7734" spans="1:14" s="5" customFormat="1" ht="15" customHeight="1" x14ac:dyDescent="0.25">
      <c r="A7734" s="9" t="s">
        <v>15224</v>
      </c>
      <c r="C7734" s="9" t="str">
        <f>HYPERLINK("http://www.ncbi.nlm.nih.gov/protein/6753448","Tpp1")</f>
        <v>Tpp1</v>
      </c>
      <c r="D7734" s="10">
        <f t="shared" si="120"/>
        <v>5.8182553222258084</v>
      </c>
      <c r="F7734" s="8" t="str">
        <f>HYPERLINK("https://esbl.nhlbi.nih.gov/Databases/mpkFractions/proteomic_fractions_log_files/Yang_log_img/6753448.jpg","show blot")</f>
        <v>show blot</v>
      </c>
      <c r="H7734" s="8" t="str">
        <f>HYPERLINK("https://esbl.nhlbi.nih.gov/Databases/mpkFractions/proteomic_fractions_linear_files/Yang_linear_img/6753448.jpg","show blot")</f>
        <v>show blot</v>
      </c>
      <c r="J7734" s="5" t="s">
        <v>15225</v>
      </c>
      <c r="L7734" s="11">
        <v>5.8182553222258084</v>
      </c>
      <c r="N7734" s="12"/>
    </row>
    <row r="7735" spans="1:14" s="5" customFormat="1" ht="15" customHeight="1" x14ac:dyDescent="0.25">
      <c r="A7735" s="9" t="s">
        <v>15226</v>
      </c>
      <c r="C7735" s="9" t="str">
        <f>HYPERLINK("http://www.ncbi.nlm.nih.gov/protein/6678419","Tpp2")</f>
        <v>Tpp2</v>
      </c>
      <c r="D7735" s="10">
        <f t="shared" si="120"/>
        <v>5.2351348663605837</v>
      </c>
      <c r="F7735" s="8" t="str">
        <f>HYPERLINK("https://esbl.nhlbi.nih.gov/Databases/mpkFractions/proteomic_fractions_log_files/Yang_log_img/6678419.jpg","show blot")</f>
        <v>show blot</v>
      </c>
      <c r="H7735" s="8" t="str">
        <f>HYPERLINK("https://esbl.nhlbi.nih.gov/Databases/mpkFractions/proteomic_fractions_linear_files/Yang_linear_img/6678419.jpg","show blot")</f>
        <v>show blot</v>
      </c>
      <c r="J7735" s="5" t="s">
        <v>15227</v>
      </c>
      <c r="L7735" s="11">
        <v>5.2351348663605837</v>
      </c>
      <c r="N7735" s="12"/>
    </row>
    <row r="7736" spans="1:14" s="5" customFormat="1" ht="15" customHeight="1" x14ac:dyDescent="0.25">
      <c r="A7736" s="9" t="s">
        <v>15228</v>
      </c>
      <c r="C7736" s="9" t="str">
        <f>HYPERLINK("http://www.ncbi.nlm.nih.gov/protein/270309140","Tpr")</f>
        <v>Tpr</v>
      </c>
      <c r="D7736" s="10">
        <f t="shared" si="120"/>
        <v>4.9544750297712454</v>
      </c>
      <c r="F7736" s="8" t="str">
        <f>HYPERLINK("https://esbl.nhlbi.nih.gov/Databases/mpkFractions/proteomic_fractions_log_files/Yang_log_img/270309140.jpg","show blot")</f>
        <v>show blot</v>
      </c>
      <c r="H7736" s="8" t="str">
        <f>HYPERLINK("https://esbl.nhlbi.nih.gov/Databases/mpkFractions/proteomic_fractions_linear_files/Yang_linear_img/270309140.jpg","show blot")</f>
        <v>show blot</v>
      </c>
      <c r="J7736" s="5" t="s">
        <v>15229</v>
      </c>
      <c r="L7736" s="11">
        <v>4.9544750297712454</v>
      </c>
      <c r="N7736" s="12"/>
    </row>
    <row r="7737" spans="1:14" s="5" customFormat="1" ht="15" customHeight="1" x14ac:dyDescent="0.25">
      <c r="A7737" s="9" t="s">
        <v>15230</v>
      </c>
      <c r="C7737" s="9" t="str">
        <f>HYPERLINK("http://www.ncbi.nlm.nih.gov/protein/21312776","Tprgl")</f>
        <v>Tprgl</v>
      </c>
      <c r="D7737" s="10">
        <f t="shared" si="120"/>
        <v>4.3680470210074844</v>
      </c>
      <c r="F7737" s="8" t="str">
        <f>HYPERLINK("https://esbl.nhlbi.nih.gov/Databases/mpkFractions/proteomic_fractions_log_files/Yang_log_img/21312776.jpg","show blot")</f>
        <v>show blot</v>
      </c>
      <c r="H7737" s="8" t="str">
        <f>HYPERLINK("https://esbl.nhlbi.nih.gov/Databases/mpkFractions/proteomic_fractions_linear_files/Yang_linear_img/21312776.jpg","show blot")</f>
        <v>show blot</v>
      </c>
      <c r="J7737" s="5" t="s">
        <v>15231</v>
      </c>
      <c r="L7737" s="11">
        <v>4.3680470210074844</v>
      </c>
      <c r="N7737" s="12"/>
    </row>
    <row r="7738" spans="1:14" s="5" customFormat="1" ht="15" customHeight="1" x14ac:dyDescent="0.25">
      <c r="A7738" s="9" t="s">
        <v>15232</v>
      </c>
      <c r="C7738" s="9" t="str">
        <f>HYPERLINK("http://www.ncbi.nlm.nih.gov/protein/28849893","Tprkb")</f>
        <v>Tprkb</v>
      </c>
      <c r="D7738" s="10">
        <f t="shared" si="120"/>
        <v>5.1560636018707591</v>
      </c>
      <c r="F7738" s="8" t="str">
        <f>HYPERLINK("https://esbl.nhlbi.nih.gov/Databases/mpkFractions/proteomic_fractions_log_files/Yang_log_img/28849893.jpg","show blot")</f>
        <v>show blot</v>
      </c>
      <c r="H7738" s="8" t="str">
        <f>HYPERLINK("https://esbl.nhlbi.nih.gov/Databases/mpkFractions/proteomic_fractions_linear_files/Yang_linear_img/28849893.jpg","show blot")</f>
        <v>show blot</v>
      </c>
      <c r="J7738" s="5" t="s">
        <v>15233</v>
      </c>
      <c r="L7738" s="11">
        <v>5.1560636018707591</v>
      </c>
      <c r="N7738" s="12"/>
    </row>
    <row r="7739" spans="1:14" s="5" customFormat="1" ht="15" customHeight="1" x14ac:dyDescent="0.25">
      <c r="A7739" s="9" t="s">
        <v>15234</v>
      </c>
      <c r="C7739" s="9" t="str">
        <f>HYPERLINK("http://www.ncbi.nlm.nih.gov/protein/28849893;281427253","Tprkb")</f>
        <v>Tprkb</v>
      </c>
      <c r="D7739" s="10">
        <f t="shared" si="120"/>
        <v>5.1560636018707591</v>
      </c>
      <c r="F7739" s="8" t="str">
        <f>HYPERLINK("https://esbl.nhlbi.nih.gov/Databases/mpkFractions/proteomic_fractions_log_files/Yang_log_img/28849893;281427253.jpg","show blot")</f>
        <v>show blot</v>
      </c>
      <c r="H7739" s="8" t="str">
        <f>HYPERLINK("https://esbl.nhlbi.nih.gov/Databases/mpkFractions/proteomic_fractions_linear_files/Yang_linear_img/28849893;281427253.jpg","show blot")</f>
        <v>show blot</v>
      </c>
      <c r="J7739" s="5" t="s">
        <v>15233</v>
      </c>
      <c r="L7739" s="11">
        <v>5.1560636018707591</v>
      </c>
      <c r="N7739" s="12"/>
    </row>
    <row r="7740" spans="1:14" s="5" customFormat="1" ht="15" customHeight="1" x14ac:dyDescent="0.25">
      <c r="A7740" s="9" t="s">
        <v>15235</v>
      </c>
      <c r="C7740" s="9" t="str">
        <f>HYPERLINK("http://www.ncbi.nlm.nih.gov/protein/281427253;28849893","Tprkb")</f>
        <v>Tprkb</v>
      </c>
      <c r="D7740" s="10">
        <f t="shared" si="120"/>
        <v>5.1560636018707591</v>
      </c>
      <c r="F7740" s="8" t="str">
        <f>HYPERLINK("https://esbl.nhlbi.nih.gov/Databases/mpkFractions/proteomic_fractions_log_files/Yang_log_img/281427253;28849893.jpg","show blot")</f>
        <v>show blot</v>
      </c>
      <c r="H7740" s="8" t="str">
        <f>HYPERLINK("https://esbl.nhlbi.nih.gov/Databases/mpkFractions/proteomic_fractions_linear_files/Yang_linear_img/281427253;28849893.jpg","show blot")</f>
        <v>show blot</v>
      </c>
      <c r="J7740" s="5" t="s">
        <v>15233</v>
      </c>
      <c r="L7740" s="11">
        <v>5.1560636018707591</v>
      </c>
      <c r="N7740" s="12"/>
    </row>
    <row r="7741" spans="1:14" s="5" customFormat="1" ht="15" customHeight="1" x14ac:dyDescent="0.25">
      <c r="A7741" s="9" t="s">
        <v>15236</v>
      </c>
      <c r="C7741" s="9" t="str">
        <f>HYPERLINK("http://www.ncbi.nlm.nih.gov/protein/190014629","Tprn")</f>
        <v>Tprn</v>
      </c>
      <c r="D7741" s="10">
        <f t="shared" si="120"/>
        <v>4.6560079360980398</v>
      </c>
      <c r="F7741" s="8" t="str">
        <f>HYPERLINK("https://esbl.nhlbi.nih.gov/Databases/mpkFractions/proteomic_fractions_log_files/Yang_log_img/190014629.jpg","show blot")</f>
        <v>show blot</v>
      </c>
      <c r="H7741" s="8" t="str">
        <f>HYPERLINK("https://esbl.nhlbi.nih.gov/Databases/mpkFractions/proteomic_fractions_linear_files/Yang_linear_img/190014629.jpg","show blot")</f>
        <v>show blot</v>
      </c>
      <c r="J7741" s="5" t="s">
        <v>15237</v>
      </c>
      <c r="L7741" s="11">
        <v>4.6560079360980398</v>
      </c>
      <c r="N7741" s="12"/>
    </row>
    <row r="7742" spans="1:14" s="5" customFormat="1" ht="15" customHeight="1" x14ac:dyDescent="0.25">
      <c r="A7742" s="9" t="s">
        <v>15238</v>
      </c>
      <c r="C7742" s="9" t="str">
        <f>HYPERLINK("http://www.ncbi.nlm.nih.gov/protein/255683445","Tpsg1")</f>
        <v>Tpsg1</v>
      </c>
      <c r="D7742" s="10">
        <f t="shared" si="120"/>
        <v>3.0759933414033509</v>
      </c>
      <c r="F7742" s="8" t="str">
        <f>HYPERLINK("https://esbl.nhlbi.nih.gov/Databases/mpkFractions/proteomic_fractions_log_files/Yang_log_img/255683445.jpg","show blot")</f>
        <v>show blot</v>
      </c>
      <c r="H7742" s="8" t="str">
        <f>HYPERLINK("https://esbl.nhlbi.nih.gov/Databases/mpkFractions/proteomic_fractions_linear_files/Yang_linear_img/255683445.jpg","show blot")</f>
        <v>show blot</v>
      </c>
      <c r="J7742" s="5" t="s">
        <v>15239</v>
      </c>
      <c r="L7742" s="11">
        <v>3.0759933414033509</v>
      </c>
      <c r="N7742" s="12"/>
    </row>
    <row r="7743" spans="1:14" s="5" customFormat="1" ht="15" customHeight="1" x14ac:dyDescent="0.25">
      <c r="A7743" s="9" t="s">
        <v>15240</v>
      </c>
      <c r="C7743" s="9" t="str">
        <f>HYPERLINK("http://www.ncbi.nlm.nih.gov/protein/6678437","Tpt1")</f>
        <v>Tpt1</v>
      </c>
      <c r="D7743" s="10">
        <f t="shared" si="120"/>
        <v>6.5681272263668324</v>
      </c>
      <c r="F7743" s="8" t="str">
        <f>HYPERLINK("https://esbl.nhlbi.nih.gov/Databases/mpkFractions/proteomic_fractions_log_files/Yang_log_img/6678437.jpg","show blot")</f>
        <v>show blot</v>
      </c>
      <c r="H7743" s="8" t="str">
        <f>HYPERLINK("https://esbl.nhlbi.nih.gov/Databases/mpkFractions/proteomic_fractions_linear_files/Yang_linear_img/6678437.jpg","show blot")</f>
        <v>show blot</v>
      </c>
      <c r="J7743" s="5" t="s">
        <v>15241</v>
      </c>
      <c r="L7743" s="11">
        <v>6.5681272263668324</v>
      </c>
      <c r="N7743" s="12"/>
    </row>
    <row r="7744" spans="1:14" s="5" customFormat="1" ht="15" customHeight="1" x14ac:dyDescent="0.25">
      <c r="A7744" s="9" t="s">
        <v>15242</v>
      </c>
      <c r="C7744" s="9" t="str">
        <f>HYPERLINK("http://www.ncbi.nlm.nih.gov/protein/269784764","Tpte")</f>
        <v>Tpte</v>
      </c>
      <c r="D7744" s="10">
        <f t="shared" si="120"/>
        <v>4.1837876574018047</v>
      </c>
      <c r="F7744" s="8" t="str">
        <f>HYPERLINK("https://esbl.nhlbi.nih.gov/Databases/mpkFractions/proteomic_fractions_log_files/Yang_log_img/269784764.jpg","show blot")</f>
        <v>show blot</v>
      </c>
      <c r="H7744" s="8" t="str">
        <f>HYPERLINK("https://esbl.nhlbi.nih.gov/Databases/mpkFractions/proteomic_fractions_linear_files/Yang_linear_img/269784764.jpg","show blot")</f>
        <v>show blot</v>
      </c>
      <c r="J7744" s="5" t="s">
        <v>15243</v>
      </c>
      <c r="L7744" s="11">
        <v>4.1837876574018047</v>
      </c>
      <c r="N7744" s="12"/>
    </row>
    <row r="7745" spans="1:14" s="5" customFormat="1" ht="15" customHeight="1" x14ac:dyDescent="0.25">
      <c r="A7745" s="9" t="s">
        <v>15244</v>
      </c>
      <c r="C7745" s="9" t="str">
        <f>HYPERLINK("http://www.ncbi.nlm.nih.gov/protein/111160869","Tra2a")</f>
        <v>Tra2a</v>
      </c>
      <c r="D7745" s="10">
        <f t="shared" si="120"/>
        <v>4.1718957284752776</v>
      </c>
      <c r="F7745" s="8" t="str">
        <f>HYPERLINK("https://esbl.nhlbi.nih.gov/Databases/mpkFractions/proteomic_fractions_log_files/Yang_log_img/111160869.jpg","show blot")</f>
        <v>show blot</v>
      </c>
      <c r="H7745" s="8" t="str">
        <f>HYPERLINK("https://esbl.nhlbi.nih.gov/Databases/mpkFractions/proteomic_fractions_linear_files/Yang_linear_img/111160869.jpg","show blot")</f>
        <v>show blot</v>
      </c>
      <c r="J7745" s="5" t="s">
        <v>15245</v>
      </c>
      <c r="L7745" s="11">
        <v>4.1718957284752776</v>
      </c>
      <c r="N7745" s="12"/>
    </row>
    <row r="7746" spans="1:14" s="5" customFormat="1" ht="15" customHeight="1" x14ac:dyDescent="0.25">
      <c r="A7746" s="9" t="s">
        <v>15246</v>
      </c>
      <c r="C7746" s="9" t="str">
        <f>HYPERLINK("http://www.ncbi.nlm.nih.gov/protein/6677975","Tra2b")</f>
        <v>Tra2b</v>
      </c>
      <c r="D7746" s="10">
        <f t="shared" si="120"/>
        <v>5.0407010613941372</v>
      </c>
      <c r="F7746" s="8" t="str">
        <f>HYPERLINK("https://esbl.nhlbi.nih.gov/Databases/mpkFractions/proteomic_fractions_log_files/Yang_log_img/6677975.jpg","show blot")</f>
        <v>show blot</v>
      </c>
      <c r="H7746" s="8" t="str">
        <f>HYPERLINK("https://esbl.nhlbi.nih.gov/Databases/mpkFractions/proteomic_fractions_linear_files/Yang_linear_img/6677975.jpg","show blot")</f>
        <v>show blot</v>
      </c>
      <c r="J7746" s="5" t="s">
        <v>15247</v>
      </c>
      <c r="L7746" s="11">
        <v>5.0407010613941372</v>
      </c>
      <c r="N7746" s="12"/>
    </row>
    <row r="7747" spans="1:14" s="5" customFormat="1" ht="15" customHeight="1" x14ac:dyDescent="0.25">
      <c r="A7747" s="9" t="s">
        <v>15248</v>
      </c>
      <c r="C7747" s="9" t="str">
        <f>HYPERLINK("http://www.ncbi.nlm.nih.gov/protein/117606383","Trabd")</f>
        <v>Trabd</v>
      </c>
      <c r="D7747" s="10">
        <f t="shared" si="120"/>
        <v>3.2867247905056378</v>
      </c>
      <c r="F7747" s="8" t="str">
        <f>HYPERLINK("https://esbl.nhlbi.nih.gov/Databases/mpkFractions/proteomic_fractions_log_files/Yang_log_img/117606383.jpg","show blot")</f>
        <v>show blot</v>
      </c>
      <c r="H7747" s="8" t="str">
        <f>HYPERLINK("https://esbl.nhlbi.nih.gov/Databases/mpkFractions/proteomic_fractions_linear_files/Yang_linear_img/117606383.jpg","show blot")</f>
        <v>show blot</v>
      </c>
      <c r="J7747" s="5" t="s">
        <v>15249</v>
      </c>
      <c r="L7747" s="11">
        <v>3.2867247905056378</v>
      </c>
      <c r="N7747" s="12"/>
    </row>
    <row r="7748" spans="1:14" s="5" customFormat="1" ht="15" customHeight="1" x14ac:dyDescent="0.25">
      <c r="A7748" s="9" t="s">
        <v>15250</v>
      </c>
      <c r="C7748" s="9" t="str">
        <f>HYPERLINK("http://www.ncbi.nlm.nih.gov/protein/75677522","Tradd")</f>
        <v>Tradd</v>
      </c>
      <c r="D7748" s="10">
        <f t="shared" si="120"/>
        <v>4.8288015146070791</v>
      </c>
      <c r="F7748" s="8" t="str">
        <f>HYPERLINK("https://esbl.nhlbi.nih.gov/Databases/mpkFractions/proteomic_fractions_log_files/Yang_log_img/75677522.jpg","show blot")</f>
        <v>show blot</v>
      </c>
      <c r="H7748" s="8" t="str">
        <f>HYPERLINK("https://esbl.nhlbi.nih.gov/Databases/mpkFractions/proteomic_fractions_linear_files/Yang_linear_img/75677522.jpg","show blot")</f>
        <v>show blot</v>
      </c>
      <c r="J7748" s="5" t="s">
        <v>15251</v>
      </c>
      <c r="L7748" s="11">
        <v>4.8288015146070791</v>
      </c>
      <c r="N7748" s="12"/>
    </row>
    <row r="7749" spans="1:14" s="5" customFormat="1" ht="15" customHeight="1" x14ac:dyDescent="0.25">
      <c r="A7749" s="9" t="s">
        <v>15252</v>
      </c>
      <c r="C7749" s="9" t="str">
        <f>HYPERLINK("http://www.ncbi.nlm.nih.gov/protein/83921633","Traf2")</f>
        <v>Traf2</v>
      </c>
      <c r="D7749" s="10">
        <f t="shared" ref="D7749:D7812" si="121">L7749</f>
        <v>4.118323904903459</v>
      </c>
      <c r="F7749" s="8" t="str">
        <f>HYPERLINK("https://esbl.nhlbi.nih.gov/Databases/mpkFractions/proteomic_fractions_log_files/Yang_log_img/83921633.jpg","show blot")</f>
        <v>show blot</v>
      </c>
      <c r="H7749" s="8" t="str">
        <f>HYPERLINK("https://esbl.nhlbi.nih.gov/Databases/mpkFractions/proteomic_fractions_linear_files/Yang_linear_img/83921633.jpg","show blot")</f>
        <v>show blot</v>
      </c>
      <c r="J7749" s="5" t="s">
        <v>15253</v>
      </c>
      <c r="L7749" s="11">
        <v>4.118323904903459</v>
      </c>
      <c r="N7749" s="12"/>
    </row>
    <row r="7750" spans="1:14" s="5" customFormat="1" ht="15" customHeight="1" x14ac:dyDescent="0.25">
      <c r="A7750" s="9" t="s">
        <v>15254</v>
      </c>
      <c r="C7750" s="9" t="str">
        <f>HYPERLINK("http://www.ncbi.nlm.nih.gov/protein/6755867","Traf5")</f>
        <v>Traf5</v>
      </c>
      <c r="D7750" s="10">
        <f t="shared" si="121"/>
        <v>2.6935758206798939</v>
      </c>
      <c r="F7750" s="8" t="str">
        <f>HYPERLINK("https://esbl.nhlbi.nih.gov/Databases/mpkFractions/proteomic_fractions_log_files/Yang_log_img/6755867.jpg","show blot")</f>
        <v>show blot</v>
      </c>
      <c r="H7750" s="8" t="str">
        <f>HYPERLINK("https://esbl.nhlbi.nih.gov/Databases/mpkFractions/proteomic_fractions_linear_files/Yang_linear_img/6755867.jpg","show blot")</f>
        <v>show blot</v>
      </c>
      <c r="J7750" s="5" t="s">
        <v>15255</v>
      </c>
      <c r="L7750" s="11">
        <v>2.6935758206798939</v>
      </c>
      <c r="N7750" s="12"/>
    </row>
    <row r="7751" spans="1:14" s="5" customFormat="1" ht="15" customHeight="1" x14ac:dyDescent="0.25">
      <c r="A7751" s="9" t="s">
        <v>15256</v>
      </c>
      <c r="C7751" s="9" t="str">
        <f>HYPERLINK("http://www.ncbi.nlm.nih.gov/protein/30794386","Tram1")</f>
        <v>Tram1</v>
      </c>
      <c r="D7751" s="10">
        <f t="shared" si="121"/>
        <v>3.8553000325346432</v>
      </c>
      <c r="F7751" s="8" t="str">
        <f>HYPERLINK("https://esbl.nhlbi.nih.gov/Databases/mpkFractions/proteomic_fractions_log_files/Yang_log_img/30794386.jpg","show blot")</f>
        <v>show blot</v>
      </c>
      <c r="H7751" s="8" t="str">
        <f>HYPERLINK("https://esbl.nhlbi.nih.gov/Databases/mpkFractions/proteomic_fractions_linear_files/Yang_linear_img/30794386.jpg","show blot")</f>
        <v>show blot</v>
      </c>
      <c r="J7751" s="5" t="s">
        <v>15257</v>
      </c>
      <c r="L7751" s="11">
        <v>3.8553000325346432</v>
      </c>
      <c r="N7751" s="12"/>
    </row>
    <row r="7752" spans="1:14" s="5" customFormat="1" ht="15" customHeight="1" x14ac:dyDescent="0.25">
      <c r="A7752" s="9" t="s">
        <v>15258</v>
      </c>
      <c r="C7752" s="9" t="str">
        <f>HYPERLINK("http://www.ncbi.nlm.nih.gov/protein/13385998","Trap1")</f>
        <v>Trap1</v>
      </c>
      <c r="D7752" s="10">
        <f t="shared" si="121"/>
        <v>6.3225607118242566</v>
      </c>
      <c r="F7752" s="8" t="str">
        <f>HYPERLINK("https://esbl.nhlbi.nih.gov/Databases/mpkFractions/proteomic_fractions_log_files/Yang_log_img/13385998.jpg","show blot")</f>
        <v>show blot</v>
      </c>
      <c r="H7752" s="8" t="str">
        <f>HYPERLINK("https://esbl.nhlbi.nih.gov/Databases/mpkFractions/proteomic_fractions_linear_files/Yang_linear_img/13385998.jpg","show blot")</f>
        <v>show blot</v>
      </c>
      <c r="J7752" s="5" t="s">
        <v>15259</v>
      </c>
      <c r="L7752" s="11">
        <v>6.3225607118242566</v>
      </c>
      <c r="N7752" s="12"/>
    </row>
    <row r="7753" spans="1:14" s="5" customFormat="1" ht="15" customHeight="1" x14ac:dyDescent="0.25">
      <c r="A7753" s="9" t="s">
        <v>15260</v>
      </c>
      <c r="C7753" s="9" t="str">
        <f>HYPERLINK("http://www.ncbi.nlm.nih.gov/protein/66730565","Trappc1")</f>
        <v>Trappc1</v>
      </c>
      <c r="D7753" s="10">
        <f t="shared" si="121"/>
        <v>5.04388298305002</v>
      </c>
      <c r="F7753" s="8" t="str">
        <f>HYPERLINK("https://esbl.nhlbi.nih.gov/Databases/mpkFractions/proteomic_fractions_log_files/Yang_log_img/66730565.jpg","show blot")</f>
        <v>show blot</v>
      </c>
      <c r="H7753" s="8" t="str">
        <f>HYPERLINK("https://esbl.nhlbi.nih.gov/Databases/mpkFractions/proteomic_fractions_linear_files/Yang_linear_img/66730565.jpg","show blot")</f>
        <v>show blot</v>
      </c>
      <c r="J7753" s="5" t="s">
        <v>15261</v>
      </c>
      <c r="L7753" s="11">
        <v>5.04388298305002</v>
      </c>
      <c r="N7753" s="12"/>
    </row>
    <row r="7754" spans="1:14" s="5" customFormat="1" ht="15" customHeight="1" x14ac:dyDescent="0.25">
      <c r="A7754" s="9" t="s">
        <v>15262</v>
      </c>
      <c r="C7754" s="9" t="str">
        <f>HYPERLINK("http://www.ncbi.nlm.nih.gov/protein/124486684","Trappc10")</f>
        <v>Trappc10</v>
      </c>
      <c r="D7754" s="10">
        <f t="shared" si="121"/>
        <v>3.8791023881422668</v>
      </c>
      <c r="F7754" s="8" t="str">
        <f>HYPERLINK("https://esbl.nhlbi.nih.gov/Databases/mpkFractions/proteomic_fractions_log_files/Yang_log_img/124486684.jpg","show blot")</f>
        <v>show blot</v>
      </c>
      <c r="H7754" s="8" t="str">
        <f>HYPERLINK("https://esbl.nhlbi.nih.gov/Databases/mpkFractions/proteomic_fractions_linear_files/Yang_linear_img/124486684.jpg","show blot")</f>
        <v>show blot</v>
      </c>
      <c r="J7754" s="5" t="s">
        <v>15263</v>
      </c>
      <c r="L7754" s="11">
        <v>3.8791023881422668</v>
      </c>
      <c r="N7754" s="12"/>
    </row>
    <row r="7755" spans="1:14" s="5" customFormat="1" ht="15" customHeight="1" x14ac:dyDescent="0.25">
      <c r="A7755" s="9" t="s">
        <v>15264</v>
      </c>
      <c r="C7755" s="9" t="str">
        <f>HYPERLINK("http://www.ncbi.nlm.nih.gov/protein/62241019","Trappc11")</f>
        <v>Trappc11</v>
      </c>
      <c r="D7755" s="10">
        <f t="shared" si="121"/>
        <v>3.371790603425294</v>
      </c>
      <c r="F7755" s="8" t="str">
        <f>HYPERLINK("https://esbl.nhlbi.nih.gov/Databases/mpkFractions/proteomic_fractions_log_files/Yang_log_img/62241019.jpg","show blot")</f>
        <v>show blot</v>
      </c>
      <c r="H7755" s="8" t="str">
        <f>HYPERLINK("https://esbl.nhlbi.nih.gov/Databases/mpkFractions/proteomic_fractions_linear_files/Yang_linear_img/62241019.jpg","show blot")</f>
        <v>show blot</v>
      </c>
      <c r="J7755" s="5" t="s">
        <v>15265</v>
      </c>
      <c r="L7755" s="11">
        <v>3.371790603425294</v>
      </c>
      <c r="N7755" s="12"/>
    </row>
    <row r="7756" spans="1:14" s="5" customFormat="1" ht="15" customHeight="1" x14ac:dyDescent="0.25">
      <c r="A7756" s="9" t="s">
        <v>15266</v>
      </c>
      <c r="C7756" s="9" t="str">
        <f>HYPERLINK("http://www.ncbi.nlm.nih.gov/protein/238637273;238637271","Trappc12")</f>
        <v>Trappc12</v>
      </c>
      <c r="D7756" s="10">
        <f t="shared" si="121"/>
        <v>3.0806264869218061</v>
      </c>
      <c r="F7756" s="8" t="str">
        <f>HYPERLINK("https://esbl.nhlbi.nih.gov/Databases/mpkFractions/proteomic_fractions_log_files/Yang_log_img/238637273;238637271.jpg","show blot")</f>
        <v>show blot</v>
      </c>
      <c r="H7756" s="8" t="str">
        <f>HYPERLINK("https://esbl.nhlbi.nih.gov/Databases/mpkFractions/proteomic_fractions_linear_files/Yang_linear_img/238637273;238637271.jpg","show blot")</f>
        <v>show blot</v>
      </c>
      <c r="J7756" s="5" t="s">
        <v>15267</v>
      </c>
      <c r="L7756" s="11">
        <v>3.0806264869218061</v>
      </c>
      <c r="N7756" s="12"/>
    </row>
    <row r="7757" spans="1:14" s="5" customFormat="1" ht="15" customHeight="1" x14ac:dyDescent="0.25">
      <c r="A7757" s="9" t="s">
        <v>15268</v>
      </c>
      <c r="C7757" s="9" t="str">
        <f>HYPERLINK("http://www.ncbi.nlm.nih.gov/protein/238637273","Trappc12")</f>
        <v>Trappc12</v>
      </c>
      <c r="D7757" s="10">
        <f t="shared" si="121"/>
        <v>3.0806264869218061</v>
      </c>
      <c r="F7757" s="8" t="str">
        <f>HYPERLINK("https://esbl.nhlbi.nih.gov/Databases/mpkFractions/proteomic_fractions_log_files/Yang_log_img/238637273.jpg","show blot")</f>
        <v>show blot</v>
      </c>
      <c r="H7757" s="8" t="str">
        <f>HYPERLINK("https://esbl.nhlbi.nih.gov/Databases/mpkFractions/proteomic_fractions_linear_files/Yang_linear_img/238637273.jpg","show blot")</f>
        <v>show blot</v>
      </c>
      <c r="J7757" s="5" t="s">
        <v>15267</v>
      </c>
      <c r="L7757" s="11">
        <v>3.0806264869218061</v>
      </c>
      <c r="N7757" s="12"/>
    </row>
    <row r="7758" spans="1:14" s="5" customFormat="1" ht="15" customHeight="1" x14ac:dyDescent="0.25">
      <c r="A7758" s="9" t="s">
        <v>15269</v>
      </c>
      <c r="C7758" s="9" t="str">
        <f>HYPERLINK("http://www.ncbi.nlm.nih.gov/protein/238637275","Trappc12")</f>
        <v>Trappc12</v>
      </c>
      <c r="D7758" s="10">
        <f t="shared" si="121"/>
        <v>3.0806264869218061</v>
      </c>
      <c r="F7758" s="8" t="str">
        <f>HYPERLINK("https://esbl.nhlbi.nih.gov/Databases/mpkFractions/proteomic_fractions_log_files/Yang_log_img/238637275.jpg","show blot")</f>
        <v>show blot</v>
      </c>
      <c r="H7758" s="8" t="str">
        <f>HYPERLINK("https://esbl.nhlbi.nih.gov/Databases/mpkFractions/proteomic_fractions_linear_files/Yang_linear_img/238637275.jpg","show blot")</f>
        <v>show blot</v>
      </c>
      <c r="J7758" s="5" t="s">
        <v>15270</v>
      </c>
      <c r="L7758" s="11">
        <v>3.0806264869218061</v>
      </c>
      <c r="N7758" s="12"/>
    </row>
    <row r="7759" spans="1:14" s="5" customFormat="1" ht="15" customHeight="1" x14ac:dyDescent="0.25">
      <c r="A7759" s="9" t="s">
        <v>15271</v>
      </c>
      <c r="C7759" s="9" t="str">
        <f>HYPERLINK("http://www.ncbi.nlm.nih.gov/protein/153791919","Trappc2")</f>
        <v>Trappc2</v>
      </c>
      <c r="D7759" s="10">
        <f t="shared" si="121"/>
        <v>4.898051626649389</v>
      </c>
      <c r="F7759" s="8" t="str">
        <f>HYPERLINK("https://esbl.nhlbi.nih.gov/Databases/mpkFractions/proteomic_fractions_log_files/Yang_log_img/153791919.jpg","show blot")</f>
        <v>show blot</v>
      </c>
      <c r="H7759" s="8" t="str">
        <f>HYPERLINK("https://esbl.nhlbi.nih.gov/Databases/mpkFractions/proteomic_fractions_linear_files/Yang_linear_img/153791919.jpg","show blot")</f>
        <v>show blot</v>
      </c>
      <c r="J7759" s="5" t="s">
        <v>15272</v>
      </c>
      <c r="L7759" s="11">
        <v>4.898051626649389</v>
      </c>
      <c r="N7759" s="12"/>
    </row>
    <row r="7760" spans="1:14" s="5" customFormat="1" ht="15" customHeight="1" x14ac:dyDescent="0.25">
      <c r="A7760" s="9" t="s">
        <v>15273</v>
      </c>
      <c r="C7760" s="9" t="str">
        <f>HYPERLINK("http://www.ncbi.nlm.nih.gov/protein/10946914","Trappc2l")</f>
        <v>Trappc2l</v>
      </c>
      <c r="D7760" s="10">
        <f t="shared" si="121"/>
        <v>5.0012087035123134</v>
      </c>
      <c r="F7760" s="8" t="str">
        <f>HYPERLINK("https://esbl.nhlbi.nih.gov/Databases/mpkFractions/proteomic_fractions_log_files/Yang_log_img/10946914.jpg","show blot")</f>
        <v>show blot</v>
      </c>
      <c r="H7760" s="8" t="str">
        <f>HYPERLINK("https://esbl.nhlbi.nih.gov/Databases/mpkFractions/proteomic_fractions_linear_files/Yang_linear_img/10946914.jpg","show blot")</f>
        <v>show blot</v>
      </c>
      <c r="J7760" s="5" t="s">
        <v>15274</v>
      </c>
      <c r="L7760" s="11">
        <v>5.0012087035123134</v>
      </c>
      <c r="N7760" s="12"/>
    </row>
    <row r="7761" spans="1:14" s="5" customFormat="1" ht="15" customHeight="1" x14ac:dyDescent="0.25">
      <c r="A7761" s="9" t="s">
        <v>15275</v>
      </c>
      <c r="C7761" s="9" t="str">
        <f>HYPERLINK("http://www.ncbi.nlm.nih.gov/protein/7304929","Trappc3")</f>
        <v>Trappc3</v>
      </c>
      <c r="D7761" s="10">
        <f t="shared" si="121"/>
        <v>5.7492442324791586</v>
      </c>
      <c r="F7761" s="8" t="str">
        <f>HYPERLINK("https://esbl.nhlbi.nih.gov/Databases/mpkFractions/proteomic_fractions_log_files/Yang_log_img/7304929.jpg","show blot")</f>
        <v>show blot</v>
      </c>
      <c r="H7761" s="8" t="str">
        <f>HYPERLINK("https://esbl.nhlbi.nih.gov/Databases/mpkFractions/proteomic_fractions_linear_files/Yang_linear_img/7304929.jpg","show blot")</f>
        <v>show blot</v>
      </c>
      <c r="J7761" s="5" t="s">
        <v>15276</v>
      </c>
      <c r="L7761" s="11">
        <v>5.7492442324791586</v>
      </c>
      <c r="N7761" s="12"/>
    </row>
    <row r="7762" spans="1:14" s="5" customFormat="1" ht="15" customHeight="1" x14ac:dyDescent="0.25">
      <c r="A7762" s="9" t="s">
        <v>15277</v>
      </c>
      <c r="C7762" s="9" t="str">
        <f>HYPERLINK("http://www.ncbi.nlm.nih.gov/protein/11140825","Trappc4")</f>
        <v>Trappc4</v>
      </c>
      <c r="D7762" s="10">
        <f t="shared" si="121"/>
        <v>5.00948736629707</v>
      </c>
      <c r="F7762" s="8" t="str">
        <f>HYPERLINK("https://esbl.nhlbi.nih.gov/Databases/mpkFractions/proteomic_fractions_log_files/Yang_log_img/11140825.jpg","show blot")</f>
        <v>show blot</v>
      </c>
      <c r="H7762" s="8" t="str">
        <f>HYPERLINK("https://esbl.nhlbi.nih.gov/Databases/mpkFractions/proteomic_fractions_linear_files/Yang_linear_img/11140825.jpg","show blot")</f>
        <v>show blot</v>
      </c>
      <c r="J7762" s="5" t="s">
        <v>15278</v>
      </c>
      <c r="L7762" s="11">
        <v>5.00948736629707</v>
      </c>
      <c r="N7762" s="12"/>
    </row>
    <row r="7763" spans="1:14" s="5" customFormat="1" ht="15" customHeight="1" x14ac:dyDescent="0.25">
      <c r="A7763" s="9" t="s">
        <v>15279</v>
      </c>
      <c r="C7763" s="9" t="str">
        <f>HYPERLINK("http://www.ncbi.nlm.nih.gov/protein/157266281","Trappc5")</f>
        <v>Trappc5</v>
      </c>
      <c r="D7763" s="10">
        <f t="shared" si="121"/>
        <v>5.6089629163068739</v>
      </c>
      <c r="F7763" s="8" t="str">
        <f>HYPERLINK("https://esbl.nhlbi.nih.gov/Databases/mpkFractions/proteomic_fractions_log_files/Yang_log_img/157266281.jpg","show blot")</f>
        <v>show blot</v>
      </c>
      <c r="H7763" s="8" t="str">
        <f>HYPERLINK("https://esbl.nhlbi.nih.gov/Databases/mpkFractions/proteomic_fractions_linear_files/Yang_linear_img/157266281.jpg","show blot")</f>
        <v>show blot</v>
      </c>
      <c r="J7763" s="5" t="s">
        <v>15280</v>
      </c>
      <c r="L7763" s="11">
        <v>5.6089629163068739</v>
      </c>
      <c r="N7763" s="12"/>
    </row>
    <row r="7764" spans="1:14" s="5" customFormat="1" ht="15" customHeight="1" x14ac:dyDescent="0.25">
      <c r="A7764" s="9" t="s">
        <v>15281</v>
      </c>
      <c r="C7764" s="9" t="str">
        <f>HYPERLINK("http://www.ncbi.nlm.nih.gov/protein/31981104","Trappc6a")</f>
        <v>Trappc6a</v>
      </c>
      <c r="D7764" s="10">
        <f t="shared" si="121"/>
        <v>2.9500693306649048</v>
      </c>
      <c r="F7764" s="8" t="str">
        <f>HYPERLINK("https://esbl.nhlbi.nih.gov/Databases/mpkFractions/proteomic_fractions_log_files/Yang_log_img/31981104.jpg","show blot")</f>
        <v>show blot</v>
      </c>
      <c r="H7764" s="8" t="str">
        <f>HYPERLINK("https://esbl.nhlbi.nih.gov/Databases/mpkFractions/proteomic_fractions_linear_files/Yang_linear_img/31981104.jpg","show blot")</f>
        <v>show blot</v>
      </c>
      <c r="J7764" s="5" t="s">
        <v>15282</v>
      </c>
      <c r="L7764" s="11">
        <v>2.9500693306649048</v>
      </c>
      <c r="N7764" s="12"/>
    </row>
    <row r="7765" spans="1:14" s="5" customFormat="1" ht="15" customHeight="1" x14ac:dyDescent="0.25">
      <c r="A7765" s="9" t="s">
        <v>15283</v>
      </c>
      <c r="C7765" s="9" t="str">
        <f>HYPERLINK("http://www.ncbi.nlm.nih.gov/protein/58037519","Trappc6b")</f>
        <v>Trappc6b</v>
      </c>
      <c r="D7765" s="10">
        <f t="shared" si="121"/>
        <v>5.5519684713077027</v>
      </c>
      <c r="F7765" s="8" t="str">
        <f>HYPERLINK("https://esbl.nhlbi.nih.gov/Databases/mpkFractions/proteomic_fractions_log_files/Yang_log_img/58037519.jpg","show blot")</f>
        <v>show blot</v>
      </c>
      <c r="H7765" s="8" t="str">
        <f>HYPERLINK("https://esbl.nhlbi.nih.gov/Databases/mpkFractions/proteomic_fractions_linear_files/Yang_linear_img/58037519.jpg","show blot")</f>
        <v>show blot</v>
      </c>
      <c r="J7765" s="5" t="s">
        <v>15284</v>
      </c>
      <c r="L7765" s="11">
        <v>5.5519684713077027</v>
      </c>
      <c r="N7765" s="12"/>
    </row>
    <row r="7766" spans="1:14" s="5" customFormat="1" ht="15" customHeight="1" x14ac:dyDescent="0.25">
      <c r="A7766" s="9" t="s">
        <v>15285</v>
      </c>
      <c r="C7766" s="9" t="str">
        <f>HYPERLINK("http://www.ncbi.nlm.nih.gov/protein/291621688","Trappc8")</f>
        <v>Trappc8</v>
      </c>
      <c r="D7766" s="10">
        <f t="shared" si="121"/>
        <v>2.4965711212916659</v>
      </c>
      <c r="F7766" s="8" t="str">
        <f>HYPERLINK("https://esbl.nhlbi.nih.gov/Databases/mpkFractions/proteomic_fractions_log_files/Yang_log_img/291621688.jpg","show blot")</f>
        <v>show blot</v>
      </c>
      <c r="H7766" s="8" t="str">
        <f>HYPERLINK("https://esbl.nhlbi.nih.gov/Databases/mpkFractions/proteomic_fractions_linear_files/Yang_linear_img/291621688.jpg","show blot")</f>
        <v>show blot</v>
      </c>
      <c r="J7766" s="5" t="s">
        <v>15286</v>
      </c>
      <c r="L7766" s="11">
        <v>2.4965711212916659</v>
      </c>
      <c r="N7766" s="12"/>
    </row>
    <row r="7767" spans="1:14" s="5" customFormat="1" ht="15" customHeight="1" x14ac:dyDescent="0.25">
      <c r="A7767" s="9" t="s">
        <v>15287</v>
      </c>
      <c r="C7767" s="9" t="str">
        <f>HYPERLINK("http://www.ncbi.nlm.nih.gov/protein/257467575","Trappc9")</f>
        <v>Trappc9</v>
      </c>
      <c r="D7767" s="10">
        <f t="shared" si="121"/>
        <v>4.599242177839769</v>
      </c>
      <c r="F7767" s="8" t="str">
        <f>HYPERLINK("https://esbl.nhlbi.nih.gov/Databases/mpkFractions/proteomic_fractions_log_files/Yang_log_img/257467575.jpg","show blot")</f>
        <v>show blot</v>
      </c>
      <c r="H7767" s="8" t="str">
        <f>HYPERLINK("https://esbl.nhlbi.nih.gov/Databases/mpkFractions/proteomic_fractions_linear_files/Yang_linear_img/257467575.jpg","show blot")</f>
        <v>show blot</v>
      </c>
      <c r="J7767" s="5" t="s">
        <v>15288</v>
      </c>
      <c r="L7767" s="11">
        <v>4.599242177839769</v>
      </c>
      <c r="N7767" s="12"/>
    </row>
    <row r="7768" spans="1:14" s="5" customFormat="1" ht="15" customHeight="1" x14ac:dyDescent="0.25">
      <c r="A7768" s="9" t="s">
        <v>15289</v>
      </c>
      <c r="C7768" s="9" t="str">
        <f>HYPERLINK("http://www.ncbi.nlm.nih.gov/protein/257467578","Trappc9")</f>
        <v>Trappc9</v>
      </c>
      <c r="D7768" s="10">
        <f t="shared" si="121"/>
        <v>4.599242177839769</v>
      </c>
      <c r="F7768" s="8" t="str">
        <f>HYPERLINK("https://esbl.nhlbi.nih.gov/Databases/mpkFractions/proteomic_fractions_log_files/Yang_log_img/257467578.jpg","show blot")</f>
        <v>show blot</v>
      </c>
      <c r="H7768" s="8" t="str">
        <f>HYPERLINK("https://esbl.nhlbi.nih.gov/Databases/mpkFractions/proteomic_fractions_linear_files/Yang_linear_img/257467578.jpg","show blot")</f>
        <v>show blot</v>
      </c>
      <c r="J7768" s="5" t="s">
        <v>15290</v>
      </c>
      <c r="L7768" s="11">
        <v>4.599242177839769</v>
      </c>
      <c r="N7768" s="12"/>
    </row>
    <row r="7769" spans="1:14" s="5" customFormat="1" ht="15" customHeight="1" x14ac:dyDescent="0.25">
      <c r="A7769" s="9" t="s">
        <v>15291</v>
      </c>
      <c r="C7769" s="9" t="str">
        <f>HYPERLINK("http://www.ncbi.nlm.nih.gov/protein/257467580","Trappc9")</f>
        <v>Trappc9</v>
      </c>
      <c r="D7769" s="10">
        <f t="shared" si="121"/>
        <v>4.599242177839769</v>
      </c>
      <c r="F7769" s="8" t="str">
        <f>HYPERLINK("https://esbl.nhlbi.nih.gov/Databases/mpkFractions/proteomic_fractions_log_files/Yang_log_img/257467580.jpg","show blot")</f>
        <v>show blot</v>
      </c>
      <c r="H7769" s="8" t="str">
        <f>HYPERLINK("https://esbl.nhlbi.nih.gov/Databases/mpkFractions/proteomic_fractions_linear_files/Yang_linear_img/257467580.jpg","show blot")</f>
        <v>show blot</v>
      </c>
      <c r="J7769" s="5" t="s">
        <v>15292</v>
      </c>
      <c r="L7769" s="11">
        <v>4.599242177839769</v>
      </c>
      <c r="N7769" s="12"/>
    </row>
    <row r="7770" spans="1:14" s="5" customFormat="1" ht="15" customHeight="1" x14ac:dyDescent="0.25">
      <c r="A7770" s="9" t="s">
        <v>15293</v>
      </c>
      <c r="C7770" s="9" t="str">
        <f>HYPERLINK("http://www.ncbi.nlm.nih.gov/protein/257467582","Trappc9")</f>
        <v>Trappc9</v>
      </c>
      <c r="D7770" s="10">
        <f t="shared" si="121"/>
        <v>4.599242177839769</v>
      </c>
      <c r="F7770" s="8" t="str">
        <f>HYPERLINK("https://esbl.nhlbi.nih.gov/Databases/mpkFractions/proteomic_fractions_log_files/Yang_log_img/257467582.jpg","show blot")</f>
        <v>show blot</v>
      </c>
      <c r="H7770" s="8" t="str">
        <f>HYPERLINK("https://esbl.nhlbi.nih.gov/Databases/mpkFractions/proteomic_fractions_linear_files/Yang_linear_img/257467582.jpg","show blot")</f>
        <v>show blot</v>
      </c>
      <c r="J7770" s="5" t="s">
        <v>15294</v>
      </c>
      <c r="L7770" s="11">
        <v>4.599242177839769</v>
      </c>
      <c r="N7770" s="12"/>
    </row>
    <row r="7771" spans="1:14" s="5" customFormat="1" ht="15" customHeight="1" x14ac:dyDescent="0.25">
      <c r="A7771" s="9" t="s">
        <v>15295</v>
      </c>
      <c r="C7771" s="9" t="str">
        <f>HYPERLINK("http://www.ncbi.nlm.nih.gov/protein/30840992","Trappc9")</f>
        <v>Trappc9</v>
      </c>
      <c r="D7771" s="10">
        <f t="shared" si="121"/>
        <v>4.599242177839769</v>
      </c>
      <c r="F7771" s="8" t="str">
        <f>HYPERLINK("https://esbl.nhlbi.nih.gov/Databases/mpkFractions/proteomic_fractions_log_files/Yang_log_img/30840992.jpg","show blot")</f>
        <v>show blot</v>
      </c>
      <c r="H7771" s="8" t="str">
        <f>HYPERLINK("https://esbl.nhlbi.nih.gov/Databases/mpkFractions/proteomic_fractions_linear_files/Yang_linear_img/30840992.jpg","show blot")</f>
        <v>show blot</v>
      </c>
      <c r="J7771" s="5" t="s">
        <v>15296</v>
      </c>
      <c r="L7771" s="11">
        <v>4.599242177839769</v>
      </c>
      <c r="N7771" s="12"/>
    </row>
    <row r="7772" spans="1:14" s="5" customFormat="1" ht="15" customHeight="1" x14ac:dyDescent="0.25">
      <c r="A7772" s="9" t="s">
        <v>15297</v>
      </c>
      <c r="C7772" s="9" t="str">
        <f>HYPERLINK("http://www.ncbi.nlm.nih.gov/protein/21312202","Triap1")</f>
        <v>Triap1</v>
      </c>
      <c r="D7772" s="10">
        <f t="shared" si="121"/>
        <v>3.585225632697687</v>
      </c>
      <c r="F7772" s="8" t="str">
        <f>HYPERLINK("https://esbl.nhlbi.nih.gov/Databases/mpkFractions/proteomic_fractions_log_files/Yang_log_img/21312202.jpg","show blot")</f>
        <v>show blot</v>
      </c>
      <c r="H7772" s="8" t="str">
        <f>HYPERLINK("https://esbl.nhlbi.nih.gov/Databases/mpkFractions/proteomic_fractions_linear_files/Yang_linear_img/21312202.jpg","show blot")</f>
        <v>show blot</v>
      </c>
      <c r="J7772" s="5" t="s">
        <v>15298</v>
      </c>
      <c r="L7772" s="11">
        <v>3.585225632697687</v>
      </c>
      <c r="N7772" s="12"/>
    </row>
    <row r="7773" spans="1:14" s="5" customFormat="1" ht="15" customHeight="1" x14ac:dyDescent="0.25">
      <c r="A7773" s="9" t="s">
        <v>15299</v>
      </c>
      <c r="C7773" s="9" t="str">
        <f>HYPERLINK("http://www.ncbi.nlm.nih.gov/protein/70778828","Trim16")</f>
        <v>Trim16</v>
      </c>
      <c r="D7773" s="10">
        <f t="shared" si="121"/>
        <v>4.0293774216242282</v>
      </c>
      <c r="F7773" s="8" t="str">
        <f>HYPERLINK("https://esbl.nhlbi.nih.gov/Databases/mpkFractions/proteomic_fractions_log_files/Yang_log_img/70778828.jpg","show blot")</f>
        <v>show blot</v>
      </c>
      <c r="H7773" s="8" t="str">
        <f>HYPERLINK("https://esbl.nhlbi.nih.gov/Databases/mpkFractions/proteomic_fractions_linear_files/Yang_linear_img/70778828.jpg","show blot")</f>
        <v>show blot</v>
      </c>
      <c r="J7773" s="5" t="s">
        <v>15300</v>
      </c>
      <c r="L7773" s="11">
        <v>4.0293774216242282</v>
      </c>
      <c r="N7773" s="12"/>
    </row>
    <row r="7774" spans="1:14" s="5" customFormat="1" ht="15" customHeight="1" x14ac:dyDescent="0.25">
      <c r="A7774" s="9" t="s">
        <v>15301</v>
      </c>
      <c r="C7774" s="9" t="str">
        <f>HYPERLINK("http://www.ncbi.nlm.nih.gov/protein/29789263","Trim23")</f>
        <v>Trim23</v>
      </c>
      <c r="D7774" s="10">
        <f t="shared" si="121"/>
        <v>4.0412635082212471</v>
      </c>
      <c r="F7774" s="8" t="str">
        <f>HYPERLINK("https://esbl.nhlbi.nih.gov/Databases/mpkFractions/proteomic_fractions_log_files/Yang_log_img/29789263.jpg","show blot")</f>
        <v>show blot</v>
      </c>
      <c r="H7774" s="8" t="str">
        <f>HYPERLINK("https://esbl.nhlbi.nih.gov/Databases/mpkFractions/proteomic_fractions_linear_files/Yang_linear_img/29789263.jpg","show blot")</f>
        <v>show blot</v>
      </c>
      <c r="J7774" s="5" t="s">
        <v>15302</v>
      </c>
      <c r="L7774" s="11">
        <v>4.0412635082212471</v>
      </c>
      <c r="N7774" s="12"/>
    </row>
    <row r="7775" spans="1:14" s="5" customFormat="1" ht="15" customHeight="1" x14ac:dyDescent="0.25">
      <c r="A7775" s="9" t="s">
        <v>15303</v>
      </c>
      <c r="C7775" s="9" t="str">
        <f>HYPERLINK("http://www.ncbi.nlm.nih.gov/protein/440918679","Trim24")</f>
        <v>Trim24</v>
      </c>
      <c r="D7775" s="10">
        <f t="shared" si="121"/>
        <v>3.4925787828597681</v>
      </c>
      <c r="F7775" s="8" t="str">
        <f>HYPERLINK("https://esbl.nhlbi.nih.gov/Databases/mpkFractions/proteomic_fractions_log_files/Yang_log_img/440918679.jpg","show blot")</f>
        <v>show blot</v>
      </c>
      <c r="H7775" s="8" t="str">
        <f>HYPERLINK("https://esbl.nhlbi.nih.gov/Databases/mpkFractions/proteomic_fractions_linear_files/Yang_linear_img/440918679.jpg","show blot")</f>
        <v>show blot</v>
      </c>
      <c r="J7775" s="5" t="s">
        <v>15304</v>
      </c>
      <c r="L7775" s="11">
        <v>3.4925787828597681</v>
      </c>
      <c r="N7775" s="12"/>
    </row>
    <row r="7776" spans="1:14" s="5" customFormat="1" ht="15" customHeight="1" x14ac:dyDescent="0.25">
      <c r="A7776" s="9" t="s">
        <v>15305</v>
      </c>
      <c r="C7776" s="9" t="str">
        <f>HYPERLINK("http://www.ncbi.nlm.nih.gov/protein/440918697","Trim24")</f>
        <v>Trim24</v>
      </c>
      <c r="D7776" s="10">
        <f t="shared" si="121"/>
        <v>3.4925787828597681</v>
      </c>
      <c r="F7776" s="8" t="str">
        <f>HYPERLINK("https://esbl.nhlbi.nih.gov/Databases/mpkFractions/proteomic_fractions_log_files/Yang_log_img/440918697.jpg","show blot")</f>
        <v>show blot</v>
      </c>
      <c r="H7776" s="8" t="str">
        <f>HYPERLINK("https://esbl.nhlbi.nih.gov/Databases/mpkFractions/proteomic_fractions_linear_files/Yang_linear_img/440918697.jpg","show blot")</f>
        <v>show blot</v>
      </c>
      <c r="J7776" s="5" t="s">
        <v>15306</v>
      </c>
      <c r="L7776" s="11">
        <v>3.4925787828597681</v>
      </c>
      <c r="N7776" s="12"/>
    </row>
    <row r="7777" spans="1:14" s="5" customFormat="1" ht="15" customHeight="1" x14ac:dyDescent="0.25">
      <c r="A7777" s="9" t="s">
        <v>15307</v>
      </c>
      <c r="C7777" s="9" t="str">
        <f>HYPERLINK("http://www.ncbi.nlm.nih.gov/protein/94420998","Trim24")</f>
        <v>Trim24</v>
      </c>
      <c r="D7777" s="10">
        <f t="shared" si="121"/>
        <v>3.4925787828597681</v>
      </c>
      <c r="F7777" s="8" t="str">
        <f>HYPERLINK("https://esbl.nhlbi.nih.gov/Databases/mpkFractions/proteomic_fractions_log_files/Yang_log_img/94420998.jpg","show blot")</f>
        <v>show blot</v>
      </c>
      <c r="H7777" s="8" t="str">
        <f>HYPERLINK("https://esbl.nhlbi.nih.gov/Databases/mpkFractions/proteomic_fractions_linear_files/Yang_linear_img/94420998.jpg","show blot")</f>
        <v>show blot</v>
      </c>
      <c r="J7777" s="5" t="s">
        <v>15308</v>
      </c>
      <c r="L7777" s="11">
        <v>3.4925787828597681</v>
      </c>
      <c r="N7777" s="12"/>
    </row>
    <row r="7778" spans="1:14" s="5" customFormat="1" ht="15" customHeight="1" x14ac:dyDescent="0.25">
      <c r="A7778" s="9" t="s">
        <v>15309</v>
      </c>
      <c r="C7778" s="9" t="str">
        <f>HYPERLINK("http://www.ncbi.nlm.nih.gov/protein/145207948","Trim25")</f>
        <v>Trim25</v>
      </c>
      <c r="D7778" s="10">
        <f t="shared" si="121"/>
        <v>5.1371318469929994</v>
      </c>
      <c r="F7778" s="8" t="str">
        <f>HYPERLINK("https://esbl.nhlbi.nih.gov/Databases/mpkFractions/proteomic_fractions_log_files/Yang_log_img/145207948.jpg","show blot")</f>
        <v>show blot</v>
      </c>
      <c r="H7778" s="8" t="str">
        <f>HYPERLINK("https://esbl.nhlbi.nih.gov/Databases/mpkFractions/proteomic_fractions_linear_files/Yang_linear_img/145207948.jpg","show blot")</f>
        <v>show blot</v>
      </c>
      <c r="J7778" s="5" t="s">
        <v>15310</v>
      </c>
      <c r="L7778" s="11">
        <v>5.1371318469929994</v>
      </c>
      <c r="N7778" s="12"/>
    </row>
    <row r="7779" spans="1:14" s="5" customFormat="1" ht="15" customHeight="1" x14ac:dyDescent="0.25">
      <c r="A7779" s="9" t="s">
        <v>15311</v>
      </c>
      <c r="C7779" s="9" t="str">
        <f>HYPERLINK("http://www.ncbi.nlm.nih.gov/protein/125347389","Trim27")</f>
        <v>Trim27</v>
      </c>
      <c r="D7779" s="10">
        <f t="shared" si="121"/>
        <v>3.2204970085357369</v>
      </c>
      <c r="F7779" s="8" t="str">
        <f>HYPERLINK("https://esbl.nhlbi.nih.gov/Databases/mpkFractions/proteomic_fractions_log_files/Yang_log_img/125347389.jpg","show blot")</f>
        <v>show blot</v>
      </c>
      <c r="H7779" s="8" t="str">
        <f>HYPERLINK("https://esbl.nhlbi.nih.gov/Databases/mpkFractions/proteomic_fractions_linear_files/Yang_linear_img/125347389.jpg","show blot")</f>
        <v>show blot</v>
      </c>
      <c r="J7779" s="5" t="s">
        <v>15312</v>
      </c>
      <c r="L7779" s="11">
        <v>3.2204970085357369</v>
      </c>
      <c r="N7779" s="12"/>
    </row>
    <row r="7780" spans="1:14" s="5" customFormat="1" ht="15" customHeight="1" x14ac:dyDescent="0.25">
      <c r="A7780" s="9" t="s">
        <v>15313</v>
      </c>
      <c r="C7780" s="9" t="str">
        <f>HYPERLINK("http://www.ncbi.nlm.nih.gov/protein/170295840","Trim28")</f>
        <v>Trim28</v>
      </c>
      <c r="D7780" s="10">
        <f t="shared" si="121"/>
        <v>6.0119789079285058</v>
      </c>
      <c r="F7780" s="8" t="str">
        <f>HYPERLINK("https://esbl.nhlbi.nih.gov/Databases/mpkFractions/proteomic_fractions_log_files/Yang_log_img/170295840.jpg","show blot")</f>
        <v>show blot</v>
      </c>
      <c r="H7780" s="8" t="str">
        <f>HYPERLINK("https://esbl.nhlbi.nih.gov/Databases/mpkFractions/proteomic_fractions_linear_files/Yang_linear_img/170295840.jpg","show blot")</f>
        <v>show blot</v>
      </c>
      <c r="J7780" s="5" t="s">
        <v>15314</v>
      </c>
      <c r="L7780" s="11">
        <v>6.0119789079285058</v>
      </c>
      <c r="N7780" s="12"/>
    </row>
    <row r="7781" spans="1:14" s="5" customFormat="1" ht="15" customHeight="1" x14ac:dyDescent="0.25">
      <c r="A7781" s="9" t="s">
        <v>15315</v>
      </c>
      <c r="C7781" s="9" t="str">
        <f>HYPERLINK("http://www.ncbi.nlm.nih.gov/protein/33468961","Trim3")</f>
        <v>Trim3</v>
      </c>
      <c r="D7781" s="10">
        <f t="shared" si="121"/>
        <v>3.6725151823965301</v>
      </c>
      <c r="F7781" s="8" t="str">
        <f>HYPERLINK("https://esbl.nhlbi.nih.gov/Databases/mpkFractions/proteomic_fractions_log_files/Yang_log_img/33468961.jpg","show blot")</f>
        <v>show blot</v>
      </c>
      <c r="H7781" s="8" t="str">
        <f>HYPERLINK("https://esbl.nhlbi.nih.gov/Databases/mpkFractions/proteomic_fractions_linear_files/Yang_linear_img/33468961.jpg","show blot")</f>
        <v>show blot</v>
      </c>
      <c r="J7781" s="5" t="s">
        <v>15316</v>
      </c>
      <c r="L7781" s="11">
        <v>3.6725151823965301</v>
      </c>
      <c r="N7781" s="12"/>
    </row>
    <row r="7782" spans="1:14" s="5" customFormat="1" ht="15" customHeight="1" x14ac:dyDescent="0.25">
      <c r="A7782" s="9" t="s">
        <v>15317</v>
      </c>
      <c r="C7782" s="9" t="str">
        <f>HYPERLINK("http://www.ncbi.nlm.nih.gov/protein/239937489","Trim32")</f>
        <v>Trim32</v>
      </c>
      <c r="D7782" s="10">
        <f t="shared" si="121"/>
        <v>2.926585368609198</v>
      </c>
      <c r="F7782" s="8" t="str">
        <f>HYPERLINK("https://esbl.nhlbi.nih.gov/Databases/mpkFractions/proteomic_fractions_log_files/Yang_log_img/239937489.jpg","show blot")</f>
        <v>show blot</v>
      </c>
      <c r="H7782" s="8" t="str">
        <f>HYPERLINK("https://esbl.nhlbi.nih.gov/Databases/mpkFractions/proteomic_fractions_linear_files/Yang_linear_img/239937489.jpg","show blot")</f>
        <v>show blot</v>
      </c>
      <c r="J7782" s="5" t="s">
        <v>15318</v>
      </c>
      <c r="L7782" s="11">
        <v>2.926585368609198</v>
      </c>
      <c r="N7782" s="12"/>
    </row>
    <row r="7783" spans="1:14" s="5" customFormat="1" ht="15" customHeight="1" x14ac:dyDescent="0.25">
      <c r="A7783" s="9" t="s">
        <v>15319</v>
      </c>
      <c r="C7783" s="9" t="str">
        <f>HYPERLINK("http://www.ncbi.nlm.nih.gov/protein/119637828","Trim33")</f>
        <v>Trim33</v>
      </c>
      <c r="D7783" s="10">
        <f t="shared" si="121"/>
        <v>4.4016123316404441</v>
      </c>
      <c r="F7783" s="8" t="str">
        <f>HYPERLINK("https://esbl.nhlbi.nih.gov/Databases/mpkFractions/proteomic_fractions_log_files/Yang_log_img/119637828.jpg","show blot")</f>
        <v>show blot</v>
      </c>
      <c r="H7783" s="8" t="str">
        <f>HYPERLINK("https://esbl.nhlbi.nih.gov/Databases/mpkFractions/proteomic_fractions_linear_files/Yang_linear_img/119637828.jpg","show blot")</f>
        <v>show blot</v>
      </c>
      <c r="J7783" s="5" t="s">
        <v>15320</v>
      </c>
      <c r="L7783" s="11">
        <v>4.4016123316404441</v>
      </c>
      <c r="N7783" s="12"/>
    </row>
    <row r="7784" spans="1:14" s="5" customFormat="1" ht="15" customHeight="1" x14ac:dyDescent="0.25">
      <c r="A7784" s="9" t="s">
        <v>15321</v>
      </c>
      <c r="C7784" s="9" t="str">
        <f>HYPERLINK("http://www.ncbi.nlm.nih.gov/protein/119637830","Trim33")</f>
        <v>Trim33</v>
      </c>
      <c r="D7784" s="10">
        <f t="shared" si="121"/>
        <v>4.4016123316404441</v>
      </c>
      <c r="F7784" s="8" t="str">
        <f>HYPERLINK("https://esbl.nhlbi.nih.gov/Databases/mpkFractions/proteomic_fractions_log_files/Yang_log_img/119637830.jpg","show blot")</f>
        <v>show blot</v>
      </c>
      <c r="H7784" s="8" t="str">
        <f>HYPERLINK("https://esbl.nhlbi.nih.gov/Databases/mpkFractions/proteomic_fractions_linear_files/Yang_linear_img/119637830.jpg","show blot")</f>
        <v>show blot</v>
      </c>
      <c r="J7784" s="5" t="s">
        <v>15322</v>
      </c>
      <c r="L7784" s="11">
        <v>4.4016123316404441</v>
      </c>
      <c r="N7784" s="12"/>
    </row>
    <row r="7785" spans="1:14" s="5" customFormat="1" ht="15" customHeight="1" x14ac:dyDescent="0.25">
      <c r="A7785" s="9" t="s">
        <v>15323</v>
      </c>
      <c r="C7785" s="9" t="str">
        <f>HYPERLINK("http://www.ncbi.nlm.nih.gov/protein/326537318","Trim47")</f>
        <v>Trim47</v>
      </c>
      <c r="D7785" s="10">
        <f t="shared" si="121"/>
        <v>4.5990330713594458</v>
      </c>
      <c r="F7785" s="8" t="str">
        <f>HYPERLINK("https://esbl.nhlbi.nih.gov/Databases/mpkFractions/proteomic_fractions_log_files/Yang_log_img/326537318.jpg","show blot")</f>
        <v>show blot</v>
      </c>
      <c r="H7785" s="8" t="str">
        <f>HYPERLINK("https://esbl.nhlbi.nih.gov/Databases/mpkFractions/proteomic_fractions_linear_files/Yang_linear_img/326537318.jpg","show blot")</f>
        <v>show blot</v>
      </c>
      <c r="J7785" s="5" t="s">
        <v>15324</v>
      </c>
      <c r="L7785" s="11">
        <v>4.5990330713594458</v>
      </c>
      <c r="N7785" s="12"/>
    </row>
    <row r="7786" spans="1:14" s="5" customFormat="1" ht="15" customHeight="1" x14ac:dyDescent="0.25">
      <c r="A7786" s="9" t="s">
        <v>15325</v>
      </c>
      <c r="C7786" s="9" t="str">
        <f>HYPERLINK("http://www.ncbi.nlm.nih.gov/protein/326537320","Trim47")</f>
        <v>Trim47</v>
      </c>
      <c r="D7786" s="10">
        <f t="shared" si="121"/>
        <v>4.5990330713594458</v>
      </c>
      <c r="F7786" s="8" t="str">
        <f>HYPERLINK("https://esbl.nhlbi.nih.gov/Databases/mpkFractions/proteomic_fractions_log_files/Yang_log_img/326537320.jpg","show blot")</f>
        <v>show blot</v>
      </c>
      <c r="H7786" s="8" t="str">
        <f>HYPERLINK("https://esbl.nhlbi.nih.gov/Databases/mpkFractions/proteomic_fractions_linear_files/Yang_linear_img/326537320.jpg","show blot")</f>
        <v>show blot</v>
      </c>
      <c r="J7786" s="5" t="s">
        <v>15326</v>
      </c>
      <c r="L7786" s="11">
        <v>4.5990330713594458</v>
      </c>
      <c r="N7786" s="12"/>
    </row>
    <row r="7787" spans="1:14" s="5" customFormat="1" ht="15" customHeight="1" x14ac:dyDescent="0.25">
      <c r="A7787" s="9" t="s">
        <v>15327</v>
      </c>
      <c r="C7787" s="9" t="str">
        <f>HYPERLINK("http://www.ncbi.nlm.nih.gov/protein/41235779","Trim56")</f>
        <v>Trim56</v>
      </c>
      <c r="D7787" s="10">
        <f t="shared" si="121"/>
        <v>4.2842219262050536</v>
      </c>
      <c r="F7787" s="8" t="str">
        <f>HYPERLINK("https://esbl.nhlbi.nih.gov/Databases/mpkFractions/proteomic_fractions_log_files/Yang_log_img/41235779.jpg","show blot")</f>
        <v>show blot</v>
      </c>
      <c r="H7787" s="8" t="str">
        <f>HYPERLINK("https://esbl.nhlbi.nih.gov/Databases/mpkFractions/proteomic_fractions_linear_files/Yang_linear_img/41235779.jpg","show blot")</f>
        <v>show blot</v>
      </c>
      <c r="J7787" s="5" t="s">
        <v>15328</v>
      </c>
      <c r="L7787" s="11">
        <v>4.2842219262050536</v>
      </c>
      <c r="N7787" s="12"/>
    </row>
    <row r="7788" spans="1:14" s="5" customFormat="1" ht="15" customHeight="1" x14ac:dyDescent="0.25">
      <c r="A7788" s="9" t="s">
        <v>15329</v>
      </c>
      <c r="C7788" s="9" t="str">
        <f>HYPERLINK("http://www.ncbi.nlm.nih.gov/protein/170295836","Trim59")</f>
        <v>Trim59</v>
      </c>
      <c r="D7788" s="10">
        <f t="shared" si="121"/>
        <v>2.831774502922896</v>
      </c>
      <c r="F7788" s="8" t="str">
        <f>HYPERLINK("https://esbl.nhlbi.nih.gov/Databases/mpkFractions/proteomic_fractions_log_files/Yang_log_img/170295836.jpg","show blot")</f>
        <v>show blot</v>
      </c>
      <c r="H7788" s="8" t="str">
        <f>HYPERLINK("https://esbl.nhlbi.nih.gov/Databases/mpkFractions/proteomic_fractions_linear_files/Yang_linear_img/170295836.jpg","show blot")</f>
        <v>show blot</v>
      </c>
      <c r="J7788" s="5" t="s">
        <v>15330</v>
      </c>
      <c r="L7788" s="11">
        <v>2.831774502922896</v>
      </c>
      <c r="N7788" s="12"/>
    </row>
    <row r="7789" spans="1:14" s="5" customFormat="1" ht="15" customHeight="1" x14ac:dyDescent="0.25">
      <c r="A7789" s="9" t="s">
        <v>15331</v>
      </c>
      <c r="C7789" s="9" t="str">
        <f>HYPERLINK("http://www.ncbi.nlm.nih.gov/protein/164518923","Trim65")</f>
        <v>Trim65</v>
      </c>
      <c r="D7789" s="10">
        <f t="shared" si="121"/>
        <v>3.8521732482780209</v>
      </c>
      <c r="F7789" s="8" t="str">
        <f>HYPERLINK("https://esbl.nhlbi.nih.gov/Databases/mpkFractions/proteomic_fractions_log_files/Yang_log_img/164518923.jpg","show blot")</f>
        <v>show blot</v>
      </c>
      <c r="H7789" s="8" t="str">
        <f>HYPERLINK("https://esbl.nhlbi.nih.gov/Databases/mpkFractions/proteomic_fractions_linear_files/Yang_linear_img/164518923.jpg","show blot")</f>
        <v>show blot</v>
      </c>
      <c r="J7789" s="5" t="s">
        <v>15332</v>
      </c>
      <c r="L7789" s="11">
        <v>3.8521732482780209</v>
      </c>
      <c r="N7789" s="12"/>
    </row>
    <row r="7790" spans="1:14" s="5" customFormat="1" ht="15" customHeight="1" x14ac:dyDescent="0.25">
      <c r="A7790" s="9" t="s">
        <v>15333</v>
      </c>
      <c r="C7790" s="9" t="str">
        <f>HYPERLINK("http://www.ncbi.nlm.nih.gov/protein/85701941","Trim75")</f>
        <v>Trim75</v>
      </c>
      <c r="D7790" s="10">
        <f t="shared" si="121"/>
        <v>2.245652319827327</v>
      </c>
      <c r="F7790" s="8" t="str">
        <f>HYPERLINK("https://esbl.nhlbi.nih.gov/Databases/mpkFractions/proteomic_fractions_log_files/Yang_log_img/85701941.jpg","show blot")</f>
        <v>show blot</v>
      </c>
      <c r="H7790" s="8" t="str">
        <f>HYPERLINK("https://esbl.nhlbi.nih.gov/Databases/mpkFractions/proteomic_fractions_linear_files/Yang_linear_img/85701941.jpg","show blot")</f>
        <v>show blot</v>
      </c>
      <c r="J7790" s="5" t="s">
        <v>15334</v>
      </c>
      <c r="L7790" s="11">
        <v>2.245652319827327</v>
      </c>
      <c r="N7790" s="12"/>
    </row>
    <row r="7791" spans="1:14" s="5" customFormat="1" ht="15" customHeight="1" x14ac:dyDescent="0.25">
      <c r="A7791" s="9" t="s">
        <v>15335</v>
      </c>
      <c r="C7791" s="9" t="str">
        <f>HYPERLINK("http://www.ncbi.nlm.nih.gov/protein/154240708","Trim8")</f>
        <v>Trim8</v>
      </c>
      <c r="D7791" s="10">
        <f t="shared" si="121"/>
        <v>2.6716100618922991</v>
      </c>
      <c r="F7791" s="8" t="str">
        <f>HYPERLINK("https://esbl.nhlbi.nih.gov/Databases/mpkFractions/proteomic_fractions_log_files/Yang_log_img/154240708.jpg","show blot")</f>
        <v>show blot</v>
      </c>
      <c r="H7791" s="8" t="str">
        <f>HYPERLINK("https://esbl.nhlbi.nih.gov/Databases/mpkFractions/proteomic_fractions_linear_files/Yang_linear_img/154240708.jpg","show blot")</f>
        <v>show blot</v>
      </c>
      <c r="J7791" s="5" t="s">
        <v>15336</v>
      </c>
      <c r="L7791" s="11">
        <v>2.6716100618922991</v>
      </c>
      <c r="N7791" s="12"/>
    </row>
    <row r="7792" spans="1:14" s="5" customFormat="1" ht="15" customHeight="1" x14ac:dyDescent="0.25">
      <c r="A7792" s="9" t="s">
        <v>15337</v>
      </c>
      <c r="C7792" s="9" t="str">
        <f>HYPERLINK("http://www.ncbi.nlm.nih.gov/protein/145587082","Trio")</f>
        <v>Trio</v>
      </c>
      <c r="D7792" s="10">
        <f t="shared" si="121"/>
        <v>2.8437937069394872</v>
      </c>
      <c r="F7792" s="8" t="str">
        <f>HYPERLINK("https://esbl.nhlbi.nih.gov/Databases/mpkFractions/proteomic_fractions_log_files/Yang_log_img/145587082.jpg","show blot")</f>
        <v>show blot</v>
      </c>
      <c r="H7792" s="8" t="str">
        <f>HYPERLINK("https://esbl.nhlbi.nih.gov/Databases/mpkFractions/proteomic_fractions_linear_files/Yang_linear_img/145587082.jpg","show blot")</f>
        <v>show blot</v>
      </c>
      <c r="J7792" s="5" t="s">
        <v>15338</v>
      </c>
      <c r="L7792" s="11">
        <v>2.8437937069394872</v>
      </c>
      <c r="N7792" s="12"/>
    </row>
    <row r="7793" spans="1:14" s="5" customFormat="1" ht="15" customHeight="1" x14ac:dyDescent="0.25">
      <c r="A7793" s="9" t="s">
        <v>15339</v>
      </c>
      <c r="C7793" s="9" t="str">
        <f>HYPERLINK("http://www.ncbi.nlm.nih.gov/protein/88501743","Triobp")</f>
        <v>Triobp</v>
      </c>
      <c r="D7793" s="10">
        <f t="shared" si="121"/>
        <v>3.8284709357013011</v>
      </c>
      <c r="F7793" s="8" t="str">
        <f>HYPERLINK("https://esbl.nhlbi.nih.gov/Databases/mpkFractions/proteomic_fractions_log_files/Yang_log_img/88501743.jpg","show blot")</f>
        <v>show blot</v>
      </c>
      <c r="H7793" s="8" t="str">
        <f>HYPERLINK("https://esbl.nhlbi.nih.gov/Databases/mpkFractions/proteomic_fractions_linear_files/Yang_linear_img/88501743.jpg","show blot")</f>
        <v>show blot</v>
      </c>
      <c r="J7793" s="5" t="s">
        <v>15340</v>
      </c>
      <c r="L7793" s="11">
        <v>3.8284709357013011</v>
      </c>
      <c r="N7793" s="12"/>
    </row>
    <row r="7794" spans="1:14" s="5" customFormat="1" ht="15" customHeight="1" x14ac:dyDescent="0.25">
      <c r="A7794" s="9" t="s">
        <v>15341</v>
      </c>
      <c r="C7794" s="9" t="str">
        <f>HYPERLINK("http://www.ncbi.nlm.nih.gov/protein/88501745","Triobp")</f>
        <v>Triobp</v>
      </c>
      <c r="D7794" s="10">
        <f t="shared" si="121"/>
        <v>3.8284709357013011</v>
      </c>
      <c r="F7794" s="8" t="str">
        <f>HYPERLINK("https://esbl.nhlbi.nih.gov/Databases/mpkFractions/proteomic_fractions_log_files/Yang_log_img/88501745.jpg","show blot")</f>
        <v>show blot</v>
      </c>
      <c r="H7794" s="8" t="str">
        <f>HYPERLINK("https://esbl.nhlbi.nih.gov/Databases/mpkFractions/proteomic_fractions_linear_files/Yang_linear_img/88501745.jpg","show blot")</f>
        <v>show blot</v>
      </c>
      <c r="J7794" s="5" t="s">
        <v>15342</v>
      </c>
      <c r="L7794" s="11">
        <v>3.8284709357013011</v>
      </c>
      <c r="N7794" s="12"/>
    </row>
    <row r="7795" spans="1:14" s="5" customFormat="1" ht="15" customHeight="1" x14ac:dyDescent="0.25">
      <c r="A7795" s="9" t="s">
        <v>15343</v>
      </c>
      <c r="C7795" s="9" t="str">
        <f>HYPERLINK("http://www.ncbi.nlm.nih.gov/protein/88501749","Triobp")</f>
        <v>Triobp</v>
      </c>
      <c r="D7795" s="10">
        <f t="shared" si="121"/>
        <v>3.8284709357013011</v>
      </c>
      <c r="F7795" s="8" t="str">
        <f>HYPERLINK("https://esbl.nhlbi.nih.gov/Databases/mpkFractions/proteomic_fractions_log_files/Yang_log_img/88501749.jpg","show blot")</f>
        <v>show blot</v>
      </c>
      <c r="H7795" s="8" t="str">
        <f>HYPERLINK("https://esbl.nhlbi.nih.gov/Databases/mpkFractions/proteomic_fractions_linear_files/Yang_linear_img/88501749.jpg","show blot")</f>
        <v>show blot</v>
      </c>
      <c r="J7795" s="5" t="s">
        <v>15344</v>
      </c>
      <c r="L7795" s="11">
        <v>3.8284709357013011</v>
      </c>
      <c r="N7795" s="12"/>
    </row>
    <row r="7796" spans="1:14" s="5" customFormat="1" ht="15" customHeight="1" x14ac:dyDescent="0.25">
      <c r="A7796" s="9" t="s">
        <v>15345</v>
      </c>
      <c r="C7796" s="9" t="str">
        <f>HYPERLINK("http://www.ncbi.nlm.nih.gov/protein/19527354","Trip10")</f>
        <v>Trip10</v>
      </c>
      <c r="D7796" s="10">
        <f t="shared" si="121"/>
        <v>5.4157857433151504</v>
      </c>
      <c r="F7796" s="8" t="str">
        <f>HYPERLINK("https://esbl.nhlbi.nih.gov/Databases/mpkFractions/proteomic_fractions_log_files/Yang_log_img/19527354.jpg","show blot")</f>
        <v>show blot</v>
      </c>
      <c r="H7796" s="8" t="str">
        <f>HYPERLINK("https://esbl.nhlbi.nih.gov/Databases/mpkFractions/proteomic_fractions_linear_files/Yang_linear_img/19527354.jpg","show blot")</f>
        <v>show blot</v>
      </c>
      <c r="J7796" s="5" t="s">
        <v>15346</v>
      </c>
      <c r="L7796" s="11">
        <v>5.4157857433151504</v>
      </c>
      <c r="N7796" s="12"/>
    </row>
    <row r="7797" spans="1:14" s="5" customFormat="1" ht="15" customHeight="1" x14ac:dyDescent="0.25">
      <c r="A7797" s="9" t="s">
        <v>15347</v>
      </c>
      <c r="C7797" s="9" t="str">
        <f>HYPERLINK("http://www.ncbi.nlm.nih.gov/protein/334724448","Trip10")</f>
        <v>Trip10</v>
      </c>
      <c r="D7797" s="10">
        <f t="shared" si="121"/>
        <v>5.4157857433151504</v>
      </c>
      <c r="F7797" s="8" t="str">
        <f>HYPERLINK("https://esbl.nhlbi.nih.gov/Databases/mpkFractions/proteomic_fractions_log_files/Yang_log_img/334724448.jpg","show blot")</f>
        <v>show blot</v>
      </c>
      <c r="H7797" s="8" t="str">
        <f>HYPERLINK("https://esbl.nhlbi.nih.gov/Databases/mpkFractions/proteomic_fractions_linear_files/Yang_linear_img/334724448.jpg","show blot")</f>
        <v>show blot</v>
      </c>
      <c r="J7797" s="5" t="s">
        <v>15348</v>
      </c>
      <c r="L7797" s="11">
        <v>5.4157857433151504</v>
      </c>
      <c r="N7797" s="12"/>
    </row>
    <row r="7798" spans="1:14" s="5" customFormat="1" ht="15" customHeight="1" x14ac:dyDescent="0.25">
      <c r="A7798" s="9" t="s">
        <v>15349</v>
      </c>
      <c r="C7798" s="9" t="str">
        <f>HYPERLINK("http://www.ncbi.nlm.nih.gov/protein/334724450","Trip10")</f>
        <v>Trip10</v>
      </c>
      <c r="D7798" s="10">
        <f t="shared" si="121"/>
        <v>5.4157857433151504</v>
      </c>
      <c r="F7798" s="8" t="str">
        <f>HYPERLINK("https://esbl.nhlbi.nih.gov/Databases/mpkFractions/proteomic_fractions_log_files/Yang_log_img/334724450.jpg","show blot")</f>
        <v>show blot</v>
      </c>
      <c r="H7798" s="8" t="str">
        <f>HYPERLINK("https://esbl.nhlbi.nih.gov/Databases/mpkFractions/proteomic_fractions_linear_files/Yang_linear_img/334724450.jpg","show blot")</f>
        <v>show blot</v>
      </c>
      <c r="J7798" s="5" t="s">
        <v>15350</v>
      </c>
      <c r="L7798" s="11">
        <v>5.4157857433151504</v>
      </c>
      <c r="N7798" s="12"/>
    </row>
    <row r="7799" spans="1:14" s="5" customFormat="1" ht="15" customHeight="1" x14ac:dyDescent="0.25">
      <c r="A7799" s="9" t="s">
        <v>15351</v>
      </c>
      <c r="C7799" s="9" t="str">
        <f>HYPERLINK("http://www.ncbi.nlm.nih.gov/protein/334724453","Trip10")</f>
        <v>Trip10</v>
      </c>
      <c r="D7799" s="10">
        <f t="shared" si="121"/>
        <v>5.4157857433151504</v>
      </c>
      <c r="F7799" s="8" t="str">
        <f>HYPERLINK("https://esbl.nhlbi.nih.gov/Databases/mpkFractions/proteomic_fractions_log_files/Yang_log_img/334724453.jpg","show blot")</f>
        <v>show blot</v>
      </c>
      <c r="H7799" s="8" t="str">
        <f>HYPERLINK("https://esbl.nhlbi.nih.gov/Databases/mpkFractions/proteomic_fractions_linear_files/Yang_linear_img/334724453.jpg","show blot")</f>
        <v>show blot</v>
      </c>
      <c r="J7799" s="5" t="s">
        <v>15352</v>
      </c>
      <c r="L7799" s="11">
        <v>5.4157857433151504</v>
      </c>
      <c r="N7799" s="12"/>
    </row>
    <row r="7800" spans="1:14" s="5" customFormat="1" ht="15" customHeight="1" x14ac:dyDescent="0.25">
      <c r="A7800" s="9" t="s">
        <v>15353</v>
      </c>
      <c r="C7800" s="9" t="str">
        <f>HYPERLINK("http://www.ncbi.nlm.nih.gov/protein/226531227","Trip11")</f>
        <v>Trip11</v>
      </c>
      <c r="D7800" s="10">
        <f t="shared" si="121"/>
        <v>3.9599776620863061</v>
      </c>
      <c r="F7800" s="8" t="str">
        <f>HYPERLINK("https://esbl.nhlbi.nih.gov/Databases/mpkFractions/proteomic_fractions_log_files/Yang_log_img/226531227.jpg","show blot")</f>
        <v>show blot</v>
      </c>
      <c r="H7800" s="8" t="str">
        <f>HYPERLINK("https://esbl.nhlbi.nih.gov/Databases/mpkFractions/proteomic_fractions_linear_files/Yang_linear_img/226531227.jpg","show blot")</f>
        <v>show blot</v>
      </c>
      <c r="J7800" s="5" t="s">
        <v>15354</v>
      </c>
      <c r="L7800" s="11">
        <v>3.9599776620863061</v>
      </c>
      <c r="N7800" s="12"/>
    </row>
    <row r="7801" spans="1:14" s="5" customFormat="1" ht="15" customHeight="1" x14ac:dyDescent="0.25">
      <c r="A7801" s="9" t="s">
        <v>15355</v>
      </c>
      <c r="C7801" s="9" t="str">
        <f>HYPERLINK("http://www.ncbi.nlm.nih.gov/protein/91932791","Trip12")</f>
        <v>Trip12</v>
      </c>
      <c r="D7801" s="10">
        <f t="shared" si="121"/>
        <v>4.2785139337371358</v>
      </c>
      <c r="F7801" s="8" t="str">
        <f>HYPERLINK("https://esbl.nhlbi.nih.gov/Databases/mpkFractions/proteomic_fractions_log_files/Yang_log_img/91932791.jpg","show blot")</f>
        <v>show blot</v>
      </c>
      <c r="H7801" s="8" t="str">
        <f>HYPERLINK("https://esbl.nhlbi.nih.gov/Databases/mpkFractions/proteomic_fractions_linear_files/Yang_linear_img/91932791.jpg","show blot")</f>
        <v>show blot</v>
      </c>
      <c r="J7801" s="5" t="s">
        <v>15356</v>
      </c>
      <c r="L7801" s="11">
        <v>4.2785139337371358</v>
      </c>
      <c r="N7801" s="12"/>
    </row>
    <row r="7802" spans="1:14" s="5" customFormat="1" ht="15" customHeight="1" x14ac:dyDescent="0.25">
      <c r="A7802" s="9" t="s">
        <v>15357</v>
      </c>
      <c r="C7802" s="9" t="str">
        <f>HYPERLINK("http://www.ncbi.nlm.nih.gov/protein/110625724","Trip13")</f>
        <v>Trip13</v>
      </c>
      <c r="D7802" s="10">
        <f t="shared" si="121"/>
        <v>3.3338531651563601</v>
      </c>
      <c r="F7802" s="8" t="str">
        <f>HYPERLINK("https://esbl.nhlbi.nih.gov/Databases/mpkFractions/proteomic_fractions_log_files/Yang_log_img/110625724.jpg","show blot")</f>
        <v>show blot</v>
      </c>
      <c r="H7802" s="8" t="str">
        <f>HYPERLINK("https://esbl.nhlbi.nih.gov/Databases/mpkFractions/proteomic_fractions_linear_files/Yang_linear_img/110625724.jpg","show blot")</f>
        <v>show blot</v>
      </c>
      <c r="J7802" s="5" t="s">
        <v>15358</v>
      </c>
      <c r="L7802" s="11">
        <v>3.3338531651563601</v>
      </c>
      <c r="N7802" s="12"/>
    </row>
    <row r="7803" spans="1:14" s="5" customFormat="1" ht="15" customHeight="1" x14ac:dyDescent="0.25">
      <c r="A7803" s="9" t="s">
        <v>15359</v>
      </c>
      <c r="C7803" s="9" t="str">
        <f>HYPERLINK("http://www.ncbi.nlm.nih.gov/protein/283945454","Trip4")</f>
        <v>Trip4</v>
      </c>
      <c r="D7803" s="10">
        <f t="shared" si="121"/>
        <v>3.1761102441918299</v>
      </c>
      <c r="F7803" s="8" t="str">
        <f>HYPERLINK("https://esbl.nhlbi.nih.gov/Databases/mpkFractions/proteomic_fractions_log_files/Yang_log_img/283945454.jpg","show blot")</f>
        <v>show blot</v>
      </c>
      <c r="H7803" s="8" t="str">
        <f>HYPERLINK("https://esbl.nhlbi.nih.gov/Databases/mpkFractions/proteomic_fractions_linear_files/Yang_linear_img/283945454.jpg","show blot")</f>
        <v>show blot</v>
      </c>
      <c r="J7803" s="5" t="s">
        <v>15360</v>
      </c>
      <c r="L7803" s="11">
        <v>3.1761102441918299</v>
      </c>
      <c r="N7803" s="12"/>
    </row>
    <row r="7804" spans="1:14" s="5" customFormat="1" ht="15" customHeight="1" x14ac:dyDescent="0.25">
      <c r="A7804" s="9" t="s">
        <v>15361</v>
      </c>
      <c r="C7804" s="9" t="str">
        <f>HYPERLINK("http://www.ncbi.nlm.nih.gov/protein/71773829","Trip4")</f>
        <v>Trip4</v>
      </c>
      <c r="D7804" s="10">
        <f t="shared" si="121"/>
        <v>3.1761102441918299</v>
      </c>
      <c r="F7804" s="8" t="str">
        <f>HYPERLINK("https://esbl.nhlbi.nih.gov/Databases/mpkFractions/proteomic_fractions_log_files/Yang_log_img/71773829.jpg","show blot")</f>
        <v>show blot</v>
      </c>
      <c r="H7804" s="8" t="str">
        <f>HYPERLINK("https://esbl.nhlbi.nih.gov/Databases/mpkFractions/proteomic_fractions_linear_files/Yang_linear_img/71773829.jpg","show blot")</f>
        <v>show blot</v>
      </c>
      <c r="J7804" s="5" t="s">
        <v>15362</v>
      </c>
      <c r="L7804" s="11">
        <v>3.1761102441918299</v>
      </c>
      <c r="N7804" s="12"/>
    </row>
    <row r="7805" spans="1:14" s="5" customFormat="1" ht="15" customHeight="1" x14ac:dyDescent="0.25">
      <c r="A7805" s="9" t="s">
        <v>15363</v>
      </c>
      <c r="C7805" s="9" t="str">
        <f>HYPERLINK("http://www.ncbi.nlm.nih.gov/protein/6755879","Trip6")</f>
        <v>Trip6</v>
      </c>
      <c r="D7805" s="10">
        <f t="shared" si="121"/>
        <v>4.4299144151574623</v>
      </c>
      <c r="F7805" s="8" t="str">
        <f>HYPERLINK("https://esbl.nhlbi.nih.gov/Databases/mpkFractions/proteomic_fractions_log_files/Yang_log_img/6755879.jpg","show blot")</f>
        <v>show blot</v>
      </c>
      <c r="H7805" s="8" t="str">
        <f>HYPERLINK("https://esbl.nhlbi.nih.gov/Databases/mpkFractions/proteomic_fractions_linear_files/Yang_linear_img/6755879.jpg","show blot")</f>
        <v>show blot</v>
      </c>
      <c r="J7805" s="5" t="s">
        <v>15364</v>
      </c>
      <c r="L7805" s="11">
        <v>4.4299144151574623</v>
      </c>
      <c r="N7805" s="12"/>
    </row>
    <row r="7806" spans="1:14" s="5" customFormat="1" ht="15" customHeight="1" x14ac:dyDescent="0.25">
      <c r="A7806" s="9" t="s">
        <v>15365</v>
      </c>
      <c r="C7806" s="9" t="str">
        <f>HYPERLINK("http://www.ncbi.nlm.nih.gov/protein/257095998","Trmt1")</f>
        <v>Trmt1</v>
      </c>
      <c r="D7806" s="10">
        <f t="shared" si="121"/>
        <v>4.1032449030011886</v>
      </c>
      <c r="F7806" s="8" t="str">
        <f>HYPERLINK("https://esbl.nhlbi.nih.gov/Databases/mpkFractions/proteomic_fractions_log_files/Yang_log_img/257095998.jpg","show blot")</f>
        <v>show blot</v>
      </c>
      <c r="H7806" s="8" t="str">
        <f>HYPERLINK("https://esbl.nhlbi.nih.gov/Databases/mpkFractions/proteomic_fractions_linear_files/Yang_linear_img/257095998.jpg","show blot")</f>
        <v>show blot</v>
      </c>
      <c r="J7806" s="5" t="s">
        <v>15366</v>
      </c>
      <c r="L7806" s="11">
        <v>4.1032449030011886</v>
      </c>
      <c r="N7806" s="12"/>
    </row>
    <row r="7807" spans="1:14" s="5" customFormat="1" ht="15" customHeight="1" x14ac:dyDescent="0.25">
      <c r="A7807" s="9" t="s">
        <v>15367</v>
      </c>
      <c r="C7807" s="9" t="str">
        <f>HYPERLINK("http://www.ncbi.nlm.nih.gov/protein/257096002","Trmt1")</f>
        <v>Trmt1</v>
      </c>
      <c r="D7807" s="10">
        <f t="shared" si="121"/>
        <v>4.1032449030011886</v>
      </c>
      <c r="F7807" s="8" t="str">
        <f>HYPERLINK("https://esbl.nhlbi.nih.gov/Databases/mpkFractions/proteomic_fractions_log_files/Yang_log_img/257096002.jpg","show blot")</f>
        <v>show blot</v>
      </c>
      <c r="H7807" s="8" t="str">
        <f>HYPERLINK("https://esbl.nhlbi.nih.gov/Databases/mpkFractions/proteomic_fractions_linear_files/Yang_linear_img/257096002.jpg","show blot")</f>
        <v>show blot</v>
      </c>
      <c r="J7807" s="5" t="s">
        <v>15368</v>
      </c>
      <c r="L7807" s="11">
        <v>4.1032449030011886</v>
      </c>
      <c r="N7807" s="12"/>
    </row>
    <row r="7808" spans="1:14" s="5" customFormat="1" ht="15" customHeight="1" x14ac:dyDescent="0.25">
      <c r="A7808" s="9" t="s">
        <v>15369</v>
      </c>
      <c r="C7808" s="9" t="str">
        <f>HYPERLINK("http://www.ncbi.nlm.nih.gov/protein/60593005","Trmt10a")</f>
        <v>Trmt10a</v>
      </c>
      <c r="D7808" s="10">
        <f t="shared" si="121"/>
        <v>3.338928041967709</v>
      </c>
      <c r="F7808" s="8" t="str">
        <f>HYPERLINK("https://esbl.nhlbi.nih.gov/Databases/mpkFractions/proteomic_fractions_log_files/Yang_log_img/60593005.jpg","show blot")</f>
        <v>show blot</v>
      </c>
      <c r="H7808" s="8" t="str">
        <f>HYPERLINK("https://esbl.nhlbi.nih.gov/Databases/mpkFractions/proteomic_fractions_linear_files/Yang_linear_img/60593005.jpg","show blot")</f>
        <v>show blot</v>
      </c>
      <c r="J7808" s="5" t="s">
        <v>15370</v>
      </c>
      <c r="L7808" s="11">
        <v>3.338928041967709</v>
      </c>
      <c r="N7808" s="12"/>
    </row>
    <row r="7809" spans="1:14" s="5" customFormat="1" ht="15" customHeight="1" x14ac:dyDescent="0.25">
      <c r="A7809" s="9" t="s">
        <v>15371</v>
      </c>
      <c r="C7809" s="9" t="str">
        <f>HYPERLINK("http://www.ncbi.nlm.nih.gov/protein/21312876","Trmt10c")</f>
        <v>Trmt10c</v>
      </c>
      <c r="D7809" s="10">
        <f t="shared" si="121"/>
        <v>3.882054941385169</v>
      </c>
      <c r="F7809" s="8" t="str">
        <f>HYPERLINK("https://esbl.nhlbi.nih.gov/Databases/mpkFractions/proteomic_fractions_log_files/Yang_log_img/21312876.jpg","show blot")</f>
        <v>show blot</v>
      </c>
      <c r="H7809" s="8" t="str">
        <f>HYPERLINK("https://esbl.nhlbi.nih.gov/Databases/mpkFractions/proteomic_fractions_linear_files/Yang_linear_img/21312876.jpg","show blot")</f>
        <v>show blot</v>
      </c>
      <c r="J7809" s="5" t="s">
        <v>15372</v>
      </c>
      <c r="L7809" s="11">
        <v>3.882054941385169</v>
      </c>
      <c r="N7809" s="12"/>
    </row>
    <row r="7810" spans="1:14" s="5" customFormat="1" ht="15" customHeight="1" x14ac:dyDescent="0.25">
      <c r="A7810" s="9" t="s">
        <v>15373</v>
      </c>
      <c r="C7810" s="9" t="str">
        <f>HYPERLINK("http://www.ncbi.nlm.nih.gov/protein/114051171","Trmt11")</f>
        <v>Trmt11</v>
      </c>
      <c r="D7810" s="10">
        <f t="shared" si="121"/>
        <v>2.8686447747134869</v>
      </c>
      <c r="F7810" s="8" t="str">
        <f>HYPERLINK("https://esbl.nhlbi.nih.gov/Databases/mpkFractions/proteomic_fractions_log_files/Yang_log_img/114051171.jpg","show blot")</f>
        <v>show blot</v>
      </c>
      <c r="H7810" s="8" t="str">
        <f>HYPERLINK("https://esbl.nhlbi.nih.gov/Databases/mpkFractions/proteomic_fractions_linear_files/Yang_linear_img/114051171.jpg","show blot")</f>
        <v>show blot</v>
      </c>
      <c r="J7810" s="5" t="s">
        <v>15374</v>
      </c>
      <c r="L7810" s="11">
        <v>2.8686447747134869</v>
      </c>
      <c r="N7810" s="12"/>
    </row>
    <row r="7811" spans="1:14" s="5" customFormat="1" ht="15" customHeight="1" x14ac:dyDescent="0.25">
      <c r="A7811" s="9" t="s">
        <v>15375</v>
      </c>
      <c r="C7811" s="9" t="str">
        <f>HYPERLINK("http://www.ncbi.nlm.nih.gov/protein/261823938;261823936","Trmt112")</f>
        <v>Trmt112</v>
      </c>
      <c r="D7811" s="10">
        <f t="shared" si="121"/>
        <v>4.8040188826143906</v>
      </c>
      <c r="F7811" s="8" t="str">
        <f>HYPERLINK("https://esbl.nhlbi.nih.gov/Databases/mpkFractions/proteomic_fractions_log_files/Yang_log_img/261823938;261823936.jpg","show blot")</f>
        <v>show blot</v>
      </c>
      <c r="H7811" s="8" t="str">
        <f>HYPERLINK("https://esbl.nhlbi.nih.gov/Databases/mpkFractions/proteomic_fractions_linear_files/Yang_linear_img/261823938;261823936.jpg","show blot")</f>
        <v>show blot</v>
      </c>
      <c r="J7811" s="5" t="s">
        <v>15376</v>
      </c>
      <c r="L7811" s="11">
        <v>4.8040188826143906</v>
      </c>
      <c r="N7811" s="12"/>
    </row>
    <row r="7812" spans="1:14" s="5" customFormat="1" ht="15" customHeight="1" x14ac:dyDescent="0.25">
      <c r="A7812" s="9" t="s">
        <v>15377</v>
      </c>
      <c r="C7812" s="9" t="str">
        <f>HYPERLINK("http://www.ncbi.nlm.nih.gov/protein/261823936","Trmt112")</f>
        <v>Trmt112</v>
      </c>
      <c r="D7812" s="10">
        <f t="shared" si="121"/>
        <v>4.8040188826143906</v>
      </c>
      <c r="F7812" s="8" t="str">
        <f>HYPERLINK("https://esbl.nhlbi.nih.gov/Databases/mpkFractions/proteomic_fractions_log_files/Yang_log_img/261823936.jpg","show blot")</f>
        <v>show blot</v>
      </c>
      <c r="H7812" s="8" t="str">
        <f>HYPERLINK("https://esbl.nhlbi.nih.gov/Databases/mpkFractions/proteomic_fractions_linear_files/Yang_linear_img/261823936.jpg","show blot")</f>
        <v>show blot</v>
      </c>
      <c r="J7812" s="5" t="s">
        <v>15376</v>
      </c>
      <c r="L7812" s="11">
        <v>4.8040188826143906</v>
      </c>
      <c r="N7812" s="12"/>
    </row>
    <row r="7813" spans="1:14" s="5" customFormat="1" ht="15" customHeight="1" x14ac:dyDescent="0.25">
      <c r="A7813" s="9" t="s">
        <v>15378</v>
      </c>
      <c r="C7813" s="9" t="str">
        <f>HYPERLINK("http://www.ncbi.nlm.nih.gov/protein/229608908","Trmt1l")</f>
        <v>Trmt1l</v>
      </c>
      <c r="D7813" s="10">
        <f t="shared" ref="D7813:D7876" si="122">L7813</f>
        <v>4.0855381228442678</v>
      </c>
      <c r="F7813" s="8" t="str">
        <f>HYPERLINK("https://esbl.nhlbi.nih.gov/Databases/mpkFractions/proteomic_fractions_log_files/Yang_log_img/229608908.jpg","show blot")</f>
        <v>show blot</v>
      </c>
      <c r="H7813" s="8" t="str">
        <f>HYPERLINK("https://esbl.nhlbi.nih.gov/Databases/mpkFractions/proteomic_fractions_linear_files/Yang_linear_img/229608908.jpg","show blot")</f>
        <v>show blot</v>
      </c>
      <c r="J7813" s="5" t="s">
        <v>15379</v>
      </c>
      <c r="L7813" s="11">
        <v>4.0855381228442678</v>
      </c>
      <c r="N7813" s="12"/>
    </row>
    <row r="7814" spans="1:14" s="5" customFormat="1" ht="15" customHeight="1" x14ac:dyDescent="0.25">
      <c r="A7814" s="9" t="s">
        <v>15380</v>
      </c>
      <c r="C7814" s="9" t="str">
        <f>HYPERLINK("http://www.ncbi.nlm.nih.gov/protein/124487421","Trmt2a")</f>
        <v>Trmt2a</v>
      </c>
      <c r="D7814" s="10">
        <f t="shared" si="122"/>
        <v>5.4613171060446861</v>
      </c>
      <c r="F7814" s="8" t="str">
        <f>HYPERLINK("https://esbl.nhlbi.nih.gov/Databases/mpkFractions/proteomic_fractions_log_files/Yang_log_img/124487421.jpg","show blot")</f>
        <v>show blot</v>
      </c>
      <c r="H7814" s="8" t="str">
        <f>HYPERLINK("https://esbl.nhlbi.nih.gov/Databases/mpkFractions/proteomic_fractions_linear_files/Yang_linear_img/124487421.jpg","show blot")</f>
        <v>show blot</v>
      </c>
      <c r="J7814" s="5" t="s">
        <v>15381</v>
      </c>
      <c r="L7814" s="11">
        <v>5.4613171060446861</v>
      </c>
      <c r="N7814" s="12"/>
    </row>
    <row r="7815" spans="1:14" s="5" customFormat="1" ht="15" customHeight="1" x14ac:dyDescent="0.25">
      <c r="A7815" s="9" t="s">
        <v>15382</v>
      </c>
      <c r="C7815" s="9" t="str">
        <f>HYPERLINK("http://www.ncbi.nlm.nih.gov/protein/124487423","Trmt2a")</f>
        <v>Trmt2a</v>
      </c>
      <c r="D7815" s="10">
        <f t="shared" si="122"/>
        <v>5.4613171060446861</v>
      </c>
      <c r="F7815" s="8" t="str">
        <f>HYPERLINK("https://esbl.nhlbi.nih.gov/Databases/mpkFractions/proteomic_fractions_log_files/Yang_log_img/124487423.jpg","show blot")</f>
        <v>show blot</v>
      </c>
      <c r="H7815" s="8" t="str">
        <f>HYPERLINK("https://esbl.nhlbi.nih.gov/Databases/mpkFractions/proteomic_fractions_linear_files/Yang_linear_img/124487423.jpg","show blot")</f>
        <v>show blot</v>
      </c>
      <c r="J7815" s="5" t="s">
        <v>15383</v>
      </c>
      <c r="L7815" s="11">
        <v>5.4613171060446861</v>
      </c>
      <c r="N7815" s="12"/>
    </row>
    <row r="7816" spans="1:14" s="5" customFormat="1" ht="15" customHeight="1" x14ac:dyDescent="0.25">
      <c r="A7816" s="9" t="s">
        <v>15384</v>
      </c>
      <c r="C7816" s="9" t="str">
        <f>HYPERLINK("http://www.ncbi.nlm.nih.gov/protein/304555603","Trmt2a")</f>
        <v>Trmt2a</v>
      </c>
      <c r="D7816" s="10">
        <f t="shared" si="122"/>
        <v>5.4613171060446861</v>
      </c>
      <c r="F7816" s="8" t="str">
        <f>HYPERLINK("https://esbl.nhlbi.nih.gov/Databases/mpkFractions/proteomic_fractions_log_files/Yang_log_img/304555603.jpg","show blot")</f>
        <v>show blot</v>
      </c>
      <c r="H7816" s="8" t="str">
        <f>HYPERLINK("https://esbl.nhlbi.nih.gov/Databases/mpkFractions/proteomic_fractions_linear_files/Yang_linear_img/304555603.jpg","show blot")</f>
        <v>show blot</v>
      </c>
      <c r="J7816" s="5" t="s">
        <v>15385</v>
      </c>
      <c r="L7816" s="11">
        <v>5.4613171060446861</v>
      </c>
      <c r="N7816" s="12"/>
    </row>
    <row r="7817" spans="1:14" s="5" customFormat="1" ht="15" customHeight="1" x14ac:dyDescent="0.25">
      <c r="A7817" s="9" t="s">
        <v>15386</v>
      </c>
      <c r="C7817" s="9" t="str">
        <f>HYPERLINK("http://www.ncbi.nlm.nih.gov/protein/21313170","Trmt5")</f>
        <v>Trmt5</v>
      </c>
      <c r="D7817" s="10">
        <f t="shared" si="122"/>
        <v>5.1720217103384014</v>
      </c>
      <c r="F7817" s="8" t="str">
        <f>HYPERLINK("https://esbl.nhlbi.nih.gov/Databases/mpkFractions/proteomic_fractions_log_files/Yang_log_img/21313170.jpg","show blot")</f>
        <v>show blot</v>
      </c>
      <c r="H7817" s="8" t="str">
        <f>HYPERLINK("https://esbl.nhlbi.nih.gov/Databases/mpkFractions/proteomic_fractions_linear_files/Yang_linear_img/21313170.jpg","show blot")</f>
        <v>show blot</v>
      </c>
      <c r="J7817" s="5" t="s">
        <v>15387</v>
      </c>
      <c r="L7817" s="11">
        <v>5.1720217103384014</v>
      </c>
      <c r="N7817" s="12"/>
    </row>
    <row r="7818" spans="1:14" s="5" customFormat="1" ht="15" customHeight="1" x14ac:dyDescent="0.25">
      <c r="A7818" s="9" t="s">
        <v>15388</v>
      </c>
      <c r="C7818" s="9" t="str">
        <f>HYPERLINK("http://www.ncbi.nlm.nih.gov/protein/148747333","Trmt6")</f>
        <v>Trmt6</v>
      </c>
      <c r="D7818" s="10">
        <f t="shared" si="122"/>
        <v>4.9452023960265388</v>
      </c>
      <c r="F7818" s="8" t="str">
        <f>HYPERLINK("https://esbl.nhlbi.nih.gov/Databases/mpkFractions/proteomic_fractions_log_files/Yang_log_img/148747333.jpg","show blot")</f>
        <v>show blot</v>
      </c>
      <c r="H7818" s="8" t="str">
        <f>HYPERLINK("https://esbl.nhlbi.nih.gov/Databases/mpkFractions/proteomic_fractions_linear_files/Yang_linear_img/148747333.jpg","show blot")</f>
        <v>show blot</v>
      </c>
      <c r="J7818" s="5" t="s">
        <v>15389</v>
      </c>
      <c r="L7818" s="11">
        <v>4.9452023960265388</v>
      </c>
      <c r="N7818" s="12"/>
    </row>
    <row r="7819" spans="1:14" s="5" customFormat="1" ht="15" customHeight="1" x14ac:dyDescent="0.25">
      <c r="A7819" s="9" t="s">
        <v>15390</v>
      </c>
      <c r="C7819" s="9" t="str">
        <f>HYPERLINK("http://www.ncbi.nlm.nih.gov/protein/152963551","Trmt61a")</f>
        <v>Trmt61a</v>
      </c>
      <c r="D7819" s="10">
        <f t="shared" si="122"/>
        <v>4.5118092434880532</v>
      </c>
      <c r="F7819" s="8" t="str">
        <f>HYPERLINK("https://esbl.nhlbi.nih.gov/Databases/mpkFractions/proteomic_fractions_log_files/Yang_log_img/152963551.jpg","show blot")</f>
        <v>show blot</v>
      </c>
      <c r="H7819" s="8" t="str">
        <f>HYPERLINK("https://esbl.nhlbi.nih.gov/Databases/mpkFractions/proteomic_fractions_linear_files/Yang_linear_img/152963551.jpg","show blot")</f>
        <v>show blot</v>
      </c>
      <c r="J7819" s="5" t="s">
        <v>15391</v>
      </c>
      <c r="L7819" s="11">
        <v>4.5118092434880532</v>
      </c>
      <c r="N7819" s="12"/>
    </row>
    <row r="7820" spans="1:14" s="5" customFormat="1" ht="15" customHeight="1" x14ac:dyDescent="0.25">
      <c r="A7820" s="9" t="s">
        <v>15392</v>
      </c>
      <c r="C7820" s="9" t="str">
        <f>HYPERLINK("http://www.ncbi.nlm.nih.gov/protein/334358911","Trnt1")</f>
        <v>Trnt1</v>
      </c>
      <c r="D7820" s="10">
        <f t="shared" si="122"/>
        <v>5.5760199113159361</v>
      </c>
      <c r="F7820" s="8" t="str">
        <f>HYPERLINK("https://esbl.nhlbi.nih.gov/Databases/mpkFractions/proteomic_fractions_log_files/Yang_log_img/334358911.jpg","show blot")</f>
        <v>show blot</v>
      </c>
      <c r="H7820" s="8" t="str">
        <f>HYPERLINK("https://esbl.nhlbi.nih.gov/Databases/mpkFractions/proteomic_fractions_linear_files/Yang_linear_img/334358911.jpg","show blot")</f>
        <v>show blot</v>
      </c>
      <c r="J7820" s="5" t="s">
        <v>15393</v>
      </c>
      <c r="L7820" s="11">
        <v>5.5760199113159361</v>
      </c>
      <c r="N7820" s="12"/>
    </row>
    <row r="7821" spans="1:14" s="5" customFormat="1" ht="15" customHeight="1" x14ac:dyDescent="0.25">
      <c r="A7821" s="9" t="s">
        <v>15394</v>
      </c>
      <c r="C7821" s="9" t="str">
        <f>HYPERLINK("http://www.ncbi.nlm.nih.gov/protein/33859692","Trnt1")</f>
        <v>Trnt1</v>
      </c>
      <c r="D7821" s="10">
        <f t="shared" si="122"/>
        <v>5.5760199113159361</v>
      </c>
      <c r="F7821" s="8" t="str">
        <f>HYPERLINK("https://esbl.nhlbi.nih.gov/Databases/mpkFractions/proteomic_fractions_log_files/Yang_log_img/33859692.jpg","show blot")</f>
        <v>show blot</v>
      </c>
      <c r="H7821" s="8" t="str">
        <f>HYPERLINK("https://esbl.nhlbi.nih.gov/Databases/mpkFractions/proteomic_fractions_linear_files/Yang_linear_img/33859692.jpg","show blot")</f>
        <v>show blot</v>
      </c>
      <c r="J7821" s="5" t="s">
        <v>15395</v>
      </c>
      <c r="L7821" s="11">
        <v>5.5760199113159361</v>
      </c>
      <c r="N7821" s="12"/>
    </row>
    <row r="7822" spans="1:14" s="5" customFormat="1" ht="15" customHeight="1" x14ac:dyDescent="0.25">
      <c r="A7822" s="9" t="s">
        <v>15396</v>
      </c>
      <c r="C7822" s="9" t="str">
        <f>HYPERLINK("http://www.ncbi.nlm.nih.gov/protein/7305523","Trove2")</f>
        <v>Trove2</v>
      </c>
      <c r="D7822" s="10">
        <f t="shared" si="122"/>
        <v>4.7977034666578842</v>
      </c>
      <c r="F7822" s="8" t="str">
        <f>HYPERLINK("https://esbl.nhlbi.nih.gov/Databases/mpkFractions/proteomic_fractions_log_files/Yang_log_img/7305523.jpg","show blot")</f>
        <v>show blot</v>
      </c>
      <c r="H7822" s="8" t="str">
        <f>HYPERLINK("https://esbl.nhlbi.nih.gov/Databases/mpkFractions/proteomic_fractions_linear_files/Yang_linear_img/7305523.jpg","show blot")</f>
        <v>show blot</v>
      </c>
      <c r="J7822" s="5" t="s">
        <v>15397</v>
      </c>
      <c r="L7822" s="11">
        <v>4.7977034666578842</v>
      </c>
      <c r="N7822" s="12"/>
    </row>
    <row r="7823" spans="1:14" s="5" customFormat="1" ht="15" customHeight="1" x14ac:dyDescent="0.25">
      <c r="A7823" s="9" t="s">
        <v>15398</v>
      </c>
      <c r="C7823" s="9" t="str">
        <f>HYPERLINK("http://www.ncbi.nlm.nih.gov/protein/148747262","Trp53")</f>
        <v>Trp53</v>
      </c>
      <c r="D7823" s="10">
        <f t="shared" si="122"/>
        <v>6.0217820840236476</v>
      </c>
      <c r="F7823" s="8" t="str">
        <f>HYPERLINK("https://esbl.nhlbi.nih.gov/Databases/mpkFractions/proteomic_fractions_log_files/Yang_log_img/148747262.jpg","show blot")</f>
        <v>show blot</v>
      </c>
      <c r="H7823" s="8" t="str">
        <f>HYPERLINK("https://esbl.nhlbi.nih.gov/Databases/mpkFractions/proteomic_fractions_linear_files/Yang_linear_img/148747262.jpg","show blot")</f>
        <v>show blot</v>
      </c>
      <c r="J7823" s="5" t="s">
        <v>15399</v>
      </c>
      <c r="L7823" s="11">
        <v>6.0217820840236476</v>
      </c>
      <c r="N7823" s="12"/>
    </row>
    <row r="7824" spans="1:14" s="5" customFormat="1" ht="15" customHeight="1" x14ac:dyDescent="0.25">
      <c r="A7824" s="9" t="s">
        <v>15400</v>
      </c>
      <c r="C7824" s="9" t="str">
        <f>HYPERLINK("http://www.ncbi.nlm.nih.gov/protein/187960040","Trp53")</f>
        <v>Trp53</v>
      </c>
      <c r="D7824" s="10">
        <f t="shared" si="122"/>
        <v>6.0217820840236476</v>
      </c>
      <c r="F7824" s="8" t="str">
        <f>HYPERLINK("https://esbl.nhlbi.nih.gov/Databases/mpkFractions/proteomic_fractions_log_files/Yang_log_img/187960040.jpg","show blot")</f>
        <v>show blot</v>
      </c>
      <c r="H7824" s="8" t="str">
        <f>HYPERLINK("https://esbl.nhlbi.nih.gov/Databases/mpkFractions/proteomic_fractions_linear_files/Yang_linear_img/187960040.jpg","show blot")</f>
        <v>show blot</v>
      </c>
      <c r="J7824" s="5" t="s">
        <v>15401</v>
      </c>
      <c r="L7824" s="11">
        <v>6.0217820840236476</v>
      </c>
      <c r="N7824" s="12"/>
    </row>
    <row r="7825" spans="1:14" s="5" customFormat="1" ht="15" customHeight="1" x14ac:dyDescent="0.25">
      <c r="A7825" s="9" t="s">
        <v>15402</v>
      </c>
      <c r="C7825" s="9" t="str">
        <f>HYPERLINK("http://www.ncbi.nlm.nih.gov/protein/160333077","Trp53bp1")</f>
        <v>Trp53bp1</v>
      </c>
      <c r="D7825" s="10">
        <f t="shared" si="122"/>
        <v>3.486062494996875</v>
      </c>
      <c r="F7825" s="8" t="str">
        <f>HYPERLINK("https://esbl.nhlbi.nih.gov/Databases/mpkFractions/proteomic_fractions_log_files/Yang_log_img/160333077.jpg","show blot")</f>
        <v>show blot</v>
      </c>
      <c r="H7825" s="8" t="str">
        <f>HYPERLINK("https://esbl.nhlbi.nih.gov/Databases/mpkFractions/proteomic_fractions_linear_files/Yang_linear_img/160333077.jpg","show blot")</f>
        <v>show blot</v>
      </c>
      <c r="J7825" s="5" t="s">
        <v>15403</v>
      </c>
      <c r="L7825" s="11">
        <v>3.486062494996875</v>
      </c>
      <c r="N7825" s="12"/>
    </row>
    <row r="7826" spans="1:14" s="5" customFormat="1" ht="15" customHeight="1" x14ac:dyDescent="0.25">
      <c r="A7826" s="9" t="s">
        <v>15404</v>
      </c>
      <c r="C7826" s="9" t="str">
        <f>HYPERLINK("http://www.ncbi.nlm.nih.gov/protein/31560052","Trp53rk")</f>
        <v>Trp53rk</v>
      </c>
      <c r="D7826" s="10">
        <f t="shared" si="122"/>
        <v>4.2669934837592356</v>
      </c>
      <c r="F7826" s="8" t="str">
        <f>HYPERLINK("https://esbl.nhlbi.nih.gov/Databases/mpkFractions/proteomic_fractions_log_files/Yang_log_img/31560052.jpg","show blot")</f>
        <v>show blot</v>
      </c>
      <c r="H7826" s="8" t="str">
        <f>HYPERLINK("https://esbl.nhlbi.nih.gov/Databases/mpkFractions/proteomic_fractions_linear_files/Yang_linear_img/31560052.jpg","show blot")</f>
        <v>show blot</v>
      </c>
      <c r="J7826" s="5" t="s">
        <v>15405</v>
      </c>
      <c r="L7826" s="11">
        <v>4.2669934837592356</v>
      </c>
      <c r="N7826" s="12"/>
    </row>
    <row r="7827" spans="1:14" s="5" customFormat="1" ht="15" customHeight="1" x14ac:dyDescent="0.25">
      <c r="A7827" s="9" t="s">
        <v>15406</v>
      </c>
      <c r="C7827" s="9" t="str">
        <f>HYPERLINK("http://www.ncbi.nlm.nih.gov/protein/409168273","Trp53tg5")</f>
        <v>Trp53tg5</v>
      </c>
      <c r="D7827" s="10">
        <f t="shared" si="122"/>
        <v>5.0439355342711707</v>
      </c>
      <c r="F7827" s="8" t="str">
        <f>HYPERLINK("https://esbl.nhlbi.nih.gov/Databases/mpkFractions/proteomic_fractions_log_files/Yang_log_img/409168273.jpg","show blot")</f>
        <v>show blot</v>
      </c>
      <c r="H7827" s="8" t="str">
        <f>HYPERLINK("https://esbl.nhlbi.nih.gov/Databases/mpkFractions/proteomic_fractions_linear_files/Yang_linear_img/409168273.jpg","show blot")</f>
        <v>show blot</v>
      </c>
      <c r="J7827" s="5" t="s">
        <v>15407</v>
      </c>
      <c r="L7827" s="11">
        <v>5.0439355342711707</v>
      </c>
      <c r="N7827" s="12"/>
    </row>
    <row r="7828" spans="1:14" s="5" customFormat="1" ht="15" customHeight="1" x14ac:dyDescent="0.25">
      <c r="A7828" s="9" t="s">
        <v>15408</v>
      </c>
      <c r="C7828" s="9" t="str">
        <f>HYPERLINK("http://www.ncbi.nlm.nih.gov/protein/358439497","Trpc4")</f>
        <v>Trpc4</v>
      </c>
      <c r="D7828" s="10">
        <f t="shared" si="122"/>
        <v>4.5962551469577111</v>
      </c>
      <c r="F7828" s="8" t="str">
        <f>HYPERLINK("https://esbl.nhlbi.nih.gov/Databases/mpkFractions/proteomic_fractions_log_files/Yang_log_img/358439497.jpg","show blot")</f>
        <v>show blot</v>
      </c>
      <c r="H7828" s="8" t="str">
        <f>HYPERLINK("https://esbl.nhlbi.nih.gov/Databases/mpkFractions/proteomic_fractions_linear_files/Yang_linear_img/358439497.jpg","show blot")</f>
        <v>show blot</v>
      </c>
      <c r="J7828" s="5" t="s">
        <v>15409</v>
      </c>
      <c r="L7828" s="11">
        <v>4.5962551469577111</v>
      </c>
      <c r="N7828" s="12"/>
    </row>
    <row r="7829" spans="1:14" s="5" customFormat="1" ht="15" customHeight="1" x14ac:dyDescent="0.25">
      <c r="A7829" s="9" t="s">
        <v>15410</v>
      </c>
      <c r="C7829" s="9" t="str">
        <f>HYPERLINK("http://www.ncbi.nlm.nih.gov/protein/8394487","Trpc4")</f>
        <v>Trpc4</v>
      </c>
      <c r="D7829" s="10">
        <f t="shared" si="122"/>
        <v>4.5962551469577111</v>
      </c>
      <c r="F7829" s="8" t="str">
        <f>HYPERLINK("https://esbl.nhlbi.nih.gov/Databases/mpkFractions/proteomic_fractions_log_files/Yang_log_img/8394487.jpg","show blot")</f>
        <v>show blot</v>
      </c>
      <c r="H7829" s="8" t="str">
        <f>HYPERLINK("https://esbl.nhlbi.nih.gov/Databases/mpkFractions/proteomic_fractions_linear_files/Yang_linear_img/8394487.jpg","show blot")</f>
        <v>show blot</v>
      </c>
      <c r="J7829" s="5" t="s">
        <v>15411</v>
      </c>
      <c r="L7829" s="11">
        <v>4.5962551469577111</v>
      </c>
      <c r="N7829" s="12"/>
    </row>
    <row r="7830" spans="1:14" s="5" customFormat="1" ht="15" customHeight="1" x14ac:dyDescent="0.25">
      <c r="A7830" s="9" t="s">
        <v>15412</v>
      </c>
      <c r="C7830" s="9" t="str">
        <f>HYPERLINK("http://www.ncbi.nlm.nih.gov/protein/6678435","Trpc5")</f>
        <v>Trpc5</v>
      </c>
      <c r="D7830" s="10">
        <f t="shared" si="122"/>
        <v>4.5595323399329706</v>
      </c>
      <c r="F7830" s="8" t="str">
        <f>HYPERLINK("https://esbl.nhlbi.nih.gov/Databases/mpkFractions/proteomic_fractions_log_files/Yang_log_img/6678435.jpg","show blot")</f>
        <v>show blot</v>
      </c>
      <c r="H7830" s="8" t="str">
        <f>HYPERLINK("https://esbl.nhlbi.nih.gov/Databases/mpkFractions/proteomic_fractions_linear_files/Yang_linear_img/6678435.jpg","show blot")</f>
        <v>show blot</v>
      </c>
      <c r="J7830" s="5" t="s">
        <v>15413</v>
      </c>
      <c r="L7830" s="11">
        <v>4.5595323399329706</v>
      </c>
      <c r="N7830" s="12"/>
    </row>
    <row r="7831" spans="1:14" s="5" customFormat="1" ht="15" customHeight="1" x14ac:dyDescent="0.25">
      <c r="A7831" s="9" t="s">
        <v>15414</v>
      </c>
      <c r="C7831" s="9" t="str">
        <f>HYPERLINK("http://www.ncbi.nlm.nih.gov/protein/157824093","Trpm4")</f>
        <v>Trpm4</v>
      </c>
      <c r="D7831" s="10">
        <f t="shared" si="122"/>
        <v>2.362060926522406</v>
      </c>
      <c r="F7831" s="8" t="str">
        <f>HYPERLINK("https://esbl.nhlbi.nih.gov/Databases/mpkFractions/proteomic_fractions_log_files/Yang_log_img/157824093.jpg","show blot")</f>
        <v>show blot</v>
      </c>
      <c r="H7831" s="8" t="str">
        <f>HYPERLINK("https://esbl.nhlbi.nih.gov/Databases/mpkFractions/proteomic_fractions_linear_files/Yang_linear_img/157824093.jpg","show blot")</f>
        <v>show blot</v>
      </c>
      <c r="J7831" s="5" t="s">
        <v>15415</v>
      </c>
      <c r="L7831" s="11">
        <v>2.362060926522406</v>
      </c>
      <c r="N7831" s="12"/>
    </row>
    <row r="7832" spans="1:14" s="5" customFormat="1" ht="15" customHeight="1" x14ac:dyDescent="0.25">
      <c r="A7832" s="9" t="s">
        <v>15416</v>
      </c>
      <c r="C7832" s="9" t="str">
        <f>HYPERLINK("http://www.ncbi.nlm.nih.gov/protein/224994263","Trpt1")</f>
        <v>Trpt1</v>
      </c>
      <c r="D7832" s="10">
        <f t="shared" si="122"/>
        <v>4.4763294833194882</v>
      </c>
      <c r="F7832" s="8" t="str">
        <f>HYPERLINK("https://esbl.nhlbi.nih.gov/Databases/mpkFractions/proteomic_fractions_log_files/Yang_log_img/224994263.jpg","show blot")</f>
        <v>show blot</v>
      </c>
      <c r="H7832" s="8" t="str">
        <f>HYPERLINK("https://esbl.nhlbi.nih.gov/Databases/mpkFractions/proteomic_fractions_linear_files/Yang_linear_img/224994263.jpg","show blot")</f>
        <v>show blot</v>
      </c>
      <c r="J7832" s="5" t="s">
        <v>15417</v>
      </c>
      <c r="L7832" s="11">
        <v>4.4763294833194882</v>
      </c>
      <c r="N7832" s="12"/>
    </row>
    <row r="7833" spans="1:14" s="5" customFormat="1" ht="15" customHeight="1" x14ac:dyDescent="0.25">
      <c r="A7833" s="9" t="s">
        <v>15418</v>
      </c>
      <c r="C7833" s="9" t="str">
        <f>HYPERLINK("http://www.ncbi.nlm.nih.gov/protein/269784723","Trpv4")</f>
        <v>Trpv4</v>
      </c>
      <c r="D7833" s="10">
        <f t="shared" si="122"/>
        <v>4.9207294548972174</v>
      </c>
      <c r="F7833" s="8" t="str">
        <f>HYPERLINK("https://esbl.nhlbi.nih.gov/Databases/mpkFractions/proteomic_fractions_log_files/Yang_log_img/269784723.jpg","show blot")</f>
        <v>show blot</v>
      </c>
      <c r="H7833" s="8" t="str">
        <f>HYPERLINK("https://esbl.nhlbi.nih.gov/Databases/mpkFractions/proteomic_fractions_linear_files/Yang_linear_img/269784723.jpg","show blot")</f>
        <v>show blot</v>
      </c>
      <c r="J7833" s="5" t="s">
        <v>15419</v>
      </c>
      <c r="L7833" s="11">
        <v>4.9207294548972174</v>
      </c>
      <c r="N7833" s="12"/>
    </row>
    <row r="7834" spans="1:14" s="5" customFormat="1" ht="15" customHeight="1" x14ac:dyDescent="0.25">
      <c r="A7834" s="9" t="s">
        <v>15420</v>
      </c>
      <c r="C7834" s="9" t="str">
        <f>HYPERLINK("http://www.ncbi.nlm.nih.gov/protein/124486949","Trrap")</f>
        <v>Trrap</v>
      </c>
      <c r="D7834" s="10">
        <f t="shared" si="122"/>
        <v>3.2373645074982398</v>
      </c>
      <c r="F7834" s="8" t="str">
        <f>HYPERLINK("https://esbl.nhlbi.nih.gov/Databases/mpkFractions/proteomic_fractions_log_files/Yang_log_img/124486949.jpg","show blot")</f>
        <v>show blot</v>
      </c>
      <c r="H7834" s="8" t="str">
        <f>HYPERLINK("https://esbl.nhlbi.nih.gov/Databases/mpkFractions/proteomic_fractions_linear_files/Yang_linear_img/124486949.jpg","show blot")</f>
        <v>show blot</v>
      </c>
      <c r="J7834" s="5" t="s">
        <v>15421</v>
      </c>
      <c r="L7834" s="11">
        <v>3.2373645074982398</v>
      </c>
      <c r="N7834" s="12"/>
    </row>
    <row r="7835" spans="1:14" s="5" customFormat="1" ht="15" customHeight="1" x14ac:dyDescent="0.25">
      <c r="A7835" s="9" t="s">
        <v>15422</v>
      </c>
      <c r="C7835" s="9" t="str">
        <f>HYPERLINK("http://www.ncbi.nlm.nih.gov/protein/21312414","Trub1")</f>
        <v>Trub1</v>
      </c>
      <c r="D7835" s="10">
        <f t="shared" si="122"/>
        <v>4.5408325819175364</v>
      </c>
      <c r="F7835" s="8" t="str">
        <f>HYPERLINK("https://esbl.nhlbi.nih.gov/Databases/mpkFractions/proteomic_fractions_log_files/Yang_log_img/21312414.jpg","show blot")</f>
        <v>show blot</v>
      </c>
      <c r="H7835" s="8" t="str">
        <f>HYPERLINK("https://esbl.nhlbi.nih.gov/Databases/mpkFractions/proteomic_fractions_linear_files/Yang_linear_img/21312414.jpg","show blot")</f>
        <v>show blot</v>
      </c>
      <c r="J7835" s="5" t="s">
        <v>15423</v>
      </c>
      <c r="L7835" s="11">
        <v>4.5408325819175364</v>
      </c>
      <c r="N7835" s="12"/>
    </row>
    <row r="7836" spans="1:14" s="5" customFormat="1" ht="15" customHeight="1" x14ac:dyDescent="0.25">
      <c r="A7836" s="9" t="s">
        <v>15424</v>
      </c>
      <c r="C7836" s="9" t="str">
        <f>HYPERLINK("http://www.ncbi.nlm.nih.gov/protein/268607501","Trub1")</f>
        <v>Trub1</v>
      </c>
      <c r="D7836" s="10">
        <f t="shared" si="122"/>
        <v>4.5408325819175364</v>
      </c>
      <c r="F7836" s="8" t="str">
        <f>HYPERLINK("https://esbl.nhlbi.nih.gov/Databases/mpkFractions/proteomic_fractions_log_files/Yang_log_img/268607501.jpg","show blot")</f>
        <v>show blot</v>
      </c>
      <c r="H7836" s="8" t="str">
        <f>HYPERLINK("https://esbl.nhlbi.nih.gov/Databases/mpkFractions/proteomic_fractions_linear_files/Yang_linear_img/268607501.jpg","show blot")</f>
        <v>show blot</v>
      </c>
      <c r="J7836" s="5" t="s">
        <v>15425</v>
      </c>
      <c r="L7836" s="11">
        <v>4.5408325819175364</v>
      </c>
      <c r="N7836" s="12"/>
    </row>
    <row r="7837" spans="1:14" s="5" customFormat="1" ht="15" customHeight="1" x14ac:dyDescent="0.25">
      <c r="A7837" s="9" t="s">
        <v>15426</v>
      </c>
      <c r="C7837" s="9" t="str">
        <f>HYPERLINK("http://www.ncbi.nlm.nih.gov/protein/224994213","Trub2")</f>
        <v>Trub2</v>
      </c>
      <c r="D7837" s="10">
        <f t="shared" si="122"/>
        <v>2.687904150324961</v>
      </c>
      <c r="F7837" s="8" t="str">
        <f>HYPERLINK("https://esbl.nhlbi.nih.gov/Databases/mpkFractions/proteomic_fractions_log_files/Yang_log_img/224994213.jpg","show blot")</f>
        <v>show blot</v>
      </c>
      <c r="H7837" s="8" t="str">
        <f>HYPERLINK("https://esbl.nhlbi.nih.gov/Databases/mpkFractions/proteomic_fractions_linear_files/Yang_linear_img/224994213.jpg","show blot")</f>
        <v>show blot</v>
      </c>
      <c r="J7837" s="5" t="s">
        <v>15427</v>
      </c>
      <c r="L7837" s="11">
        <v>2.687904150324961</v>
      </c>
      <c r="N7837" s="12"/>
    </row>
    <row r="7838" spans="1:14" s="5" customFormat="1" ht="15" customHeight="1" x14ac:dyDescent="0.25">
      <c r="A7838" s="9" t="s">
        <v>15428</v>
      </c>
      <c r="C7838" s="9" t="str">
        <f>HYPERLINK("http://www.ncbi.nlm.nih.gov/protein/79750409","Tsc1")</f>
        <v>Tsc1</v>
      </c>
      <c r="D7838" s="10">
        <f t="shared" si="122"/>
        <v>3.2784748506196331</v>
      </c>
      <c r="F7838" s="8" t="str">
        <f>HYPERLINK("https://esbl.nhlbi.nih.gov/Databases/mpkFractions/proteomic_fractions_log_files/Yang_log_img/79750409.jpg","show blot")</f>
        <v>show blot</v>
      </c>
      <c r="H7838" s="8" t="str">
        <f>HYPERLINK("https://esbl.nhlbi.nih.gov/Databases/mpkFractions/proteomic_fractions_linear_files/Yang_linear_img/79750409.jpg","show blot")</f>
        <v>show blot</v>
      </c>
      <c r="J7838" s="5" t="s">
        <v>15429</v>
      </c>
      <c r="L7838" s="11">
        <v>3.2784748506196331</v>
      </c>
      <c r="N7838" s="12"/>
    </row>
    <row r="7839" spans="1:14" s="5" customFormat="1" ht="15" customHeight="1" x14ac:dyDescent="0.25">
      <c r="A7839" s="9" t="s">
        <v>15430</v>
      </c>
      <c r="C7839" s="9" t="str">
        <f>HYPERLINK("http://www.ncbi.nlm.nih.gov/protein/86439987","Tsc2")</f>
        <v>Tsc2</v>
      </c>
      <c r="D7839" s="10">
        <f t="shared" si="122"/>
        <v>3.1918942168802968</v>
      </c>
      <c r="F7839" s="8" t="str">
        <f>HYPERLINK("https://esbl.nhlbi.nih.gov/Databases/mpkFractions/proteomic_fractions_log_files/Yang_log_img/86439987.jpg","show blot")</f>
        <v>show blot</v>
      </c>
      <c r="H7839" s="8" t="str">
        <f>HYPERLINK("https://esbl.nhlbi.nih.gov/Databases/mpkFractions/proteomic_fractions_linear_files/Yang_linear_img/86439987.jpg","show blot")</f>
        <v>show blot</v>
      </c>
      <c r="J7839" s="5" t="s">
        <v>15431</v>
      </c>
      <c r="L7839" s="11">
        <v>3.1918942168802968</v>
      </c>
      <c r="N7839" s="12"/>
    </row>
    <row r="7840" spans="1:14" s="5" customFormat="1" ht="15" customHeight="1" x14ac:dyDescent="0.25">
      <c r="A7840" s="9" t="s">
        <v>15432</v>
      </c>
      <c r="C7840" s="9" t="str">
        <f>HYPERLINK("http://www.ncbi.nlm.nih.gov/protein/86439992","Tsc2")</f>
        <v>Tsc2</v>
      </c>
      <c r="D7840" s="10">
        <f t="shared" si="122"/>
        <v>3.1918942168802968</v>
      </c>
      <c r="F7840" s="8" t="str">
        <f>HYPERLINK("https://esbl.nhlbi.nih.gov/Databases/mpkFractions/proteomic_fractions_log_files/Yang_log_img/86439992.jpg","show blot")</f>
        <v>show blot</v>
      </c>
      <c r="H7840" s="8" t="str">
        <f>HYPERLINK("https://esbl.nhlbi.nih.gov/Databases/mpkFractions/proteomic_fractions_linear_files/Yang_linear_img/86439992.jpg","show blot")</f>
        <v>show blot</v>
      </c>
      <c r="J7840" s="5" t="s">
        <v>15433</v>
      </c>
      <c r="L7840" s="11">
        <v>3.1918942168802968</v>
      </c>
      <c r="N7840" s="12"/>
    </row>
    <row r="7841" spans="1:14" s="5" customFormat="1" ht="15" customHeight="1" x14ac:dyDescent="0.25">
      <c r="A7841" s="9" t="s">
        <v>15434</v>
      </c>
      <c r="C7841" s="9" t="str">
        <f>HYPERLINK("http://www.ncbi.nlm.nih.gov/protein/295293202","Tsc22d1")</f>
        <v>Tsc22d1</v>
      </c>
      <c r="D7841" s="10">
        <f t="shared" si="122"/>
        <v>5.4606780509312651</v>
      </c>
      <c r="F7841" s="8" t="str">
        <f>HYPERLINK("https://esbl.nhlbi.nih.gov/Databases/mpkFractions/proteomic_fractions_log_files/Yang_log_img/295293202.jpg","show blot")</f>
        <v>show blot</v>
      </c>
      <c r="H7841" s="8" t="str">
        <f>HYPERLINK("https://esbl.nhlbi.nih.gov/Databases/mpkFractions/proteomic_fractions_linear_files/Yang_linear_img/295293202.jpg","show blot")</f>
        <v>show blot</v>
      </c>
      <c r="J7841" s="5" t="s">
        <v>15435</v>
      </c>
      <c r="L7841" s="11">
        <v>5.4606780509312651</v>
      </c>
      <c r="N7841" s="12"/>
    </row>
    <row r="7842" spans="1:14" s="5" customFormat="1" ht="15" customHeight="1" x14ac:dyDescent="0.25">
      <c r="A7842" s="9" t="s">
        <v>15436</v>
      </c>
      <c r="C7842" s="9" t="str">
        <f>HYPERLINK("http://www.ncbi.nlm.nih.gov/protein/295293205","Tsc22d1")</f>
        <v>Tsc22d1</v>
      </c>
      <c r="D7842" s="10">
        <f t="shared" si="122"/>
        <v>5.4606780509312651</v>
      </c>
      <c r="F7842" s="8" t="str">
        <f>HYPERLINK("https://esbl.nhlbi.nih.gov/Databases/mpkFractions/proteomic_fractions_log_files/Yang_log_img/295293205.jpg","show blot")</f>
        <v>show blot</v>
      </c>
      <c r="H7842" s="8" t="str">
        <f>HYPERLINK("https://esbl.nhlbi.nih.gov/Databases/mpkFractions/proteomic_fractions_linear_files/Yang_linear_img/295293205.jpg","show blot")</f>
        <v>show blot</v>
      </c>
      <c r="J7842" s="5" t="s">
        <v>15437</v>
      </c>
      <c r="L7842" s="11">
        <v>5.4606780509312651</v>
      </c>
      <c r="N7842" s="12"/>
    </row>
    <row r="7843" spans="1:14" s="5" customFormat="1" ht="15" customHeight="1" x14ac:dyDescent="0.25">
      <c r="A7843" s="9" t="s">
        <v>15438</v>
      </c>
      <c r="C7843" s="9" t="str">
        <f>HYPERLINK("http://www.ncbi.nlm.nih.gov/protein/6678315","Tsc22d1")</f>
        <v>Tsc22d1</v>
      </c>
      <c r="D7843" s="10">
        <f t="shared" si="122"/>
        <v>5.4606780509312651</v>
      </c>
      <c r="F7843" s="8" t="str">
        <f>HYPERLINK("https://esbl.nhlbi.nih.gov/Databases/mpkFractions/proteomic_fractions_log_files/Yang_log_img/6678315.jpg","show blot")</f>
        <v>show blot</v>
      </c>
      <c r="H7843" s="8" t="str">
        <f>HYPERLINK("https://esbl.nhlbi.nih.gov/Databases/mpkFractions/proteomic_fractions_linear_files/Yang_linear_img/6678315.jpg","show blot")</f>
        <v>show blot</v>
      </c>
      <c r="J7843" s="5" t="s">
        <v>15439</v>
      </c>
      <c r="L7843" s="11">
        <v>5.4606780509312651</v>
      </c>
      <c r="N7843" s="12"/>
    </row>
    <row r="7844" spans="1:14" s="5" customFormat="1" ht="15" customHeight="1" x14ac:dyDescent="0.25">
      <c r="A7844" s="9" t="s">
        <v>15440</v>
      </c>
      <c r="C7844" s="9" t="str">
        <f>HYPERLINK("http://www.ncbi.nlm.nih.gov/protein/124487001","Tsc22d2")</f>
        <v>Tsc22d2</v>
      </c>
      <c r="D7844" s="10">
        <f t="shared" si="122"/>
        <v>4.2150780742960796</v>
      </c>
      <c r="F7844" s="8" t="str">
        <f>HYPERLINK("https://esbl.nhlbi.nih.gov/Databases/mpkFractions/proteomic_fractions_log_files/Yang_log_img/124487001.jpg","show blot")</f>
        <v>show blot</v>
      </c>
      <c r="H7844" s="8" t="str">
        <f>HYPERLINK("https://esbl.nhlbi.nih.gov/Databases/mpkFractions/proteomic_fractions_linear_files/Yang_linear_img/124487001.jpg","show blot")</f>
        <v>show blot</v>
      </c>
      <c r="J7844" s="5" t="s">
        <v>15441</v>
      </c>
      <c r="L7844" s="11">
        <v>4.2150780742960796</v>
      </c>
      <c r="N7844" s="12"/>
    </row>
    <row r="7845" spans="1:14" s="5" customFormat="1" ht="15" customHeight="1" x14ac:dyDescent="0.25">
      <c r="A7845" s="9" t="s">
        <v>15442</v>
      </c>
      <c r="C7845" s="9" t="str">
        <f>HYPERLINK("http://www.ncbi.nlm.nih.gov/protein/116517338","Tsc22d3")</f>
        <v>Tsc22d3</v>
      </c>
      <c r="D7845" s="10">
        <f t="shared" si="122"/>
        <v>4.1467018994522613</v>
      </c>
      <c r="F7845" s="8" t="str">
        <f>HYPERLINK("https://esbl.nhlbi.nih.gov/Databases/mpkFractions/proteomic_fractions_log_files/Yang_log_img/116517338.jpg","show blot")</f>
        <v>show blot</v>
      </c>
      <c r="H7845" s="8" t="str">
        <f>HYPERLINK("https://esbl.nhlbi.nih.gov/Databases/mpkFractions/proteomic_fractions_linear_files/Yang_linear_img/116517338.jpg","show blot")</f>
        <v>show blot</v>
      </c>
      <c r="J7845" s="5" t="s">
        <v>15443</v>
      </c>
      <c r="L7845" s="11">
        <v>4.1467018994522613</v>
      </c>
      <c r="N7845" s="12"/>
    </row>
    <row r="7846" spans="1:14" s="5" customFormat="1" ht="15" customHeight="1" x14ac:dyDescent="0.25">
      <c r="A7846" s="9" t="s">
        <v>15444</v>
      </c>
      <c r="C7846" s="9" t="str">
        <f>HYPERLINK("http://www.ncbi.nlm.nih.gov/protein/116517342","Tsc22d3")</f>
        <v>Tsc22d3</v>
      </c>
      <c r="D7846" s="10">
        <f t="shared" si="122"/>
        <v>4.1467018994522613</v>
      </c>
      <c r="F7846" s="8" t="str">
        <f>HYPERLINK("https://esbl.nhlbi.nih.gov/Databases/mpkFractions/proteomic_fractions_log_files/Yang_log_img/116517342.jpg","show blot")</f>
        <v>show blot</v>
      </c>
      <c r="H7846" s="8" t="str">
        <f>HYPERLINK("https://esbl.nhlbi.nih.gov/Databases/mpkFractions/proteomic_fractions_linear_files/Yang_linear_img/116517342.jpg","show blot")</f>
        <v>show blot</v>
      </c>
      <c r="J7846" s="5" t="s">
        <v>15445</v>
      </c>
      <c r="L7846" s="11">
        <v>4.1467018994522613</v>
      </c>
      <c r="N7846" s="12"/>
    </row>
    <row r="7847" spans="1:14" s="5" customFormat="1" ht="15" customHeight="1" x14ac:dyDescent="0.25">
      <c r="A7847" s="9" t="s">
        <v>15446</v>
      </c>
      <c r="C7847" s="9" t="str">
        <f>HYPERLINK("http://www.ncbi.nlm.nih.gov/protein/356995846","Tsc22d4")</f>
        <v>Tsc22d4</v>
      </c>
      <c r="D7847" s="10">
        <f t="shared" si="122"/>
        <v>4.8084344781021633</v>
      </c>
      <c r="F7847" s="8" t="str">
        <f>HYPERLINK("https://esbl.nhlbi.nih.gov/Databases/mpkFractions/proteomic_fractions_log_files/Yang_log_img/356995846.jpg","show blot")</f>
        <v>show blot</v>
      </c>
      <c r="H7847" s="8" t="str">
        <f>HYPERLINK("https://esbl.nhlbi.nih.gov/Databases/mpkFractions/proteomic_fractions_linear_files/Yang_linear_img/356995846.jpg","show blot")</f>
        <v>show blot</v>
      </c>
      <c r="J7847" s="5" t="s">
        <v>15447</v>
      </c>
      <c r="L7847" s="11">
        <v>4.8084344781021633</v>
      </c>
      <c r="N7847" s="12"/>
    </row>
    <row r="7848" spans="1:14" s="5" customFormat="1" ht="15" customHeight="1" x14ac:dyDescent="0.25">
      <c r="A7848" s="9" t="s">
        <v>15448</v>
      </c>
      <c r="C7848" s="9" t="str">
        <f>HYPERLINK("http://www.ncbi.nlm.nih.gov/protein/75750501","Tsc22d4")</f>
        <v>Tsc22d4</v>
      </c>
      <c r="D7848" s="10">
        <f t="shared" si="122"/>
        <v>4.8084344781021633</v>
      </c>
      <c r="F7848" s="8" t="str">
        <f>HYPERLINK("https://esbl.nhlbi.nih.gov/Databases/mpkFractions/proteomic_fractions_log_files/Yang_log_img/75750501.jpg","show blot")</f>
        <v>show blot</v>
      </c>
      <c r="H7848" s="8" t="str">
        <f>HYPERLINK("https://esbl.nhlbi.nih.gov/Databases/mpkFractions/proteomic_fractions_linear_files/Yang_linear_img/75750501.jpg","show blot")</f>
        <v>show blot</v>
      </c>
      <c r="J7848" s="5" t="s">
        <v>15449</v>
      </c>
      <c r="L7848" s="11">
        <v>4.8084344781021633</v>
      </c>
      <c r="N7848" s="12"/>
    </row>
    <row r="7849" spans="1:14" s="5" customFormat="1" ht="15" customHeight="1" x14ac:dyDescent="0.25">
      <c r="A7849" s="9" t="s">
        <v>15450</v>
      </c>
      <c r="C7849" s="9" t="str">
        <f>HYPERLINK("http://www.ncbi.nlm.nih.gov/protein/228008361","Tsen15")</f>
        <v>Tsen15</v>
      </c>
      <c r="D7849" s="10">
        <f t="shared" si="122"/>
        <v>4.3683273121816502</v>
      </c>
      <c r="F7849" s="8" t="str">
        <f>HYPERLINK("https://esbl.nhlbi.nih.gov/Databases/mpkFractions/proteomic_fractions_log_files/Yang_log_img/228008361.jpg","show blot")</f>
        <v>show blot</v>
      </c>
      <c r="H7849" s="8" t="str">
        <f>HYPERLINK("https://esbl.nhlbi.nih.gov/Databases/mpkFractions/proteomic_fractions_linear_files/Yang_linear_img/228008361.jpg","show blot")</f>
        <v>show blot</v>
      </c>
      <c r="J7849" s="5" t="s">
        <v>15451</v>
      </c>
      <c r="L7849" s="11">
        <v>4.3683273121816502</v>
      </c>
      <c r="N7849" s="12"/>
    </row>
    <row r="7850" spans="1:14" s="5" customFormat="1" ht="15" customHeight="1" x14ac:dyDescent="0.25">
      <c r="A7850" s="9" t="s">
        <v>15452</v>
      </c>
      <c r="C7850" s="9" t="str">
        <f>HYPERLINK("http://www.ncbi.nlm.nih.gov/protein/255958183","Tsen34")</f>
        <v>Tsen34</v>
      </c>
      <c r="D7850" s="10">
        <f t="shared" si="122"/>
        <v>4.6378267511113354</v>
      </c>
      <c r="F7850" s="8" t="str">
        <f>HYPERLINK("https://esbl.nhlbi.nih.gov/Databases/mpkFractions/proteomic_fractions_log_files/Yang_log_img/255958183.jpg","show blot")</f>
        <v>show blot</v>
      </c>
      <c r="H7850" s="8" t="str">
        <f>HYPERLINK("https://esbl.nhlbi.nih.gov/Databases/mpkFractions/proteomic_fractions_linear_files/Yang_linear_img/255958183.jpg","show blot")</f>
        <v>show blot</v>
      </c>
      <c r="J7850" s="5" t="s">
        <v>15453</v>
      </c>
      <c r="L7850" s="11">
        <v>4.6378267511113354</v>
      </c>
      <c r="N7850" s="12"/>
    </row>
    <row r="7851" spans="1:14" s="5" customFormat="1" ht="15" customHeight="1" x14ac:dyDescent="0.25">
      <c r="A7851" s="9" t="s">
        <v>15454</v>
      </c>
      <c r="C7851" s="9" t="str">
        <f>HYPERLINK("http://www.ncbi.nlm.nih.gov/protein/255958183;13195596","Tsen34")</f>
        <v>Tsen34</v>
      </c>
      <c r="D7851" s="10">
        <f t="shared" si="122"/>
        <v>4.6378267511113354</v>
      </c>
      <c r="F7851" s="8" t="str">
        <f>HYPERLINK("https://esbl.nhlbi.nih.gov/Databases/mpkFractions/proteomic_fractions_log_files/Yang_log_img/255958183;13195596.jpg","show blot")</f>
        <v>show blot</v>
      </c>
      <c r="H7851" s="8" t="str">
        <f>HYPERLINK("https://esbl.nhlbi.nih.gov/Databases/mpkFractions/proteomic_fractions_linear_files/Yang_linear_img/255958183;13195596.jpg","show blot")</f>
        <v>show blot</v>
      </c>
      <c r="J7851" s="5" t="s">
        <v>15453</v>
      </c>
      <c r="L7851" s="11">
        <v>4.6378267511113354</v>
      </c>
      <c r="N7851" s="12"/>
    </row>
    <row r="7852" spans="1:14" s="5" customFormat="1" ht="15" customHeight="1" x14ac:dyDescent="0.25">
      <c r="A7852" s="9" t="s">
        <v>15455</v>
      </c>
      <c r="C7852" s="9" t="str">
        <f>HYPERLINK("http://www.ncbi.nlm.nih.gov/protein/255958185","Tsen34")</f>
        <v>Tsen34</v>
      </c>
      <c r="D7852" s="10">
        <f t="shared" si="122"/>
        <v>4.6378267511113354</v>
      </c>
      <c r="F7852" s="8" t="str">
        <f>HYPERLINK("https://esbl.nhlbi.nih.gov/Databases/mpkFractions/proteomic_fractions_log_files/Yang_log_img/255958185.jpg","show blot")</f>
        <v>show blot</v>
      </c>
      <c r="H7852" s="8" t="str">
        <f>HYPERLINK("https://esbl.nhlbi.nih.gov/Databases/mpkFractions/proteomic_fractions_linear_files/Yang_linear_img/255958185.jpg","show blot")</f>
        <v>show blot</v>
      </c>
      <c r="J7852" s="5" t="s">
        <v>15456</v>
      </c>
      <c r="L7852" s="11">
        <v>4.6378267511113354</v>
      </c>
      <c r="N7852" s="12"/>
    </row>
    <row r="7853" spans="1:14" s="5" customFormat="1" ht="15" customHeight="1" x14ac:dyDescent="0.25">
      <c r="A7853" s="9" t="s">
        <v>15457</v>
      </c>
      <c r="C7853" s="9" t="str">
        <f>HYPERLINK("http://www.ncbi.nlm.nih.gov/protein/108389163","Tsen54")</f>
        <v>Tsen54</v>
      </c>
      <c r="D7853" s="10">
        <f t="shared" si="122"/>
        <v>2.970084541626123</v>
      </c>
      <c r="F7853" s="8" t="str">
        <f>HYPERLINK("https://esbl.nhlbi.nih.gov/Databases/mpkFractions/proteomic_fractions_log_files/Yang_log_img/108389163.jpg","show blot")</f>
        <v>show blot</v>
      </c>
      <c r="H7853" s="8" t="str">
        <f>HYPERLINK("https://esbl.nhlbi.nih.gov/Databases/mpkFractions/proteomic_fractions_linear_files/Yang_linear_img/108389163.jpg","show blot")</f>
        <v>show blot</v>
      </c>
      <c r="J7853" s="5" t="s">
        <v>15458</v>
      </c>
      <c r="L7853" s="11">
        <v>2.970084541626123</v>
      </c>
      <c r="N7853" s="12"/>
    </row>
    <row r="7854" spans="1:14" s="5" customFormat="1" ht="15" customHeight="1" x14ac:dyDescent="0.25">
      <c r="A7854" s="9" t="s">
        <v>15459</v>
      </c>
      <c r="C7854" s="9" t="str">
        <f>HYPERLINK("http://www.ncbi.nlm.nih.gov/protein/21313468","Tsfm")</f>
        <v>Tsfm</v>
      </c>
      <c r="D7854" s="10">
        <f t="shared" si="122"/>
        <v>5.0782426613960201</v>
      </c>
      <c r="F7854" s="8" t="str">
        <f>HYPERLINK("https://esbl.nhlbi.nih.gov/Databases/mpkFractions/proteomic_fractions_log_files/Yang_log_img/21313468.jpg","show blot")</f>
        <v>show blot</v>
      </c>
      <c r="H7854" s="8" t="str">
        <f>HYPERLINK("https://esbl.nhlbi.nih.gov/Databases/mpkFractions/proteomic_fractions_linear_files/Yang_linear_img/21313468.jpg","show blot")</f>
        <v>show blot</v>
      </c>
      <c r="J7854" s="5" t="s">
        <v>15460</v>
      </c>
      <c r="L7854" s="11">
        <v>5.0782426613960201</v>
      </c>
      <c r="N7854" s="12"/>
    </row>
    <row r="7855" spans="1:14" s="5" customFormat="1" ht="15" customHeight="1" x14ac:dyDescent="0.25">
      <c r="A7855" s="9" t="s">
        <v>15461</v>
      </c>
      <c r="C7855" s="9" t="str">
        <f>HYPERLINK("http://www.ncbi.nlm.nih.gov/protein/11230780","Tsg101")</f>
        <v>Tsg101</v>
      </c>
      <c r="D7855" s="10">
        <f t="shared" si="122"/>
        <v>5.1690977165186069</v>
      </c>
      <c r="F7855" s="8" t="str">
        <f>HYPERLINK("https://esbl.nhlbi.nih.gov/Databases/mpkFractions/proteomic_fractions_log_files/Yang_log_img/11230780.jpg","show blot")</f>
        <v>show blot</v>
      </c>
      <c r="H7855" s="8" t="str">
        <f>HYPERLINK("https://esbl.nhlbi.nih.gov/Databases/mpkFractions/proteomic_fractions_linear_files/Yang_linear_img/11230780.jpg","show blot")</f>
        <v>show blot</v>
      </c>
      <c r="J7855" s="5" t="s">
        <v>15462</v>
      </c>
      <c r="L7855" s="11">
        <v>5.1690977165186069</v>
      </c>
      <c r="N7855" s="12"/>
    </row>
    <row r="7856" spans="1:14" s="5" customFormat="1" ht="15" customHeight="1" x14ac:dyDescent="0.25">
      <c r="A7856" s="9" t="s">
        <v>15463</v>
      </c>
      <c r="C7856" s="9" t="str">
        <f>HYPERLINK("http://www.ncbi.nlm.nih.gov/protein/6755899","Tsn")</f>
        <v>Tsn</v>
      </c>
      <c r="D7856" s="10">
        <f t="shared" si="122"/>
        <v>6.014530569864565</v>
      </c>
      <c r="F7856" s="8" t="str">
        <f>HYPERLINK("https://esbl.nhlbi.nih.gov/Databases/mpkFractions/proteomic_fractions_log_files/Yang_log_img/6755899.jpg","show blot")</f>
        <v>show blot</v>
      </c>
      <c r="H7856" s="8" t="str">
        <f>HYPERLINK("https://esbl.nhlbi.nih.gov/Databases/mpkFractions/proteomic_fractions_linear_files/Yang_linear_img/6755899.jpg","show blot")</f>
        <v>show blot</v>
      </c>
      <c r="J7856" s="5" t="s">
        <v>15464</v>
      </c>
      <c r="L7856" s="11">
        <v>6.014530569864565</v>
      </c>
      <c r="N7856" s="12"/>
    </row>
    <row r="7857" spans="1:14" s="5" customFormat="1" ht="15" customHeight="1" x14ac:dyDescent="0.25">
      <c r="A7857" s="9" t="s">
        <v>15465</v>
      </c>
      <c r="C7857" s="9" t="str">
        <f>HYPERLINK("http://www.ncbi.nlm.nih.gov/protein/8394490","Tsnax")</f>
        <v>Tsnax</v>
      </c>
      <c r="D7857" s="10">
        <f t="shared" si="122"/>
        <v>5.5441578335273336</v>
      </c>
      <c r="F7857" s="8" t="str">
        <f>HYPERLINK("https://esbl.nhlbi.nih.gov/Databases/mpkFractions/proteomic_fractions_log_files/Yang_log_img/8394490.jpg","show blot")</f>
        <v>show blot</v>
      </c>
      <c r="H7857" s="8" t="str">
        <f>HYPERLINK("https://esbl.nhlbi.nih.gov/Databases/mpkFractions/proteomic_fractions_linear_files/Yang_linear_img/8394490.jpg","show blot")</f>
        <v>show blot</v>
      </c>
      <c r="J7857" s="5" t="s">
        <v>15466</v>
      </c>
      <c r="L7857" s="11">
        <v>5.5441578335273336</v>
      </c>
      <c r="N7857" s="12"/>
    </row>
    <row r="7858" spans="1:14" s="5" customFormat="1" ht="15" customHeight="1" x14ac:dyDescent="0.25">
      <c r="A7858" s="9" t="s">
        <v>15467</v>
      </c>
      <c r="C7858" s="9" t="str">
        <f>HYPERLINK("http://www.ncbi.nlm.nih.gov/protein/22122345","Tspan14")</f>
        <v>Tspan14</v>
      </c>
      <c r="D7858" s="10">
        <f t="shared" si="122"/>
        <v>4.4658883521528372</v>
      </c>
      <c r="F7858" s="8" t="str">
        <f>HYPERLINK("https://esbl.nhlbi.nih.gov/Databases/mpkFractions/proteomic_fractions_log_files/Yang_log_img/22122345.jpg","show blot")</f>
        <v>show blot</v>
      </c>
      <c r="H7858" s="8" t="str">
        <f>HYPERLINK("https://esbl.nhlbi.nih.gov/Databases/mpkFractions/proteomic_fractions_linear_files/Yang_linear_img/22122345.jpg","show blot")</f>
        <v>show blot</v>
      </c>
      <c r="J7858" s="5" t="s">
        <v>15468</v>
      </c>
      <c r="L7858" s="11">
        <v>4.4658883521528372</v>
      </c>
      <c r="N7858" s="12"/>
    </row>
    <row r="7859" spans="1:14" s="5" customFormat="1" ht="15" customHeight="1" x14ac:dyDescent="0.25">
      <c r="A7859" s="9" t="s">
        <v>15469</v>
      </c>
      <c r="C7859" s="9" t="str">
        <f>HYPERLINK("http://www.ncbi.nlm.nih.gov/protein/110347498","Tspan15")</f>
        <v>Tspan15</v>
      </c>
      <c r="D7859" s="10">
        <f t="shared" si="122"/>
        <v>2.001445240874181</v>
      </c>
      <c r="F7859" s="8" t="str">
        <f>HYPERLINK("https://esbl.nhlbi.nih.gov/Databases/mpkFractions/proteomic_fractions_log_files/Yang_log_img/110347498.jpg","show blot")</f>
        <v>show blot</v>
      </c>
      <c r="H7859" s="8" t="str">
        <f>HYPERLINK("https://esbl.nhlbi.nih.gov/Databases/mpkFractions/proteomic_fractions_linear_files/Yang_linear_img/110347498.jpg","show blot")</f>
        <v>show blot</v>
      </c>
      <c r="J7859" s="5" t="s">
        <v>15470</v>
      </c>
      <c r="L7859" s="11">
        <v>2.001445240874181</v>
      </c>
      <c r="N7859" s="12"/>
    </row>
    <row r="7860" spans="1:14" s="5" customFormat="1" ht="15" customHeight="1" x14ac:dyDescent="0.25">
      <c r="A7860" s="9" t="s">
        <v>15471</v>
      </c>
      <c r="C7860" s="9" t="str">
        <f>HYPERLINK("http://www.ncbi.nlm.nih.gov/protein/13385482","Tspan31")</f>
        <v>Tspan31</v>
      </c>
      <c r="D7860" s="10">
        <f t="shared" si="122"/>
        <v>4.6027241190756421</v>
      </c>
      <c r="F7860" s="8" t="str">
        <f>HYPERLINK("https://esbl.nhlbi.nih.gov/Databases/mpkFractions/proteomic_fractions_log_files/Yang_log_img/13385482.jpg","show blot")</f>
        <v>show blot</v>
      </c>
      <c r="H7860" s="8" t="str">
        <f>HYPERLINK("https://esbl.nhlbi.nih.gov/Databases/mpkFractions/proteomic_fractions_linear_files/Yang_linear_img/13385482.jpg","show blot")</f>
        <v>show blot</v>
      </c>
      <c r="J7860" s="5" t="s">
        <v>15472</v>
      </c>
      <c r="L7860" s="11">
        <v>4.6027241190756421</v>
      </c>
      <c r="N7860" s="12"/>
    </row>
    <row r="7861" spans="1:14" s="5" customFormat="1" ht="15" customHeight="1" x14ac:dyDescent="0.25">
      <c r="A7861" s="9" t="s">
        <v>15473</v>
      </c>
      <c r="C7861" s="9" t="str">
        <f>HYPERLINK("http://www.ncbi.nlm.nih.gov/protein/31560378","Tspan6")</f>
        <v>Tspan6</v>
      </c>
      <c r="D7861" s="10">
        <f t="shared" si="122"/>
        <v>2.8253539818185001</v>
      </c>
      <c r="F7861" s="8" t="str">
        <f>HYPERLINK("https://esbl.nhlbi.nih.gov/Databases/mpkFractions/proteomic_fractions_log_files/Yang_log_img/31560378.jpg","show blot")</f>
        <v>show blot</v>
      </c>
      <c r="H7861" s="8" t="str">
        <f>HYPERLINK("https://esbl.nhlbi.nih.gov/Databases/mpkFractions/proteomic_fractions_linear_files/Yang_linear_img/31560378.jpg","show blot")</f>
        <v>show blot</v>
      </c>
      <c r="J7861" s="5" t="s">
        <v>15474</v>
      </c>
      <c r="L7861" s="11">
        <v>2.8253539818185001</v>
      </c>
      <c r="N7861" s="12"/>
    </row>
    <row r="7862" spans="1:14" s="5" customFormat="1" ht="15" customHeight="1" x14ac:dyDescent="0.25">
      <c r="A7862" s="9" t="s">
        <v>15475</v>
      </c>
      <c r="C7862" s="9" t="str">
        <f>HYPERLINK("http://www.ncbi.nlm.nih.gov/protein/22122475","Tspan8")</f>
        <v>Tspan8</v>
      </c>
      <c r="D7862" s="10">
        <f t="shared" si="122"/>
        <v>6.5671974867585066</v>
      </c>
      <c r="F7862" s="8" t="str">
        <f>HYPERLINK("https://esbl.nhlbi.nih.gov/Databases/mpkFractions/proteomic_fractions_log_files/Yang_log_img/22122475.jpg","show blot")</f>
        <v>show blot</v>
      </c>
      <c r="H7862" s="8" t="str">
        <f>HYPERLINK("https://esbl.nhlbi.nih.gov/Databases/mpkFractions/proteomic_fractions_linear_files/Yang_linear_img/22122475.jpg","show blot")</f>
        <v>show blot</v>
      </c>
      <c r="J7862" s="5" t="s">
        <v>15476</v>
      </c>
      <c r="L7862" s="11">
        <v>6.5671974867585066</v>
      </c>
      <c r="N7862" s="12"/>
    </row>
    <row r="7863" spans="1:14" s="5" customFormat="1" ht="15" customHeight="1" x14ac:dyDescent="0.25">
      <c r="A7863" s="9" t="s">
        <v>15477</v>
      </c>
      <c r="C7863" s="9" t="str">
        <f>HYPERLINK("http://www.ncbi.nlm.nih.gov/protein/30425124","Tspan9")</f>
        <v>Tspan9</v>
      </c>
      <c r="D7863" s="10">
        <f t="shared" si="122"/>
        <v>3.6800977928541991</v>
      </c>
      <c r="F7863" s="8" t="str">
        <f>HYPERLINK("https://esbl.nhlbi.nih.gov/Databases/mpkFractions/proteomic_fractions_log_files/Yang_log_img/30425124.jpg","show blot")</f>
        <v>show blot</v>
      </c>
      <c r="H7863" s="8" t="str">
        <f>HYPERLINK("https://esbl.nhlbi.nih.gov/Databases/mpkFractions/proteomic_fractions_linear_files/Yang_linear_img/30425124.jpg","show blot")</f>
        <v>show blot</v>
      </c>
      <c r="J7863" s="5" t="s">
        <v>15478</v>
      </c>
      <c r="L7863" s="11">
        <v>3.6800977928541991</v>
      </c>
      <c r="N7863" s="12"/>
    </row>
    <row r="7864" spans="1:14" s="5" customFormat="1" ht="15" customHeight="1" x14ac:dyDescent="0.25">
      <c r="A7864" s="9" t="s">
        <v>15479</v>
      </c>
      <c r="C7864" s="9" t="str">
        <f>HYPERLINK("http://www.ncbi.nlm.nih.gov/protein/6678445","Tspyl1")</f>
        <v>Tspyl1</v>
      </c>
      <c r="D7864" s="10">
        <f t="shared" si="122"/>
        <v>2.32221929473392</v>
      </c>
      <c r="F7864" s="8" t="str">
        <f>HYPERLINK("https://esbl.nhlbi.nih.gov/Databases/mpkFractions/proteomic_fractions_log_files/Yang_log_img/6678445.jpg","show blot")</f>
        <v>show blot</v>
      </c>
      <c r="H7864" s="8" t="str">
        <f>HYPERLINK("https://esbl.nhlbi.nih.gov/Databases/mpkFractions/proteomic_fractions_linear_files/Yang_linear_img/6678445.jpg","show blot")</f>
        <v>show blot</v>
      </c>
      <c r="J7864" s="5" t="s">
        <v>15480</v>
      </c>
      <c r="L7864" s="11">
        <v>2.32221929473392</v>
      </c>
      <c r="N7864" s="12"/>
    </row>
    <row r="7865" spans="1:14" s="5" customFormat="1" ht="15" customHeight="1" x14ac:dyDescent="0.25">
      <c r="A7865" s="9" t="s">
        <v>15481</v>
      </c>
      <c r="C7865" s="9" t="str">
        <f>HYPERLINK("http://www.ncbi.nlm.nih.gov/protein/126506294","Tsr1")</f>
        <v>Tsr1</v>
      </c>
      <c r="D7865" s="10">
        <f t="shared" si="122"/>
        <v>4.6909485906804704</v>
      </c>
      <c r="F7865" s="8" t="str">
        <f>HYPERLINK("https://esbl.nhlbi.nih.gov/Databases/mpkFractions/proteomic_fractions_log_files/Yang_log_img/126506294.jpg","show blot")</f>
        <v>show blot</v>
      </c>
      <c r="H7865" s="8" t="str">
        <f>HYPERLINK("https://esbl.nhlbi.nih.gov/Databases/mpkFractions/proteomic_fractions_linear_files/Yang_linear_img/126506294.jpg","show blot")</f>
        <v>show blot</v>
      </c>
      <c r="J7865" s="5" t="s">
        <v>15482</v>
      </c>
      <c r="L7865" s="11">
        <v>4.6909485906804704</v>
      </c>
      <c r="N7865" s="12"/>
    </row>
    <row r="7866" spans="1:14" s="5" customFormat="1" ht="15" customHeight="1" x14ac:dyDescent="0.25">
      <c r="A7866" s="9" t="s">
        <v>15483</v>
      </c>
      <c r="C7866" s="9" t="str">
        <f>HYPERLINK("http://www.ncbi.nlm.nih.gov/protein/257153359","Tsr2")</f>
        <v>Tsr2</v>
      </c>
      <c r="D7866" s="10">
        <f t="shared" si="122"/>
        <v>4.0181471733243734</v>
      </c>
      <c r="F7866" s="8" t="str">
        <f>HYPERLINK("https://esbl.nhlbi.nih.gov/Databases/mpkFractions/proteomic_fractions_log_files/Yang_log_img/257153359.jpg","show blot")</f>
        <v>show blot</v>
      </c>
      <c r="H7866" s="8" t="str">
        <f>HYPERLINK("https://esbl.nhlbi.nih.gov/Databases/mpkFractions/proteomic_fractions_linear_files/Yang_linear_img/257153359.jpg","show blot")</f>
        <v>show blot</v>
      </c>
      <c r="J7866" s="5" t="s">
        <v>15484</v>
      </c>
      <c r="L7866" s="11">
        <v>4.0181471733243734</v>
      </c>
      <c r="N7866" s="12"/>
    </row>
    <row r="7867" spans="1:14" s="5" customFormat="1" ht="15" customHeight="1" x14ac:dyDescent="0.25">
      <c r="A7867" s="9" t="s">
        <v>15485</v>
      </c>
      <c r="C7867" s="9" t="str">
        <f>HYPERLINK("http://www.ncbi.nlm.nih.gov/protein/257196134","Tsr2")</f>
        <v>Tsr2</v>
      </c>
      <c r="D7867" s="10">
        <f t="shared" si="122"/>
        <v>4.0181471733243734</v>
      </c>
      <c r="F7867" s="8" t="str">
        <f>HYPERLINK("https://esbl.nhlbi.nih.gov/Databases/mpkFractions/proteomic_fractions_log_files/Yang_log_img/257196134.jpg","show blot")</f>
        <v>show blot</v>
      </c>
      <c r="H7867" s="8" t="str">
        <f>HYPERLINK("https://esbl.nhlbi.nih.gov/Databases/mpkFractions/proteomic_fractions_linear_files/Yang_linear_img/257196134.jpg","show blot")</f>
        <v>show blot</v>
      </c>
      <c r="J7867" s="5" t="s">
        <v>15486</v>
      </c>
      <c r="L7867" s="11">
        <v>4.0181471733243734</v>
      </c>
      <c r="N7867" s="12"/>
    </row>
    <row r="7868" spans="1:14" s="5" customFormat="1" ht="15" customHeight="1" x14ac:dyDescent="0.25">
      <c r="A7868" s="9" t="s">
        <v>15487</v>
      </c>
      <c r="C7868" s="9" t="str">
        <f>HYPERLINK("http://www.ncbi.nlm.nih.gov/protein/238550175","Tssc1")</f>
        <v>Tssc1</v>
      </c>
      <c r="D7868" s="10">
        <f t="shared" si="122"/>
        <v>5.0788153496026682</v>
      </c>
      <c r="F7868" s="8" t="str">
        <f>HYPERLINK("https://esbl.nhlbi.nih.gov/Databases/mpkFractions/proteomic_fractions_log_files/Yang_log_img/238550175.jpg","show blot")</f>
        <v>show blot</v>
      </c>
      <c r="H7868" s="8" t="str">
        <f>HYPERLINK("https://esbl.nhlbi.nih.gov/Databases/mpkFractions/proteomic_fractions_linear_files/Yang_linear_img/238550175.jpg","show blot")</f>
        <v>show blot</v>
      </c>
      <c r="J7868" s="5" t="s">
        <v>15488</v>
      </c>
      <c r="L7868" s="11">
        <v>5.0788153496026682</v>
      </c>
      <c r="N7868" s="12"/>
    </row>
    <row r="7869" spans="1:14" s="5" customFormat="1" ht="15" customHeight="1" x14ac:dyDescent="0.25">
      <c r="A7869" s="9" t="s">
        <v>15489</v>
      </c>
      <c r="C7869" s="9" t="str">
        <f>HYPERLINK("http://www.ncbi.nlm.nih.gov/protein/13654268","Tsta3")</f>
        <v>Tsta3</v>
      </c>
      <c r="D7869" s="10">
        <f t="shared" si="122"/>
        <v>5.7289564177119754</v>
      </c>
      <c r="F7869" s="8" t="str">
        <f>HYPERLINK("https://esbl.nhlbi.nih.gov/Databases/mpkFractions/proteomic_fractions_log_files/Yang_log_img/13654268.jpg","show blot")</f>
        <v>show blot</v>
      </c>
      <c r="H7869" s="8" t="str">
        <f>HYPERLINK("https://esbl.nhlbi.nih.gov/Databases/mpkFractions/proteomic_fractions_linear_files/Yang_linear_img/13654268.jpg","show blot")</f>
        <v>show blot</v>
      </c>
      <c r="J7869" s="5" t="s">
        <v>15490</v>
      </c>
      <c r="L7869" s="11">
        <v>5.7289564177119754</v>
      </c>
      <c r="N7869" s="12"/>
    </row>
    <row r="7870" spans="1:14" s="5" customFormat="1" ht="15" customHeight="1" x14ac:dyDescent="0.25">
      <c r="A7870" s="9" t="s">
        <v>15491</v>
      </c>
      <c r="C7870" s="9" t="str">
        <f>HYPERLINK("http://www.ncbi.nlm.nih.gov/protein/67906805","Ttbk2")</f>
        <v>Ttbk2</v>
      </c>
      <c r="D7870" s="10">
        <f t="shared" si="122"/>
        <v>0.64287592410141781</v>
      </c>
      <c r="F7870" s="8" t="str">
        <f>HYPERLINK("https://esbl.nhlbi.nih.gov/Databases/mpkFractions/proteomic_fractions_log_files/Yang_log_img/67906805.jpg","show blot")</f>
        <v>show blot</v>
      </c>
      <c r="H7870" s="8" t="str">
        <f>HYPERLINK("https://esbl.nhlbi.nih.gov/Databases/mpkFractions/proteomic_fractions_linear_files/Yang_linear_img/67906805.jpg","show blot")</f>
        <v>show blot</v>
      </c>
      <c r="J7870" s="5" t="s">
        <v>15492</v>
      </c>
      <c r="L7870" s="11">
        <v>0.64287592410141781</v>
      </c>
      <c r="N7870" s="12"/>
    </row>
    <row r="7871" spans="1:14" s="5" customFormat="1" ht="15" customHeight="1" x14ac:dyDescent="0.25">
      <c r="A7871" s="9" t="s">
        <v>15493</v>
      </c>
      <c r="C7871" s="9" t="str">
        <f>HYPERLINK("http://www.ncbi.nlm.nih.gov/protein/67906807","Ttbk2")</f>
        <v>Ttbk2</v>
      </c>
      <c r="D7871" s="10">
        <f t="shared" si="122"/>
        <v>0.64287592410141781</v>
      </c>
      <c r="F7871" s="8" t="str">
        <f>HYPERLINK("https://esbl.nhlbi.nih.gov/Databases/mpkFractions/proteomic_fractions_log_files/Yang_log_img/67906807.jpg","show blot")</f>
        <v>show blot</v>
      </c>
      <c r="H7871" s="8" t="str">
        <f>HYPERLINK("https://esbl.nhlbi.nih.gov/Databases/mpkFractions/proteomic_fractions_linear_files/Yang_linear_img/67906807.jpg","show blot")</f>
        <v>show blot</v>
      </c>
      <c r="J7871" s="5" t="s">
        <v>15494</v>
      </c>
      <c r="L7871" s="11">
        <v>0.64287592410141781</v>
      </c>
      <c r="N7871" s="12"/>
    </row>
    <row r="7872" spans="1:14" s="5" customFormat="1" ht="15" customHeight="1" x14ac:dyDescent="0.25">
      <c r="A7872" s="9" t="s">
        <v>15495</v>
      </c>
      <c r="C7872" s="9" t="str">
        <f>HYPERLINK("http://www.ncbi.nlm.nih.gov/protein/20452462","Ttc1")</f>
        <v>Ttc1</v>
      </c>
      <c r="D7872" s="10">
        <f t="shared" si="122"/>
        <v>5.0436311386589896</v>
      </c>
      <c r="F7872" s="8" t="str">
        <f>HYPERLINK("https://esbl.nhlbi.nih.gov/Databases/mpkFractions/proteomic_fractions_log_files/Yang_log_img/20452462.jpg","show blot")</f>
        <v>show blot</v>
      </c>
      <c r="H7872" s="8" t="str">
        <f>HYPERLINK("https://esbl.nhlbi.nih.gov/Databases/mpkFractions/proteomic_fractions_linear_files/Yang_linear_img/20452462.jpg","show blot")</f>
        <v>show blot</v>
      </c>
      <c r="J7872" s="5" t="s">
        <v>15496</v>
      </c>
      <c r="L7872" s="11">
        <v>5.0436311386589896</v>
      </c>
      <c r="N7872" s="12"/>
    </row>
    <row r="7873" spans="1:14" s="5" customFormat="1" ht="15" customHeight="1" x14ac:dyDescent="0.25">
      <c r="A7873" s="9" t="s">
        <v>15497</v>
      </c>
      <c r="C7873" s="9" t="str">
        <f>HYPERLINK("http://www.ncbi.nlm.nih.gov/protein/27370132","Ttc12")</f>
        <v>Ttc12</v>
      </c>
      <c r="D7873" s="10">
        <f t="shared" si="122"/>
        <v>3.3620724068003618</v>
      </c>
      <c r="F7873" s="8" t="str">
        <f>HYPERLINK("https://esbl.nhlbi.nih.gov/Databases/mpkFractions/proteomic_fractions_log_files/Yang_log_img/27370132.jpg","show blot")</f>
        <v>show blot</v>
      </c>
      <c r="H7873" s="8" t="str">
        <f>HYPERLINK("https://esbl.nhlbi.nih.gov/Databases/mpkFractions/proteomic_fractions_linear_files/Yang_linear_img/27370132.jpg","show blot")</f>
        <v>show blot</v>
      </c>
      <c r="J7873" s="5" t="s">
        <v>15498</v>
      </c>
      <c r="L7873" s="11">
        <v>3.3620724068003618</v>
      </c>
      <c r="N7873" s="12"/>
    </row>
    <row r="7874" spans="1:14" s="5" customFormat="1" ht="15" customHeight="1" x14ac:dyDescent="0.25">
      <c r="A7874" s="9" t="s">
        <v>15499</v>
      </c>
      <c r="C7874" s="9" t="str">
        <f>HYPERLINK("http://www.ncbi.nlm.nih.gov/protein/114158711","Ttc21b")</f>
        <v>Ttc21b</v>
      </c>
      <c r="D7874" s="10">
        <f t="shared" si="122"/>
        <v>2.6688054057108168</v>
      </c>
      <c r="F7874" s="8" t="str">
        <f>HYPERLINK("https://esbl.nhlbi.nih.gov/Databases/mpkFractions/proteomic_fractions_log_files/Yang_log_img/114158711.jpg","show blot")</f>
        <v>show blot</v>
      </c>
      <c r="H7874" s="8" t="str">
        <f>HYPERLINK("https://esbl.nhlbi.nih.gov/Databases/mpkFractions/proteomic_fractions_linear_files/Yang_linear_img/114158711.jpg","show blot")</f>
        <v>show blot</v>
      </c>
      <c r="J7874" s="5" t="s">
        <v>15500</v>
      </c>
      <c r="L7874" s="11">
        <v>2.6688054057108168</v>
      </c>
      <c r="N7874" s="12"/>
    </row>
    <row r="7875" spans="1:14" s="5" customFormat="1" ht="15" customHeight="1" x14ac:dyDescent="0.25">
      <c r="A7875" s="9" t="s">
        <v>15501</v>
      </c>
      <c r="C7875" s="9" t="str">
        <f>HYPERLINK("http://www.ncbi.nlm.nih.gov/protein/254281218","Ttc23l")</f>
        <v>Ttc23l</v>
      </c>
      <c r="D7875" s="10">
        <f t="shared" si="122"/>
        <v>3.9544823278164909</v>
      </c>
      <c r="F7875" s="8" t="str">
        <f>HYPERLINK("https://esbl.nhlbi.nih.gov/Databases/mpkFractions/proteomic_fractions_log_files/Yang_log_img/254281218.jpg","show blot")</f>
        <v>show blot</v>
      </c>
      <c r="H7875" s="8" t="str">
        <f>HYPERLINK("https://esbl.nhlbi.nih.gov/Databases/mpkFractions/proteomic_fractions_linear_files/Yang_linear_img/254281218.jpg","show blot")</f>
        <v>show blot</v>
      </c>
      <c r="J7875" s="5" t="s">
        <v>15502</v>
      </c>
      <c r="L7875" s="11">
        <v>3.9544823278164909</v>
      </c>
      <c r="N7875" s="12"/>
    </row>
    <row r="7876" spans="1:14" s="5" customFormat="1" ht="15" customHeight="1" x14ac:dyDescent="0.25">
      <c r="A7876" s="9" t="s">
        <v>15503</v>
      </c>
      <c r="C7876" s="9" t="str">
        <f>HYPERLINK("http://www.ncbi.nlm.nih.gov/protein/42734471","Ttc26")</f>
        <v>Ttc26</v>
      </c>
      <c r="D7876" s="10">
        <f t="shared" si="122"/>
        <v>3.4731742121033862</v>
      </c>
      <c r="F7876" s="8" t="str">
        <f>HYPERLINK("https://esbl.nhlbi.nih.gov/Databases/mpkFractions/proteomic_fractions_log_files/Yang_log_img/42734471.jpg","show blot")</f>
        <v>show blot</v>
      </c>
      <c r="H7876" s="8" t="str">
        <f>HYPERLINK("https://esbl.nhlbi.nih.gov/Databases/mpkFractions/proteomic_fractions_linear_files/Yang_linear_img/42734471.jpg","show blot")</f>
        <v>show blot</v>
      </c>
      <c r="J7876" s="5" t="s">
        <v>15504</v>
      </c>
      <c r="L7876" s="11">
        <v>3.4731742121033862</v>
      </c>
      <c r="N7876" s="12"/>
    </row>
    <row r="7877" spans="1:14" s="5" customFormat="1" ht="15" customHeight="1" x14ac:dyDescent="0.25">
      <c r="A7877" s="9" t="s">
        <v>15505</v>
      </c>
      <c r="C7877" s="9" t="str">
        <f>HYPERLINK("http://www.ncbi.nlm.nih.gov/protein/164519039","Ttc27")</f>
        <v>Ttc27</v>
      </c>
      <c r="D7877" s="10">
        <f t="shared" ref="D7877:D7940" si="123">L7877</f>
        <v>3.639977644093376</v>
      </c>
      <c r="F7877" s="8" t="str">
        <f>HYPERLINK("https://esbl.nhlbi.nih.gov/Databases/mpkFractions/proteomic_fractions_log_files/Yang_log_img/164519039.jpg","show blot")</f>
        <v>show blot</v>
      </c>
      <c r="H7877" s="8" t="str">
        <f>HYPERLINK("https://esbl.nhlbi.nih.gov/Databases/mpkFractions/proteomic_fractions_linear_files/Yang_linear_img/164519039.jpg","show blot")</f>
        <v>show blot</v>
      </c>
      <c r="J7877" s="5" t="s">
        <v>15506</v>
      </c>
      <c r="L7877" s="11">
        <v>3.639977644093376</v>
      </c>
      <c r="N7877" s="12"/>
    </row>
    <row r="7878" spans="1:14" s="5" customFormat="1" ht="15" customHeight="1" x14ac:dyDescent="0.25">
      <c r="A7878" s="9" t="s">
        <v>15507</v>
      </c>
      <c r="C7878" s="9" t="str">
        <f>HYPERLINK("http://www.ncbi.nlm.nih.gov/protein/154091024","Ttc3")</f>
        <v>Ttc3</v>
      </c>
      <c r="D7878" s="10">
        <f t="shared" si="123"/>
        <v>3.1133047704897661</v>
      </c>
      <c r="F7878" s="8" t="str">
        <f>HYPERLINK("https://esbl.nhlbi.nih.gov/Databases/mpkFractions/proteomic_fractions_log_files/Yang_log_img/154091024.jpg","show blot")</f>
        <v>show blot</v>
      </c>
      <c r="H7878" s="8" t="str">
        <f>HYPERLINK("https://esbl.nhlbi.nih.gov/Databases/mpkFractions/proteomic_fractions_linear_files/Yang_linear_img/154091024.jpg","show blot")</f>
        <v>show blot</v>
      </c>
      <c r="J7878" s="5" t="s">
        <v>15508</v>
      </c>
      <c r="L7878" s="11">
        <v>3.1133047704897661</v>
      </c>
      <c r="N7878" s="12"/>
    </row>
    <row r="7879" spans="1:14" s="5" customFormat="1" ht="15" customHeight="1" x14ac:dyDescent="0.25">
      <c r="A7879" s="9" t="s">
        <v>15509</v>
      </c>
      <c r="C7879" s="9" t="str">
        <f>HYPERLINK("http://www.ncbi.nlm.nih.gov/protein/125988391","Ttc30a1")</f>
        <v>Ttc30a1</v>
      </c>
      <c r="D7879" s="10">
        <f t="shared" si="123"/>
        <v>3.9697442461587311</v>
      </c>
      <c r="F7879" s="8" t="str">
        <f>HYPERLINK("https://esbl.nhlbi.nih.gov/Databases/mpkFractions/proteomic_fractions_log_files/Yang_log_img/125988391.jpg","show blot")</f>
        <v>show blot</v>
      </c>
      <c r="H7879" s="8" t="str">
        <f>HYPERLINK("https://esbl.nhlbi.nih.gov/Databases/mpkFractions/proteomic_fractions_linear_files/Yang_linear_img/125988391.jpg","show blot")</f>
        <v>show blot</v>
      </c>
      <c r="J7879" s="5" t="s">
        <v>15510</v>
      </c>
      <c r="L7879" s="11">
        <v>3.9697442461587311</v>
      </c>
      <c r="N7879" s="12"/>
    </row>
    <row r="7880" spans="1:14" s="5" customFormat="1" ht="15" customHeight="1" x14ac:dyDescent="0.25">
      <c r="A7880" s="9" t="s">
        <v>15511</v>
      </c>
      <c r="C7880" s="9" t="str">
        <f>HYPERLINK("http://www.ncbi.nlm.nih.gov/protein/124487007","Ttc30a2")</f>
        <v>Ttc30a2</v>
      </c>
      <c r="D7880" s="10">
        <f t="shared" si="123"/>
        <v>3.9697442461587311</v>
      </c>
      <c r="F7880" s="8" t="str">
        <f>HYPERLINK("https://esbl.nhlbi.nih.gov/Databases/mpkFractions/proteomic_fractions_log_files/Yang_log_img/124487007.jpg","show blot")</f>
        <v>show blot</v>
      </c>
      <c r="H7880" s="8" t="str">
        <f>HYPERLINK("https://esbl.nhlbi.nih.gov/Databases/mpkFractions/proteomic_fractions_linear_files/Yang_linear_img/124487007.jpg","show blot")</f>
        <v>show blot</v>
      </c>
      <c r="J7880" s="5" t="s">
        <v>15512</v>
      </c>
      <c r="L7880" s="11">
        <v>3.9697442461587311</v>
      </c>
      <c r="N7880" s="12"/>
    </row>
    <row r="7881" spans="1:14" s="5" customFormat="1" ht="15" customHeight="1" x14ac:dyDescent="0.25">
      <c r="A7881" s="9" t="s">
        <v>15513</v>
      </c>
      <c r="C7881" s="9" t="str">
        <f>HYPERLINK("http://www.ncbi.nlm.nih.gov/protein/125988383","Ttc30b")</f>
        <v>Ttc30b</v>
      </c>
      <c r="D7881" s="10">
        <f t="shared" si="123"/>
        <v>3.9697442461587311</v>
      </c>
      <c r="F7881" s="8" t="str">
        <f>HYPERLINK("https://esbl.nhlbi.nih.gov/Databases/mpkFractions/proteomic_fractions_log_files/Yang_log_img/125988383.jpg","show blot")</f>
        <v>show blot</v>
      </c>
      <c r="H7881" s="8" t="str">
        <f>HYPERLINK("https://esbl.nhlbi.nih.gov/Databases/mpkFractions/proteomic_fractions_linear_files/Yang_linear_img/125988383.jpg","show blot")</f>
        <v>show blot</v>
      </c>
      <c r="J7881" s="5" t="s">
        <v>15514</v>
      </c>
      <c r="L7881" s="11">
        <v>3.9697442461587311</v>
      </c>
      <c r="N7881" s="12"/>
    </row>
    <row r="7882" spans="1:14" s="5" customFormat="1" ht="15" customHeight="1" x14ac:dyDescent="0.25">
      <c r="A7882" s="9" t="s">
        <v>15515</v>
      </c>
      <c r="C7882" s="9" t="str">
        <f>HYPERLINK("http://www.ncbi.nlm.nih.gov/protein/58037417","Ttc32")</f>
        <v>Ttc32</v>
      </c>
      <c r="D7882" s="10">
        <f t="shared" si="123"/>
        <v>4.1253848479231277</v>
      </c>
      <c r="F7882" s="8" t="str">
        <f>HYPERLINK("https://esbl.nhlbi.nih.gov/Databases/mpkFractions/proteomic_fractions_log_files/Yang_log_img/58037417.jpg","show blot")</f>
        <v>show blot</v>
      </c>
      <c r="H7882" s="8" t="str">
        <f>HYPERLINK("https://esbl.nhlbi.nih.gov/Databases/mpkFractions/proteomic_fractions_linear_files/Yang_linear_img/58037417.jpg","show blot")</f>
        <v>show blot</v>
      </c>
      <c r="J7882" s="5" t="s">
        <v>15516</v>
      </c>
      <c r="L7882" s="11">
        <v>4.1253848479231277</v>
      </c>
      <c r="N7882" s="12"/>
    </row>
    <row r="7883" spans="1:14" s="5" customFormat="1" ht="15" customHeight="1" x14ac:dyDescent="0.25">
      <c r="A7883" s="9" t="s">
        <v>15517</v>
      </c>
      <c r="C7883" s="9" t="str">
        <f>HYPERLINK("http://www.ncbi.nlm.nih.gov/protein/21312920","Ttc33")</f>
        <v>Ttc33</v>
      </c>
      <c r="D7883" s="10">
        <f t="shared" si="123"/>
        <v>4.6446422902953337</v>
      </c>
      <c r="F7883" s="8" t="str">
        <f>HYPERLINK("https://esbl.nhlbi.nih.gov/Databases/mpkFractions/proteomic_fractions_log_files/Yang_log_img/21312920.jpg","show blot")</f>
        <v>show blot</v>
      </c>
      <c r="H7883" s="8" t="str">
        <f>HYPERLINK("https://esbl.nhlbi.nih.gov/Databases/mpkFractions/proteomic_fractions_linear_files/Yang_linear_img/21312920.jpg","show blot")</f>
        <v>show blot</v>
      </c>
      <c r="J7883" s="5" t="s">
        <v>15518</v>
      </c>
      <c r="L7883" s="11">
        <v>4.6446422902953337</v>
      </c>
      <c r="N7883" s="12"/>
    </row>
    <row r="7884" spans="1:14" s="5" customFormat="1" ht="15" customHeight="1" x14ac:dyDescent="0.25">
      <c r="A7884" s="9" t="s">
        <v>15519</v>
      </c>
      <c r="C7884" s="9" t="str">
        <f>HYPERLINK("http://www.ncbi.nlm.nih.gov/protein/225543265","Ttc34")</f>
        <v>Ttc34</v>
      </c>
      <c r="D7884" s="10">
        <f t="shared" si="123"/>
        <v>4.3411220572554576</v>
      </c>
      <c r="F7884" s="8" t="str">
        <f>HYPERLINK("https://esbl.nhlbi.nih.gov/Databases/mpkFractions/proteomic_fractions_log_files/Yang_log_img/225543265.jpg","show blot")</f>
        <v>show blot</v>
      </c>
      <c r="H7884" s="8" t="str">
        <f>HYPERLINK("https://esbl.nhlbi.nih.gov/Databases/mpkFractions/proteomic_fractions_linear_files/Yang_linear_img/225543265.jpg","show blot")</f>
        <v>show blot</v>
      </c>
      <c r="J7884" s="5" t="s">
        <v>15520</v>
      </c>
      <c r="L7884" s="11">
        <v>4.3411220572554576</v>
      </c>
      <c r="N7884" s="12"/>
    </row>
    <row r="7885" spans="1:14" s="5" customFormat="1" ht="15" customHeight="1" x14ac:dyDescent="0.25">
      <c r="A7885" s="9" t="s">
        <v>15521</v>
      </c>
      <c r="C7885" s="9" t="str">
        <f>HYPERLINK("http://www.ncbi.nlm.nih.gov/protein/124486883","Ttc37")</f>
        <v>Ttc37</v>
      </c>
      <c r="D7885" s="10">
        <f t="shared" si="123"/>
        <v>3.925484402818209</v>
      </c>
      <c r="F7885" s="8" t="str">
        <f>HYPERLINK("https://esbl.nhlbi.nih.gov/Databases/mpkFractions/proteomic_fractions_log_files/Yang_log_img/124486883.jpg","show blot")</f>
        <v>show blot</v>
      </c>
      <c r="H7885" s="8" t="str">
        <f>HYPERLINK("https://esbl.nhlbi.nih.gov/Databases/mpkFractions/proteomic_fractions_linear_files/Yang_linear_img/124486883.jpg","show blot")</f>
        <v>show blot</v>
      </c>
      <c r="J7885" s="5" t="s">
        <v>15522</v>
      </c>
      <c r="L7885" s="11">
        <v>3.925484402818209</v>
      </c>
      <c r="N7885" s="12"/>
    </row>
    <row r="7886" spans="1:14" s="5" customFormat="1" ht="15" customHeight="1" x14ac:dyDescent="0.25">
      <c r="A7886" s="9" t="s">
        <v>15523</v>
      </c>
      <c r="C7886" s="9" t="str">
        <f>HYPERLINK("http://www.ncbi.nlm.nih.gov/protein/158517895","Ttc38")</f>
        <v>Ttc38</v>
      </c>
      <c r="D7886" s="10">
        <f t="shared" si="123"/>
        <v>5.6115796881593258</v>
      </c>
      <c r="F7886" s="8" t="str">
        <f>HYPERLINK("https://esbl.nhlbi.nih.gov/Databases/mpkFractions/proteomic_fractions_log_files/Yang_log_img/158517895.jpg","show blot")</f>
        <v>show blot</v>
      </c>
      <c r="H7886" s="8" t="str">
        <f>HYPERLINK("https://esbl.nhlbi.nih.gov/Databases/mpkFractions/proteomic_fractions_linear_files/Yang_linear_img/158517895.jpg","show blot")</f>
        <v>show blot</v>
      </c>
      <c r="J7886" s="5" t="s">
        <v>15524</v>
      </c>
      <c r="L7886" s="11">
        <v>5.6115796881593258</v>
      </c>
      <c r="N7886" s="12"/>
    </row>
    <row r="7887" spans="1:14" s="5" customFormat="1" ht="15" customHeight="1" x14ac:dyDescent="0.25">
      <c r="A7887" s="9" t="s">
        <v>15525</v>
      </c>
      <c r="C7887" s="9" t="str">
        <f>HYPERLINK("http://www.ncbi.nlm.nih.gov/protein/124358948","Ttc5")</f>
        <v>Ttc5</v>
      </c>
      <c r="D7887" s="10">
        <f t="shared" si="123"/>
        <v>4.7201576371740943</v>
      </c>
      <c r="F7887" s="8" t="str">
        <f>HYPERLINK("https://esbl.nhlbi.nih.gov/Databases/mpkFractions/proteomic_fractions_log_files/Yang_log_img/124358948.jpg","show blot")</f>
        <v>show blot</v>
      </c>
      <c r="H7887" s="8" t="str">
        <f>HYPERLINK("https://esbl.nhlbi.nih.gov/Databases/mpkFractions/proteomic_fractions_linear_files/Yang_linear_img/124358948.jpg","show blot")</f>
        <v>show blot</v>
      </c>
      <c r="J7887" s="5" t="s">
        <v>15526</v>
      </c>
      <c r="L7887" s="11">
        <v>4.7201576371740943</v>
      </c>
      <c r="N7887" s="12"/>
    </row>
    <row r="7888" spans="1:14" s="5" customFormat="1" ht="15" customHeight="1" x14ac:dyDescent="0.25">
      <c r="A7888" s="9" t="s">
        <v>15527</v>
      </c>
      <c r="C7888" s="9" t="str">
        <f>HYPERLINK("http://www.ncbi.nlm.nih.gov/protein/29244012","Ttc5")</f>
        <v>Ttc5</v>
      </c>
      <c r="D7888" s="10">
        <f t="shared" si="123"/>
        <v>4.7201576371740943</v>
      </c>
      <c r="F7888" s="8" t="str">
        <f>HYPERLINK("https://esbl.nhlbi.nih.gov/Databases/mpkFractions/proteomic_fractions_log_files/Yang_log_img/29244012.jpg","show blot")</f>
        <v>show blot</v>
      </c>
      <c r="H7888" s="8" t="str">
        <f>HYPERLINK("https://esbl.nhlbi.nih.gov/Databases/mpkFractions/proteomic_fractions_linear_files/Yang_linear_img/29244012.jpg","show blot")</f>
        <v>show blot</v>
      </c>
      <c r="J7888" s="5" t="s">
        <v>15528</v>
      </c>
      <c r="L7888" s="11">
        <v>4.7201576371740943</v>
      </c>
      <c r="N7888" s="12"/>
    </row>
    <row r="7889" spans="1:14" s="5" customFormat="1" ht="15" customHeight="1" x14ac:dyDescent="0.25">
      <c r="A7889" s="9" t="s">
        <v>15529</v>
      </c>
      <c r="C7889" s="9" t="str">
        <f>HYPERLINK("http://www.ncbi.nlm.nih.gov/protein/85701652","Ttc9")</f>
        <v>Ttc9</v>
      </c>
      <c r="D7889" s="10">
        <f t="shared" si="123"/>
        <v>4.6652158393301484</v>
      </c>
      <c r="F7889" s="8" t="str">
        <f>HYPERLINK("https://esbl.nhlbi.nih.gov/Databases/mpkFractions/proteomic_fractions_log_files/Yang_log_img/85701652.jpg","show blot")</f>
        <v>show blot</v>
      </c>
      <c r="H7889" s="8" t="str">
        <f>HYPERLINK("https://esbl.nhlbi.nih.gov/Databases/mpkFractions/proteomic_fractions_linear_files/Yang_linear_img/85701652.jpg","show blot")</f>
        <v>show blot</v>
      </c>
      <c r="J7889" s="5" t="s">
        <v>15530</v>
      </c>
      <c r="L7889" s="11">
        <v>4.6652158393301484</v>
      </c>
      <c r="N7889" s="12"/>
    </row>
    <row r="7890" spans="1:14" s="5" customFormat="1" ht="15" customHeight="1" x14ac:dyDescent="0.25">
      <c r="A7890" s="9" t="s">
        <v>15531</v>
      </c>
      <c r="C7890" s="9" t="str">
        <f>HYPERLINK("http://www.ncbi.nlm.nih.gov/protein/110625776","Ttc9c")</f>
        <v>Ttc9c</v>
      </c>
      <c r="D7890" s="10">
        <f t="shared" si="123"/>
        <v>4.9404108773537461</v>
      </c>
      <c r="F7890" s="8" t="str">
        <f>HYPERLINK("https://esbl.nhlbi.nih.gov/Databases/mpkFractions/proteomic_fractions_log_files/Yang_log_img/110625776.jpg","show blot")</f>
        <v>show blot</v>
      </c>
      <c r="H7890" s="8" t="str">
        <f>HYPERLINK("https://esbl.nhlbi.nih.gov/Databases/mpkFractions/proteomic_fractions_linear_files/Yang_linear_img/110625776.jpg","show blot")</f>
        <v>show blot</v>
      </c>
      <c r="J7890" s="5" t="s">
        <v>15532</v>
      </c>
      <c r="L7890" s="11">
        <v>4.9404108773537461</v>
      </c>
      <c r="N7890" s="12"/>
    </row>
    <row r="7891" spans="1:14" s="5" customFormat="1" ht="15" customHeight="1" x14ac:dyDescent="0.25">
      <c r="A7891" s="9" t="s">
        <v>15533</v>
      </c>
      <c r="C7891" s="9" t="str">
        <f>HYPERLINK("http://www.ncbi.nlm.nih.gov/protein/111154070","Ttf1")</f>
        <v>Ttf1</v>
      </c>
      <c r="D7891" s="10">
        <f t="shared" si="123"/>
        <v>2.0286885945758439</v>
      </c>
      <c r="F7891" s="8" t="str">
        <f>HYPERLINK("https://esbl.nhlbi.nih.gov/Databases/mpkFractions/proteomic_fractions_log_files/Yang_log_img/111154070.jpg","show blot")</f>
        <v>show blot</v>
      </c>
      <c r="H7891" s="8" t="str">
        <f>HYPERLINK("https://esbl.nhlbi.nih.gov/Databases/mpkFractions/proteomic_fractions_linear_files/Yang_linear_img/111154070.jpg","show blot")</f>
        <v>show blot</v>
      </c>
      <c r="J7891" s="5" t="s">
        <v>15534</v>
      </c>
      <c r="L7891" s="11">
        <v>2.0286885945758439</v>
      </c>
      <c r="N7891" s="12"/>
    </row>
    <row r="7892" spans="1:14" s="5" customFormat="1" ht="15" customHeight="1" x14ac:dyDescent="0.25">
      <c r="A7892" s="9" t="s">
        <v>15535</v>
      </c>
      <c r="C7892" s="9" t="str">
        <f>HYPERLINK("http://www.ncbi.nlm.nih.gov/protein/254692909","Ttf2")</f>
        <v>Ttf2</v>
      </c>
      <c r="D7892" s="10">
        <f t="shared" si="123"/>
        <v>3.4185500218344922</v>
      </c>
      <c r="F7892" s="8" t="str">
        <f>HYPERLINK("https://esbl.nhlbi.nih.gov/Databases/mpkFractions/proteomic_fractions_log_files/Yang_log_img/254692909.jpg","show blot")</f>
        <v>show blot</v>
      </c>
      <c r="H7892" s="8" t="str">
        <f>HYPERLINK("https://esbl.nhlbi.nih.gov/Databases/mpkFractions/proteomic_fractions_linear_files/Yang_linear_img/254692909.jpg","show blot")</f>
        <v>show blot</v>
      </c>
      <c r="J7892" s="5" t="s">
        <v>15536</v>
      </c>
      <c r="L7892" s="11">
        <v>3.4185500218344922</v>
      </c>
      <c r="N7892" s="12"/>
    </row>
    <row r="7893" spans="1:14" s="5" customFormat="1" ht="15" customHeight="1" x14ac:dyDescent="0.25">
      <c r="A7893" s="9" t="s">
        <v>15537</v>
      </c>
      <c r="C7893" s="9" t="str">
        <f>HYPERLINK("http://www.ncbi.nlm.nih.gov/protein/33859732","Tti1")</f>
        <v>Tti1</v>
      </c>
      <c r="D7893" s="10">
        <f t="shared" si="123"/>
        <v>3.8074959814551779</v>
      </c>
      <c r="F7893" s="8" t="str">
        <f>HYPERLINK("https://esbl.nhlbi.nih.gov/Databases/mpkFractions/proteomic_fractions_log_files/Yang_log_img/33859732.jpg","show blot")</f>
        <v>show blot</v>
      </c>
      <c r="H7893" s="8" t="str">
        <f>HYPERLINK("https://esbl.nhlbi.nih.gov/Databases/mpkFractions/proteomic_fractions_linear_files/Yang_linear_img/33859732.jpg","show blot")</f>
        <v>show blot</v>
      </c>
      <c r="J7893" s="5" t="s">
        <v>15538</v>
      </c>
      <c r="L7893" s="11">
        <v>3.8074959814551779</v>
      </c>
      <c r="N7893" s="12"/>
    </row>
    <row r="7894" spans="1:14" s="5" customFormat="1" ht="15" customHeight="1" x14ac:dyDescent="0.25">
      <c r="A7894" s="9" t="s">
        <v>15539</v>
      </c>
      <c r="C7894" s="9" t="str">
        <f>HYPERLINK("http://www.ncbi.nlm.nih.gov/protein/31542190","Tti2")</f>
        <v>Tti2</v>
      </c>
      <c r="D7894" s="10">
        <f t="shared" si="123"/>
        <v>3.8573208036819362</v>
      </c>
      <c r="F7894" s="8" t="str">
        <f>HYPERLINK("https://esbl.nhlbi.nih.gov/Databases/mpkFractions/proteomic_fractions_log_files/Yang_log_img/31542190.jpg","show blot")</f>
        <v>show blot</v>
      </c>
      <c r="H7894" s="8" t="str">
        <f>HYPERLINK("https://esbl.nhlbi.nih.gov/Databases/mpkFractions/proteomic_fractions_linear_files/Yang_linear_img/31542190.jpg","show blot")</f>
        <v>show blot</v>
      </c>
      <c r="J7894" s="5" t="s">
        <v>15540</v>
      </c>
      <c r="L7894" s="11">
        <v>3.8573208036819362</v>
      </c>
      <c r="N7894" s="12"/>
    </row>
    <row r="7895" spans="1:14" s="5" customFormat="1" ht="15" customHeight="1" x14ac:dyDescent="0.25">
      <c r="A7895" s="9" t="s">
        <v>15541</v>
      </c>
      <c r="C7895" s="9" t="str">
        <f>HYPERLINK("http://www.ncbi.nlm.nih.gov/protein/316983174","Tti2")</f>
        <v>Tti2</v>
      </c>
      <c r="D7895" s="10">
        <f t="shared" si="123"/>
        <v>3.8573208036819362</v>
      </c>
      <c r="F7895" s="8" t="str">
        <f>HYPERLINK("https://esbl.nhlbi.nih.gov/Databases/mpkFractions/proteomic_fractions_log_files/Yang_log_img/316983174.jpg","show blot")</f>
        <v>show blot</v>
      </c>
      <c r="H7895" s="8" t="str">
        <f>HYPERLINK("https://esbl.nhlbi.nih.gov/Databases/mpkFractions/proteomic_fractions_linear_files/Yang_linear_img/316983174.jpg","show blot")</f>
        <v>show blot</v>
      </c>
      <c r="J7895" s="5" t="s">
        <v>15542</v>
      </c>
      <c r="L7895" s="11">
        <v>3.8573208036819362</v>
      </c>
      <c r="N7895" s="12"/>
    </row>
    <row r="7896" spans="1:14" s="5" customFormat="1" ht="15" customHeight="1" x14ac:dyDescent="0.25">
      <c r="A7896" s="9" t="s">
        <v>15543</v>
      </c>
      <c r="C7896" s="9" t="str">
        <f>HYPERLINK("http://www.ncbi.nlm.nih.gov/protein/269954711","Ttll12")</f>
        <v>Ttll12</v>
      </c>
      <c r="D7896" s="10">
        <f t="shared" si="123"/>
        <v>4.8293024556412876</v>
      </c>
      <c r="F7896" s="8" t="str">
        <f>HYPERLINK("https://esbl.nhlbi.nih.gov/Databases/mpkFractions/proteomic_fractions_log_files/Yang_log_img/269954711.jpg","show blot")</f>
        <v>show blot</v>
      </c>
      <c r="H7896" s="8" t="str">
        <f>HYPERLINK("https://esbl.nhlbi.nih.gov/Databases/mpkFractions/proteomic_fractions_linear_files/Yang_linear_img/269954711.jpg","show blot")</f>
        <v>show blot</v>
      </c>
      <c r="J7896" s="5" t="s">
        <v>15544</v>
      </c>
      <c r="L7896" s="11">
        <v>4.8293024556412876</v>
      </c>
      <c r="N7896" s="12"/>
    </row>
    <row r="7897" spans="1:14" s="5" customFormat="1" ht="15" customHeight="1" x14ac:dyDescent="0.25">
      <c r="A7897" s="9" t="s">
        <v>15545</v>
      </c>
      <c r="C7897" s="9" t="str">
        <f>HYPERLINK("http://www.ncbi.nlm.nih.gov/protein/77812697","Ttn")</f>
        <v>Ttn</v>
      </c>
      <c r="D7897" s="10">
        <f t="shared" si="123"/>
        <v>2.9987404973165441</v>
      </c>
      <c r="F7897" s="8" t="str">
        <f>HYPERLINK("https://esbl.nhlbi.nih.gov/Databases/mpkFractions/proteomic_fractions_log_files/Yang_log_img/77812697.jpg","show blot")</f>
        <v>show blot</v>
      </c>
      <c r="H7897" s="8" t="str">
        <f>HYPERLINK("https://esbl.nhlbi.nih.gov/Databases/mpkFractions/proteomic_fractions_linear_files/Yang_linear_img/77812697.jpg","show blot")</f>
        <v>show blot</v>
      </c>
      <c r="J7897" s="5" t="s">
        <v>15546</v>
      </c>
      <c r="L7897" s="11">
        <v>2.9987404973165441</v>
      </c>
      <c r="N7897" s="12"/>
    </row>
    <row r="7898" spans="1:14" s="5" customFormat="1" ht="15" customHeight="1" x14ac:dyDescent="0.25">
      <c r="A7898" s="9" t="s">
        <v>15547</v>
      </c>
      <c r="C7898" s="9" t="str">
        <f>HYPERLINK("http://www.ncbi.nlm.nih.gov/protein/77812699","Ttn")</f>
        <v>Ttn</v>
      </c>
      <c r="D7898" s="10">
        <f t="shared" si="123"/>
        <v>2.9987404973165441</v>
      </c>
      <c r="F7898" s="8" t="str">
        <f>HYPERLINK("https://esbl.nhlbi.nih.gov/Databases/mpkFractions/proteomic_fractions_log_files/Yang_log_img/77812699.jpg","show blot")</f>
        <v>show blot</v>
      </c>
      <c r="H7898" s="8" t="str">
        <f>HYPERLINK("https://esbl.nhlbi.nih.gov/Databases/mpkFractions/proteomic_fractions_linear_files/Yang_linear_img/77812699.jpg","show blot")</f>
        <v>show blot</v>
      </c>
      <c r="J7898" s="5" t="s">
        <v>15548</v>
      </c>
      <c r="L7898" s="11">
        <v>2.9987404973165441</v>
      </c>
      <c r="N7898" s="12"/>
    </row>
    <row r="7899" spans="1:14" s="5" customFormat="1" ht="15" customHeight="1" x14ac:dyDescent="0.25">
      <c r="A7899" s="9" t="s">
        <v>15549</v>
      </c>
      <c r="C7899" s="9" t="str">
        <f>HYPERLINK("http://www.ncbi.nlm.nih.gov/protein/254588052","Ttyh3")</f>
        <v>Ttyh3</v>
      </c>
      <c r="D7899" s="10">
        <f t="shared" si="123"/>
        <v>2.2520321328645618</v>
      </c>
      <c r="F7899" s="8" t="str">
        <f>HYPERLINK("https://esbl.nhlbi.nih.gov/Databases/mpkFractions/proteomic_fractions_log_files/Yang_log_img/254588052.jpg","show blot")</f>
        <v>show blot</v>
      </c>
      <c r="H7899" s="8" t="str">
        <f>HYPERLINK("https://esbl.nhlbi.nih.gov/Databases/mpkFractions/proteomic_fractions_linear_files/Yang_linear_img/254588052.jpg","show blot")</f>
        <v>show blot</v>
      </c>
      <c r="J7899" s="5" t="s">
        <v>15550</v>
      </c>
      <c r="L7899" s="11">
        <v>2.2520321328645618</v>
      </c>
      <c r="N7899" s="12"/>
    </row>
    <row r="7900" spans="1:14" s="5" customFormat="1" ht="15" customHeight="1" x14ac:dyDescent="0.25">
      <c r="A7900" s="9" t="s">
        <v>15551</v>
      </c>
      <c r="C7900" s="9" t="str">
        <f>HYPERLINK("http://www.ncbi.nlm.nih.gov/protein/6755901","Tuba1a")</f>
        <v>Tuba1a</v>
      </c>
      <c r="D7900" s="10">
        <f t="shared" si="123"/>
        <v>7.1356389260773954</v>
      </c>
      <c r="F7900" s="8" t="str">
        <f>HYPERLINK("https://esbl.nhlbi.nih.gov/Databases/mpkFractions/proteomic_fractions_log_files/Yang_log_img/6755901.jpg","show blot")</f>
        <v>show blot</v>
      </c>
      <c r="H7900" s="8" t="str">
        <f>HYPERLINK("https://esbl.nhlbi.nih.gov/Databases/mpkFractions/proteomic_fractions_linear_files/Yang_linear_img/6755901.jpg","show blot")</f>
        <v>show blot</v>
      </c>
      <c r="J7900" s="5" t="s">
        <v>15552</v>
      </c>
      <c r="L7900" s="11">
        <v>7.1356389260773954</v>
      </c>
      <c r="N7900" s="12"/>
    </row>
    <row r="7901" spans="1:14" s="5" customFormat="1" ht="15" customHeight="1" x14ac:dyDescent="0.25">
      <c r="A7901" s="9" t="s">
        <v>15553</v>
      </c>
      <c r="C7901" s="9" t="str">
        <f>HYPERLINK("http://www.ncbi.nlm.nih.gov/protein/34740335","Tuba1b")</f>
        <v>Tuba1b</v>
      </c>
      <c r="D7901" s="10">
        <f t="shared" si="123"/>
        <v>7.1551243667294697</v>
      </c>
      <c r="F7901" s="8" t="str">
        <f>HYPERLINK("https://esbl.nhlbi.nih.gov/Databases/mpkFractions/proteomic_fractions_log_files/Yang_log_img/34740335.jpg","show blot")</f>
        <v>show blot</v>
      </c>
      <c r="H7901" s="8" t="str">
        <f>HYPERLINK("https://esbl.nhlbi.nih.gov/Databases/mpkFractions/proteomic_fractions_linear_files/Yang_linear_img/34740335.jpg","show blot")</f>
        <v>show blot</v>
      </c>
      <c r="J7901" s="5" t="s">
        <v>15554</v>
      </c>
      <c r="L7901" s="11">
        <v>7.1551243667294697</v>
      </c>
      <c r="N7901" s="12"/>
    </row>
    <row r="7902" spans="1:14" s="5" customFormat="1" ht="15" customHeight="1" x14ac:dyDescent="0.25">
      <c r="A7902" s="9" t="s">
        <v>15555</v>
      </c>
      <c r="C7902" s="9" t="str">
        <f>HYPERLINK("http://www.ncbi.nlm.nih.gov/protein/6678469","Tuba1c")</f>
        <v>Tuba1c</v>
      </c>
      <c r="D7902" s="10">
        <f t="shared" si="123"/>
        <v>7.1645471830454346</v>
      </c>
      <c r="F7902" s="8" t="str">
        <f>HYPERLINK("https://esbl.nhlbi.nih.gov/Databases/mpkFractions/proteomic_fractions_log_files/Yang_log_img/6678469.jpg","show blot")</f>
        <v>show blot</v>
      </c>
      <c r="H7902" s="8" t="str">
        <f>HYPERLINK("https://esbl.nhlbi.nih.gov/Databases/mpkFractions/proteomic_fractions_linear_files/Yang_linear_img/6678469.jpg","show blot")</f>
        <v>show blot</v>
      </c>
      <c r="J7902" s="5" t="s">
        <v>15556</v>
      </c>
      <c r="L7902" s="11">
        <v>7.1645471830454346</v>
      </c>
      <c r="N7902" s="12"/>
    </row>
    <row r="7903" spans="1:14" s="5" customFormat="1" ht="15" customHeight="1" x14ac:dyDescent="0.25">
      <c r="A7903" s="9" t="s">
        <v>15557</v>
      </c>
      <c r="C7903" s="9" t="str">
        <f>HYPERLINK("http://www.ncbi.nlm.nih.gov/protein/6678465","Tuba3a")</f>
        <v>Tuba3a</v>
      </c>
      <c r="D7903" s="10">
        <f t="shared" si="123"/>
        <v>7.0153299852219186</v>
      </c>
      <c r="F7903" s="8" t="str">
        <f>HYPERLINK("https://esbl.nhlbi.nih.gov/Databases/mpkFractions/proteomic_fractions_log_files/Yang_log_img/6678465.jpg","show blot")</f>
        <v>show blot</v>
      </c>
      <c r="H7903" s="8" t="str">
        <f>HYPERLINK("https://esbl.nhlbi.nih.gov/Databases/mpkFractions/proteomic_fractions_linear_files/Yang_linear_img/6678465.jpg","show blot")</f>
        <v>show blot</v>
      </c>
      <c r="J7903" s="5" t="s">
        <v>15558</v>
      </c>
      <c r="L7903" s="11">
        <v>7.0153299852219186</v>
      </c>
      <c r="N7903" s="12"/>
    </row>
    <row r="7904" spans="1:14" s="5" customFormat="1" ht="15" customHeight="1" x14ac:dyDescent="0.25">
      <c r="A7904" s="9" t="s">
        <v>15559</v>
      </c>
      <c r="C7904" s="9" t="str">
        <f>HYPERLINK("http://www.ncbi.nlm.nih.gov/protein/6678467","Tuba4a")</f>
        <v>Tuba4a</v>
      </c>
      <c r="D7904" s="10">
        <f t="shared" si="123"/>
        <v>7.0141644133244032</v>
      </c>
      <c r="F7904" s="8" t="str">
        <f>HYPERLINK("https://esbl.nhlbi.nih.gov/Databases/mpkFractions/proteomic_fractions_log_files/Yang_log_img/6678467.jpg","show blot")</f>
        <v>show blot</v>
      </c>
      <c r="H7904" s="8" t="str">
        <f>HYPERLINK("https://esbl.nhlbi.nih.gov/Databases/mpkFractions/proteomic_fractions_linear_files/Yang_linear_img/6678467.jpg","show blot")</f>
        <v>show blot</v>
      </c>
      <c r="J7904" s="5" t="s">
        <v>15560</v>
      </c>
      <c r="L7904" s="11">
        <v>7.0141644133244032</v>
      </c>
      <c r="N7904" s="12"/>
    </row>
    <row r="7905" spans="1:14" s="5" customFormat="1" ht="15" customHeight="1" x14ac:dyDescent="0.25">
      <c r="A7905" s="9" t="s">
        <v>15561</v>
      </c>
      <c r="C7905" s="9" t="str">
        <f>HYPERLINK("http://www.ncbi.nlm.nih.gov/protein/8394493","Tuba8")</f>
        <v>Tuba8</v>
      </c>
      <c r="D7905" s="10">
        <f t="shared" si="123"/>
        <v>6.8875269736020686</v>
      </c>
      <c r="F7905" s="8" t="str">
        <f>HYPERLINK("https://esbl.nhlbi.nih.gov/Databases/mpkFractions/proteomic_fractions_log_files/Yang_log_img/8394493.jpg","show blot")</f>
        <v>show blot</v>
      </c>
      <c r="H7905" s="8" t="str">
        <f>HYPERLINK("https://esbl.nhlbi.nih.gov/Databases/mpkFractions/proteomic_fractions_linear_files/Yang_linear_img/8394493.jpg","show blot")</f>
        <v>show blot</v>
      </c>
      <c r="J7905" s="5" t="s">
        <v>15562</v>
      </c>
      <c r="L7905" s="11">
        <v>6.8875269736020686</v>
      </c>
      <c r="N7905" s="12"/>
    </row>
    <row r="7906" spans="1:14" s="5" customFormat="1" ht="15" customHeight="1" x14ac:dyDescent="0.25">
      <c r="A7906" s="9" t="s">
        <v>15563</v>
      </c>
      <c r="C7906" s="9" t="str">
        <f>HYPERLINK("http://www.ncbi.nlm.nih.gov/protein/224809300","Tubal3")</f>
        <v>Tubal3</v>
      </c>
      <c r="D7906" s="10">
        <f t="shared" si="123"/>
        <v>6.2048545824757717</v>
      </c>
      <c r="F7906" s="8" t="str">
        <f>HYPERLINK("https://esbl.nhlbi.nih.gov/Databases/mpkFractions/proteomic_fractions_log_files/Yang_log_img/224809300.jpg","show blot")</f>
        <v>show blot</v>
      </c>
      <c r="H7906" s="8" t="str">
        <f>HYPERLINK("https://esbl.nhlbi.nih.gov/Databases/mpkFractions/proteomic_fractions_linear_files/Yang_linear_img/224809300.jpg","show blot")</f>
        <v>show blot</v>
      </c>
      <c r="J7906" s="5" t="s">
        <v>15564</v>
      </c>
      <c r="L7906" s="11">
        <v>6.2048545824757717</v>
      </c>
      <c r="N7906" s="12"/>
    </row>
    <row r="7907" spans="1:14" s="5" customFormat="1" ht="15" customHeight="1" x14ac:dyDescent="0.25">
      <c r="A7907" s="9" t="s">
        <v>15565</v>
      </c>
      <c r="C7907" s="9" t="str">
        <f>HYPERLINK("http://www.ncbi.nlm.nih.gov/protein/124430500","Tubb1")</f>
        <v>Tubb1</v>
      </c>
      <c r="D7907" s="10">
        <f t="shared" si="123"/>
        <v>6.3836312932772064</v>
      </c>
      <c r="F7907" s="8" t="str">
        <f>HYPERLINK("https://esbl.nhlbi.nih.gov/Databases/mpkFractions/proteomic_fractions_log_files/Yang_log_img/124430500.jpg","show blot")</f>
        <v>show blot</v>
      </c>
      <c r="H7907" s="8" t="str">
        <f>HYPERLINK("https://esbl.nhlbi.nih.gov/Databases/mpkFractions/proteomic_fractions_linear_files/Yang_linear_img/124430500.jpg","show blot")</f>
        <v>show blot</v>
      </c>
      <c r="J7907" s="5" t="s">
        <v>15566</v>
      </c>
      <c r="L7907" s="11">
        <v>6.3836312932772064</v>
      </c>
      <c r="N7907" s="12"/>
    </row>
    <row r="7908" spans="1:14" s="5" customFormat="1" ht="15" customHeight="1" x14ac:dyDescent="0.25">
      <c r="A7908" s="9" t="s">
        <v>15567</v>
      </c>
      <c r="C7908" s="9" t="str">
        <f>HYPERLINK("http://www.ncbi.nlm.nih.gov/protein/33859488","Tubb2a")</f>
        <v>Tubb2a</v>
      </c>
      <c r="D7908" s="10">
        <f t="shared" si="123"/>
        <v>7.01961704642871</v>
      </c>
      <c r="F7908" s="8" t="str">
        <f>HYPERLINK("https://esbl.nhlbi.nih.gov/Databases/mpkFractions/proteomic_fractions_log_files/Yang_log_img/33859488.jpg","show blot")</f>
        <v>show blot</v>
      </c>
      <c r="H7908" s="8" t="str">
        <f>HYPERLINK("https://esbl.nhlbi.nih.gov/Databases/mpkFractions/proteomic_fractions_linear_files/Yang_linear_img/33859488.jpg","show blot")</f>
        <v>show blot</v>
      </c>
      <c r="J7908" s="5" t="s">
        <v>15568</v>
      </c>
      <c r="L7908" s="11">
        <v>7.01961704642871</v>
      </c>
      <c r="N7908" s="12"/>
    </row>
    <row r="7909" spans="1:14" s="5" customFormat="1" ht="15" customHeight="1" x14ac:dyDescent="0.25">
      <c r="A7909" s="9" t="s">
        <v>15569</v>
      </c>
      <c r="C7909" s="9" t="str">
        <f>HYPERLINK("http://www.ncbi.nlm.nih.gov/protein/21746161","Tubb2b")</f>
        <v>Tubb2b</v>
      </c>
      <c r="D7909" s="10">
        <f t="shared" si="123"/>
        <v>7.0160331491047323</v>
      </c>
      <c r="F7909" s="8" t="str">
        <f>HYPERLINK("https://esbl.nhlbi.nih.gov/Databases/mpkFractions/proteomic_fractions_log_files/Yang_log_img/21746161.jpg","show blot")</f>
        <v>show blot</v>
      </c>
      <c r="H7909" s="8" t="str">
        <f>HYPERLINK("https://esbl.nhlbi.nih.gov/Databases/mpkFractions/proteomic_fractions_linear_files/Yang_linear_img/21746161.jpg","show blot")</f>
        <v>show blot</v>
      </c>
      <c r="J7909" s="5" t="s">
        <v>15570</v>
      </c>
      <c r="L7909" s="11">
        <v>7.0160331491047323</v>
      </c>
      <c r="N7909" s="12"/>
    </row>
    <row r="7910" spans="1:14" s="5" customFormat="1" ht="15" customHeight="1" x14ac:dyDescent="0.25">
      <c r="A7910" s="9" t="s">
        <v>15571</v>
      </c>
      <c r="C7910" s="9" t="str">
        <f>HYPERLINK("http://www.ncbi.nlm.nih.gov/protein/12963615","Tubb3")</f>
        <v>Tubb3</v>
      </c>
      <c r="D7910" s="10">
        <f t="shared" si="123"/>
        <v>6.8926264769512731</v>
      </c>
      <c r="F7910" s="8" t="str">
        <f>HYPERLINK("https://esbl.nhlbi.nih.gov/Databases/mpkFractions/proteomic_fractions_log_files/Yang_log_img/12963615.jpg","show blot")</f>
        <v>show blot</v>
      </c>
      <c r="H7910" s="8" t="str">
        <f>HYPERLINK("https://esbl.nhlbi.nih.gov/Databases/mpkFractions/proteomic_fractions_linear_files/Yang_linear_img/12963615.jpg","show blot")</f>
        <v>show blot</v>
      </c>
      <c r="J7910" s="5" t="s">
        <v>15572</v>
      </c>
      <c r="L7910" s="11">
        <v>6.8926264769512731</v>
      </c>
      <c r="N7910" s="12"/>
    </row>
    <row r="7911" spans="1:14" s="5" customFormat="1" ht="15" customHeight="1" x14ac:dyDescent="0.25">
      <c r="A7911" s="9" t="s">
        <v>15573</v>
      </c>
      <c r="C7911" s="9" t="str">
        <f>HYPERLINK("http://www.ncbi.nlm.nih.gov/protein/31981939","Tubb4a")</f>
        <v>Tubb4a</v>
      </c>
      <c r="D7911" s="10">
        <f t="shared" si="123"/>
        <v>7.0610526086893266</v>
      </c>
      <c r="F7911" s="8" t="str">
        <f>HYPERLINK("https://esbl.nhlbi.nih.gov/Databases/mpkFractions/proteomic_fractions_log_files/Yang_log_img/31981939.jpg","show blot")</f>
        <v>show blot</v>
      </c>
      <c r="H7911" s="8" t="str">
        <f>HYPERLINK("https://esbl.nhlbi.nih.gov/Databases/mpkFractions/proteomic_fractions_linear_files/Yang_linear_img/31981939.jpg","show blot")</f>
        <v>show blot</v>
      </c>
      <c r="J7911" s="5" t="s">
        <v>15574</v>
      </c>
      <c r="L7911" s="11">
        <v>7.0610526086893266</v>
      </c>
      <c r="N7911" s="12"/>
    </row>
    <row r="7912" spans="1:14" s="5" customFormat="1" ht="15" customHeight="1" x14ac:dyDescent="0.25">
      <c r="A7912" s="9" t="s">
        <v>15575</v>
      </c>
      <c r="C7912" s="9" t="str">
        <f>HYPERLINK("http://www.ncbi.nlm.nih.gov/protein/22165384","Tubb4b")</f>
        <v>Tubb4b</v>
      </c>
      <c r="D7912" s="10">
        <f t="shared" si="123"/>
        <v>7.1375266206012968</v>
      </c>
      <c r="F7912" s="8" t="str">
        <f>HYPERLINK("https://esbl.nhlbi.nih.gov/Databases/mpkFractions/proteomic_fractions_log_files/Yang_log_img/22165384.jpg","show blot")</f>
        <v>show blot</v>
      </c>
      <c r="H7912" s="8" t="str">
        <f>HYPERLINK("https://esbl.nhlbi.nih.gov/Databases/mpkFractions/proteomic_fractions_linear_files/Yang_linear_img/22165384.jpg","show blot")</f>
        <v>show blot</v>
      </c>
      <c r="J7912" s="5" t="s">
        <v>15576</v>
      </c>
      <c r="L7912" s="11">
        <v>7.1375266206012968</v>
      </c>
      <c r="N7912" s="12"/>
    </row>
    <row r="7913" spans="1:14" s="5" customFormat="1" ht="15" customHeight="1" x14ac:dyDescent="0.25">
      <c r="A7913" s="9" t="s">
        <v>15577</v>
      </c>
      <c r="C7913" s="9" t="str">
        <f>HYPERLINK("http://www.ncbi.nlm.nih.gov/protein/7106439","Tubb5")</f>
        <v>Tubb5</v>
      </c>
      <c r="D7913" s="10">
        <f t="shared" si="123"/>
        <v>7.1286521839261026</v>
      </c>
      <c r="F7913" s="8" t="str">
        <f>HYPERLINK("https://esbl.nhlbi.nih.gov/Databases/mpkFractions/proteomic_fractions_log_files/Yang_log_img/7106439.jpg","show blot")</f>
        <v>show blot</v>
      </c>
      <c r="H7913" s="8" t="str">
        <f>HYPERLINK("https://esbl.nhlbi.nih.gov/Databases/mpkFractions/proteomic_fractions_linear_files/Yang_linear_img/7106439.jpg","show blot")</f>
        <v>show blot</v>
      </c>
      <c r="J7913" s="5" t="s">
        <v>15578</v>
      </c>
      <c r="L7913" s="11">
        <v>7.1286521839261026</v>
      </c>
      <c r="N7913" s="12"/>
    </row>
    <row r="7914" spans="1:14" s="5" customFormat="1" ht="15" customHeight="1" x14ac:dyDescent="0.25">
      <c r="A7914" s="9" t="s">
        <v>15579</v>
      </c>
      <c r="C7914" s="9" t="str">
        <f>HYPERLINK("http://www.ncbi.nlm.nih.gov/protein/27754056","Tubb6")</f>
        <v>Tubb6</v>
      </c>
      <c r="D7914" s="10">
        <f t="shared" si="123"/>
        <v>6.7587449082789526</v>
      </c>
      <c r="F7914" s="8" t="str">
        <f>HYPERLINK("https://esbl.nhlbi.nih.gov/Databases/mpkFractions/proteomic_fractions_log_files/Yang_log_img/27754056.jpg","show blot")</f>
        <v>show blot</v>
      </c>
      <c r="H7914" s="8" t="str">
        <f>HYPERLINK("https://esbl.nhlbi.nih.gov/Databases/mpkFractions/proteomic_fractions_linear_files/Yang_linear_img/27754056.jpg","show blot")</f>
        <v>show blot</v>
      </c>
      <c r="J7914" s="5" t="s">
        <v>15580</v>
      </c>
      <c r="L7914" s="11">
        <v>6.7587449082789526</v>
      </c>
      <c r="N7914" s="12"/>
    </row>
    <row r="7915" spans="1:14" s="5" customFormat="1" ht="15" customHeight="1" x14ac:dyDescent="0.25">
      <c r="A7915" s="9" t="s">
        <v>15581</v>
      </c>
      <c r="C7915" s="9" t="str">
        <f>HYPERLINK("http://www.ncbi.nlm.nih.gov/protein/19527242","Tubg1")</f>
        <v>Tubg1</v>
      </c>
      <c r="D7915" s="10">
        <f t="shared" si="123"/>
        <v>4.7837182235924676</v>
      </c>
      <c r="F7915" s="8" t="str">
        <f>HYPERLINK("https://esbl.nhlbi.nih.gov/Databases/mpkFractions/proteomic_fractions_log_files/Yang_log_img/19527242.jpg","show blot")</f>
        <v>show blot</v>
      </c>
      <c r="H7915" s="8" t="str">
        <f>HYPERLINK("https://esbl.nhlbi.nih.gov/Databases/mpkFractions/proteomic_fractions_linear_files/Yang_linear_img/19527242.jpg","show blot")</f>
        <v>show blot</v>
      </c>
      <c r="J7915" s="5" t="s">
        <v>15582</v>
      </c>
      <c r="L7915" s="11">
        <v>4.7837182235924676</v>
      </c>
      <c r="N7915" s="12"/>
    </row>
    <row r="7916" spans="1:14" s="5" customFormat="1" ht="15" customHeight="1" x14ac:dyDescent="0.25">
      <c r="A7916" s="9" t="s">
        <v>15583</v>
      </c>
      <c r="C7916" s="9" t="str">
        <f>HYPERLINK("http://www.ncbi.nlm.nih.gov/protein/19527246","Tubg2")</f>
        <v>Tubg2</v>
      </c>
      <c r="D7916" s="10">
        <f t="shared" si="123"/>
        <v>4.6176349156126726</v>
      </c>
      <c r="F7916" s="8" t="str">
        <f>HYPERLINK("https://esbl.nhlbi.nih.gov/Databases/mpkFractions/proteomic_fractions_log_files/Yang_log_img/19527246.jpg","show blot")</f>
        <v>show blot</v>
      </c>
      <c r="H7916" s="8" t="str">
        <f>HYPERLINK("https://esbl.nhlbi.nih.gov/Databases/mpkFractions/proteomic_fractions_linear_files/Yang_linear_img/19527246.jpg","show blot")</f>
        <v>show blot</v>
      </c>
      <c r="J7916" s="5" t="s">
        <v>15584</v>
      </c>
      <c r="L7916" s="11">
        <v>4.6176349156126726</v>
      </c>
      <c r="N7916" s="12"/>
    </row>
    <row r="7917" spans="1:14" s="5" customFormat="1" ht="15" customHeight="1" x14ac:dyDescent="0.25">
      <c r="A7917" s="9" t="s">
        <v>15585</v>
      </c>
      <c r="C7917" s="9" t="str">
        <f>HYPERLINK("http://www.ncbi.nlm.nih.gov/protein/228008297","Tubgcp2")</f>
        <v>Tubgcp2</v>
      </c>
      <c r="D7917" s="10">
        <f t="shared" si="123"/>
        <v>4.7474968415585002</v>
      </c>
      <c r="F7917" s="8" t="str">
        <f>HYPERLINK("https://esbl.nhlbi.nih.gov/Databases/mpkFractions/proteomic_fractions_log_files/Yang_log_img/228008297.jpg","show blot")</f>
        <v>show blot</v>
      </c>
      <c r="H7917" s="8" t="str">
        <f>HYPERLINK("https://esbl.nhlbi.nih.gov/Databases/mpkFractions/proteomic_fractions_linear_files/Yang_linear_img/228008297.jpg","show blot")</f>
        <v>show blot</v>
      </c>
      <c r="J7917" s="5" t="s">
        <v>15586</v>
      </c>
      <c r="L7917" s="11">
        <v>4.7474968415585002</v>
      </c>
      <c r="N7917" s="12"/>
    </row>
    <row r="7918" spans="1:14" s="5" customFormat="1" ht="15" customHeight="1" x14ac:dyDescent="0.25">
      <c r="A7918" s="9" t="s">
        <v>15587</v>
      </c>
      <c r="C7918" s="9" t="str">
        <f>HYPERLINK("http://www.ncbi.nlm.nih.gov/protein/39930567","Tubgcp3")</f>
        <v>Tubgcp3</v>
      </c>
      <c r="D7918" s="10">
        <f t="shared" si="123"/>
        <v>4.4993662294073751</v>
      </c>
      <c r="F7918" s="8" t="str">
        <f>HYPERLINK("https://esbl.nhlbi.nih.gov/Databases/mpkFractions/proteomic_fractions_log_files/Yang_log_img/39930567.jpg","show blot")</f>
        <v>show blot</v>
      </c>
      <c r="H7918" s="8" t="str">
        <f>HYPERLINK("https://esbl.nhlbi.nih.gov/Databases/mpkFractions/proteomic_fractions_linear_files/Yang_linear_img/39930567.jpg","show blot")</f>
        <v>show blot</v>
      </c>
      <c r="J7918" s="5" t="s">
        <v>15588</v>
      </c>
      <c r="L7918" s="11">
        <v>4.4993662294073751</v>
      </c>
      <c r="N7918" s="12"/>
    </row>
    <row r="7919" spans="1:14" s="5" customFormat="1" ht="15" customHeight="1" x14ac:dyDescent="0.25">
      <c r="A7919" s="9" t="s">
        <v>15589</v>
      </c>
      <c r="C7919" s="9" t="str">
        <f>HYPERLINK("http://www.ncbi.nlm.nih.gov/protein/23943924","Tubgcp4")</f>
        <v>Tubgcp4</v>
      </c>
      <c r="D7919" s="10">
        <f t="shared" si="123"/>
        <v>3.4730909179415139</v>
      </c>
      <c r="F7919" s="8" t="str">
        <f>HYPERLINK("https://esbl.nhlbi.nih.gov/Databases/mpkFractions/proteomic_fractions_log_files/Yang_log_img/23943924.jpg","show blot")</f>
        <v>show blot</v>
      </c>
      <c r="H7919" s="8" t="str">
        <f>HYPERLINK("https://esbl.nhlbi.nih.gov/Databases/mpkFractions/proteomic_fractions_linear_files/Yang_linear_img/23943924.jpg","show blot")</f>
        <v>show blot</v>
      </c>
      <c r="J7919" s="5" t="s">
        <v>15590</v>
      </c>
      <c r="L7919" s="11">
        <v>3.4730909179415139</v>
      </c>
      <c r="N7919" s="12"/>
    </row>
    <row r="7920" spans="1:14" s="5" customFormat="1" ht="15" customHeight="1" x14ac:dyDescent="0.25">
      <c r="A7920" s="9" t="s">
        <v>15591</v>
      </c>
      <c r="C7920" s="9" t="str">
        <f>HYPERLINK("http://www.ncbi.nlm.nih.gov/protein/46560557","Tubgcp5")</f>
        <v>Tubgcp5</v>
      </c>
      <c r="D7920" s="10">
        <f t="shared" si="123"/>
        <v>2.523230767132608</v>
      </c>
      <c r="F7920" s="8" t="str">
        <f>HYPERLINK("https://esbl.nhlbi.nih.gov/Databases/mpkFractions/proteomic_fractions_log_files/Yang_log_img/46560557.jpg","show blot")</f>
        <v>show blot</v>
      </c>
      <c r="H7920" s="8" t="str">
        <f>HYPERLINK("https://esbl.nhlbi.nih.gov/Databases/mpkFractions/proteomic_fractions_linear_files/Yang_linear_img/46560557.jpg","show blot")</f>
        <v>show blot</v>
      </c>
      <c r="J7920" s="5" t="s">
        <v>15592</v>
      </c>
      <c r="L7920" s="11">
        <v>2.523230767132608</v>
      </c>
      <c r="N7920" s="12"/>
    </row>
    <row r="7921" spans="1:14" s="5" customFormat="1" ht="15" customHeight="1" x14ac:dyDescent="0.25">
      <c r="A7921" s="9" t="s">
        <v>15593</v>
      </c>
      <c r="C7921" s="9" t="str">
        <f>HYPERLINK("http://www.ncbi.nlm.nih.gov/protein/254039634","Tubgcp6")</f>
        <v>Tubgcp6</v>
      </c>
      <c r="D7921" s="10">
        <f t="shared" si="123"/>
        <v>3.0573715123925229</v>
      </c>
      <c r="F7921" s="8" t="str">
        <f>HYPERLINK("https://esbl.nhlbi.nih.gov/Databases/mpkFractions/proteomic_fractions_log_files/Yang_log_img/254039634.jpg","show blot")</f>
        <v>show blot</v>
      </c>
      <c r="H7921" s="8" t="str">
        <f>HYPERLINK("https://esbl.nhlbi.nih.gov/Databases/mpkFractions/proteomic_fractions_linear_files/Yang_linear_img/254039634.jpg","show blot")</f>
        <v>show blot</v>
      </c>
      <c r="J7921" s="5" t="s">
        <v>15594</v>
      </c>
      <c r="L7921" s="11">
        <v>3.0573715123925229</v>
      </c>
      <c r="N7921" s="12"/>
    </row>
    <row r="7922" spans="1:14" s="5" customFormat="1" ht="15" customHeight="1" x14ac:dyDescent="0.25">
      <c r="A7922" s="9" t="s">
        <v>15595</v>
      </c>
      <c r="C7922" s="9" t="str">
        <f>HYPERLINK("http://www.ncbi.nlm.nih.gov/protein/254911131","Tufm")</f>
        <v>Tufm</v>
      </c>
      <c r="D7922" s="10">
        <f t="shared" si="123"/>
        <v>6.1069073445141369</v>
      </c>
      <c r="F7922" s="8" t="str">
        <f>HYPERLINK("https://esbl.nhlbi.nih.gov/Databases/mpkFractions/proteomic_fractions_log_files/Yang_log_img/254911131.jpg","show blot")</f>
        <v>show blot</v>
      </c>
      <c r="H7922" s="8" t="str">
        <f>HYPERLINK("https://esbl.nhlbi.nih.gov/Databases/mpkFractions/proteomic_fractions_linear_files/Yang_linear_img/254911131.jpg","show blot")</f>
        <v>show blot</v>
      </c>
      <c r="J7922" s="5" t="s">
        <v>15596</v>
      </c>
      <c r="L7922" s="11">
        <v>6.1069073445141369</v>
      </c>
      <c r="N7922" s="12"/>
    </row>
    <row r="7923" spans="1:14" s="5" customFormat="1" ht="15" customHeight="1" x14ac:dyDescent="0.25">
      <c r="A7923" s="9" t="s">
        <v>15597</v>
      </c>
      <c r="C7923" s="9" t="str">
        <f>HYPERLINK("http://www.ncbi.nlm.nih.gov/protein/27370092","Tufm")</f>
        <v>Tufm</v>
      </c>
      <c r="D7923" s="10">
        <f t="shared" si="123"/>
        <v>6.1069073445141369</v>
      </c>
      <c r="F7923" s="8" t="str">
        <f>HYPERLINK("https://esbl.nhlbi.nih.gov/Databases/mpkFractions/proteomic_fractions_log_files/Yang_log_img/27370092.jpg","show blot")</f>
        <v>show blot</v>
      </c>
      <c r="H7923" s="8" t="str">
        <f>HYPERLINK("https://esbl.nhlbi.nih.gov/Databases/mpkFractions/proteomic_fractions_linear_files/Yang_linear_img/27370092.jpg","show blot")</f>
        <v>show blot</v>
      </c>
      <c r="J7923" s="5" t="s">
        <v>15598</v>
      </c>
      <c r="L7923" s="11">
        <v>6.1069073445141369</v>
      </c>
      <c r="N7923" s="12"/>
    </row>
    <row r="7924" spans="1:14" s="5" customFormat="1" ht="15" customHeight="1" x14ac:dyDescent="0.25">
      <c r="A7924" s="9" t="s">
        <v>15599</v>
      </c>
      <c r="C7924" s="9" t="str">
        <f>HYPERLINK("http://www.ncbi.nlm.nih.gov/protein/124248487","Tusc3")</f>
        <v>Tusc3</v>
      </c>
      <c r="D7924" s="10">
        <f t="shared" si="123"/>
        <v>4.5172292129658818</v>
      </c>
      <c r="F7924" s="8" t="str">
        <f>HYPERLINK("https://esbl.nhlbi.nih.gov/Databases/mpkFractions/proteomic_fractions_log_files/Yang_log_img/124248487.jpg","show blot")</f>
        <v>show blot</v>
      </c>
      <c r="H7924" s="8" t="str">
        <f>HYPERLINK("https://esbl.nhlbi.nih.gov/Databases/mpkFractions/proteomic_fractions_linear_files/Yang_linear_img/124248487.jpg","show blot")</f>
        <v>show blot</v>
      </c>
      <c r="J7924" s="5" t="s">
        <v>15600</v>
      </c>
      <c r="L7924" s="11">
        <v>4.5172292129658818</v>
      </c>
      <c r="N7924" s="12"/>
    </row>
    <row r="7925" spans="1:14" s="5" customFormat="1" ht="15" customHeight="1" x14ac:dyDescent="0.25">
      <c r="A7925" s="9" t="s">
        <v>15601</v>
      </c>
      <c r="C7925" s="9" t="str">
        <f>HYPERLINK("http://www.ncbi.nlm.nih.gov/protein/37574078","Tut1")</f>
        <v>Tut1</v>
      </c>
      <c r="D7925" s="10">
        <f t="shared" si="123"/>
        <v>3.2992876167108229</v>
      </c>
      <c r="F7925" s="8" t="str">
        <f>HYPERLINK("https://esbl.nhlbi.nih.gov/Databases/mpkFractions/proteomic_fractions_log_files/Yang_log_img/37574078.jpg","show blot")</f>
        <v>show blot</v>
      </c>
      <c r="H7925" s="8" t="str">
        <f>HYPERLINK("https://esbl.nhlbi.nih.gov/Databases/mpkFractions/proteomic_fractions_linear_files/Yang_linear_img/37574078.jpg","show blot")</f>
        <v>show blot</v>
      </c>
      <c r="J7925" s="5" t="s">
        <v>15602</v>
      </c>
      <c r="L7925" s="11">
        <v>3.2992876167108229</v>
      </c>
      <c r="N7925" s="12"/>
    </row>
    <row r="7926" spans="1:14" s="5" customFormat="1" ht="15" customHeight="1" x14ac:dyDescent="0.25">
      <c r="A7926" s="9" t="s">
        <v>15603</v>
      </c>
      <c r="C7926" s="9" t="str">
        <f>HYPERLINK("http://www.ncbi.nlm.nih.gov/protein/21312930","Tvp23b")</f>
        <v>Tvp23b</v>
      </c>
      <c r="D7926" s="10">
        <f t="shared" si="123"/>
        <v>2.6219886378961559</v>
      </c>
      <c r="F7926" s="8" t="str">
        <f>HYPERLINK("https://esbl.nhlbi.nih.gov/Databases/mpkFractions/proteomic_fractions_log_files/Yang_log_img/21312930.jpg","show blot")</f>
        <v>show blot</v>
      </c>
      <c r="H7926" s="8" t="str">
        <f>HYPERLINK("https://esbl.nhlbi.nih.gov/Databases/mpkFractions/proteomic_fractions_linear_files/Yang_linear_img/21312930.jpg","show blot")</f>
        <v>show blot</v>
      </c>
      <c r="J7926" s="5" t="s">
        <v>15604</v>
      </c>
      <c r="L7926" s="11">
        <v>2.6219886378961559</v>
      </c>
      <c r="N7926" s="12"/>
    </row>
    <row r="7927" spans="1:14" s="5" customFormat="1" ht="15" customHeight="1" x14ac:dyDescent="0.25">
      <c r="A7927" s="9" t="s">
        <v>15605</v>
      </c>
      <c r="C7927" s="9" t="str">
        <f>HYPERLINK("http://www.ncbi.nlm.nih.gov/protein/62990169","Twf1")</f>
        <v>Twf1</v>
      </c>
      <c r="D7927" s="10">
        <f t="shared" si="123"/>
        <v>5.9630372509201468</v>
      </c>
      <c r="F7927" s="8" t="str">
        <f>HYPERLINK("https://esbl.nhlbi.nih.gov/Databases/mpkFractions/proteomic_fractions_log_files/Yang_log_img/62990169.jpg","show blot")</f>
        <v>show blot</v>
      </c>
      <c r="H7927" s="8" t="str">
        <f>HYPERLINK("https://esbl.nhlbi.nih.gov/Databases/mpkFractions/proteomic_fractions_linear_files/Yang_linear_img/62990169.jpg","show blot")</f>
        <v>show blot</v>
      </c>
      <c r="J7927" s="5" t="s">
        <v>15606</v>
      </c>
      <c r="L7927" s="11">
        <v>5.9630372509201468</v>
      </c>
      <c r="N7927" s="12"/>
    </row>
    <row r="7928" spans="1:14" s="5" customFormat="1" ht="15" customHeight="1" x14ac:dyDescent="0.25">
      <c r="A7928" s="9" t="s">
        <v>15607</v>
      </c>
      <c r="C7928" s="9" t="str">
        <f>HYPERLINK("http://www.ncbi.nlm.nih.gov/protein/6755224","Twf2")</f>
        <v>Twf2</v>
      </c>
      <c r="D7928" s="10">
        <f t="shared" si="123"/>
        <v>5.2873820445170399</v>
      </c>
      <c r="F7928" s="8" t="str">
        <f>HYPERLINK("https://esbl.nhlbi.nih.gov/Databases/mpkFractions/proteomic_fractions_log_files/Yang_log_img/6755224.jpg","show blot")</f>
        <v>show blot</v>
      </c>
      <c r="H7928" s="8" t="str">
        <f>HYPERLINK("https://esbl.nhlbi.nih.gov/Databases/mpkFractions/proteomic_fractions_linear_files/Yang_linear_img/6755224.jpg","show blot")</f>
        <v>show blot</v>
      </c>
      <c r="J7928" s="5" t="s">
        <v>15608</v>
      </c>
      <c r="L7928" s="11">
        <v>5.2873820445170399</v>
      </c>
      <c r="N7928" s="12"/>
    </row>
    <row r="7929" spans="1:14" s="5" customFormat="1" ht="15" customHeight="1" x14ac:dyDescent="0.25">
      <c r="A7929" s="9" t="s">
        <v>15609</v>
      </c>
      <c r="C7929" s="9" t="str">
        <f>HYPERLINK("http://www.ncbi.nlm.nih.gov/protein/91598586","Txlna")</f>
        <v>Txlna</v>
      </c>
      <c r="D7929" s="10">
        <f t="shared" si="123"/>
        <v>4.9703653007052546</v>
      </c>
      <c r="F7929" s="8" t="str">
        <f>HYPERLINK("https://esbl.nhlbi.nih.gov/Databases/mpkFractions/proteomic_fractions_log_files/Yang_log_img/91598586.jpg","show blot")</f>
        <v>show blot</v>
      </c>
      <c r="H7929" s="8" t="str">
        <f>HYPERLINK("https://esbl.nhlbi.nih.gov/Databases/mpkFractions/proteomic_fractions_linear_files/Yang_linear_img/91598586.jpg","show blot")</f>
        <v>show blot</v>
      </c>
      <c r="J7929" s="5" t="s">
        <v>15610</v>
      </c>
      <c r="L7929" s="11">
        <v>4.9703653007052546</v>
      </c>
      <c r="N7929" s="12"/>
    </row>
    <row r="7930" spans="1:14" s="5" customFormat="1" ht="15" customHeight="1" x14ac:dyDescent="0.25">
      <c r="A7930" s="9" t="s">
        <v>15611</v>
      </c>
      <c r="C7930" s="9" t="str">
        <f>HYPERLINK("http://www.ncbi.nlm.nih.gov/protein/30725808","Txlng")</f>
        <v>Txlng</v>
      </c>
      <c r="D7930" s="10">
        <f t="shared" si="123"/>
        <v>1.1775364999298621</v>
      </c>
      <c r="F7930" s="8" t="str">
        <f>HYPERLINK("https://esbl.nhlbi.nih.gov/Databases/mpkFractions/proteomic_fractions_log_files/Yang_log_img/30725808.jpg","show blot")</f>
        <v>show blot</v>
      </c>
      <c r="H7930" s="8" t="str">
        <f>HYPERLINK("https://esbl.nhlbi.nih.gov/Databases/mpkFractions/proteomic_fractions_linear_files/Yang_linear_img/30725808.jpg","show blot")</f>
        <v>show blot</v>
      </c>
      <c r="J7930" s="5" t="s">
        <v>15612</v>
      </c>
      <c r="L7930" s="11">
        <v>1.1775364999298621</v>
      </c>
      <c r="N7930" s="12"/>
    </row>
    <row r="7931" spans="1:14" s="5" customFormat="1" ht="15" customHeight="1" x14ac:dyDescent="0.25">
      <c r="A7931" s="9" t="s">
        <v>15613</v>
      </c>
      <c r="C7931" s="9" t="str">
        <f>HYPERLINK("http://www.ncbi.nlm.nih.gov/protein/6755911","Txn1")</f>
        <v>Txn1</v>
      </c>
      <c r="D7931" s="10">
        <f t="shared" si="123"/>
        <v>6.4595371804532293</v>
      </c>
      <c r="F7931" s="8" t="str">
        <f>HYPERLINK("https://esbl.nhlbi.nih.gov/Databases/mpkFractions/proteomic_fractions_log_files/Yang_log_img/6755911.jpg","show blot")</f>
        <v>show blot</v>
      </c>
      <c r="H7931" s="8" t="str">
        <f>HYPERLINK("https://esbl.nhlbi.nih.gov/Databases/mpkFractions/proteomic_fractions_linear_files/Yang_linear_img/6755911.jpg","show blot")</f>
        <v>show blot</v>
      </c>
      <c r="J7931" s="5" t="s">
        <v>15614</v>
      </c>
      <c r="L7931" s="11">
        <v>6.4595371804532293</v>
      </c>
      <c r="N7931" s="12"/>
    </row>
    <row r="7932" spans="1:14" s="5" customFormat="1" ht="15" customHeight="1" x14ac:dyDescent="0.25">
      <c r="A7932" s="9" t="s">
        <v>15615</v>
      </c>
      <c r="C7932" s="9" t="str">
        <f>HYPERLINK("http://www.ncbi.nlm.nih.gov/protein/13384700","Txndc12")</f>
        <v>Txndc12</v>
      </c>
      <c r="D7932" s="10">
        <f t="shared" si="123"/>
        <v>5.2500590138103167</v>
      </c>
      <c r="F7932" s="8" t="str">
        <f>HYPERLINK("https://esbl.nhlbi.nih.gov/Databases/mpkFractions/proteomic_fractions_log_files/Yang_log_img/13384700.jpg","show blot")</f>
        <v>show blot</v>
      </c>
      <c r="H7932" s="8" t="str">
        <f>HYPERLINK("https://esbl.nhlbi.nih.gov/Databases/mpkFractions/proteomic_fractions_linear_files/Yang_linear_img/13384700.jpg","show blot")</f>
        <v>show blot</v>
      </c>
      <c r="J7932" s="5" t="s">
        <v>15616</v>
      </c>
      <c r="L7932" s="11">
        <v>5.2500590138103167</v>
      </c>
      <c r="N7932" s="12"/>
    </row>
    <row r="7933" spans="1:14" s="5" customFormat="1" ht="15" customHeight="1" x14ac:dyDescent="0.25">
      <c r="A7933" s="9" t="s">
        <v>15617</v>
      </c>
      <c r="C7933" s="9" t="str">
        <f>HYPERLINK("http://www.ncbi.nlm.nih.gov/protein/52693935","Txndc15")</f>
        <v>Txndc15</v>
      </c>
      <c r="D7933" s="10">
        <f t="shared" si="123"/>
        <v>2.304871722106959</v>
      </c>
      <c r="F7933" s="8" t="str">
        <f>HYPERLINK("https://esbl.nhlbi.nih.gov/Databases/mpkFractions/proteomic_fractions_log_files/Yang_log_img/52693935.jpg","show blot")</f>
        <v>show blot</v>
      </c>
      <c r="H7933" s="8" t="str">
        <f>HYPERLINK("https://esbl.nhlbi.nih.gov/Databases/mpkFractions/proteomic_fractions_linear_files/Yang_linear_img/52693935.jpg","show blot")</f>
        <v>show blot</v>
      </c>
      <c r="J7933" s="5" t="s">
        <v>15618</v>
      </c>
      <c r="L7933" s="11">
        <v>2.304871722106959</v>
      </c>
      <c r="N7933" s="12"/>
    </row>
    <row r="7934" spans="1:14" s="5" customFormat="1" ht="15" customHeight="1" x14ac:dyDescent="0.25">
      <c r="A7934" s="9" t="s">
        <v>15619</v>
      </c>
      <c r="C7934" s="9" t="str">
        <f>HYPERLINK("http://www.ncbi.nlm.nih.gov/protein/13386060","Txndc17")</f>
        <v>Txndc17</v>
      </c>
      <c r="D7934" s="10">
        <f t="shared" si="123"/>
        <v>5.7366049408433133</v>
      </c>
      <c r="F7934" s="8" t="str">
        <f>HYPERLINK("https://esbl.nhlbi.nih.gov/Databases/mpkFractions/proteomic_fractions_log_files/Yang_log_img/13386060.jpg","show blot")</f>
        <v>show blot</v>
      </c>
      <c r="H7934" s="8" t="str">
        <f>HYPERLINK("https://esbl.nhlbi.nih.gov/Databases/mpkFractions/proteomic_fractions_linear_files/Yang_linear_img/13386060.jpg","show blot")</f>
        <v>show blot</v>
      </c>
      <c r="J7934" s="5" t="s">
        <v>15620</v>
      </c>
      <c r="L7934" s="11">
        <v>5.7366049408433133</v>
      </c>
      <c r="N7934" s="12"/>
    </row>
    <row r="7935" spans="1:14" s="5" customFormat="1" ht="15" customHeight="1" x14ac:dyDescent="0.25">
      <c r="A7935" s="9" t="s">
        <v>15621</v>
      </c>
      <c r="C7935" s="9" t="str">
        <f>HYPERLINK("http://www.ncbi.nlm.nih.gov/protein/83921612","Txndc5")</f>
        <v>Txndc5</v>
      </c>
      <c r="D7935" s="10">
        <f t="shared" si="123"/>
        <v>5.333507911442922</v>
      </c>
      <c r="F7935" s="8" t="str">
        <f>HYPERLINK("https://esbl.nhlbi.nih.gov/Databases/mpkFractions/proteomic_fractions_log_files/Yang_log_img/83921612.jpg","show blot")</f>
        <v>show blot</v>
      </c>
      <c r="H7935" s="8" t="str">
        <f>HYPERLINK("https://esbl.nhlbi.nih.gov/Databases/mpkFractions/proteomic_fractions_linear_files/Yang_linear_img/83921612.jpg","show blot")</f>
        <v>show blot</v>
      </c>
      <c r="J7935" s="5" t="s">
        <v>15622</v>
      </c>
      <c r="L7935" s="11">
        <v>5.333507911442922</v>
      </c>
      <c r="N7935" s="12"/>
    </row>
    <row r="7936" spans="1:14" s="5" customFormat="1" ht="15" customHeight="1" x14ac:dyDescent="0.25">
      <c r="A7936" s="9" t="s">
        <v>15623</v>
      </c>
      <c r="C7936" s="9" t="str">
        <f>HYPERLINK("http://www.ncbi.nlm.nih.gov/protein/25286717","Txndc9")</f>
        <v>Txndc9</v>
      </c>
      <c r="D7936" s="10">
        <f t="shared" si="123"/>
        <v>5.3753071402355648</v>
      </c>
      <c r="F7936" s="8" t="str">
        <f>HYPERLINK("https://esbl.nhlbi.nih.gov/Databases/mpkFractions/proteomic_fractions_log_files/Yang_log_img/25286717.jpg","show blot")</f>
        <v>show blot</v>
      </c>
      <c r="H7936" s="8" t="str">
        <f>HYPERLINK("https://esbl.nhlbi.nih.gov/Databases/mpkFractions/proteomic_fractions_linear_files/Yang_linear_img/25286717.jpg","show blot")</f>
        <v>show blot</v>
      </c>
      <c r="J7936" s="5" t="s">
        <v>15624</v>
      </c>
      <c r="L7936" s="11">
        <v>5.3753071402355648</v>
      </c>
      <c r="N7936" s="12"/>
    </row>
    <row r="7937" spans="1:14" s="5" customFormat="1" ht="15" customHeight="1" x14ac:dyDescent="0.25">
      <c r="A7937" s="9" t="s">
        <v>15625</v>
      </c>
      <c r="C7937" s="9" t="str">
        <f>HYPERLINK("http://www.ncbi.nlm.nih.gov/protein/254553444","Txnip")</f>
        <v>Txnip</v>
      </c>
      <c r="D7937" s="10">
        <f t="shared" si="123"/>
        <v>3.4526036704064351</v>
      </c>
      <c r="F7937" s="8" t="str">
        <f>HYPERLINK("https://esbl.nhlbi.nih.gov/Databases/mpkFractions/proteomic_fractions_log_files/Yang_log_img/254553444.jpg","show blot")</f>
        <v>show blot</v>
      </c>
      <c r="H7937" s="8" t="str">
        <f>HYPERLINK("https://esbl.nhlbi.nih.gov/Databases/mpkFractions/proteomic_fractions_linear_files/Yang_linear_img/254553444.jpg","show blot")</f>
        <v>show blot</v>
      </c>
      <c r="J7937" s="5" t="s">
        <v>15626</v>
      </c>
      <c r="L7937" s="11">
        <v>3.4526036704064351</v>
      </c>
      <c r="N7937" s="12"/>
    </row>
    <row r="7938" spans="1:14" s="5" customFormat="1" ht="15" customHeight="1" x14ac:dyDescent="0.25">
      <c r="A7938" s="9" t="s">
        <v>15627</v>
      </c>
      <c r="C7938" s="9" t="str">
        <f>HYPERLINK("http://www.ncbi.nlm.nih.gov/protein/60687518","Txnip")</f>
        <v>Txnip</v>
      </c>
      <c r="D7938" s="10">
        <f t="shared" si="123"/>
        <v>3.4526036704064351</v>
      </c>
      <c r="F7938" s="8" t="str">
        <f>HYPERLINK("https://esbl.nhlbi.nih.gov/Databases/mpkFractions/proteomic_fractions_log_files/Yang_log_img/60687518.jpg","show blot")</f>
        <v>show blot</v>
      </c>
      <c r="H7938" s="8" t="str">
        <f>HYPERLINK("https://esbl.nhlbi.nih.gov/Databases/mpkFractions/proteomic_fractions_linear_files/Yang_linear_img/60687518.jpg","show blot")</f>
        <v>show blot</v>
      </c>
      <c r="J7938" s="5" t="s">
        <v>15628</v>
      </c>
      <c r="L7938" s="11">
        <v>3.4526036704064351</v>
      </c>
      <c r="N7938" s="12"/>
    </row>
    <row r="7939" spans="1:14" s="5" customFormat="1" ht="15" customHeight="1" x14ac:dyDescent="0.25">
      <c r="A7939" s="9" t="s">
        <v>15629</v>
      </c>
      <c r="C7939" s="9" t="str">
        <f>HYPERLINK("http://www.ncbi.nlm.nih.gov/protein/31543902","Txnl1")</f>
        <v>Txnl1</v>
      </c>
      <c r="D7939" s="10">
        <f t="shared" si="123"/>
        <v>6.1059258533188094</v>
      </c>
      <c r="F7939" s="8" t="str">
        <f>HYPERLINK("https://esbl.nhlbi.nih.gov/Databases/mpkFractions/proteomic_fractions_log_files/Yang_log_img/31543902.jpg","show blot")</f>
        <v>show blot</v>
      </c>
      <c r="H7939" s="8" t="str">
        <f>HYPERLINK("https://esbl.nhlbi.nih.gov/Databases/mpkFractions/proteomic_fractions_linear_files/Yang_linear_img/31543902.jpg","show blot")</f>
        <v>show blot</v>
      </c>
      <c r="J7939" s="5" t="s">
        <v>15630</v>
      </c>
      <c r="L7939" s="11">
        <v>6.1059258533188094</v>
      </c>
      <c r="N7939" s="12"/>
    </row>
    <row r="7940" spans="1:14" s="5" customFormat="1" ht="15" customHeight="1" x14ac:dyDescent="0.25">
      <c r="A7940" s="9" t="s">
        <v>15631</v>
      </c>
      <c r="C7940" s="9" t="str">
        <f>HYPERLINK("http://www.ncbi.nlm.nih.gov/protein/109255210","Txnl4a")</f>
        <v>Txnl4a</v>
      </c>
      <c r="D7940" s="10">
        <f t="shared" si="123"/>
        <v>5.022894818346952</v>
      </c>
      <c r="F7940" s="8" t="str">
        <f>HYPERLINK("https://esbl.nhlbi.nih.gov/Databases/mpkFractions/proteomic_fractions_log_files/Yang_log_img/109255210.jpg","show blot")</f>
        <v>show blot</v>
      </c>
      <c r="H7940" s="8" t="str">
        <f>HYPERLINK("https://esbl.nhlbi.nih.gov/Databases/mpkFractions/proteomic_fractions_linear_files/Yang_linear_img/109255210.jpg","show blot")</f>
        <v>show blot</v>
      </c>
      <c r="J7940" s="5" t="s">
        <v>15632</v>
      </c>
      <c r="L7940" s="11">
        <v>5.022894818346952</v>
      </c>
      <c r="N7940" s="12"/>
    </row>
    <row r="7941" spans="1:14" s="5" customFormat="1" ht="15" customHeight="1" x14ac:dyDescent="0.25">
      <c r="A7941" s="9" t="s">
        <v>15633</v>
      </c>
      <c r="C7941" s="9" t="str">
        <f>HYPERLINK("http://www.ncbi.nlm.nih.gov/protein/13384656","Txnl4a")</f>
        <v>Txnl4a</v>
      </c>
      <c r="D7941" s="10">
        <f t="shared" ref="D7941:D8004" si="124">L7941</f>
        <v>5.022894818346952</v>
      </c>
      <c r="F7941" s="8" t="str">
        <f>HYPERLINK("https://esbl.nhlbi.nih.gov/Databases/mpkFractions/proteomic_fractions_log_files/Yang_log_img/13384656.jpg","show blot")</f>
        <v>show blot</v>
      </c>
      <c r="H7941" s="8" t="str">
        <f>HYPERLINK("https://esbl.nhlbi.nih.gov/Databases/mpkFractions/proteomic_fractions_linear_files/Yang_linear_img/13384656.jpg","show blot")</f>
        <v>show blot</v>
      </c>
      <c r="J7941" s="5" t="s">
        <v>15634</v>
      </c>
      <c r="L7941" s="11">
        <v>5.022894818346952</v>
      </c>
      <c r="N7941" s="12"/>
    </row>
    <row r="7942" spans="1:14" s="5" customFormat="1" ht="15" customHeight="1" x14ac:dyDescent="0.25">
      <c r="A7942" s="9" t="s">
        <v>15635</v>
      </c>
      <c r="C7942" s="9" t="str">
        <f>HYPERLINK("http://www.ncbi.nlm.nih.gov/protein/160333183","Txnl4b")</f>
        <v>Txnl4b</v>
      </c>
      <c r="D7942" s="10">
        <f t="shared" si="124"/>
        <v>3.9390606387392419</v>
      </c>
      <c r="F7942" s="8" t="str">
        <f>HYPERLINK("https://esbl.nhlbi.nih.gov/Databases/mpkFractions/proteomic_fractions_log_files/Yang_log_img/160333183.jpg","show blot")</f>
        <v>show blot</v>
      </c>
      <c r="H7942" s="8" t="str">
        <f>HYPERLINK("https://esbl.nhlbi.nih.gov/Databases/mpkFractions/proteomic_fractions_linear_files/Yang_linear_img/160333183.jpg","show blot")</f>
        <v>show blot</v>
      </c>
      <c r="J7942" s="5" t="s">
        <v>15636</v>
      </c>
      <c r="L7942" s="11">
        <v>3.9390606387392419</v>
      </c>
      <c r="N7942" s="12"/>
    </row>
    <row r="7943" spans="1:14" s="5" customFormat="1" ht="15" customHeight="1" x14ac:dyDescent="0.25">
      <c r="A7943" s="9" t="s">
        <v>15637</v>
      </c>
      <c r="C7943" s="9" t="str">
        <f>HYPERLINK("http://www.ncbi.nlm.nih.gov/protein/110224447","Txnrd1")</f>
        <v>Txnrd1</v>
      </c>
      <c r="D7943" s="10">
        <f t="shared" si="124"/>
        <v>6.0054638079732312</v>
      </c>
      <c r="F7943" s="8" t="str">
        <f>HYPERLINK("https://esbl.nhlbi.nih.gov/Databases/mpkFractions/proteomic_fractions_log_files/Yang_log_img/110224447.jpg","show blot")</f>
        <v>show blot</v>
      </c>
      <c r="H7943" s="8" t="str">
        <f>HYPERLINK("https://esbl.nhlbi.nih.gov/Databases/mpkFractions/proteomic_fractions_linear_files/Yang_linear_img/110224447.jpg","show blot")</f>
        <v>show blot</v>
      </c>
      <c r="J7943" s="5" t="s">
        <v>15638</v>
      </c>
      <c r="L7943" s="11">
        <v>6.0054638079732312</v>
      </c>
      <c r="N7943" s="12"/>
    </row>
    <row r="7944" spans="1:14" s="5" customFormat="1" ht="15" customHeight="1" x14ac:dyDescent="0.25">
      <c r="A7944" s="9" t="s">
        <v>15639</v>
      </c>
      <c r="C7944" s="9" t="str">
        <f>HYPERLINK("http://www.ncbi.nlm.nih.gov/protein/13569841","Txnrd1")</f>
        <v>Txnrd1</v>
      </c>
      <c r="D7944" s="10">
        <f t="shared" si="124"/>
        <v>6.0054638079732312</v>
      </c>
      <c r="F7944" s="8" t="str">
        <f>HYPERLINK("https://esbl.nhlbi.nih.gov/Databases/mpkFractions/proteomic_fractions_log_files/Yang_log_img/13569841.jpg","show blot")</f>
        <v>show blot</v>
      </c>
      <c r="H7944" s="8" t="str">
        <f>HYPERLINK("https://esbl.nhlbi.nih.gov/Databases/mpkFractions/proteomic_fractions_linear_files/Yang_linear_img/13569841.jpg","show blot")</f>
        <v>show blot</v>
      </c>
      <c r="J7944" s="5" t="s">
        <v>15640</v>
      </c>
      <c r="L7944" s="11">
        <v>6.0054638079732312</v>
      </c>
      <c r="N7944" s="12"/>
    </row>
    <row r="7945" spans="1:14" s="5" customFormat="1" ht="15" customHeight="1" x14ac:dyDescent="0.25">
      <c r="A7945" s="9" t="s">
        <v>15641</v>
      </c>
      <c r="C7945" s="9" t="str">
        <f>HYPERLINK("http://www.ncbi.nlm.nih.gov/protein/102468565","Txnrd2")</f>
        <v>Txnrd2</v>
      </c>
      <c r="D7945" s="10">
        <f t="shared" si="124"/>
        <v>4.907097778147393</v>
      </c>
      <c r="F7945" s="8" t="str">
        <f>HYPERLINK("https://esbl.nhlbi.nih.gov/Databases/mpkFractions/proteomic_fractions_log_files/Yang_log_img/102468565.jpg","show blot")</f>
        <v>show blot</v>
      </c>
      <c r="H7945" s="8" t="str">
        <f>HYPERLINK("https://esbl.nhlbi.nih.gov/Databases/mpkFractions/proteomic_fractions_linear_files/Yang_linear_img/102468565.jpg","show blot")</f>
        <v>show blot</v>
      </c>
      <c r="J7945" s="5" t="s">
        <v>15642</v>
      </c>
      <c r="L7945" s="11">
        <v>4.907097778147393</v>
      </c>
      <c r="N7945" s="12"/>
    </row>
    <row r="7946" spans="1:14" s="5" customFormat="1" ht="15" customHeight="1" x14ac:dyDescent="0.25">
      <c r="A7946" s="9" t="s">
        <v>15643</v>
      </c>
      <c r="C7946" s="9" t="str">
        <f>HYPERLINK("http://www.ncbi.nlm.nih.gov/protein/296010805","Txnrd3")</f>
        <v>Txnrd3</v>
      </c>
      <c r="D7946" s="10">
        <f t="shared" si="124"/>
        <v>4.6787204376147082</v>
      </c>
      <c r="F7946" s="8" t="str">
        <f>HYPERLINK("https://esbl.nhlbi.nih.gov/Databases/mpkFractions/proteomic_fractions_log_files/Yang_log_img/296010805.jpg","show blot")</f>
        <v>show blot</v>
      </c>
      <c r="H7946" s="8" t="str">
        <f>HYPERLINK("https://esbl.nhlbi.nih.gov/Databases/mpkFractions/proteomic_fractions_linear_files/Yang_linear_img/296010805.jpg","show blot")</f>
        <v>show blot</v>
      </c>
      <c r="J7946" s="5" t="s">
        <v>15644</v>
      </c>
      <c r="L7946" s="11">
        <v>4.6787204376147082</v>
      </c>
      <c r="N7946" s="12"/>
    </row>
    <row r="7947" spans="1:14" s="5" customFormat="1" ht="15" customHeight="1" x14ac:dyDescent="0.25">
      <c r="A7947" s="9" t="s">
        <v>15645</v>
      </c>
      <c r="C7947" s="9" t="str">
        <f>HYPERLINK("http://www.ncbi.nlm.nih.gov/protein/296010807","Txnrd3")</f>
        <v>Txnrd3</v>
      </c>
      <c r="D7947" s="10">
        <f t="shared" si="124"/>
        <v>4.6787204376147082</v>
      </c>
      <c r="F7947" s="8" t="str">
        <f>HYPERLINK("https://esbl.nhlbi.nih.gov/Databases/mpkFractions/proteomic_fractions_log_files/Yang_log_img/296010807.jpg","show blot")</f>
        <v>show blot</v>
      </c>
      <c r="H7947" s="8" t="str">
        <f>HYPERLINK("https://esbl.nhlbi.nih.gov/Databases/mpkFractions/proteomic_fractions_linear_files/Yang_linear_img/296010807.jpg","show blot")</f>
        <v>show blot</v>
      </c>
      <c r="J7947" s="5" t="s">
        <v>15646</v>
      </c>
      <c r="L7947" s="11">
        <v>4.6787204376147082</v>
      </c>
      <c r="N7947" s="12"/>
    </row>
    <row r="7948" spans="1:14" s="5" customFormat="1" ht="15" customHeight="1" x14ac:dyDescent="0.25">
      <c r="A7948" s="9" t="s">
        <v>15647</v>
      </c>
      <c r="C7948" s="9" t="str">
        <f>HYPERLINK("http://www.ncbi.nlm.nih.gov/protein/110735449","Txnrd3")</f>
        <v>Txnrd3</v>
      </c>
      <c r="D7948" s="10">
        <f t="shared" si="124"/>
        <v>4.6787204376147082</v>
      </c>
      <c r="F7948" s="8" t="str">
        <f>HYPERLINK("https://esbl.nhlbi.nih.gov/Databases/mpkFractions/proteomic_fractions_log_files/Yang_log_img/110735449.jpg","show blot")</f>
        <v>show blot</v>
      </c>
      <c r="H7948" s="8" t="str">
        <f>HYPERLINK("https://esbl.nhlbi.nih.gov/Databases/mpkFractions/proteomic_fractions_linear_files/Yang_linear_img/110735449.jpg","show blot")</f>
        <v>show blot</v>
      </c>
      <c r="J7948" s="5" t="s">
        <v>15648</v>
      </c>
      <c r="L7948" s="11">
        <v>4.6787204376147082</v>
      </c>
      <c r="N7948" s="12"/>
    </row>
    <row r="7949" spans="1:14" s="5" customFormat="1" ht="15" customHeight="1" x14ac:dyDescent="0.25">
      <c r="A7949" s="9" t="s">
        <v>15649</v>
      </c>
      <c r="C7949" s="9" t="str">
        <f>HYPERLINK("http://www.ncbi.nlm.nih.gov/protein/296010803","Txnrd3")</f>
        <v>Txnrd3</v>
      </c>
      <c r="D7949" s="10">
        <f t="shared" si="124"/>
        <v>4.6787204376147082</v>
      </c>
      <c r="F7949" s="8" t="str">
        <f>HYPERLINK("https://esbl.nhlbi.nih.gov/Databases/mpkFractions/proteomic_fractions_log_files/Yang_log_img/296010803.jpg","show blot")</f>
        <v>show blot</v>
      </c>
      <c r="H7949" s="8" t="str">
        <f>HYPERLINK("https://esbl.nhlbi.nih.gov/Databases/mpkFractions/proteomic_fractions_linear_files/Yang_linear_img/296010803.jpg","show blot")</f>
        <v>show blot</v>
      </c>
      <c r="J7949" s="5" t="s">
        <v>15650</v>
      </c>
      <c r="L7949" s="11">
        <v>4.6787204376147082</v>
      </c>
      <c r="N7949" s="12"/>
    </row>
    <row r="7950" spans="1:14" s="5" customFormat="1" ht="15" customHeight="1" x14ac:dyDescent="0.25">
      <c r="A7950" s="9" t="s">
        <v>15651</v>
      </c>
      <c r="C7950" s="9" t="str">
        <f>HYPERLINK("http://www.ncbi.nlm.nih.gov/protein/133922607","Tyk2")</f>
        <v>Tyk2</v>
      </c>
      <c r="D7950" s="10">
        <f t="shared" si="124"/>
        <v>3.4656093526183032</v>
      </c>
      <c r="F7950" s="8" t="str">
        <f>HYPERLINK("https://esbl.nhlbi.nih.gov/Databases/mpkFractions/proteomic_fractions_log_files/Yang_log_img/133922607.jpg","show blot")</f>
        <v>show blot</v>
      </c>
      <c r="H7950" s="8" t="str">
        <f>HYPERLINK("https://esbl.nhlbi.nih.gov/Databases/mpkFractions/proteomic_fractions_linear_files/Yang_linear_img/133922607.jpg","show blot")</f>
        <v>show blot</v>
      </c>
      <c r="J7950" s="5" t="s">
        <v>15652</v>
      </c>
      <c r="L7950" s="11">
        <v>3.4656093526183032</v>
      </c>
      <c r="N7950" s="12"/>
    </row>
    <row r="7951" spans="1:14" s="5" customFormat="1" ht="15" customHeight="1" x14ac:dyDescent="0.25">
      <c r="A7951" s="9" t="s">
        <v>15653</v>
      </c>
      <c r="C7951" s="9" t="str">
        <f>HYPERLINK("http://www.ncbi.nlm.nih.gov/protein/328887920","Tyk2")</f>
        <v>Tyk2</v>
      </c>
      <c r="D7951" s="10">
        <f t="shared" si="124"/>
        <v>3.4656093526183032</v>
      </c>
      <c r="F7951" s="8" t="str">
        <f>HYPERLINK("https://esbl.nhlbi.nih.gov/Databases/mpkFractions/proteomic_fractions_log_files/Yang_log_img/328887920.jpg","show blot")</f>
        <v>show blot</v>
      </c>
      <c r="H7951" s="8" t="str">
        <f>HYPERLINK("https://esbl.nhlbi.nih.gov/Databases/mpkFractions/proteomic_fractions_linear_files/Yang_linear_img/328887920.jpg","show blot")</f>
        <v>show blot</v>
      </c>
      <c r="J7951" s="5" t="s">
        <v>15654</v>
      </c>
      <c r="L7951" s="11">
        <v>3.4656093526183032</v>
      </c>
      <c r="N7951" s="12"/>
    </row>
    <row r="7952" spans="1:14" s="5" customFormat="1" ht="15" customHeight="1" x14ac:dyDescent="0.25">
      <c r="A7952" s="9" t="s">
        <v>15655</v>
      </c>
      <c r="C7952" s="9" t="str">
        <f>HYPERLINK("http://www.ncbi.nlm.nih.gov/protein/46358062","Tyms")</f>
        <v>Tyms</v>
      </c>
      <c r="D7952" s="10">
        <f t="shared" si="124"/>
        <v>4.8870753807426688</v>
      </c>
      <c r="F7952" s="8" t="str">
        <f>HYPERLINK("https://esbl.nhlbi.nih.gov/Databases/mpkFractions/proteomic_fractions_log_files/Yang_log_img/46358062.jpg","show blot")</f>
        <v>show blot</v>
      </c>
      <c r="H7952" s="8" t="str">
        <f>HYPERLINK("https://esbl.nhlbi.nih.gov/Databases/mpkFractions/proteomic_fractions_linear_files/Yang_linear_img/46358062.jpg","show blot")</f>
        <v>show blot</v>
      </c>
      <c r="J7952" s="5" t="s">
        <v>15656</v>
      </c>
      <c r="L7952" s="11">
        <v>4.8870753807426688</v>
      </c>
      <c r="N7952" s="12"/>
    </row>
    <row r="7953" spans="1:14" s="5" customFormat="1" ht="15" customHeight="1" x14ac:dyDescent="0.25">
      <c r="A7953" s="9" t="s">
        <v>15657</v>
      </c>
      <c r="C7953" s="9" t="str">
        <f>HYPERLINK("http://www.ncbi.nlm.nih.gov/protein/30725740","Tyw1")</f>
        <v>Tyw1</v>
      </c>
      <c r="D7953" s="10">
        <f t="shared" si="124"/>
        <v>3.363902756968991</v>
      </c>
      <c r="F7953" s="8" t="str">
        <f>HYPERLINK("https://esbl.nhlbi.nih.gov/Databases/mpkFractions/proteomic_fractions_log_files/Yang_log_img/30725740.jpg","show blot")</f>
        <v>show blot</v>
      </c>
      <c r="H7953" s="8" t="str">
        <f>HYPERLINK("https://esbl.nhlbi.nih.gov/Databases/mpkFractions/proteomic_fractions_linear_files/Yang_linear_img/30725740.jpg","show blot")</f>
        <v>show blot</v>
      </c>
      <c r="J7953" s="5" t="s">
        <v>15658</v>
      </c>
      <c r="L7953" s="11">
        <v>3.363902756968991</v>
      </c>
      <c r="N7953" s="12"/>
    </row>
    <row r="7954" spans="1:14" s="5" customFormat="1" ht="15" customHeight="1" x14ac:dyDescent="0.25">
      <c r="A7954" s="9" t="s">
        <v>15659</v>
      </c>
      <c r="C7954" s="9" t="str">
        <f>HYPERLINK("http://www.ncbi.nlm.nih.gov/protein/62899041","Tyw1")</f>
        <v>Tyw1</v>
      </c>
      <c r="D7954" s="10">
        <f t="shared" si="124"/>
        <v>3.363902756968991</v>
      </c>
      <c r="F7954" s="8" t="str">
        <f>HYPERLINK("https://esbl.nhlbi.nih.gov/Databases/mpkFractions/proteomic_fractions_log_files/Yang_log_img/62899041.jpg","show blot")</f>
        <v>show blot</v>
      </c>
      <c r="H7954" s="8" t="str">
        <f>HYPERLINK("https://esbl.nhlbi.nih.gov/Databases/mpkFractions/proteomic_fractions_linear_files/Yang_linear_img/62899041.jpg","show blot")</f>
        <v>show blot</v>
      </c>
      <c r="J7954" s="5" t="s">
        <v>15660</v>
      </c>
      <c r="L7954" s="11">
        <v>3.363902756968991</v>
      </c>
      <c r="N7954" s="12"/>
    </row>
    <row r="7955" spans="1:14" s="5" customFormat="1" ht="15" customHeight="1" x14ac:dyDescent="0.25">
      <c r="A7955" s="9" t="s">
        <v>15661</v>
      </c>
      <c r="C7955" s="9" t="str">
        <f>HYPERLINK("http://www.ncbi.nlm.nih.gov/protein/291045186","Tyw3")</f>
        <v>Tyw3</v>
      </c>
      <c r="D7955" s="10">
        <f t="shared" si="124"/>
        <v>3.2526046813262028</v>
      </c>
      <c r="F7955" s="8" t="str">
        <f>HYPERLINK("https://esbl.nhlbi.nih.gov/Databases/mpkFractions/proteomic_fractions_log_files/Yang_log_img/291045186.jpg","show blot")</f>
        <v>show blot</v>
      </c>
      <c r="H7955" s="8" t="str">
        <f>HYPERLINK("https://esbl.nhlbi.nih.gov/Databases/mpkFractions/proteomic_fractions_linear_files/Yang_linear_img/291045186.jpg","show blot")</f>
        <v>show blot</v>
      </c>
      <c r="J7955" s="5" t="s">
        <v>15662</v>
      </c>
      <c r="L7955" s="11">
        <v>3.2526046813262028</v>
      </c>
      <c r="N7955" s="12"/>
    </row>
    <row r="7956" spans="1:14" s="5" customFormat="1" ht="15" customHeight="1" x14ac:dyDescent="0.25">
      <c r="A7956" s="9" t="s">
        <v>15663</v>
      </c>
      <c r="C7956" s="9" t="str">
        <f>HYPERLINK("http://www.ncbi.nlm.nih.gov/protein/33859785","Tyw3")</f>
        <v>Tyw3</v>
      </c>
      <c r="D7956" s="10">
        <f t="shared" si="124"/>
        <v>3.2526046813262028</v>
      </c>
      <c r="F7956" s="8" t="str">
        <f>HYPERLINK("https://esbl.nhlbi.nih.gov/Databases/mpkFractions/proteomic_fractions_log_files/Yang_log_img/33859785.jpg","show blot")</f>
        <v>show blot</v>
      </c>
      <c r="H7956" s="8" t="str">
        <f>HYPERLINK("https://esbl.nhlbi.nih.gov/Databases/mpkFractions/proteomic_fractions_linear_files/Yang_linear_img/33859785.jpg","show blot")</f>
        <v>show blot</v>
      </c>
      <c r="J7956" s="5" t="s">
        <v>15664</v>
      </c>
      <c r="L7956" s="11">
        <v>3.2526046813262028</v>
      </c>
      <c r="N7956" s="12"/>
    </row>
    <row r="7957" spans="1:14" s="5" customFormat="1" ht="15" customHeight="1" x14ac:dyDescent="0.25">
      <c r="A7957" s="9" t="s">
        <v>15665</v>
      </c>
      <c r="C7957" s="9" t="str">
        <f>HYPERLINK("http://www.ncbi.nlm.nih.gov/protein/166235142","Tyw5")</f>
        <v>Tyw5</v>
      </c>
      <c r="D7957" s="10">
        <f t="shared" si="124"/>
        <v>3.853976066576859</v>
      </c>
      <c r="F7957" s="8" t="str">
        <f>HYPERLINK("https://esbl.nhlbi.nih.gov/Databases/mpkFractions/proteomic_fractions_log_files/Yang_log_img/166235142.jpg","show blot")</f>
        <v>show blot</v>
      </c>
      <c r="H7957" s="8" t="str">
        <f>HYPERLINK("https://esbl.nhlbi.nih.gov/Databases/mpkFractions/proteomic_fractions_linear_files/Yang_linear_img/166235142.jpg","show blot")</f>
        <v>show blot</v>
      </c>
      <c r="J7957" s="5" t="s">
        <v>15666</v>
      </c>
      <c r="L7957" s="11">
        <v>3.853976066576859</v>
      </c>
      <c r="N7957" s="12"/>
    </row>
    <row r="7958" spans="1:14" s="5" customFormat="1" ht="15" customHeight="1" x14ac:dyDescent="0.25">
      <c r="A7958" s="9" t="s">
        <v>15667</v>
      </c>
      <c r="C7958" s="9" t="str">
        <f>HYPERLINK("http://www.ncbi.nlm.nih.gov/protein/166235146","Tyw5")</f>
        <v>Tyw5</v>
      </c>
      <c r="D7958" s="10">
        <f t="shared" si="124"/>
        <v>3.853976066576859</v>
      </c>
      <c r="F7958" s="8" t="str">
        <f>HYPERLINK("https://esbl.nhlbi.nih.gov/Databases/mpkFractions/proteomic_fractions_log_files/Yang_log_img/166235146.jpg","show blot")</f>
        <v>show blot</v>
      </c>
      <c r="H7958" s="8" t="str">
        <f>HYPERLINK("https://esbl.nhlbi.nih.gov/Databases/mpkFractions/proteomic_fractions_linear_files/Yang_linear_img/166235146.jpg","show blot")</f>
        <v>show blot</v>
      </c>
      <c r="J7958" s="5" t="s">
        <v>15668</v>
      </c>
      <c r="L7958" s="11">
        <v>3.853976066576859</v>
      </c>
      <c r="N7958" s="12"/>
    </row>
    <row r="7959" spans="1:14" s="5" customFormat="1" ht="15" customHeight="1" x14ac:dyDescent="0.25">
      <c r="A7959" s="9" t="s">
        <v>15669</v>
      </c>
      <c r="C7959" s="9" t="str">
        <f>HYPERLINK("http://www.ncbi.nlm.nih.gov/protein/254939700","U2af1")</f>
        <v>U2af1</v>
      </c>
      <c r="D7959" s="10">
        <f t="shared" si="124"/>
        <v>5.7913042126318297</v>
      </c>
      <c r="F7959" s="8" t="str">
        <f>HYPERLINK("https://esbl.nhlbi.nih.gov/Databases/mpkFractions/proteomic_fractions_log_files/Yang_log_img/254939700.jpg","show blot")</f>
        <v>show blot</v>
      </c>
      <c r="H7959" s="8" t="str">
        <f>HYPERLINK("https://esbl.nhlbi.nih.gov/Databases/mpkFractions/proteomic_fractions_linear_files/Yang_linear_img/254939700.jpg","show blot")</f>
        <v>show blot</v>
      </c>
      <c r="J7959" s="5" t="s">
        <v>15670</v>
      </c>
      <c r="L7959" s="11">
        <v>5.7913042126318297</v>
      </c>
      <c r="N7959" s="12"/>
    </row>
    <row r="7960" spans="1:14" s="5" customFormat="1" ht="15" customHeight="1" x14ac:dyDescent="0.25">
      <c r="A7960" s="9" t="s">
        <v>15671</v>
      </c>
      <c r="C7960" s="9" t="str">
        <f>HYPERLINK("http://www.ncbi.nlm.nih.gov/protein/254939694","U2af1")</f>
        <v>U2af1</v>
      </c>
      <c r="D7960" s="10">
        <f t="shared" si="124"/>
        <v>5.7913042126318297</v>
      </c>
      <c r="F7960" s="8" t="str">
        <f>HYPERLINK("https://esbl.nhlbi.nih.gov/Databases/mpkFractions/proteomic_fractions_log_files/Yang_log_img/254939694.jpg","show blot")</f>
        <v>show blot</v>
      </c>
      <c r="H7960" s="8" t="str">
        <f>HYPERLINK("https://esbl.nhlbi.nih.gov/Databases/mpkFractions/proteomic_fractions_linear_files/Yang_linear_img/254939694.jpg","show blot")</f>
        <v>show blot</v>
      </c>
      <c r="J7960" s="5" t="s">
        <v>15672</v>
      </c>
      <c r="L7960" s="11">
        <v>5.7913042126318297</v>
      </c>
      <c r="N7960" s="12"/>
    </row>
    <row r="7961" spans="1:14" s="5" customFormat="1" ht="15" customHeight="1" x14ac:dyDescent="0.25">
      <c r="A7961" s="9" t="s">
        <v>15673</v>
      </c>
      <c r="C7961" s="9" t="str">
        <f>HYPERLINK("http://www.ncbi.nlm.nih.gov/protein/25072205","U2af1l4")</f>
        <v>U2af1l4</v>
      </c>
      <c r="D7961" s="10">
        <f t="shared" si="124"/>
        <v>4.12087879204124</v>
      </c>
      <c r="F7961" s="8" t="str">
        <f>HYPERLINK("https://esbl.nhlbi.nih.gov/Databases/mpkFractions/proteomic_fractions_log_files/Yang_log_img/25072205.jpg","show blot")</f>
        <v>show blot</v>
      </c>
      <c r="H7961" s="8" t="str">
        <f>HYPERLINK("https://esbl.nhlbi.nih.gov/Databases/mpkFractions/proteomic_fractions_linear_files/Yang_linear_img/25072205.jpg","show blot")</f>
        <v>show blot</v>
      </c>
      <c r="J7961" s="5" t="s">
        <v>15674</v>
      </c>
      <c r="L7961" s="11">
        <v>4.12087879204124</v>
      </c>
      <c r="N7961" s="12"/>
    </row>
    <row r="7962" spans="1:14" s="5" customFormat="1" ht="15" customHeight="1" x14ac:dyDescent="0.25">
      <c r="A7962" s="9" t="s">
        <v>15675</v>
      </c>
      <c r="C7962" s="9" t="str">
        <f>HYPERLINK("http://www.ncbi.nlm.nih.gov/protein/164565377","U2af2")</f>
        <v>U2af2</v>
      </c>
      <c r="D7962" s="10">
        <f t="shared" si="124"/>
        <v>5.6413803976839354</v>
      </c>
      <c r="F7962" s="8" t="str">
        <f>HYPERLINK("https://esbl.nhlbi.nih.gov/Databases/mpkFractions/proteomic_fractions_log_files/Yang_log_img/164565377.jpg","show blot")</f>
        <v>show blot</v>
      </c>
      <c r="H7962" s="8" t="str">
        <f>HYPERLINK("https://esbl.nhlbi.nih.gov/Databases/mpkFractions/proteomic_fractions_linear_files/Yang_linear_img/164565377.jpg","show blot")</f>
        <v>show blot</v>
      </c>
      <c r="J7962" s="5" t="s">
        <v>15676</v>
      </c>
      <c r="L7962" s="11">
        <v>5.6413803976839354</v>
      </c>
      <c r="N7962" s="12"/>
    </row>
    <row r="7963" spans="1:14" s="5" customFormat="1" ht="15" customHeight="1" x14ac:dyDescent="0.25">
      <c r="A7963" s="9" t="s">
        <v>15677</v>
      </c>
      <c r="C7963" s="9" t="str">
        <f>HYPERLINK("http://www.ncbi.nlm.nih.gov/protein/327365322","U2af2")</f>
        <v>U2af2</v>
      </c>
      <c r="D7963" s="10">
        <f t="shared" si="124"/>
        <v>5.6413803976839354</v>
      </c>
      <c r="F7963" s="8" t="str">
        <f>HYPERLINK("https://esbl.nhlbi.nih.gov/Databases/mpkFractions/proteomic_fractions_log_files/Yang_log_img/327365322.jpg","show blot")</f>
        <v>show blot</v>
      </c>
      <c r="H7963" s="8" t="str">
        <f>HYPERLINK("https://esbl.nhlbi.nih.gov/Databases/mpkFractions/proteomic_fractions_linear_files/Yang_linear_img/327365322.jpg","show blot")</f>
        <v>show blot</v>
      </c>
      <c r="J7963" s="5" t="s">
        <v>15678</v>
      </c>
      <c r="L7963" s="11">
        <v>5.6413803976839354</v>
      </c>
      <c r="N7963" s="12"/>
    </row>
    <row r="7964" spans="1:14" s="5" customFormat="1" ht="15" customHeight="1" x14ac:dyDescent="0.25">
      <c r="A7964" s="9" t="s">
        <v>15679</v>
      </c>
      <c r="C7964" s="9" t="str">
        <f>HYPERLINK("http://www.ncbi.nlm.nih.gov/protein/171460908","U2surp")</f>
        <v>U2surp</v>
      </c>
      <c r="D7964" s="10">
        <f t="shared" si="124"/>
        <v>3.660990654995667</v>
      </c>
      <c r="F7964" s="8" t="str">
        <f>HYPERLINK("https://esbl.nhlbi.nih.gov/Databases/mpkFractions/proteomic_fractions_log_files/Yang_log_img/171460908.jpg","show blot")</f>
        <v>show blot</v>
      </c>
      <c r="H7964" s="8" t="str">
        <f>HYPERLINK("https://esbl.nhlbi.nih.gov/Databases/mpkFractions/proteomic_fractions_linear_files/Yang_linear_img/171460908.jpg","show blot")</f>
        <v>show blot</v>
      </c>
      <c r="J7964" s="5" t="s">
        <v>15680</v>
      </c>
      <c r="L7964" s="11">
        <v>3.660990654995667</v>
      </c>
      <c r="N7964" s="12"/>
    </row>
    <row r="7965" spans="1:14" s="5" customFormat="1" ht="15" customHeight="1" x14ac:dyDescent="0.25">
      <c r="A7965" s="9" t="s">
        <v>15681</v>
      </c>
      <c r="C7965" s="9" t="str">
        <f>HYPERLINK("http://www.ncbi.nlm.nih.gov/protein/171460910","U2surp")</f>
        <v>U2surp</v>
      </c>
      <c r="D7965" s="10">
        <f t="shared" si="124"/>
        <v>3.660990654995667</v>
      </c>
      <c r="F7965" s="8" t="str">
        <f>HYPERLINK("https://esbl.nhlbi.nih.gov/Databases/mpkFractions/proteomic_fractions_log_files/Yang_log_img/171460910.jpg","show blot")</f>
        <v>show blot</v>
      </c>
      <c r="H7965" s="8" t="str">
        <f>HYPERLINK("https://esbl.nhlbi.nih.gov/Databases/mpkFractions/proteomic_fractions_linear_files/Yang_linear_img/171460910.jpg","show blot")</f>
        <v>show blot</v>
      </c>
      <c r="J7965" s="5" t="s">
        <v>15682</v>
      </c>
      <c r="L7965" s="11">
        <v>3.660990654995667</v>
      </c>
      <c r="N7965" s="12"/>
    </row>
    <row r="7966" spans="1:14" s="5" customFormat="1" ht="15" customHeight="1" x14ac:dyDescent="0.25">
      <c r="A7966" s="9" t="s">
        <v>15683</v>
      </c>
      <c r="C7966" s="9" t="str">
        <f>HYPERLINK("http://www.ncbi.nlm.nih.gov/protein/28077007","Uaca")</f>
        <v>Uaca</v>
      </c>
      <c r="D7966" s="10">
        <f t="shared" si="124"/>
        <v>2.9707009675259588</v>
      </c>
      <c r="F7966" s="8" t="str">
        <f>HYPERLINK("https://esbl.nhlbi.nih.gov/Databases/mpkFractions/proteomic_fractions_log_files/Yang_log_img/28077007.jpg","show blot")</f>
        <v>show blot</v>
      </c>
      <c r="H7966" s="8" t="str">
        <f>HYPERLINK("https://esbl.nhlbi.nih.gov/Databases/mpkFractions/proteomic_fractions_linear_files/Yang_linear_img/28077007.jpg","show blot")</f>
        <v>show blot</v>
      </c>
      <c r="J7966" s="5" t="s">
        <v>15684</v>
      </c>
      <c r="L7966" s="11">
        <v>2.9707009675259588</v>
      </c>
      <c r="N7966" s="12"/>
    </row>
    <row r="7967" spans="1:14" s="5" customFormat="1" ht="15" customHeight="1" x14ac:dyDescent="0.25">
      <c r="A7967" s="9" t="s">
        <v>15685</v>
      </c>
      <c r="C7967" s="9" t="str">
        <f>HYPERLINK("http://www.ncbi.nlm.nih.gov/protein/30520375","Uap1")</f>
        <v>Uap1</v>
      </c>
      <c r="D7967" s="10">
        <f t="shared" si="124"/>
        <v>4.9937240896720132</v>
      </c>
      <c r="F7967" s="8" t="str">
        <f>HYPERLINK("https://esbl.nhlbi.nih.gov/Databases/mpkFractions/proteomic_fractions_log_files/Yang_log_img/30520375.jpg","show blot")</f>
        <v>show blot</v>
      </c>
      <c r="H7967" s="8" t="str">
        <f>HYPERLINK("https://esbl.nhlbi.nih.gov/Databases/mpkFractions/proteomic_fractions_linear_files/Yang_linear_img/30520375.jpg","show blot")</f>
        <v>show blot</v>
      </c>
      <c r="J7967" s="5" t="s">
        <v>15686</v>
      </c>
      <c r="L7967" s="11">
        <v>4.9937240896720132</v>
      </c>
      <c r="N7967" s="12"/>
    </row>
    <row r="7968" spans="1:14" s="5" customFormat="1" ht="15" customHeight="1" x14ac:dyDescent="0.25">
      <c r="A7968" s="9" t="s">
        <v>15687</v>
      </c>
      <c r="C7968" s="9" t="str">
        <f>HYPERLINK("http://www.ncbi.nlm.nih.gov/protein/377833682","Uap1")</f>
        <v>Uap1</v>
      </c>
      <c r="D7968" s="10">
        <f t="shared" si="124"/>
        <v>4.9937240896720132</v>
      </c>
      <c r="F7968" s="8" t="str">
        <f>HYPERLINK("https://esbl.nhlbi.nih.gov/Databases/mpkFractions/proteomic_fractions_log_files/Yang_log_img/377833682.jpg","show blot")</f>
        <v>show blot</v>
      </c>
      <c r="H7968" s="8" t="str">
        <f>HYPERLINK("https://esbl.nhlbi.nih.gov/Databases/mpkFractions/proteomic_fractions_linear_files/Yang_linear_img/377833682.jpg","show blot")</f>
        <v>show blot</v>
      </c>
      <c r="J7968" s="5" t="s">
        <v>15688</v>
      </c>
      <c r="L7968" s="11">
        <v>4.9937240896720132</v>
      </c>
      <c r="N7968" s="12"/>
    </row>
    <row r="7969" spans="1:14" s="5" customFormat="1" ht="15" customHeight="1" x14ac:dyDescent="0.25">
      <c r="A7969" s="9" t="s">
        <v>15689</v>
      </c>
      <c r="C7969" s="9" t="str">
        <f>HYPERLINK("http://www.ncbi.nlm.nih.gov/protein/84794548","Uap1l1")</f>
        <v>Uap1l1</v>
      </c>
      <c r="D7969" s="10">
        <f t="shared" si="124"/>
        <v>5.9258781671274026</v>
      </c>
      <c r="F7969" s="8" t="str">
        <f>HYPERLINK("https://esbl.nhlbi.nih.gov/Databases/mpkFractions/proteomic_fractions_log_files/Yang_log_img/84794548.jpg","show blot")</f>
        <v>show blot</v>
      </c>
      <c r="H7969" s="8" t="str">
        <f>HYPERLINK("https://esbl.nhlbi.nih.gov/Databases/mpkFractions/proteomic_fractions_linear_files/Yang_linear_img/84794548.jpg","show blot")</f>
        <v>show blot</v>
      </c>
      <c r="J7969" s="5" t="s">
        <v>15690</v>
      </c>
      <c r="L7969" s="11">
        <v>5.9258781671274026</v>
      </c>
      <c r="N7969" s="12"/>
    </row>
    <row r="7970" spans="1:14" s="5" customFormat="1" ht="15" customHeight="1" x14ac:dyDescent="0.25">
      <c r="A7970" s="9" t="s">
        <v>15691</v>
      </c>
      <c r="C7970" s="9" t="str">
        <f>HYPERLINK("http://www.ncbi.nlm.nih.gov/protein/209862989","Uba1")</f>
        <v>Uba1</v>
      </c>
      <c r="D7970" s="10">
        <f t="shared" si="124"/>
        <v>5.9359704633532582</v>
      </c>
      <c r="F7970" s="8" t="str">
        <f>HYPERLINK("https://esbl.nhlbi.nih.gov/Databases/mpkFractions/proteomic_fractions_log_files/Yang_log_img/209862989.jpg","show blot")</f>
        <v>show blot</v>
      </c>
      <c r="H7970" s="8" t="str">
        <f>HYPERLINK("https://esbl.nhlbi.nih.gov/Databases/mpkFractions/proteomic_fractions_linear_files/Yang_linear_img/209862989.jpg","show blot")</f>
        <v>show blot</v>
      </c>
      <c r="J7970" s="5" t="s">
        <v>15692</v>
      </c>
      <c r="L7970" s="11">
        <v>5.9359704633532582</v>
      </c>
      <c r="N7970" s="12"/>
    </row>
    <row r="7971" spans="1:14" s="5" customFormat="1" ht="15" customHeight="1" x14ac:dyDescent="0.25">
      <c r="A7971" s="9" t="s">
        <v>15693</v>
      </c>
      <c r="C7971" s="9" t="str">
        <f>HYPERLINK("http://www.ncbi.nlm.nih.gov/protein/209862989;6678483","Uba1")</f>
        <v>Uba1</v>
      </c>
      <c r="D7971" s="10">
        <f t="shared" si="124"/>
        <v>5.9359704633532582</v>
      </c>
      <c r="F7971" s="8" t="str">
        <f>HYPERLINK("https://esbl.nhlbi.nih.gov/Databases/mpkFractions/proteomic_fractions_log_files/Yang_log_img/209862989;6678483.jpg","show blot")</f>
        <v>show blot</v>
      </c>
      <c r="H7971" s="8" t="str">
        <f>HYPERLINK("https://esbl.nhlbi.nih.gov/Databases/mpkFractions/proteomic_fractions_linear_files/Yang_linear_img/209862989;6678483.jpg","show blot")</f>
        <v>show blot</v>
      </c>
      <c r="J7971" s="5" t="s">
        <v>15692</v>
      </c>
      <c r="L7971" s="11">
        <v>5.9359704633532582</v>
      </c>
      <c r="N7971" s="12"/>
    </row>
    <row r="7972" spans="1:14" s="5" customFormat="1" ht="15" customHeight="1" x14ac:dyDescent="0.25">
      <c r="A7972" s="9" t="s">
        <v>15694</v>
      </c>
      <c r="C7972" s="9" t="str">
        <f>HYPERLINK("http://www.ncbi.nlm.nih.gov/protein/6678483;209862989","Uba1")</f>
        <v>Uba1</v>
      </c>
      <c r="D7972" s="10">
        <f t="shared" si="124"/>
        <v>5.9359704633532582</v>
      </c>
      <c r="F7972" s="8" t="str">
        <f>HYPERLINK("https://esbl.nhlbi.nih.gov/Databases/mpkFractions/proteomic_fractions_log_files/Yang_log_img/6678483;209862989.jpg","show blot")</f>
        <v>show blot</v>
      </c>
      <c r="H7972" s="8" t="str">
        <f>HYPERLINK("https://esbl.nhlbi.nih.gov/Databases/mpkFractions/proteomic_fractions_linear_files/Yang_linear_img/6678483;209862989.jpg","show blot")</f>
        <v>show blot</v>
      </c>
      <c r="J7972" s="5" t="s">
        <v>15695</v>
      </c>
      <c r="L7972" s="11">
        <v>5.9359704633532582</v>
      </c>
      <c r="N7972" s="12"/>
    </row>
    <row r="7973" spans="1:14" s="5" customFormat="1" ht="15" customHeight="1" x14ac:dyDescent="0.25">
      <c r="A7973" s="9" t="s">
        <v>15696</v>
      </c>
      <c r="C7973" s="9" t="str">
        <f>HYPERLINK("http://www.ncbi.nlm.nih.gov/protein/444189294","Uba1")</f>
        <v>Uba1</v>
      </c>
      <c r="D7973" s="10">
        <f t="shared" si="124"/>
        <v>5.9359704633532582</v>
      </c>
      <c r="F7973" s="8" t="str">
        <f>HYPERLINK("https://esbl.nhlbi.nih.gov/Databases/mpkFractions/proteomic_fractions_log_files/Yang_log_img/444189294.jpg","show blot")</f>
        <v>show blot</v>
      </c>
      <c r="H7973" s="8" t="str">
        <f>HYPERLINK("https://esbl.nhlbi.nih.gov/Databases/mpkFractions/proteomic_fractions_linear_files/Yang_linear_img/444189294.jpg","show blot")</f>
        <v>show blot</v>
      </c>
      <c r="J7973" s="5" t="s">
        <v>15695</v>
      </c>
      <c r="L7973" s="11">
        <v>5.9359704633532582</v>
      </c>
      <c r="N7973" s="12"/>
    </row>
    <row r="7974" spans="1:14" s="5" customFormat="1" ht="15" customHeight="1" x14ac:dyDescent="0.25">
      <c r="A7974" s="9" t="s">
        <v>15697</v>
      </c>
      <c r="C7974" s="9" t="str">
        <f>HYPERLINK("http://www.ncbi.nlm.nih.gov/protein/6755923","Uba1y")</f>
        <v>Uba1y</v>
      </c>
      <c r="D7974" s="10">
        <f t="shared" si="124"/>
        <v>5.193294630390124</v>
      </c>
      <c r="F7974" s="8" t="str">
        <f>HYPERLINK("https://esbl.nhlbi.nih.gov/Databases/mpkFractions/proteomic_fractions_log_files/Yang_log_img/6755923.jpg","show blot")</f>
        <v>show blot</v>
      </c>
      <c r="H7974" s="8" t="str">
        <f>HYPERLINK("https://esbl.nhlbi.nih.gov/Databases/mpkFractions/proteomic_fractions_linear_files/Yang_linear_img/6755923.jpg","show blot")</f>
        <v>show blot</v>
      </c>
      <c r="J7974" s="5" t="s">
        <v>15698</v>
      </c>
      <c r="L7974" s="11">
        <v>5.193294630390124</v>
      </c>
      <c r="N7974" s="12"/>
    </row>
    <row r="7975" spans="1:14" s="5" customFormat="1" ht="15" customHeight="1" x14ac:dyDescent="0.25">
      <c r="A7975" s="9" t="s">
        <v>15699</v>
      </c>
      <c r="C7975" s="9" t="str">
        <f>HYPERLINK("http://www.ncbi.nlm.nih.gov/protein/7709986","Uba2")</f>
        <v>Uba2</v>
      </c>
      <c r="D7975" s="10">
        <f t="shared" si="124"/>
        <v>5.41630626436271</v>
      </c>
      <c r="F7975" s="8" t="str">
        <f>HYPERLINK("https://esbl.nhlbi.nih.gov/Databases/mpkFractions/proteomic_fractions_log_files/Yang_log_img/7709986.jpg","show blot")</f>
        <v>show blot</v>
      </c>
      <c r="H7975" s="8" t="str">
        <f>HYPERLINK("https://esbl.nhlbi.nih.gov/Databases/mpkFractions/proteomic_fractions_linear_files/Yang_linear_img/7709986.jpg","show blot")</f>
        <v>show blot</v>
      </c>
      <c r="J7975" s="5" t="s">
        <v>15700</v>
      </c>
      <c r="L7975" s="11">
        <v>5.41630626436271</v>
      </c>
      <c r="N7975" s="12"/>
    </row>
    <row r="7976" spans="1:14" s="5" customFormat="1" ht="15" customHeight="1" x14ac:dyDescent="0.25">
      <c r="A7976" s="9" t="s">
        <v>15701</v>
      </c>
      <c r="C7976" s="9" t="str">
        <f>HYPERLINK("http://www.ncbi.nlm.nih.gov/protein/162135936","Uba3")</f>
        <v>Uba3</v>
      </c>
      <c r="D7976" s="10">
        <f t="shared" si="124"/>
        <v>5.2576502235387466</v>
      </c>
      <c r="F7976" s="8" t="str">
        <f>HYPERLINK("https://esbl.nhlbi.nih.gov/Databases/mpkFractions/proteomic_fractions_log_files/Yang_log_img/162135936.jpg","show blot")</f>
        <v>show blot</v>
      </c>
      <c r="H7976" s="8" t="str">
        <f>HYPERLINK("https://esbl.nhlbi.nih.gov/Databases/mpkFractions/proteomic_fractions_linear_files/Yang_linear_img/162135936.jpg","show blot")</f>
        <v>show blot</v>
      </c>
      <c r="J7976" s="5" t="s">
        <v>15702</v>
      </c>
      <c r="L7976" s="11">
        <v>5.2576502235387466</v>
      </c>
      <c r="N7976" s="12"/>
    </row>
    <row r="7977" spans="1:14" s="5" customFormat="1" ht="15" customHeight="1" x14ac:dyDescent="0.25">
      <c r="A7977" s="9" t="s">
        <v>15703</v>
      </c>
      <c r="C7977" s="9" t="str">
        <f>HYPERLINK("http://www.ncbi.nlm.nih.gov/protein/162287057","Uba3")</f>
        <v>Uba3</v>
      </c>
      <c r="D7977" s="10">
        <f t="shared" si="124"/>
        <v>5.2576502235387466</v>
      </c>
      <c r="F7977" s="8" t="str">
        <f>HYPERLINK("https://esbl.nhlbi.nih.gov/Databases/mpkFractions/proteomic_fractions_log_files/Yang_log_img/162287057.jpg","show blot")</f>
        <v>show blot</v>
      </c>
      <c r="H7977" s="8" t="str">
        <f>HYPERLINK("https://esbl.nhlbi.nih.gov/Databases/mpkFractions/proteomic_fractions_linear_files/Yang_linear_img/162287057.jpg","show blot")</f>
        <v>show blot</v>
      </c>
      <c r="J7977" s="5" t="s">
        <v>15704</v>
      </c>
      <c r="L7977" s="11">
        <v>5.2576502235387466</v>
      </c>
      <c r="N7977" s="12"/>
    </row>
    <row r="7978" spans="1:14" s="5" customFormat="1" ht="15" customHeight="1" x14ac:dyDescent="0.25">
      <c r="A7978" s="9" t="s">
        <v>15705</v>
      </c>
      <c r="C7978" s="9" t="str">
        <f>HYPERLINK("http://www.ncbi.nlm.nih.gov/protein/227499242","Uba5")</f>
        <v>Uba5</v>
      </c>
      <c r="D7978" s="10">
        <f t="shared" si="124"/>
        <v>4.8183551023317861</v>
      </c>
      <c r="F7978" s="8" t="str">
        <f>HYPERLINK("https://esbl.nhlbi.nih.gov/Databases/mpkFractions/proteomic_fractions_log_files/Yang_log_img/227499242.jpg","show blot")</f>
        <v>show blot</v>
      </c>
      <c r="H7978" s="8" t="str">
        <f>HYPERLINK("https://esbl.nhlbi.nih.gov/Databases/mpkFractions/proteomic_fractions_linear_files/Yang_linear_img/227499242.jpg","show blot")</f>
        <v>show blot</v>
      </c>
      <c r="J7978" s="5" t="s">
        <v>15706</v>
      </c>
      <c r="L7978" s="11">
        <v>4.8183551023317861</v>
      </c>
      <c r="N7978" s="12"/>
    </row>
    <row r="7979" spans="1:14" s="5" customFormat="1" ht="15" customHeight="1" x14ac:dyDescent="0.25">
      <c r="A7979" s="9" t="s">
        <v>15707</v>
      </c>
      <c r="C7979" s="9" t="str">
        <f>HYPERLINK("http://www.ncbi.nlm.nih.gov/protein/9845265","Uba52")</f>
        <v>Uba52</v>
      </c>
      <c r="D7979" s="10">
        <f t="shared" si="124"/>
        <v>7.5257731747937644</v>
      </c>
      <c r="F7979" s="8" t="str">
        <f>HYPERLINK("https://esbl.nhlbi.nih.gov/Databases/mpkFractions/proteomic_fractions_log_files/Yang_log_img/9845265.jpg","show blot")</f>
        <v>show blot</v>
      </c>
      <c r="H7979" s="8" t="str">
        <f>HYPERLINK("https://esbl.nhlbi.nih.gov/Databases/mpkFractions/proteomic_fractions_linear_files/Yang_linear_img/9845265.jpg","show blot")</f>
        <v>show blot</v>
      </c>
      <c r="J7979" s="5" t="s">
        <v>15708</v>
      </c>
      <c r="L7979" s="11">
        <v>7.5257731747937644</v>
      </c>
      <c r="N7979" s="12"/>
    </row>
    <row r="7980" spans="1:14" s="5" customFormat="1" ht="15" customHeight="1" x14ac:dyDescent="0.25">
      <c r="A7980" s="9" t="s">
        <v>15709</v>
      </c>
      <c r="C7980" s="9" t="str">
        <f>HYPERLINK("http://www.ncbi.nlm.nih.gov/protein/27370032","Uba6")</f>
        <v>Uba6</v>
      </c>
      <c r="D7980" s="10">
        <f t="shared" si="124"/>
        <v>5.143318202309322</v>
      </c>
      <c r="F7980" s="8" t="str">
        <f>HYPERLINK("https://esbl.nhlbi.nih.gov/Databases/mpkFractions/proteomic_fractions_log_files/Yang_log_img/27370032.jpg","show blot")</f>
        <v>show blot</v>
      </c>
      <c r="H7980" s="8" t="str">
        <f>HYPERLINK("https://esbl.nhlbi.nih.gov/Databases/mpkFractions/proteomic_fractions_linear_files/Yang_linear_img/27370032.jpg","show blot")</f>
        <v>show blot</v>
      </c>
      <c r="J7980" s="5" t="s">
        <v>15710</v>
      </c>
      <c r="L7980" s="11">
        <v>5.143318202309322</v>
      </c>
      <c r="N7980" s="12"/>
    </row>
    <row r="7981" spans="1:14" s="5" customFormat="1" ht="15" customHeight="1" x14ac:dyDescent="0.25">
      <c r="A7981" s="9" t="s">
        <v>15711</v>
      </c>
      <c r="C7981" s="9" t="str">
        <f>HYPERLINK("http://www.ncbi.nlm.nih.gov/protein/30794156","Uba7")</f>
        <v>Uba7</v>
      </c>
      <c r="D7981" s="10">
        <f t="shared" si="124"/>
        <v>4.2842069950400798</v>
      </c>
      <c r="F7981" s="8" t="str">
        <f>HYPERLINK("https://esbl.nhlbi.nih.gov/Databases/mpkFractions/proteomic_fractions_log_files/Yang_log_img/30794156.jpg","show blot")</f>
        <v>show blot</v>
      </c>
      <c r="H7981" s="8" t="str">
        <f>HYPERLINK("https://esbl.nhlbi.nih.gov/Databases/mpkFractions/proteomic_fractions_linear_files/Yang_linear_img/30794156.jpg","show blot")</f>
        <v>show blot</v>
      </c>
      <c r="J7981" s="5" t="s">
        <v>15712</v>
      </c>
      <c r="L7981" s="11">
        <v>4.2842069950400798</v>
      </c>
      <c r="N7981" s="12"/>
    </row>
    <row r="7982" spans="1:14" s="5" customFormat="1" ht="15" customHeight="1" x14ac:dyDescent="0.25">
      <c r="A7982" s="9" t="s">
        <v>15713</v>
      </c>
      <c r="C7982" s="9" t="str">
        <f>HYPERLINK("http://www.ncbi.nlm.nih.gov/protein/260447056","Ubac1")</f>
        <v>Ubac1</v>
      </c>
      <c r="D7982" s="10">
        <f t="shared" si="124"/>
        <v>3.3618818887566029</v>
      </c>
      <c r="F7982" s="8" t="str">
        <f>HYPERLINK("https://esbl.nhlbi.nih.gov/Databases/mpkFractions/proteomic_fractions_log_files/Yang_log_img/260447056.jpg","show blot")</f>
        <v>show blot</v>
      </c>
      <c r="H7982" s="8" t="str">
        <f>HYPERLINK("https://esbl.nhlbi.nih.gov/Databases/mpkFractions/proteomic_fractions_linear_files/Yang_linear_img/260447056.jpg","show blot")</f>
        <v>show blot</v>
      </c>
      <c r="J7982" s="5" t="s">
        <v>15714</v>
      </c>
      <c r="L7982" s="11">
        <v>3.3618818887566029</v>
      </c>
      <c r="N7982" s="12"/>
    </row>
    <row r="7983" spans="1:14" s="5" customFormat="1" ht="15" customHeight="1" x14ac:dyDescent="0.25">
      <c r="A7983" s="9" t="s">
        <v>15715</v>
      </c>
      <c r="C7983" s="9" t="str">
        <f>HYPERLINK("http://www.ncbi.nlm.nih.gov/protein/90568036","Ubac2")</f>
        <v>Ubac2</v>
      </c>
      <c r="D7983" s="10">
        <f t="shared" si="124"/>
        <v>3.0314084642516241</v>
      </c>
      <c r="F7983" s="8" t="str">
        <f>HYPERLINK("https://esbl.nhlbi.nih.gov/Databases/mpkFractions/proteomic_fractions_log_files/Yang_log_img/90568036.jpg","show blot")</f>
        <v>show blot</v>
      </c>
      <c r="H7983" s="8" t="str">
        <f>HYPERLINK("https://esbl.nhlbi.nih.gov/Databases/mpkFractions/proteomic_fractions_linear_files/Yang_linear_img/90568036.jpg","show blot")</f>
        <v>show blot</v>
      </c>
      <c r="J7983" s="5" t="s">
        <v>15716</v>
      </c>
      <c r="L7983" s="11">
        <v>3.0314084642516241</v>
      </c>
      <c r="N7983" s="12"/>
    </row>
    <row r="7984" spans="1:14" s="5" customFormat="1" ht="15" customHeight="1" x14ac:dyDescent="0.25">
      <c r="A7984" s="9" t="s">
        <v>15717</v>
      </c>
      <c r="C7984" s="9" t="str">
        <f>HYPERLINK("http://www.ncbi.nlm.nih.gov/protein/28076915","Ubap2")</f>
        <v>Ubap2</v>
      </c>
      <c r="D7984" s="10">
        <f t="shared" si="124"/>
        <v>3.347582026974123</v>
      </c>
      <c r="F7984" s="8" t="str">
        <f>HYPERLINK("https://esbl.nhlbi.nih.gov/Databases/mpkFractions/proteomic_fractions_log_files/Yang_log_img/28076915.jpg","show blot")</f>
        <v>show blot</v>
      </c>
      <c r="H7984" s="8" t="str">
        <f>HYPERLINK("https://esbl.nhlbi.nih.gov/Databases/mpkFractions/proteomic_fractions_linear_files/Yang_linear_img/28076915.jpg","show blot")</f>
        <v>show blot</v>
      </c>
      <c r="J7984" s="5" t="s">
        <v>15718</v>
      </c>
      <c r="L7984" s="11">
        <v>3.347582026974123</v>
      </c>
      <c r="N7984" s="12"/>
    </row>
    <row r="7985" spans="1:14" s="5" customFormat="1" ht="15" customHeight="1" x14ac:dyDescent="0.25">
      <c r="A7985" s="9" t="s">
        <v>15719</v>
      </c>
      <c r="C7985" s="9" t="str">
        <f>HYPERLINK("http://www.ncbi.nlm.nih.gov/protein/260166704","Ubap2l")</f>
        <v>Ubap2l</v>
      </c>
      <c r="D7985" s="10">
        <f t="shared" si="124"/>
        <v>4.8913910803015943</v>
      </c>
      <c r="F7985" s="8" t="str">
        <f>HYPERLINK("https://esbl.nhlbi.nih.gov/Databases/mpkFractions/proteomic_fractions_log_files/Yang_log_img/260166704.jpg","show blot")</f>
        <v>show blot</v>
      </c>
      <c r="H7985" s="8" t="str">
        <f>HYPERLINK("https://esbl.nhlbi.nih.gov/Databases/mpkFractions/proteomic_fractions_linear_files/Yang_linear_img/260166704.jpg","show blot")</f>
        <v>show blot</v>
      </c>
      <c r="J7985" s="5" t="s">
        <v>15720</v>
      </c>
      <c r="L7985" s="11">
        <v>4.8913910803015943</v>
      </c>
      <c r="N7985" s="12"/>
    </row>
    <row r="7986" spans="1:14" s="5" customFormat="1" ht="15" customHeight="1" x14ac:dyDescent="0.25">
      <c r="A7986" s="9" t="s">
        <v>15721</v>
      </c>
      <c r="C7986" s="9" t="str">
        <f>HYPERLINK("http://www.ncbi.nlm.nih.gov/protein/260166706","Ubap2l")</f>
        <v>Ubap2l</v>
      </c>
      <c r="D7986" s="10">
        <f t="shared" si="124"/>
        <v>4.8913910803015943</v>
      </c>
      <c r="F7986" s="8" t="str">
        <f>HYPERLINK("https://esbl.nhlbi.nih.gov/Databases/mpkFractions/proteomic_fractions_log_files/Yang_log_img/260166706.jpg","show blot")</f>
        <v>show blot</v>
      </c>
      <c r="H7986" s="8" t="str">
        <f>HYPERLINK("https://esbl.nhlbi.nih.gov/Databases/mpkFractions/proteomic_fractions_linear_files/Yang_linear_img/260166706.jpg","show blot")</f>
        <v>show blot</v>
      </c>
      <c r="J7986" s="5" t="s">
        <v>15722</v>
      </c>
      <c r="L7986" s="11">
        <v>4.8913910803015943</v>
      </c>
      <c r="N7986" s="12"/>
    </row>
    <row r="7987" spans="1:14" s="5" customFormat="1" ht="15" customHeight="1" x14ac:dyDescent="0.25">
      <c r="A7987" s="9" t="s">
        <v>15723</v>
      </c>
      <c r="C7987" s="9" t="str">
        <f>HYPERLINK("http://www.ncbi.nlm.nih.gov/protein/260166709","Ubap2l")</f>
        <v>Ubap2l</v>
      </c>
      <c r="D7987" s="10">
        <f t="shared" si="124"/>
        <v>4.8913910803015943</v>
      </c>
      <c r="F7987" s="8" t="str">
        <f>HYPERLINK("https://esbl.nhlbi.nih.gov/Databases/mpkFractions/proteomic_fractions_log_files/Yang_log_img/260166709.jpg","show blot")</f>
        <v>show blot</v>
      </c>
      <c r="H7987" s="8" t="str">
        <f>HYPERLINK("https://esbl.nhlbi.nih.gov/Databases/mpkFractions/proteomic_fractions_linear_files/Yang_linear_img/260166709.jpg","show blot")</f>
        <v>show blot</v>
      </c>
      <c r="J7987" s="5" t="s">
        <v>15724</v>
      </c>
      <c r="L7987" s="11">
        <v>4.8913910803015943</v>
      </c>
      <c r="N7987" s="12"/>
    </row>
    <row r="7988" spans="1:14" s="5" customFormat="1" ht="15" customHeight="1" x14ac:dyDescent="0.25">
      <c r="A7988" s="9" t="s">
        <v>15725</v>
      </c>
      <c r="C7988" s="9" t="str">
        <f>HYPERLINK("http://www.ncbi.nlm.nih.gov/protein/260166711;260166713","Ubap2l")</f>
        <v>Ubap2l</v>
      </c>
      <c r="D7988" s="10">
        <f t="shared" si="124"/>
        <v>4.8913910803015943</v>
      </c>
      <c r="F7988" s="8" t="str">
        <f>HYPERLINK("https://esbl.nhlbi.nih.gov/Databases/mpkFractions/proteomic_fractions_log_files/Yang_log_img/260166711;260166713.jpg","show blot")</f>
        <v>show blot</v>
      </c>
      <c r="H7988" s="8" t="str">
        <f>HYPERLINK("https://esbl.nhlbi.nih.gov/Databases/mpkFractions/proteomic_fractions_linear_files/Yang_linear_img/260166711;260166713.jpg","show blot")</f>
        <v>show blot</v>
      </c>
      <c r="J7988" s="5" t="s">
        <v>15726</v>
      </c>
      <c r="L7988" s="11">
        <v>4.8913910803015943</v>
      </c>
      <c r="N7988" s="12"/>
    </row>
    <row r="7989" spans="1:14" s="5" customFormat="1" ht="15" customHeight="1" x14ac:dyDescent="0.25">
      <c r="A7989" s="9" t="s">
        <v>15727</v>
      </c>
      <c r="C7989" s="9" t="str">
        <f>HYPERLINK("http://www.ncbi.nlm.nih.gov/protein/260166715","Ubap2l")</f>
        <v>Ubap2l</v>
      </c>
      <c r="D7989" s="10">
        <f t="shared" si="124"/>
        <v>4.8913910803015943</v>
      </c>
      <c r="F7989" s="8" t="str">
        <f>HYPERLINK("https://esbl.nhlbi.nih.gov/Databases/mpkFractions/proteomic_fractions_log_files/Yang_log_img/260166715.jpg","show blot")</f>
        <v>show blot</v>
      </c>
      <c r="H7989" s="8" t="str">
        <f>HYPERLINK("https://esbl.nhlbi.nih.gov/Databases/mpkFractions/proteomic_fractions_linear_files/Yang_linear_img/260166715.jpg","show blot")</f>
        <v>show blot</v>
      </c>
      <c r="J7989" s="5" t="s">
        <v>15728</v>
      </c>
      <c r="L7989" s="11">
        <v>4.8913910803015943</v>
      </c>
      <c r="N7989" s="12"/>
    </row>
    <row r="7990" spans="1:14" s="5" customFormat="1" ht="15" customHeight="1" x14ac:dyDescent="0.25">
      <c r="A7990" s="9" t="s">
        <v>15729</v>
      </c>
      <c r="C7990" s="9" t="str">
        <f>HYPERLINK("http://www.ncbi.nlm.nih.gov/protein/33239421","Ubap2l")</f>
        <v>Ubap2l</v>
      </c>
      <c r="D7990" s="10">
        <f t="shared" si="124"/>
        <v>4.8913910803015943</v>
      </c>
      <c r="F7990" s="8" t="str">
        <f>HYPERLINK("https://esbl.nhlbi.nih.gov/Databases/mpkFractions/proteomic_fractions_log_files/Yang_log_img/33239421.jpg","show blot")</f>
        <v>show blot</v>
      </c>
      <c r="H7990" s="8" t="str">
        <f>HYPERLINK("https://esbl.nhlbi.nih.gov/Databases/mpkFractions/proteomic_fractions_linear_files/Yang_linear_img/33239421.jpg","show blot")</f>
        <v>show blot</v>
      </c>
      <c r="J7990" s="5" t="s">
        <v>15730</v>
      </c>
      <c r="L7990" s="11">
        <v>4.8913910803015943</v>
      </c>
      <c r="N7990" s="12"/>
    </row>
    <row r="7991" spans="1:14" s="5" customFormat="1" ht="15" customHeight="1" x14ac:dyDescent="0.25">
      <c r="A7991" s="9" t="s">
        <v>15731</v>
      </c>
      <c r="C7991" s="9" t="str">
        <f>HYPERLINK("http://www.ncbi.nlm.nih.gov/protein/6755919","Ubb")</f>
        <v>Ubb</v>
      </c>
      <c r="D7991" s="10">
        <f t="shared" si="124"/>
        <v>7.1703855168071886</v>
      </c>
      <c r="F7991" s="8" t="str">
        <f>HYPERLINK("https://esbl.nhlbi.nih.gov/Databases/mpkFractions/proteomic_fractions_log_files/Yang_log_img/6755919.jpg","show blot")</f>
        <v>show blot</v>
      </c>
      <c r="H7991" s="8" t="str">
        <f>HYPERLINK("https://esbl.nhlbi.nih.gov/Databases/mpkFractions/proteomic_fractions_linear_files/Yang_linear_img/6755919.jpg","show blot")</f>
        <v>show blot</v>
      </c>
      <c r="J7991" s="5" t="s">
        <v>15732</v>
      </c>
      <c r="L7991" s="11">
        <v>7.1703855168071886</v>
      </c>
      <c r="N7991" s="12"/>
    </row>
    <row r="7992" spans="1:14" s="5" customFormat="1" ht="15" customHeight="1" x14ac:dyDescent="0.25">
      <c r="A7992" s="9" t="s">
        <v>15733</v>
      </c>
      <c r="C7992" s="9" t="str">
        <f>HYPERLINK("http://www.ncbi.nlm.nih.gov/protein/157671923","Ubc")</f>
        <v>Ubc</v>
      </c>
      <c r="D7992" s="10">
        <f t="shared" si="124"/>
        <v>6.7880505814657273</v>
      </c>
      <c r="F7992" s="8" t="str">
        <f>HYPERLINK("https://esbl.nhlbi.nih.gov/Databases/mpkFractions/proteomic_fractions_log_files/Yang_log_img/157671923.jpg","show blot")</f>
        <v>show blot</v>
      </c>
      <c r="H7992" s="8" t="str">
        <f>HYPERLINK("https://esbl.nhlbi.nih.gov/Databases/mpkFractions/proteomic_fractions_linear_files/Yang_linear_img/157671923.jpg","show blot")</f>
        <v>show blot</v>
      </c>
      <c r="J7992" s="5" t="s">
        <v>15734</v>
      </c>
      <c r="L7992" s="11">
        <v>6.7880505814657273</v>
      </c>
      <c r="N7992" s="12"/>
    </row>
    <row r="7993" spans="1:14" s="5" customFormat="1" ht="15" customHeight="1" x14ac:dyDescent="0.25">
      <c r="A7993" s="9" t="s">
        <v>15735</v>
      </c>
      <c r="C7993" s="9" t="str">
        <f>HYPERLINK("http://www.ncbi.nlm.nih.gov/protein/9790041","Ube2a")</f>
        <v>Ube2a</v>
      </c>
      <c r="D7993" s="10">
        <f t="shared" si="124"/>
        <v>4.288638882273637</v>
      </c>
      <c r="F7993" s="8" t="str">
        <f>HYPERLINK("https://esbl.nhlbi.nih.gov/Databases/mpkFractions/proteomic_fractions_log_files/Yang_log_img/9790041.jpg","show blot")</f>
        <v>show blot</v>
      </c>
      <c r="H7993" s="8" t="str">
        <f>HYPERLINK("https://esbl.nhlbi.nih.gov/Databases/mpkFractions/proteomic_fractions_linear_files/Yang_linear_img/9790041.jpg","show blot")</f>
        <v>show blot</v>
      </c>
      <c r="J7993" s="5" t="s">
        <v>15736</v>
      </c>
      <c r="L7993" s="11">
        <v>4.288638882273637</v>
      </c>
      <c r="N7993" s="12"/>
    </row>
    <row r="7994" spans="1:14" s="5" customFormat="1" ht="15" customHeight="1" x14ac:dyDescent="0.25">
      <c r="A7994" s="9" t="s">
        <v>15737</v>
      </c>
      <c r="C7994" s="9" t="str">
        <f>HYPERLINK("http://www.ncbi.nlm.nih.gov/protein/21312888","Ube2c")</f>
        <v>Ube2c</v>
      </c>
      <c r="D7994" s="10">
        <f t="shared" si="124"/>
        <v>4.6523193012710813</v>
      </c>
      <c r="F7994" s="8" t="str">
        <f>HYPERLINK("https://esbl.nhlbi.nih.gov/Databases/mpkFractions/proteomic_fractions_log_files/Yang_log_img/21312888.jpg","show blot")</f>
        <v>show blot</v>
      </c>
      <c r="H7994" s="8" t="str">
        <f>HYPERLINK("https://esbl.nhlbi.nih.gov/Databases/mpkFractions/proteomic_fractions_linear_files/Yang_linear_img/21312888.jpg","show blot")</f>
        <v>show blot</v>
      </c>
      <c r="J7994" s="5" t="s">
        <v>15738</v>
      </c>
      <c r="L7994" s="11">
        <v>4.6523193012710813</v>
      </c>
      <c r="N7994" s="12"/>
    </row>
    <row r="7995" spans="1:14" s="5" customFormat="1" ht="15" customHeight="1" x14ac:dyDescent="0.25">
      <c r="A7995" s="9" t="s">
        <v>15739</v>
      </c>
      <c r="C7995" s="9" t="str">
        <f>HYPERLINK("http://www.ncbi.nlm.nih.gov/protein/21703838","Ube2d1")</f>
        <v>Ube2d1</v>
      </c>
      <c r="D7995" s="10">
        <f t="shared" si="124"/>
        <v>4.7607781700094716</v>
      </c>
      <c r="F7995" s="8" t="str">
        <f>HYPERLINK("https://esbl.nhlbi.nih.gov/Databases/mpkFractions/proteomic_fractions_log_files/Yang_log_img/21703838.jpg","show blot")</f>
        <v>show blot</v>
      </c>
      <c r="H7995" s="8" t="str">
        <f>HYPERLINK("https://esbl.nhlbi.nih.gov/Databases/mpkFractions/proteomic_fractions_linear_files/Yang_linear_img/21703838.jpg","show blot")</f>
        <v>show blot</v>
      </c>
      <c r="J7995" s="5" t="s">
        <v>15740</v>
      </c>
      <c r="L7995" s="11">
        <v>4.7607781700094716</v>
      </c>
      <c r="N7995" s="12"/>
    </row>
    <row r="7996" spans="1:14" s="5" customFormat="1" ht="15" customHeight="1" x14ac:dyDescent="0.25">
      <c r="A7996" s="9" t="s">
        <v>15741</v>
      </c>
      <c r="C7996" s="9" t="str">
        <f>HYPERLINK("http://www.ncbi.nlm.nih.gov/protein/9910600","Ube2d2a")</f>
        <v>Ube2d2a</v>
      </c>
      <c r="D7996" s="10">
        <f t="shared" si="124"/>
        <v>5.9219725307481488</v>
      </c>
      <c r="F7996" s="8" t="str">
        <f>HYPERLINK("https://esbl.nhlbi.nih.gov/Databases/mpkFractions/proteomic_fractions_log_files/Yang_log_img/9910600.jpg","show blot")</f>
        <v>show blot</v>
      </c>
      <c r="H7996" s="8" t="str">
        <f>HYPERLINK("https://esbl.nhlbi.nih.gov/Databases/mpkFractions/proteomic_fractions_linear_files/Yang_linear_img/9910600.jpg","show blot")</f>
        <v>show blot</v>
      </c>
      <c r="J7996" s="5" t="s">
        <v>15742</v>
      </c>
      <c r="L7996" s="11">
        <v>5.9219725307481488</v>
      </c>
      <c r="N7996" s="12"/>
    </row>
    <row r="7997" spans="1:14" s="5" customFormat="1" ht="15" customHeight="1" x14ac:dyDescent="0.25">
      <c r="A7997" s="9" t="s">
        <v>15743</v>
      </c>
      <c r="C7997" s="9" t="str">
        <f>HYPERLINK("http://www.ncbi.nlm.nih.gov/protein/448889035","Ube2d2b")</f>
        <v>Ube2d2b</v>
      </c>
      <c r="D7997" s="10">
        <f t="shared" si="124"/>
        <v>5.8781450932265571</v>
      </c>
      <c r="F7997" s="8" t="str">
        <f>HYPERLINK("https://esbl.nhlbi.nih.gov/Databases/mpkFractions/proteomic_fractions_log_files/Yang_log_img/448889035.jpg","show blot")</f>
        <v>show blot</v>
      </c>
      <c r="H7997" s="8" t="str">
        <f>HYPERLINK("https://esbl.nhlbi.nih.gov/Databases/mpkFractions/proteomic_fractions_linear_files/Yang_linear_img/448889035.jpg","show blot")</f>
        <v>show blot</v>
      </c>
      <c r="J7997" s="5" t="s">
        <v>15744</v>
      </c>
      <c r="L7997" s="11">
        <v>5.8781450932265571</v>
      </c>
      <c r="N7997" s="12"/>
    </row>
    <row r="7998" spans="1:14" s="5" customFormat="1" ht="15" customHeight="1" x14ac:dyDescent="0.25">
      <c r="A7998" s="9" t="s">
        <v>15745</v>
      </c>
      <c r="C7998" s="9" t="str">
        <f>HYPERLINK("http://www.ncbi.nlm.nih.gov/protein/13384718","Ube2d3")</f>
        <v>Ube2d3</v>
      </c>
      <c r="D7998" s="10">
        <f t="shared" si="124"/>
        <v>5.9082708859666297</v>
      </c>
      <c r="F7998" s="8" t="str">
        <f>HYPERLINK("https://esbl.nhlbi.nih.gov/Databases/mpkFractions/proteomic_fractions_log_files/Yang_log_img/13384718.jpg","show blot")</f>
        <v>show blot</v>
      </c>
      <c r="H7998" s="8" t="str">
        <f>HYPERLINK("https://esbl.nhlbi.nih.gov/Databases/mpkFractions/proteomic_fractions_linear_files/Yang_linear_img/13384718.jpg","show blot")</f>
        <v>show blot</v>
      </c>
      <c r="J7998" s="5" t="s">
        <v>15746</v>
      </c>
      <c r="L7998" s="11">
        <v>5.9082708859666297</v>
      </c>
      <c r="N7998" s="12"/>
    </row>
    <row r="7999" spans="1:14" s="5" customFormat="1" ht="15" customHeight="1" x14ac:dyDescent="0.25">
      <c r="A7999" s="9" t="s">
        <v>15747</v>
      </c>
      <c r="C7999" s="9" t="str">
        <f>HYPERLINK("http://www.ncbi.nlm.nih.gov/protein/6678479","Ube2e1")</f>
        <v>Ube2e1</v>
      </c>
      <c r="D7999" s="10">
        <f t="shared" si="124"/>
        <v>4.5574950704255999</v>
      </c>
      <c r="F7999" s="8" t="str">
        <f>HYPERLINK("https://esbl.nhlbi.nih.gov/Databases/mpkFractions/proteomic_fractions_log_files/Yang_log_img/6678479.jpg","show blot")</f>
        <v>show blot</v>
      </c>
      <c r="H7999" s="8" t="str">
        <f>HYPERLINK("https://esbl.nhlbi.nih.gov/Databases/mpkFractions/proteomic_fractions_linear_files/Yang_linear_img/6678479.jpg","show blot")</f>
        <v>show blot</v>
      </c>
      <c r="J7999" s="5" t="s">
        <v>15748</v>
      </c>
      <c r="L7999" s="11">
        <v>4.5574950704255999</v>
      </c>
      <c r="N7999" s="12"/>
    </row>
    <row r="8000" spans="1:14" s="5" customFormat="1" ht="15" customHeight="1" x14ac:dyDescent="0.25">
      <c r="A8000" s="9" t="s">
        <v>15749</v>
      </c>
      <c r="C8000" s="9" t="str">
        <f>HYPERLINK("http://www.ncbi.nlm.nih.gov/protein/21450233","Ube2e2")</f>
        <v>Ube2e2</v>
      </c>
      <c r="D8000" s="10">
        <f t="shared" si="124"/>
        <v>4.6969155920096366</v>
      </c>
      <c r="F8000" s="8" t="str">
        <f>HYPERLINK("https://esbl.nhlbi.nih.gov/Databases/mpkFractions/proteomic_fractions_log_files/Yang_log_img/21450233.jpg","show blot")</f>
        <v>show blot</v>
      </c>
      <c r="H8000" s="8" t="str">
        <f>HYPERLINK("https://esbl.nhlbi.nih.gov/Databases/mpkFractions/proteomic_fractions_linear_files/Yang_linear_img/21450233.jpg","show blot")</f>
        <v>show blot</v>
      </c>
      <c r="J8000" s="5" t="s">
        <v>15750</v>
      </c>
      <c r="L8000" s="11">
        <v>4.6969155920096366</v>
      </c>
      <c r="N8000" s="12"/>
    </row>
    <row r="8001" spans="1:14" s="5" customFormat="1" ht="15" customHeight="1" x14ac:dyDescent="0.25">
      <c r="A8001" s="9" t="s">
        <v>15751</v>
      </c>
      <c r="C8001" s="9" t="str">
        <f>HYPERLINK("http://www.ncbi.nlm.nih.gov/protein/6678477","Ube2e3")</f>
        <v>Ube2e3</v>
      </c>
      <c r="D8001" s="10">
        <f t="shared" si="124"/>
        <v>4.8348417538169262</v>
      </c>
      <c r="F8001" s="8" t="str">
        <f>HYPERLINK("https://esbl.nhlbi.nih.gov/Databases/mpkFractions/proteomic_fractions_log_files/Yang_log_img/6678477.jpg","show blot")</f>
        <v>show blot</v>
      </c>
      <c r="H8001" s="8" t="str">
        <f>HYPERLINK("https://esbl.nhlbi.nih.gov/Databases/mpkFractions/proteomic_fractions_linear_files/Yang_linear_img/6678477.jpg","show blot")</f>
        <v>show blot</v>
      </c>
      <c r="J8001" s="5" t="s">
        <v>15752</v>
      </c>
      <c r="L8001" s="11">
        <v>4.8348417538169262</v>
      </c>
      <c r="N8001" s="12"/>
    </row>
    <row r="8002" spans="1:14" s="5" customFormat="1" ht="15" customHeight="1" x14ac:dyDescent="0.25">
      <c r="A8002" s="9" t="s">
        <v>15753</v>
      </c>
      <c r="C8002" s="9" t="str">
        <f>HYPERLINK("http://www.ncbi.nlm.nih.gov/protein/13385948","Ube2f")</f>
        <v>Ube2f</v>
      </c>
      <c r="D8002" s="10">
        <f t="shared" si="124"/>
        <v>4.6806934499321606</v>
      </c>
      <c r="F8002" s="8" t="str">
        <f>HYPERLINK("https://esbl.nhlbi.nih.gov/Databases/mpkFractions/proteomic_fractions_log_files/Yang_log_img/13385948.jpg","show blot")</f>
        <v>show blot</v>
      </c>
      <c r="H8002" s="8" t="str">
        <f>HYPERLINK("https://esbl.nhlbi.nih.gov/Databases/mpkFractions/proteomic_fractions_linear_files/Yang_linear_img/13385948.jpg","show blot")</f>
        <v>show blot</v>
      </c>
      <c r="J8002" s="5" t="s">
        <v>15754</v>
      </c>
      <c r="L8002" s="11">
        <v>4.6806934499321606</v>
      </c>
      <c r="N8002" s="12"/>
    </row>
    <row r="8003" spans="1:14" s="5" customFormat="1" ht="15" customHeight="1" x14ac:dyDescent="0.25">
      <c r="A8003" s="9" t="s">
        <v>15755</v>
      </c>
      <c r="C8003" s="9" t="str">
        <f>HYPERLINK("http://www.ncbi.nlm.nih.gov/protein/27754105","Ube2g1")</f>
        <v>Ube2g1</v>
      </c>
      <c r="D8003" s="10">
        <f t="shared" si="124"/>
        <v>4.8554701533599216</v>
      </c>
      <c r="F8003" s="8" t="str">
        <f>HYPERLINK("https://esbl.nhlbi.nih.gov/Databases/mpkFractions/proteomic_fractions_log_files/Yang_log_img/27754105.jpg","show blot")</f>
        <v>show blot</v>
      </c>
      <c r="H8003" s="8" t="str">
        <f>HYPERLINK("https://esbl.nhlbi.nih.gov/Databases/mpkFractions/proteomic_fractions_linear_files/Yang_linear_img/27754105.jpg","show blot")</f>
        <v>show blot</v>
      </c>
      <c r="J8003" s="5" t="s">
        <v>15756</v>
      </c>
      <c r="L8003" s="11">
        <v>4.8554701533599216</v>
      </c>
      <c r="N8003" s="12"/>
    </row>
    <row r="8004" spans="1:14" s="5" customFormat="1" ht="15" customHeight="1" x14ac:dyDescent="0.25">
      <c r="A8004" s="9" t="s">
        <v>15757</v>
      </c>
      <c r="C8004" s="9" t="str">
        <f>HYPERLINK("http://www.ncbi.nlm.nih.gov/protein/281332142","Ube2h")</f>
        <v>Ube2h</v>
      </c>
      <c r="D8004" s="10">
        <f t="shared" si="124"/>
        <v>5.5172513153707516</v>
      </c>
      <c r="F8004" s="8" t="str">
        <f>HYPERLINK("https://esbl.nhlbi.nih.gov/Databases/mpkFractions/proteomic_fractions_log_files/Yang_log_img/281332142.jpg","show blot")</f>
        <v>show blot</v>
      </c>
      <c r="H8004" s="8" t="str">
        <f>HYPERLINK("https://esbl.nhlbi.nih.gov/Databases/mpkFractions/proteomic_fractions_linear_files/Yang_linear_img/281332142.jpg","show blot")</f>
        <v>show blot</v>
      </c>
      <c r="J8004" s="5" t="s">
        <v>15758</v>
      </c>
      <c r="L8004" s="11">
        <v>5.5172513153707516</v>
      </c>
      <c r="N8004" s="12"/>
    </row>
    <row r="8005" spans="1:14" s="5" customFormat="1" ht="15" customHeight="1" x14ac:dyDescent="0.25">
      <c r="A8005" s="9" t="s">
        <v>15759</v>
      </c>
      <c r="C8005" s="9" t="str">
        <f>HYPERLINK("http://www.ncbi.nlm.nih.gov/protein/6678487","Ube2h")</f>
        <v>Ube2h</v>
      </c>
      <c r="D8005" s="10">
        <f t="shared" ref="D8005:D8068" si="125">L8005</f>
        <v>5.5172513153707516</v>
      </c>
      <c r="F8005" s="8" t="str">
        <f>HYPERLINK("https://esbl.nhlbi.nih.gov/Databases/mpkFractions/proteomic_fractions_log_files/Yang_log_img/6678487.jpg","show blot")</f>
        <v>show blot</v>
      </c>
      <c r="H8005" s="8" t="str">
        <f>HYPERLINK("https://esbl.nhlbi.nih.gov/Databases/mpkFractions/proteomic_fractions_linear_files/Yang_linear_img/6678487.jpg","show blot")</f>
        <v>show blot</v>
      </c>
      <c r="J8005" s="5" t="s">
        <v>15760</v>
      </c>
      <c r="L8005" s="11">
        <v>5.5172513153707516</v>
      </c>
      <c r="N8005" s="12"/>
    </row>
    <row r="8006" spans="1:14" s="5" customFormat="1" ht="15" customHeight="1" x14ac:dyDescent="0.25">
      <c r="A8006" s="9" t="s">
        <v>15761</v>
      </c>
      <c r="C8006" s="9" t="str">
        <f>HYPERLINK("http://www.ncbi.nlm.nih.gov/protein/31542956","Ube2k")</f>
        <v>Ube2k</v>
      </c>
      <c r="D8006" s="10">
        <f t="shared" si="125"/>
        <v>5.9478355521540349</v>
      </c>
      <c r="F8006" s="8" t="str">
        <f>HYPERLINK("https://esbl.nhlbi.nih.gov/Databases/mpkFractions/proteomic_fractions_log_files/Yang_log_img/31542956.jpg","show blot")</f>
        <v>show blot</v>
      </c>
      <c r="H8006" s="8" t="str">
        <f>HYPERLINK("https://esbl.nhlbi.nih.gov/Databases/mpkFractions/proteomic_fractions_linear_files/Yang_linear_img/31542956.jpg","show blot")</f>
        <v>show blot</v>
      </c>
      <c r="J8006" s="5" t="s">
        <v>15762</v>
      </c>
      <c r="L8006" s="11">
        <v>5.9478355521540349</v>
      </c>
      <c r="N8006" s="12"/>
    </row>
    <row r="8007" spans="1:14" s="5" customFormat="1" ht="15" customHeight="1" x14ac:dyDescent="0.25">
      <c r="A8007" s="9" t="s">
        <v>15763</v>
      </c>
      <c r="C8007" s="9" t="str">
        <f>HYPERLINK("http://www.ncbi.nlm.nih.gov/protein/21704162","Ube2m")</f>
        <v>Ube2m</v>
      </c>
      <c r="D8007" s="10">
        <f t="shared" si="125"/>
        <v>5.9978668642620594</v>
      </c>
      <c r="F8007" s="8" t="str">
        <f>HYPERLINK("https://esbl.nhlbi.nih.gov/Databases/mpkFractions/proteomic_fractions_log_files/Yang_log_img/21704162.jpg","show blot")</f>
        <v>show blot</v>
      </c>
      <c r="H8007" s="8" t="str">
        <f>HYPERLINK("https://esbl.nhlbi.nih.gov/Databases/mpkFractions/proteomic_fractions_linear_files/Yang_linear_img/21704162.jpg","show blot")</f>
        <v>show blot</v>
      </c>
      <c r="J8007" s="5" t="s">
        <v>15764</v>
      </c>
      <c r="L8007" s="11">
        <v>5.9978668642620594</v>
      </c>
      <c r="N8007" s="12"/>
    </row>
    <row r="8008" spans="1:14" s="5" customFormat="1" ht="15" customHeight="1" x14ac:dyDescent="0.25">
      <c r="A8008" s="9" t="s">
        <v>15765</v>
      </c>
      <c r="C8008" s="9" t="str">
        <f>HYPERLINK("http://www.ncbi.nlm.nih.gov/protein/270309117","Ube2m")</f>
        <v>Ube2m</v>
      </c>
      <c r="D8008" s="10">
        <f t="shared" si="125"/>
        <v>5.9978668642620594</v>
      </c>
      <c r="F8008" s="8" t="str">
        <f>HYPERLINK("https://esbl.nhlbi.nih.gov/Databases/mpkFractions/proteomic_fractions_log_files/Yang_log_img/270309117.jpg","show blot")</f>
        <v>show blot</v>
      </c>
      <c r="H8008" s="8" t="str">
        <f>HYPERLINK("https://esbl.nhlbi.nih.gov/Databases/mpkFractions/proteomic_fractions_linear_files/Yang_linear_img/270309117.jpg","show blot")</f>
        <v>show blot</v>
      </c>
      <c r="J8008" s="5" t="s">
        <v>15766</v>
      </c>
      <c r="L8008" s="11">
        <v>5.9978668642620594</v>
      </c>
      <c r="N8008" s="12"/>
    </row>
    <row r="8009" spans="1:14" s="5" customFormat="1" ht="15" customHeight="1" x14ac:dyDescent="0.25">
      <c r="A8009" s="9" t="s">
        <v>15767</v>
      </c>
      <c r="C8009" s="9" t="str">
        <f>HYPERLINK("http://www.ncbi.nlm.nih.gov/protein/345525404","Ube2m")</f>
        <v>Ube2m</v>
      </c>
      <c r="D8009" s="10">
        <f t="shared" si="125"/>
        <v>5.9978668642620594</v>
      </c>
      <c r="F8009" s="8" t="str">
        <f>HYPERLINK("https://esbl.nhlbi.nih.gov/Databases/mpkFractions/proteomic_fractions_log_files/Yang_log_img/345525404.jpg","show blot")</f>
        <v>show blot</v>
      </c>
      <c r="H8009" s="8" t="str">
        <f>HYPERLINK("https://esbl.nhlbi.nih.gov/Databases/mpkFractions/proteomic_fractions_linear_files/Yang_linear_img/345525404.jpg","show blot")</f>
        <v>show blot</v>
      </c>
      <c r="J8009" s="5" t="s">
        <v>15768</v>
      </c>
      <c r="L8009" s="11">
        <v>5.9978668642620594</v>
      </c>
      <c r="N8009" s="12"/>
    </row>
    <row r="8010" spans="1:14" s="5" customFormat="1" ht="15" customHeight="1" x14ac:dyDescent="0.25">
      <c r="A8010" s="9" t="s">
        <v>15769</v>
      </c>
      <c r="C8010" s="9" t="str">
        <f>HYPERLINK("http://www.ncbi.nlm.nih.gov/protein/18017605","Ube2n")</f>
        <v>Ube2n</v>
      </c>
      <c r="D8010" s="10">
        <f t="shared" si="125"/>
        <v>6.5112528719794458</v>
      </c>
      <c r="F8010" s="8" t="str">
        <f>HYPERLINK("https://esbl.nhlbi.nih.gov/Databases/mpkFractions/proteomic_fractions_log_files/Yang_log_img/18017605.jpg","show blot")</f>
        <v>show blot</v>
      </c>
      <c r="H8010" s="8" t="str">
        <f>HYPERLINK("https://esbl.nhlbi.nih.gov/Databases/mpkFractions/proteomic_fractions_linear_files/Yang_linear_img/18017605.jpg","show blot")</f>
        <v>show blot</v>
      </c>
      <c r="J8010" s="5" t="s">
        <v>15770</v>
      </c>
      <c r="L8010" s="11">
        <v>6.5112528719794458</v>
      </c>
      <c r="N8010" s="12"/>
    </row>
    <row r="8011" spans="1:14" s="5" customFormat="1" ht="15" customHeight="1" x14ac:dyDescent="0.25">
      <c r="A8011" s="9" t="s">
        <v>15771</v>
      </c>
      <c r="C8011" s="9" t="str">
        <f>HYPERLINK("http://www.ncbi.nlm.nih.gov/protein/50234896","Ube2o")</f>
        <v>Ube2o</v>
      </c>
      <c r="D8011" s="10">
        <f t="shared" si="125"/>
        <v>4.6953314591483224</v>
      </c>
      <c r="F8011" s="8" t="str">
        <f>HYPERLINK("https://esbl.nhlbi.nih.gov/Databases/mpkFractions/proteomic_fractions_log_files/Yang_log_img/50234896.jpg","show blot")</f>
        <v>show blot</v>
      </c>
      <c r="H8011" s="8" t="str">
        <f>HYPERLINK("https://esbl.nhlbi.nih.gov/Databases/mpkFractions/proteomic_fractions_linear_files/Yang_linear_img/50234896.jpg","show blot")</f>
        <v>show blot</v>
      </c>
      <c r="J8011" s="5" t="s">
        <v>15772</v>
      </c>
      <c r="L8011" s="11">
        <v>4.6953314591483224</v>
      </c>
      <c r="N8011" s="12"/>
    </row>
    <row r="8012" spans="1:14" s="5" customFormat="1" ht="15" customHeight="1" x14ac:dyDescent="0.25">
      <c r="A8012" s="9" t="s">
        <v>15773</v>
      </c>
      <c r="C8012" s="9" t="str">
        <f>HYPERLINK("http://www.ncbi.nlm.nih.gov/protein/170172548","Ube2q1")</f>
        <v>Ube2q1</v>
      </c>
      <c r="D8012" s="10">
        <f t="shared" si="125"/>
        <v>4.1426367108136111</v>
      </c>
      <c r="F8012" s="8" t="str">
        <f>HYPERLINK("https://esbl.nhlbi.nih.gov/Databases/mpkFractions/proteomic_fractions_log_files/Yang_log_img/170172548.jpg","show blot")</f>
        <v>show blot</v>
      </c>
      <c r="H8012" s="8" t="str">
        <f>HYPERLINK("https://esbl.nhlbi.nih.gov/Databases/mpkFractions/proteomic_fractions_linear_files/Yang_linear_img/170172548.jpg","show blot")</f>
        <v>show blot</v>
      </c>
      <c r="J8012" s="5" t="s">
        <v>15774</v>
      </c>
      <c r="L8012" s="11">
        <v>4.1426367108136111</v>
      </c>
      <c r="N8012" s="12"/>
    </row>
    <row r="8013" spans="1:14" s="5" customFormat="1" ht="15" customHeight="1" x14ac:dyDescent="0.25">
      <c r="A8013" s="9" t="s">
        <v>15775</v>
      </c>
      <c r="C8013" s="9" t="str">
        <f>HYPERLINK("http://www.ncbi.nlm.nih.gov/protein/257796272","Ube2q2")</f>
        <v>Ube2q2</v>
      </c>
      <c r="D8013" s="10">
        <f t="shared" si="125"/>
        <v>4.9458133664646713</v>
      </c>
      <c r="F8013" s="8" t="str">
        <f>HYPERLINK("https://esbl.nhlbi.nih.gov/Databases/mpkFractions/proteomic_fractions_log_files/Yang_log_img/257796272.jpg","show blot")</f>
        <v>show blot</v>
      </c>
      <c r="H8013" s="8" t="str">
        <f>HYPERLINK("https://esbl.nhlbi.nih.gov/Databases/mpkFractions/proteomic_fractions_linear_files/Yang_linear_img/257796272.jpg","show blot")</f>
        <v>show blot</v>
      </c>
      <c r="J8013" s="5" t="s">
        <v>15776</v>
      </c>
      <c r="L8013" s="11">
        <v>4.9458133664646713</v>
      </c>
      <c r="N8013" s="12"/>
    </row>
    <row r="8014" spans="1:14" s="5" customFormat="1" ht="15" customHeight="1" x14ac:dyDescent="0.25">
      <c r="A8014" s="9" t="s">
        <v>15777</v>
      </c>
      <c r="C8014" s="9" t="str">
        <f>HYPERLINK("http://www.ncbi.nlm.nih.gov/protein/13385778","Ube2r2")</f>
        <v>Ube2r2</v>
      </c>
      <c r="D8014" s="10">
        <f t="shared" si="125"/>
        <v>4.6391740374657982</v>
      </c>
      <c r="F8014" s="8" t="str">
        <f>HYPERLINK("https://esbl.nhlbi.nih.gov/Databases/mpkFractions/proteomic_fractions_log_files/Yang_log_img/13385778.jpg","show blot")</f>
        <v>show blot</v>
      </c>
      <c r="H8014" s="8" t="str">
        <f>HYPERLINK("https://esbl.nhlbi.nih.gov/Databases/mpkFractions/proteomic_fractions_linear_files/Yang_linear_img/13385778.jpg","show blot")</f>
        <v>show blot</v>
      </c>
      <c r="J8014" s="5" t="s">
        <v>15778</v>
      </c>
      <c r="L8014" s="11">
        <v>4.6391740374657982</v>
      </c>
      <c r="N8014" s="12"/>
    </row>
    <row r="8015" spans="1:14" s="5" customFormat="1" ht="15" customHeight="1" x14ac:dyDescent="0.25">
      <c r="A8015" s="9" t="s">
        <v>15779</v>
      </c>
      <c r="C8015" s="9" t="str">
        <f>HYPERLINK("http://www.ncbi.nlm.nih.gov/protein/19527004","Ube2s")</f>
        <v>Ube2s</v>
      </c>
      <c r="D8015" s="10">
        <f t="shared" si="125"/>
        <v>4.763092281032324</v>
      </c>
      <c r="F8015" s="8" t="str">
        <f>HYPERLINK("https://esbl.nhlbi.nih.gov/Databases/mpkFractions/proteomic_fractions_log_files/Yang_log_img/19527004.jpg","show blot")</f>
        <v>show blot</v>
      </c>
      <c r="H8015" s="8" t="str">
        <f>HYPERLINK("https://esbl.nhlbi.nih.gov/Databases/mpkFractions/proteomic_fractions_linear_files/Yang_linear_img/19527004.jpg","show blot")</f>
        <v>show blot</v>
      </c>
      <c r="J8015" s="5" t="s">
        <v>15780</v>
      </c>
      <c r="L8015" s="11">
        <v>4.763092281032324</v>
      </c>
      <c r="N8015" s="12"/>
    </row>
    <row r="8016" spans="1:14" s="5" customFormat="1" ht="15" customHeight="1" x14ac:dyDescent="0.25">
      <c r="A8016" s="9" t="s">
        <v>15781</v>
      </c>
      <c r="C8016" s="9" t="str">
        <f>HYPERLINK("http://www.ncbi.nlm.nih.gov/protein/13385530","Ube2t")</f>
        <v>Ube2t</v>
      </c>
      <c r="D8016" s="10">
        <f t="shared" si="125"/>
        <v>5.6270727014283608</v>
      </c>
      <c r="F8016" s="8" t="str">
        <f>HYPERLINK("https://esbl.nhlbi.nih.gov/Databases/mpkFractions/proteomic_fractions_log_files/Yang_log_img/13385530.jpg","show blot")</f>
        <v>show blot</v>
      </c>
      <c r="H8016" s="8" t="str">
        <f>HYPERLINK("https://esbl.nhlbi.nih.gov/Databases/mpkFractions/proteomic_fractions_linear_files/Yang_linear_img/13385530.jpg","show blot")</f>
        <v>show blot</v>
      </c>
      <c r="J8016" s="5" t="s">
        <v>15782</v>
      </c>
      <c r="L8016" s="11">
        <v>5.6270727014283608</v>
      </c>
      <c r="N8016" s="12"/>
    </row>
    <row r="8017" spans="1:14" s="5" customFormat="1" ht="15" customHeight="1" x14ac:dyDescent="0.25">
      <c r="A8017" s="9" t="s">
        <v>15783</v>
      </c>
      <c r="C8017" s="9" t="str">
        <f>HYPERLINK("http://www.ncbi.nlm.nih.gov/protein/42741690","Ube2v1")</f>
        <v>Ube2v1</v>
      </c>
      <c r="D8017" s="10">
        <f t="shared" si="125"/>
        <v>6.8678196250739338</v>
      </c>
      <c r="F8017" s="8" t="str">
        <f>HYPERLINK("https://esbl.nhlbi.nih.gov/Databases/mpkFractions/proteomic_fractions_log_files/Yang_log_img/42741690.jpg","show blot")</f>
        <v>show blot</v>
      </c>
      <c r="H8017" s="8" t="str">
        <f>HYPERLINK("https://esbl.nhlbi.nih.gov/Databases/mpkFractions/proteomic_fractions_linear_files/Yang_linear_img/42741690.jpg","show blot")</f>
        <v>show blot</v>
      </c>
      <c r="J8017" s="5" t="s">
        <v>15784</v>
      </c>
      <c r="L8017" s="11">
        <v>6.8678196250739338</v>
      </c>
      <c r="N8017" s="12"/>
    </row>
    <row r="8018" spans="1:14" s="5" customFormat="1" ht="15" customHeight="1" x14ac:dyDescent="0.25">
      <c r="A8018" s="9" t="s">
        <v>15785</v>
      </c>
      <c r="C8018" s="9" t="str">
        <f>HYPERLINK("http://www.ncbi.nlm.nih.gov/protein/226823223","Ube2v2")</f>
        <v>Ube2v2</v>
      </c>
      <c r="D8018" s="10">
        <f t="shared" si="125"/>
        <v>6.845051713224132</v>
      </c>
      <c r="F8018" s="8" t="str">
        <f>HYPERLINK("https://esbl.nhlbi.nih.gov/Databases/mpkFractions/proteomic_fractions_log_files/Yang_log_img/226823223.jpg","show blot")</f>
        <v>show blot</v>
      </c>
      <c r="H8018" s="8" t="str">
        <f>HYPERLINK("https://esbl.nhlbi.nih.gov/Databases/mpkFractions/proteomic_fractions_linear_files/Yang_linear_img/226823223.jpg","show blot")</f>
        <v>show blot</v>
      </c>
      <c r="J8018" s="5" t="s">
        <v>15786</v>
      </c>
      <c r="L8018" s="11">
        <v>6.845051713224132</v>
      </c>
      <c r="N8018" s="12"/>
    </row>
    <row r="8019" spans="1:14" s="5" customFormat="1" ht="15" customHeight="1" x14ac:dyDescent="0.25">
      <c r="A8019" s="9" t="s">
        <v>15787</v>
      </c>
      <c r="C8019" s="9" t="str">
        <f>HYPERLINK("http://www.ncbi.nlm.nih.gov/protein/31543918","Ube2v2")</f>
        <v>Ube2v2</v>
      </c>
      <c r="D8019" s="10">
        <f t="shared" si="125"/>
        <v>6.845051713224132</v>
      </c>
      <c r="F8019" s="8" t="str">
        <f>HYPERLINK("https://esbl.nhlbi.nih.gov/Databases/mpkFractions/proteomic_fractions_log_files/Yang_log_img/31543918.jpg","show blot")</f>
        <v>show blot</v>
      </c>
      <c r="H8019" s="8" t="str">
        <f>HYPERLINK("https://esbl.nhlbi.nih.gov/Databases/mpkFractions/proteomic_fractions_linear_files/Yang_linear_img/31543918.jpg","show blot")</f>
        <v>show blot</v>
      </c>
      <c r="J8019" s="5" t="s">
        <v>15788</v>
      </c>
      <c r="L8019" s="11">
        <v>6.845051713224132</v>
      </c>
      <c r="N8019" s="12"/>
    </row>
    <row r="8020" spans="1:14" s="5" customFormat="1" ht="15" customHeight="1" x14ac:dyDescent="0.25">
      <c r="A8020" s="9" t="s">
        <v>15789</v>
      </c>
      <c r="C8020" s="9" t="str">
        <f>HYPERLINK("http://www.ncbi.nlm.nih.gov/protein/401891882","Ube2w")</f>
        <v>Ube2w</v>
      </c>
      <c r="D8020" s="10">
        <f t="shared" si="125"/>
        <v>3.1347206021691472</v>
      </c>
      <c r="F8020" s="8" t="str">
        <f>HYPERLINK("https://esbl.nhlbi.nih.gov/Databases/mpkFractions/proteomic_fractions_log_files/Yang_log_img/401891882.jpg","show blot")</f>
        <v>show blot</v>
      </c>
      <c r="H8020" s="8" t="str">
        <f>HYPERLINK("https://esbl.nhlbi.nih.gov/Databases/mpkFractions/proteomic_fractions_linear_files/Yang_linear_img/401891882.jpg","show blot")</f>
        <v>show blot</v>
      </c>
      <c r="J8020" s="5" t="s">
        <v>15790</v>
      </c>
      <c r="L8020" s="11">
        <v>3.1347206021691472</v>
      </c>
      <c r="N8020" s="12"/>
    </row>
    <row r="8021" spans="1:14" s="5" customFormat="1" ht="15" customHeight="1" x14ac:dyDescent="0.25">
      <c r="A8021" s="9" t="s">
        <v>15791</v>
      </c>
      <c r="C8021" s="9" t="str">
        <f>HYPERLINK("http://www.ncbi.nlm.nih.gov/protein/401891885","Ube2w")</f>
        <v>Ube2w</v>
      </c>
      <c r="D8021" s="10">
        <f t="shared" si="125"/>
        <v>3.1347206021691472</v>
      </c>
      <c r="F8021" s="8" t="str">
        <f>HYPERLINK("https://esbl.nhlbi.nih.gov/Databases/mpkFractions/proteomic_fractions_log_files/Yang_log_img/401891885.jpg","show blot")</f>
        <v>show blot</v>
      </c>
      <c r="H8021" s="8" t="str">
        <f>HYPERLINK("https://esbl.nhlbi.nih.gov/Databases/mpkFractions/proteomic_fractions_linear_files/Yang_linear_img/401891885.jpg","show blot")</f>
        <v>show blot</v>
      </c>
      <c r="J8021" s="5" t="s">
        <v>15792</v>
      </c>
      <c r="L8021" s="11">
        <v>3.1347206021691472</v>
      </c>
      <c r="N8021" s="12"/>
    </row>
    <row r="8022" spans="1:14" s="5" customFormat="1" ht="15" customHeight="1" x14ac:dyDescent="0.25">
      <c r="A8022" s="9" t="s">
        <v>15793</v>
      </c>
      <c r="C8022" s="9" t="str">
        <f>HYPERLINK("http://www.ncbi.nlm.nih.gov/protein/401901244","Ube2w")</f>
        <v>Ube2w</v>
      </c>
      <c r="D8022" s="10">
        <f t="shared" si="125"/>
        <v>3.1347206021691472</v>
      </c>
      <c r="F8022" s="8" t="str">
        <f>HYPERLINK("https://esbl.nhlbi.nih.gov/Databases/mpkFractions/proteomic_fractions_log_files/Yang_log_img/401901244.jpg","show blot")</f>
        <v>show blot</v>
      </c>
      <c r="H8022" s="8" t="str">
        <f>HYPERLINK("https://esbl.nhlbi.nih.gov/Databases/mpkFractions/proteomic_fractions_linear_files/Yang_linear_img/401901244.jpg","show blot")</f>
        <v>show blot</v>
      </c>
      <c r="J8022" s="5" t="s">
        <v>15794</v>
      </c>
      <c r="L8022" s="11">
        <v>3.1347206021691472</v>
      </c>
      <c r="N8022" s="12"/>
    </row>
    <row r="8023" spans="1:14" s="5" customFormat="1" ht="15" customHeight="1" x14ac:dyDescent="0.25">
      <c r="A8023" s="9" t="s">
        <v>15795</v>
      </c>
      <c r="C8023" s="9" t="str">
        <f>HYPERLINK("http://www.ncbi.nlm.nih.gov/protein/110681729","Ube2z")</f>
        <v>Ube2z</v>
      </c>
      <c r="D8023" s="10">
        <f t="shared" si="125"/>
        <v>5.3636724340414688</v>
      </c>
      <c r="F8023" s="8" t="str">
        <f>HYPERLINK("https://esbl.nhlbi.nih.gov/Databases/mpkFractions/proteomic_fractions_log_files/Yang_log_img/110681729.jpg","show blot")</f>
        <v>show blot</v>
      </c>
      <c r="H8023" s="8" t="str">
        <f>HYPERLINK("https://esbl.nhlbi.nih.gov/Databases/mpkFractions/proteomic_fractions_linear_files/Yang_linear_img/110681729.jpg","show blot")</f>
        <v>show blot</v>
      </c>
      <c r="J8023" s="5" t="s">
        <v>15796</v>
      </c>
      <c r="L8023" s="11">
        <v>5.3636724340414688</v>
      </c>
      <c r="N8023" s="12"/>
    </row>
    <row r="8024" spans="1:14" s="5" customFormat="1" ht="15" customHeight="1" x14ac:dyDescent="0.25">
      <c r="A8024" s="9" t="s">
        <v>15797</v>
      </c>
      <c r="C8024" s="9" t="str">
        <f>HYPERLINK("http://www.ncbi.nlm.nih.gov/protein/27804321","Ube3a")</f>
        <v>Ube3a</v>
      </c>
      <c r="D8024" s="10">
        <f t="shared" si="125"/>
        <v>4.537845444269708</v>
      </c>
      <c r="F8024" s="8" t="str">
        <f>HYPERLINK("https://esbl.nhlbi.nih.gov/Databases/mpkFractions/proteomic_fractions_log_files/Yang_log_img/27804321.jpg","show blot")</f>
        <v>show blot</v>
      </c>
      <c r="H8024" s="8" t="str">
        <f>HYPERLINK("https://esbl.nhlbi.nih.gov/Databases/mpkFractions/proteomic_fractions_linear_files/Yang_linear_img/27804321.jpg","show blot")</f>
        <v>show blot</v>
      </c>
      <c r="J8024" s="5" t="s">
        <v>15798</v>
      </c>
      <c r="L8024" s="11">
        <v>4.537845444269708</v>
      </c>
      <c r="N8024" s="12"/>
    </row>
    <row r="8025" spans="1:14" s="5" customFormat="1" ht="15" customHeight="1" x14ac:dyDescent="0.25">
      <c r="A8025" s="9" t="s">
        <v>15799</v>
      </c>
      <c r="C8025" s="9" t="str">
        <f>HYPERLINK("http://www.ncbi.nlm.nih.gov/protein/76880494","Ube3a")</f>
        <v>Ube3a</v>
      </c>
      <c r="D8025" s="10">
        <f t="shared" si="125"/>
        <v>4.537845444269708</v>
      </c>
      <c r="F8025" s="8" t="str">
        <f>HYPERLINK("https://esbl.nhlbi.nih.gov/Databases/mpkFractions/proteomic_fractions_log_files/Yang_log_img/76880494.jpg","show blot")</f>
        <v>show blot</v>
      </c>
      <c r="H8025" s="8" t="str">
        <f>HYPERLINK("https://esbl.nhlbi.nih.gov/Databases/mpkFractions/proteomic_fractions_linear_files/Yang_linear_img/76880494.jpg","show blot")</f>
        <v>show blot</v>
      </c>
      <c r="J8025" s="5" t="s">
        <v>15800</v>
      </c>
      <c r="L8025" s="11">
        <v>4.537845444269708</v>
      </c>
      <c r="N8025" s="12"/>
    </row>
    <row r="8026" spans="1:14" s="5" customFormat="1" ht="15" customHeight="1" x14ac:dyDescent="0.25">
      <c r="A8026" s="9" t="s">
        <v>15801</v>
      </c>
      <c r="C8026" s="9" t="str">
        <f>HYPERLINK("http://www.ncbi.nlm.nih.gov/protein/76880500","Ube3a")</f>
        <v>Ube3a</v>
      </c>
      <c r="D8026" s="10">
        <f t="shared" si="125"/>
        <v>4.537845444269708</v>
      </c>
      <c r="F8026" s="8" t="str">
        <f>HYPERLINK("https://esbl.nhlbi.nih.gov/Databases/mpkFractions/proteomic_fractions_log_files/Yang_log_img/76880500.jpg","show blot")</f>
        <v>show blot</v>
      </c>
      <c r="H8026" s="8" t="str">
        <f>HYPERLINK("https://esbl.nhlbi.nih.gov/Databases/mpkFractions/proteomic_fractions_linear_files/Yang_linear_img/76880500.jpg","show blot")</f>
        <v>show blot</v>
      </c>
      <c r="J8026" s="5" t="s">
        <v>15802</v>
      </c>
      <c r="L8026" s="11">
        <v>4.537845444269708</v>
      </c>
      <c r="N8026" s="12"/>
    </row>
    <row r="8027" spans="1:14" s="5" customFormat="1" ht="15" customHeight="1" x14ac:dyDescent="0.25">
      <c r="A8027" s="9" t="s">
        <v>15803</v>
      </c>
      <c r="C8027" s="9" t="str">
        <f>HYPERLINK("http://www.ncbi.nlm.nih.gov/protein/29789341","Ube3c")</f>
        <v>Ube3c</v>
      </c>
      <c r="D8027" s="10">
        <f t="shared" si="125"/>
        <v>4.0073852378628629</v>
      </c>
      <c r="F8027" s="8" t="str">
        <f>HYPERLINK("https://esbl.nhlbi.nih.gov/Databases/mpkFractions/proteomic_fractions_log_files/Yang_log_img/29789341.jpg","show blot")</f>
        <v>show blot</v>
      </c>
      <c r="H8027" s="8" t="str">
        <f>HYPERLINK("https://esbl.nhlbi.nih.gov/Databases/mpkFractions/proteomic_fractions_linear_files/Yang_linear_img/29789341.jpg","show blot")</f>
        <v>show blot</v>
      </c>
      <c r="J8027" s="5" t="s">
        <v>15804</v>
      </c>
      <c r="L8027" s="11">
        <v>4.0073852378628629</v>
      </c>
      <c r="N8027" s="12"/>
    </row>
    <row r="8028" spans="1:14" s="5" customFormat="1" ht="15" customHeight="1" x14ac:dyDescent="0.25">
      <c r="A8028" s="9" t="s">
        <v>15805</v>
      </c>
      <c r="C8028" s="9" t="str">
        <f>HYPERLINK("http://www.ncbi.nlm.nih.gov/protein/167736371","Ube4a")</f>
        <v>Ube4a</v>
      </c>
      <c r="D8028" s="10">
        <f t="shared" si="125"/>
        <v>3.3940618124427222</v>
      </c>
      <c r="F8028" s="8" t="str">
        <f>HYPERLINK("https://esbl.nhlbi.nih.gov/Databases/mpkFractions/proteomic_fractions_log_files/Yang_log_img/167736371.jpg","show blot")</f>
        <v>show blot</v>
      </c>
      <c r="H8028" s="8" t="str">
        <f>HYPERLINK("https://esbl.nhlbi.nih.gov/Databases/mpkFractions/proteomic_fractions_linear_files/Yang_linear_img/167736371.jpg","show blot")</f>
        <v>show blot</v>
      </c>
      <c r="J8028" s="5" t="s">
        <v>15806</v>
      </c>
      <c r="L8028" s="11">
        <v>3.3940618124427222</v>
      </c>
      <c r="N8028" s="12"/>
    </row>
    <row r="8029" spans="1:14" s="5" customFormat="1" ht="15" customHeight="1" x14ac:dyDescent="0.25">
      <c r="A8029" s="9" t="s">
        <v>15807</v>
      </c>
      <c r="C8029" s="9" t="str">
        <f>HYPERLINK("http://www.ncbi.nlm.nih.gov/protein/172073169","Ube4b")</f>
        <v>Ube4b</v>
      </c>
      <c r="D8029" s="10">
        <f t="shared" si="125"/>
        <v>4.1867512654821724</v>
      </c>
      <c r="F8029" s="8" t="str">
        <f>HYPERLINK("https://esbl.nhlbi.nih.gov/Databases/mpkFractions/proteomic_fractions_log_files/Yang_log_img/172073169.jpg","show blot")</f>
        <v>show blot</v>
      </c>
      <c r="H8029" s="8" t="str">
        <f>HYPERLINK("https://esbl.nhlbi.nih.gov/Databases/mpkFractions/proteomic_fractions_linear_files/Yang_linear_img/172073169.jpg","show blot")</f>
        <v>show blot</v>
      </c>
      <c r="J8029" s="5" t="s">
        <v>15808</v>
      </c>
      <c r="L8029" s="11">
        <v>4.1867512654821724</v>
      </c>
      <c r="N8029" s="12"/>
    </row>
    <row r="8030" spans="1:14" s="5" customFormat="1" ht="15" customHeight="1" x14ac:dyDescent="0.25">
      <c r="A8030" s="9" t="s">
        <v>15809</v>
      </c>
      <c r="C8030" s="9" t="str">
        <f>HYPERLINK("http://www.ncbi.nlm.nih.gov/protein/77917602","Ubfd1")</f>
        <v>Ubfd1</v>
      </c>
      <c r="D8030" s="10">
        <f t="shared" si="125"/>
        <v>4.7577824436404201</v>
      </c>
      <c r="F8030" s="8" t="str">
        <f>HYPERLINK("https://esbl.nhlbi.nih.gov/Databases/mpkFractions/proteomic_fractions_log_files/Yang_log_img/77917602.jpg","show blot")</f>
        <v>show blot</v>
      </c>
      <c r="H8030" s="8" t="str">
        <f>HYPERLINK("https://esbl.nhlbi.nih.gov/Databases/mpkFractions/proteomic_fractions_linear_files/Yang_linear_img/77917602.jpg","show blot")</f>
        <v>show blot</v>
      </c>
      <c r="J8030" s="5" t="s">
        <v>15810</v>
      </c>
      <c r="L8030" s="11">
        <v>4.7577824436404201</v>
      </c>
      <c r="N8030" s="12"/>
    </row>
    <row r="8031" spans="1:14" s="5" customFormat="1" ht="15" customHeight="1" x14ac:dyDescent="0.25">
      <c r="A8031" s="9" t="s">
        <v>15811</v>
      </c>
      <c r="C8031" s="9" t="str">
        <f>HYPERLINK("http://www.ncbi.nlm.nih.gov/protein/6755925","Ubl3")</f>
        <v>Ubl3</v>
      </c>
      <c r="D8031" s="10">
        <f t="shared" si="125"/>
        <v>4.3572048063714233</v>
      </c>
      <c r="F8031" s="8" t="str">
        <f>HYPERLINK("https://esbl.nhlbi.nih.gov/Databases/mpkFractions/proteomic_fractions_log_files/Yang_log_img/6755925.jpg","show blot")</f>
        <v>show blot</v>
      </c>
      <c r="H8031" s="8" t="str">
        <f>HYPERLINK("https://esbl.nhlbi.nih.gov/Databases/mpkFractions/proteomic_fractions_linear_files/Yang_linear_img/6755925.jpg","show blot")</f>
        <v>show blot</v>
      </c>
      <c r="J8031" s="5" t="s">
        <v>15812</v>
      </c>
      <c r="L8031" s="11">
        <v>4.3572048063714233</v>
      </c>
      <c r="N8031" s="12"/>
    </row>
    <row r="8032" spans="1:14" s="5" customFormat="1" ht="15" customHeight="1" x14ac:dyDescent="0.25">
      <c r="A8032" s="9" t="s">
        <v>15813</v>
      </c>
      <c r="C8032" s="9" t="str">
        <f>HYPERLINK("http://www.ncbi.nlm.nih.gov/protein/21703810","Ubl4")</f>
        <v>Ubl4</v>
      </c>
      <c r="D8032" s="10">
        <f t="shared" si="125"/>
        <v>5.2793947007868178</v>
      </c>
      <c r="F8032" s="8" t="str">
        <f>HYPERLINK("https://esbl.nhlbi.nih.gov/Databases/mpkFractions/proteomic_fractions_log_files/Yang_log_img/21703810.jpg","show blot")</f>
        <v>show blot</v>
      </c>
      <c r="H8032" s="8" t="str">
        <f>HYPERLINK("https://esbl.nhlbi.nih.gov/Databases/mpkFractions/proteomic_fractions_linear_files/Yang_linear_img/21703810.jpg","show blot")</f>
        <v>show blot</v>
      </c>
      <c r="J8032" s="5" t="s">
        <v>15814</v>
      </c>
      <c r="L8032" s="11">
        <v>5.2793947007868178</v>
      </c>
      <c r="N8032" s="12"/>
    </row>
    <row r="8033" spans="1:14" s="5" customFormat="1" ht="15" customHeight="1" x14ac:dyDescent="0.25">
      <c r="A8033" s="9" t="s">
        <v>15815</v>
      </c>
      <c r="C8033" s="9" t="str">
        <f>HYPERLINK("http://www.ncbi.nlm.nih.gov/protein/13384784","Ubl5")</f>
        <v>Ubl5</v>
      </c>
      <c r="D8033" s="10">
        <f t="shared" si="125"/>
        <v>5.3292336404727214</v>
      </c>
      <c r="F8033" s="8" t="str">
        <f>HYPERLINK("https://esbl.nhlbi.nih.gov/Databases/mpkFractions/proteomic_fractions_log_files/Yang_log_img/13384784.jpg","show blot")</f>
        <v>show blot</v>
      </c>
      <c r="H8033" s="8" t="str">
        <f>HYPERLINK("https://esbl.nhlbi.nih.gov/Databases/mpkFractions/proteomic_fractions_linear_files/Yang_linear_img/13384784.jpg","show blot")</f>
        <v>show blot</v>
      </c>
      <c r="J8033" s="5" t="s">
        <v>15816</v>
      </c>
      <c r="L8033" s="11">
        <v>5.3292336404727214</v>
      </c>
      <c r="N8033" s="12"/>
    </row>
    <row r="8034" spans="1:14" s="5" customFormat="1" ht="15" customHeight="1" x14ac:dyDescent="0.25">
      <c r="A8034" s="9" t="s">
        <v>15817</v>
      </c>
      <c r="C8034" s="9" t="str">
        <f>HYPERLINK("http://www.ncbi.nlm.nih.gov/protein/407261853","Ublcp1")</f>
        <v>Ublcp1</v>
      </c>
      <c r="D8034" s="10">
        <f t="shared" si="125"/>
        <v>4.797186628259456</v>
      </c>
      <c r="F8034" s="8" t="str">
        <f>HYPERLINK("https://esbl.nhlbi.nih.gov/Databases/mpkFractions/proteomic_fractions_log_files/Yang_log_img/407261853.jpg","show blot")</f>
        <v>show blot</v>
      </c>
      <c r="H8034" s="8" t="str">
        <f>HYPERLINK("https://esbl.nhlbi.nih.gov/Databases/mpkFractions/proteomic_fractions_linear_files/Yang_linear_img/407261853.jpg","show blot")</f>
        <v>show blot</v>
      </c>
      <c r="J8034" s="5" t="s">
        <v>15818</v>
      </c>
      <c r="L8034" s="11">
        <v>4.797186628259456</v>
      </c>
      <c r="N8034" s="12"/>
    </row>
    <row r="8035" spans="1:14" s="5" customFormat="1" ht="15" customHeight="1" x14ac:dyDescent="0.25">
      <c r="A8035" s="9" t="s">
        <v>15819</v>
      </c>
      <c r="C8035" s="9" t="str">
        <f>HYPERLINK("http://www.ncbi.nlm.nih.gov/protein/46575895","Ublcp1")</f>
        <v>Ublcp1</v>
      </c>
      <c r="D8035" s="10">
        <f t="shared" si="125"/>
        <v>4.797186628259456</v>
      </c>
      <c r="F8035" s="8" t="str">
        <f>HYPERLINK("https://esbl.nhlbi.nih.gov/Databases/mpkFractions/proteomic_fractions_log_files/Yang_log_img/46575895.jpg","show blot")</f>
        <v>show blot</v>
      </c>
      <c r="H8035" s="8" t="str">
        <f>HYPERLINK("https://esbl.nhlbi.nih.gov/Databases/mpkFractions/proteomic_fractions_linear_files/Yang_linear_img/46575895.jpg","show blot")</f>
        <v>show blot</v>
      </c>
      <c r="J8035" s="5" t="s">
        <v>15820</v>
      </c>
      <c r="L8035" s="11">
        <v>4.797186628259456</v>
      </c>
      <c r="N8035" s="12"/>
    </row>
    <row r="8036" spans="1:14" s="5" customFormat="1" ht="15" customHeight="1" x14ac:dyDescent="0.25">
      <c r="A8036" s="9" t="s">
        <v>15821</v>
      </c>
      <c r="C8036" s="9" t="str">
        <f>HYPERLINK("http://www.ncbi.nlm.nih.gov/protein/134032032","Ubp1")</f>
        <v>Ubp1</v>
      </c>
      <c r="D8036" s="10">
        <f t="shared" si="125"/>
        <v>3.325462716699501</v>
      </c>
      <c r="F8036" s="8" t="str">
        <f>HYPERLINK("https://esbl.nhlbi.nih.gov/Databases/mpkFractions/proteomic_fractions_log_files/Yang_log_img/134032032.jpg","show blot")</f>
        <v>show blot</v>
      </c>
      <c r="H8036" s="8" t="str">
        <f>HYPERLINK("https://esbl.nhlbi.nih.gov/Databases/mpkFractions/proteomic_fractions_linear_files/Yang_linear_img/134032032.jpg","show blot")</f>
        <v>show blot</v>
      </c>
      <c r="J8036" s="5" t="s">
        <v>15822</v>
      </c>
      <c r="L8036" s="11">
        <v>3.325462716699501</v>
      </c>
      <c r="N8036" s="12"/>
    </row>
    <row r="8037" spans="1:14" s="5" customFormat="1" ht="15" customHeight="1" x14ac:dyDescent="0.25">
      <c r="A8037" s="9" t="s">
        <v>15823</v>
      </c>
      <c r="C8037" s="9" t="str">
        <f>HYPERLINK("http://www.ncbi.nlm.nih.gov/protein/7305605","Ubp1")</f>
        <v>Ubp1</v>
      </c>
      <c r="D8037" s="10">
        <f t="shared" si="125"/>
        <v>3.325462716699501</v>
      </c>
      <c r="F8037" s="8" t="str">
        <f>HYPERLINK("https://esbl.nhlbi.nih.gov/Databases/mpkFractions/proteomic_fractions_log_files/Yang_log_img/7305605.jpg","show blot")</f>
        <v>show blot</v>
      </c>
      <c r="H8037" s="8" t="str">
        <f>HYPERLINK("https://esbl.nhlbi.nih.gov/Databases/mpkFractions/proteomic_fractions_linear_files/Yang_linear_img/7305605.jpg","show blot")</f>
        <v>show blot</v>
      </c>
      <c r="J8037" s="5" t="s">
        <v>15824</v>
      </c>
      <c r="L8037" s="11">
        <v>3.325462716699501</v>
      </c>
      <c r="N8037" s="12"/>
    </row>
    <row r="8038" spans="1:14" s="5" customFormat="1" ht="15" customHeight="1" x14ac:dyDescent="0.25">
      <c r="A8038" s="9" t="s">
        <v>15825</v>
      </c>
      <c r="C8038" s="9" t="str">
        <f>HYPERLINK("http://www.ncbi.nlm.nih.gov/protein/22726191","Ubqln1")</f>
        <v>Ubqln1</v>
      </c>
      <c r="D8038" s="10">
        <f t="shared" si="125"/>
        <v>4.5487368569420248</v>
      </c>
      <c r="F8038" s="8" t="str">
        <f>HYPERLINK("https://esbl.nhlbi.nih.gov/Databases/mpkFractions/proteomic_fractions_log_files/Yang_log_img/22726191.jpg","show blot")</f>
        <v>show blot</v>
      </c>
      <c r="H8038" s="8" t="str">
        <f>HYPERLINK("https://esbl.nhlbi.nih.gov/Databases/mpkFractions/proteomic_fractions_linear_files/Yang_linear_img/22726191.jpg","show blot")</f>
        <v>show blot</v>
      </c>
      <c r="J8038" s="5" t="s">
        <v>15826</v>
      </c>
      <c r="L8038" s="11">
        <v>4.5487368569420248</v>
      </c>
      <c r="N8038" s="12"/>
    </row>
    <row r="8039" spans="1:14" s="5" customFormat="1" ht="15" customHeight="1" x14ac:dyDescent="0.25">
      <c r="A8039" s="9" t="s">
        <v>15827</v>
      </c>
      <c r="C8039" s="9" t="str">
        <f>HYPERLINK("http://www.ncbi.nlm.nih.gov/protein/295054230","Ubqln1")</f>
        <v>Ubqln1</v>
      </c>
      <c r="D8039" s="10">
        <f t="shared" si="125"/>
        <v>4.5487368569420248</v>
      </c>
      <c r="F8039" s="8" t="str">
        <f>HYPERLINK("https://esbl.nhlbi.nih.gov/Databases/mpkFractions/proteomic_fractions_log_files/Yang_log_img/295054230.jpg","show blot")</f>
        <v>show blot</v>
      </c>
      <c r="H8039" s="8" t="str">
        <f>HYPERLINK("https://esbl.nhlbi.nih.gov/Databases/mpkFractions/proteomic_fractions_linear_files/Yang_linear_img/295054230.jpg","show blot")</f>
        <v>show blot</v>
      </c>
      <c r="J8039" s="5" t="s">
        <v>15828</v>
      </c>
      <c r="L8039" s="11">
        <v>4.5487368569420248</v>
      </c>
      <c r="N8039" s="12"/>
    </row>
    <row r="8040" spans="1:14" s="5" customFormat="1" ht="15" customHeight="1" x14ac:dyDescent="0.25">
      <c r="A8040" s="9" t="s">
        <v>15829</v>
      </c>
      <c r="C8040" s="9" t="str">
        <f>HYPERLINK("http://www.ncbi.nlm.nih.gov/protein/34328236","Ubqln2")</f>
        <v>Ubqln2</v>
      </c>
      <c r="D8040" s="10">
        <f t="shared" si="125"/>
        <v>4.9745012041607559</v>
      </c>
      <c r="F8040" s="8" t="str">
        <f>HYPERLINK("https://esbl.nhlbi.nih.gov/Databases/mpkFractions/proteomic_fractions_log_files/Yang_log_img/34328236.jpg","show blot")</f>
        <v>show blot</v>
      </c>
      <c r="H8040" s="8" t="str">
        <f>HYPERLINK("https://esbl.nhlbi.nih.gov/Databases/mpkFractions/proteomic_fractions_linear_files/Yang_linear_img/34328236.jpg","show blot")</f>
        <v>show blot</v>
      </c>
      <c r="J8040" s="5" t="s">
        <v>15830</v>
      </c>
      <c r="L8040" s="11">
        <v>4.9745012041607559</v>
      </c>
      <c r="N8040" s="12"/>
    </row>
    <row r="8041" spans="1:14" s="5" customFormat="1" ht="15" customHeight="1" x14ac:dyDescent="0.25">
      <c r="A8041" s="9" t="s">
        <v>15831</v>
      </c>
      <c r="C8041" s="9" t="str">
        <f>HYPERLINK("http://www.ncbi.nlm.nih.gov/protein/15805016","Ubqln4")</f>
        <v>Ubqln4</v>
      </c>
      <c r="D8041" s="10">
        <f t="shared" si="125"/>
        <v>4.4335975196585826</v>
      </c>
      <c r="F8041" s="8" t="str">
        <f>HYPERLINK("https://esbl.nhlbi.nih.gov/Databases/mpkFractions/proteomic_fractions_log_files/Yang_log_img/15805016.jpg","show blot")</f>
        <v>show blot</v>
      </c>
      <c r="H8041" s="8" t="str">
        <f>HYPERLINK("https://esbl.nhlbi.nih.gov/Databases/mpkFractions/proteomic_fractions_linear_files/Yang_linear_img/15805016.jpg","show blot")</f>
        <v>show blot</v>
      </c>
      <c r="J8041" s="5" t="s">
        <v>15832</v>
      </c>
      <c r="L8041" s="11">
        <v>4.4335975196585826</v>
      </c>
      <c r="N8041" s="12"/>
    </row>
    <row r="8042" spans="1:14" s="5" customFormat="1" ht="15" customHeight="1" x14ac:dyDescent="0.25">
      <c r="A8042" s="9" t="s">
        <v>15833</v>
      </c>
      <c r="C8042" s="9" t="str">
        <f>HYPERLINK("http://www.ncbi.nlm.nih.gov/protein/154091026","Ubr1")</f>
        <v>Ubr1</v>
      </c>
      <c r="D8042" s="10">
        <f t="shared" si="125"/>
        <v>3.6942128899355708</v>
      </c>
      <c r="F8042" s="8" t="str">
        <f>HYPERLINK("https://esbl.nhlbi.nih.gov/Databases/mpkFractions/proteomic_fractions_log_files/Yang_log_img/154091026.jpg","show blot")</f>
        <v>show blot</v>
      </c>
      <c r="H8042" s="8" t="str">
        <f>HYPERLINK("https://esbl.nhlbi.nih.gov/Databases/mpkFractions/proteomic_fractions_linear_files/Yang_linear_img/154091026.jpg","show blot")</f>
        <v>show blot</v>
      </c>
      <c r="J8042" s="5" t="s">
        <v>15834</v>
      </c>
      <c r="L8042" s="11">
        <v>3.6942128899355708</v>
      </c>
      <c r="N8042" s="12"/>
    </row>
    <row r="8043" spans="1:14" s="5" customFormat="1" ht="15" customHeight="1" x14ac:dyDescent="0.25">
      <c r="A8043" s="9" t="s">
        <v>15835</v>
      </c>
      <c r="C8043" s="9" t="str">
        <f>HYPERLINK("http://www.ncbi.nlm.nih.gov/protein/293651567","Ubr2")</f>
        <v>Ubr2</v>
      </c>
      <c r="D8043" s="10">
        <f t="shared" si="125"/>
        <v>4.0187761180189741</v>
      </c>
      <c r="F8043" s="8" t="str">
        <f>HYPERLINK("https://esbl.nhlbi.nih.gov/Databases/mpkFractions/proteomic_fractions_log_files/Yang_log_img/293651567.jpg","show blot")</f>
        <v>show blot</v>
      </c>
      <c r="H8043" s="8" t="str">
        <f>HYPERLINK("https://esbl.nhlbi.nih.gov/Databases/mpkFractions/proteomic_fractions_linear_files/Yang_linear_img/293651567.jpg","show blot")</f>
        <v>show blot</v>
      </c>
      <c r="J8043" s="5" t="s">
        <v>15836</v>
      </c>
      <c r="L8043" s="11">
        <v>4.0187761180189741</v>
      </c>
      <c r="N8043" s="12"/>
    </row>
    <row r="8044" spans="1:14" s="5" customFormat="1" ht="15" customHeight="1" x14ac:dyDescent="0.25">
      <c r="A8044" s="9" t="s">
        <v>15837</v>
      </c>
      <c r="C8044" s="9" t="str">
        <f>HYPERLINK("http://www.ncbi.nlm.nih.gov/protein/58615693","Ubr2")</f>
        <v>Ubr2</v>
      </c>
      <c r="D8044" s="10">
        <f t="shared" si="125"/>
        <v>4.0187761180189741</v>
      </c>
      <c r="F8044" s="8" t="str">
        <f>HYPERLINK("https://esbl.nhlbi.nih.gov/Databases/mpkFractions/proteomic_fractions_log_files/Yang_log_img/58615693.jpg","show blot")</f>
        <v>show blot</v>
      </c>
      <c r="H8044" s="8" t="str">
        <f>HYPERLINK("https://esbl.nhlbi.nih.gov/Databases/mpkFractions/proteomic_fractions_linear_files/Yang_linear_img/58615693.jpg","show blot")</f>
        <v>show blot</v>
      </c>
      <c r="J8044" s="5" t="s">
        <v>15838</v>
      </c>
      <c r="L8044" s="11">
        <v>4.0187761180189741</v>
      </c>
      <c r="N8044" s="12"/>
    </row>
    <row r="8045" spans="1:14" s="5" customFormat="1" ht="15" customHeight="1" x14ac:dyDescent="0.25">
      <c r="A8045" s="9" t="s">
        <v>15839</v>
      </c>
      <c r="C8045" s="9" t="str">
        <f>HYPERLINK("http://www.ncbi.nlm.nih.gov/protein/160948616","Ubr3")</f>
        <v>Ubr3</v>
      </c>
      <c r="D8045" s="10">
        <f t="shared" si="125"/>
        <v>3.723632848623732</v>
      </c>
      <c r="F8045" s="8" t="str">
        <f>HYPERLINK("https://esbl.nhlbi.nih.gov/Databases/mpkFractions/proteomic_fractions_log_files/Yang_log_img/160948616.jpg","show blot")</f>
        <v>show blot</v>
      </c>
      <c r="H8045" s="8" t="str">
        <f>HYPERLINK("https://esbl.nhlbi.nih.gov/Databases/mpkFractions/proteomic_fractions_linear_files/Yang_linear_img/160948616.jpg","show blot")</f>
        <v>show blot</v>
      </c>
      <c r="J8045" s="5" t="s">
        <v>15840</v>
      </c>
      <c r="L8045" s="11">
        <v>3.723632848623732</v>
      </c>
      <c r="N8045" s="12"/>
    </row>
    <row r="8046" spans="1:14" s="5" customFormat="1" ht="15" customHeight="1" x14ac:dyDescent="0.25">
      <c r="A8046" s="9" t="s">
        <v>15841</v>
      </c>
      <c r="C8046" s="9" t="str">
        <f>HYPERLINK("http://www.ncbi.nlm.nih.gov/protein/160948614","Ubr3")</f>
        <v>Ubr3</v>
      </c>
      <c r="D8046" s="10">
        <f t="shared" si="125"/>
        <v>3.723632848623732</v>
      </c>
      <c r="F8046" s="8" t="str">
        <f>HYPERLINK("https://esbl.nhlbi.nih.gov/Databases/mpkFractions/proteomic_fractions_log_files/Yang_log_img/160948614.jpg","show blot")</f>
        <v>show blot</v>
      </c>
      <c r="H8046" s="8" t="str">
        <f>HYPERLINK("https://esbl.nhlbi.nih.gov/Databases/mpkFractions/proteomic_fractions_linear_files/Yang_linear_img/160948614.jpg","show blot")</f>
        <v>show blot</v>
      </c>
      <c r="J8046" s="5" t="s">
        <v>15842</v>
      </c>
      <c r="L8046" s="11">
        <v>3.723632848623732</v>
      </c>
      <c r="N8046" s="12"/>
    </row>
    <row r="8047" spans="1:14" s="5" customFormat="1" ht="15" customHeight="1" x14ac:dyDescent="0.25">
      <c r="A8047" s="9" t="s">
        <v>15843</v>
      </c>
      <c r="C8047" s="9" t="str">
        <f>HYPERLINK("http://www.ncbi.nlm.nih.gov/protein/237820660","Ubr4")</f>
        <v>Ubr4</v>
      </c>
      <c r="D8047" s="10">
        <f t="shared" si="125"/>
        <v>5.2037067770849186</v>
      </c>
      <c r="F8047" s="8" t="str">
        <f>HYPERLINK("https://esbl.nhlbi.nih.gov/Databases/mpkFractions/proteomic_fractions_log_files/Yang_log_img/237820660.jpg","show blot")</f>
        <v>show blot</v>
      </c>
      <c r="H8047" s="8" t="str">
        <f>HYPERLINK("https://esbl.nhlbi.nih.gov/Databases/mpkFractions/proteomic_fractions_linear_files/Yang_linear_img/237820660.jpg","show blot")</f>
        <v>show blot</v>
      </c>
      <c r="J8047" s="5" t="s">
        <v>15844</v>
      </c>
      <c r="L8047" s="11">
        <v>5.2037067770849186</v>
      </c>
      <c r="N8047" s="12"/>
    </row>
    <row r="8048" spans="1:14" s="5" customFormat="1" ht="15" customHeight="1" x14ac:dyDescent="0.25">
      <c r="A8048" s="9" t="s">
        <v>15845</v>
      </c>
      <c r="C8048" s="9" t="str">
        <f>HYPERLINK("http://www.ncbi.nlm.nih.gov/protein/163310751","Ubr5")</f>
        <v>Ubr5</v>
      </c>
      <c r="D8048" s="10">
        <f t="shared" si="125"/>
        <v>4.1948040269772262</v>
      </c>
      <c r="F8048" s="8" t="str">
        <f>HYPERLINK("https://esbl.nhlbi.nih.gov/Databases/mpkFractions/proteomic_fractions_log_files/Yang_log_img/163310751.jpg","show blot")</f>
        <v>show blot</v>
      </c>
      <c r="H8048" s="8" t="str">
        <f>HYPERLINK("https://esbl.nhlbi.nih.gov/Databases/mpkFractions/proteomic_fractions_linear_files/Yang_linear_img/163310751.jpg","show blot")</f>
        <v>show blot</v>
      </c>
      <c r="J8048" s="5" t="s">
        <v>15846</v>
      </c>
      <c r="L8048" s="11">
        <v>4.1948040269772262</v>
      </c>
      <c r="N8048" s="12"/>
    </row>
    <row r="8049" spans="1:14" s="5" customFormat="1" ht="15" customHeight="1" x14ac:dyDescent="0.25">
      <c r="A8049" s="9" t="s">
        <v>15847</v>
      </c>
      <c r="C8049" s="9" t="str">
        <f>HYPERLINK("http://www.ncbi.nlm.nih.gov/protein/163310753","Ubr5")</f>
        <v>Ubr5</v>
      </c>
      <c r="D8049" s="10">
        <f t="shared" si="125"/>
        <v>4.1948040269772262</v>
      </c>
      <c r="F8049" s="8" t="str">
        <f>HYPERLINK("https://esbl.nhlbi.nih.gov/Databases/mpkFractions/proteomic_fractions_log_files/Yang_log_img/163310753.jpg","show blot")</f>
        <v>show blot</v>
      </c>
      <c r="H8049" s="8" t="str">
        <f>HYPERLINK("https://esbl.nhlbi.nih.gov/Databases/mpkFractions/proteomic_fractions_linear_files/Yang_linear_img/163310753.jpg","show blot")</f>
        <v>show blot</v>
      </c>
      <c r="J8049" s="5" t="s">
        <v>15848</v>
      </c>
      <c r="L8049" s="11">
        <v>4.1948040269772262</v>
      </c>
      <c r="N8049" s="12"/>
    </row>
    <row r="8050" spans="1:14" s="5" customFormat="1" ht="15" customHeight="1" x14ac:dyDescent="0.25">
      <c r="A8050" s="9" t="s">
        <v>15849</v>
      </c>
      <c r="C8050" s="9" t="str">
        <f>HYPERLINK("http://www.ncbi.nlm.nih.gov/protein/29789154","Ubr7")</f>
        <v>Ubr7</v>
      </c>
      <c r="D8050" s="10">
        <f t="shared" si="125"/>
        <v>4.7416597748873626</v>
      </c>
      <c r="F8050" s="8" t="str">
        <f>HYPERLINK("https://esbl.nhlbi.nih.gov/Databases/mpkFractions/proteomic_fractions_log_files/Yang_log_img/29789154.jpg","show blot")</f>
        <v>show blot</v>
      </c>
      <c r="H8050" s="8" t="str">
        <f>HYPERLINK("https://esbl.nhlbi.nih.gov/Databases/mpkFractions/proteomic_fractions_linear_files/Yang_linear_img/29789154.jpg","show blot")</f>
        <v>show blot</v>
      </c>
      <c r="J8050" s="5" t="s">
        <v>15850</v>
      </c>
      <c r="L8050" s="11">
        <v>4.7416597748873626</v>
      </c>
      <c r="N8050" s="12"/>
    </row>
    <row r="8051" spans="1:14" s="5" customFormat="1" ht="15" customHeight="1" x14ac:dyDescent="0.25">
      <c r="A8051" s="9" t="s">
        <v>15851</v>
      </c>
      <c r="C8051" s="9" t="str">
        <f>HYPERLINK("http://www.ncbi.nlm.nih.gov/protein/21703984","Ubtd1")</f>
        <v>Ubtd1</v>
      </c>
      <c r="D8051" s="10">
        <f t="shared" si="125"/>
        <v>3.9147027470991351</v>
      </c>
      <c r="F8051" s="8" t="str">
        <f>HYPERLINK("https://esbl.nhlbi.nih.gov/Databases/mpkFractions/proteomic_fractions_log_files/Yang_log_img/21703984.jpg","show blot")</f>
        <v>show blot</v>
      </c>
      <c r="H8051" s="8" t="str">
        <f>HYPERLINK("https://esbl.nhlbi.nih.gov/Databases/mpkFractions/proteomic_fractions_linear_files/Yang_linear_img/21703984.jpg","show blot")</f>
        <v>show blot</v>
      </c>
      <c r="J8051" s="5" t="s">
        <v>15852</v>
      </c>
      <c r="L8051" s="11">
        <v>3.9147027470991351</v>
      </c>
      <c r="N8051" s="12"/>
    </row>
    <row r="8052" spans="1:14" s="5" customFormat="1" ht="15" customHeight="1" x14ac:dyDescent="0.25">
      <c r="A8052" s="9" t="s">
        <v>15853</v>
      </c>
      <c r="C8052" s="9" t="str">
        <f>HYPERLINK("http://www.ncbi.nlm.nih.gov/protein/40254263","Ubtd2")</f>
        <v>Ubtd2</v>
      </c>
      <c r="D8052" s="10">
        <f t="shared" si="125"/>
        <v>3.7525821965263799</v>
      </c>
      <c r="F8052" s="8" t="str">
        <f>HYPERLINK("https://esbl.nhlbi.nih.gov/Databases/mpkFractions/proteomic_fractions_log_files/Yang_log_img/40254263.jpg","show blot")</f>
        <v>show blot</v>
      </c>
      <c r="H8052" s="8" t="str">
        <f>HYPERLINK("https://esbl.nhlbi.nih.gov/Databases/mpkFractions/proteomic_fractions_linear_files/Yang_linear_img/40254263.jpg","show blot")</f>
        <v>show blot</v>
      </c>
      <c r="J8052" s="5" t="s">
        <v>15854</v>
      </c>
      <c r="L8052" s="11">
        <v>3.7525821965263799</v>
      </c>
      <c r="N8052" s="12"/>
    </row>
    <row r="8053" spans="1:14" s="5" customFormat="1" ht="15" customHeight="1" x14ac:dyDescent="0.25">
      <c r="A8053" s="9" t="s">
        <v>15855</v>
      </c>
      <c r="C8053" s="9" t="str">
        <f>HYPERLINK("http://www.ncbi.nlm.nih.gov/protein/113205053","Ubtf")</f>
        <v>Ubtf</v>
      </c>
      <c r="D8053" s="10">
        <f t="shared" si="125"/>
        <v>3.889733533911079</v>
      </c>
      <c r="F8053" s="8" t="str">
        <f>HYPERLINK("https://esbl.nhlbi.nih.gov/Databases/mpkFractions/proteomic_fractions_log_files/Yang_log_img/113205053.jpg","show blot")</f>
        <v>show blot</v>
      </c>
      <c r="H8053" s="8" t="str">
        <f>HYPERLINK("https://esbl.nhlbi.nih.gov/Databases/mpkFractions/proteomic_fractions_linear_files/Yang_linear_img/113205053.jpg","show blot")</f>
        <v>show blot</v>
      </c>
      <c r="J8053" s="5" t="s">
        <v>15856</v>
      </c>
      <c r="L8053" s="11">
        <v>3.889733533911079</v>
      </c>
      <c r="N8053" s="12"/>
    </row>
    <row r="8054" spans="1:14" s="5" customFormat="1" ht="15" customHeight="1" x14ac:dyDescent="0.25">
      <c r="A8054" s="9" t="s">
        <v>15857</v>
      </c>
      <c r="C8054" s="9" t="str">
        <f>HYPERLINK("http://www.ncbi.nlm.nih.gov/protein/113205057","Ubtf")</f>
        <v>Ubtf</v>
      </c>
      <c r="D8054" s="10">
        <f t="shared" si="125"/>
        <v>3.889733533911079</v>
      </c>
      <c r="F8054" s="8" t="str">
        <f>HYPERLINK("https://esbl.nhlbi.nih.gov/Databases/mpkFractions/proteomic_fractions_log_files/Yang_log_img/113205057.jpg","show blot")</f>
        <v>show blot</v>
      </c>
      <c r="H8054" s="8" t="str">
        <f>HYPERLINK("https://esbl.nhlbi.nih.gov/Databases/mpkFractions/proteomic_fractions_linear_files/Yang_linear_img/113205057.jpg","show blot")</f>
        <v>show blot</v>
      </c>
      <c r="J8054" s="5" t="s">
        <v>15858</v>
      </c>
      <c r="L8054" s="11">
        <v>3.889733533911079</v>
      </c>
      <c r="N8054" s="12"/>
    </row>
    <row r="8055" spans="1:14" s="5" customFormat="1" ht="15" customHeight="1" x14ac:dyDescent="0.25">
      <c r="A8055" s="9" t="s">
        <v>15859</v>
      </c>
      <c r="C8055" s="9" t="str">
        <f>HYPERLINK("http://www.ncbi.nlm.nih.gov/protein/22122591","Ubxn1")</f>
        <v>Ubxn1</v>
      </c>
      <c r="D8055" s="10">
        <f t="shared" si="125"/>
        <v>5.5559156142064712</v>
      </c>
      <c r="F8055" s="8" t="str">
        <f>HYPERLINK("https://esbl.nhlbi.nih.gov/Databases/mpkFractions/proteomic_fractions_log_files/Yang_log_img/22122591.jpg","show blot")</f>
        <v>show blot</v>
      </c>
      <c r="H8055" s="8" t="str">
        <f>HYPERLINK("https://esbl.nhlbi.nih.gov/Databases/mpkFractions/proteomic_fractions_linear_files/Yang_linear_img/22122591.jpg","show blot")</f>
        <v>show blot</v>
      </c>
      <c r="J8055" s="5" t="s">
        <v>15860</v>
      </c>
      <c r="L8055" s="11">
        <v>5.5559156142064712</v>
      </c>
      <c r="N8055" s="12"/>
    </row>
    <row r="8056" spans="1:14" s="5" customFormat="1" ht="15" customHeight="1" x14ac:dyDescent="0.25">
      <c r="A8056" s="9" t="s">
        <v>15861</v>
      </c>
      <c r="C8056" s="9" t="str">
        <f>HYPERLINK("http://www.ncbi.nlm.nih.gov/protein/85861252","Ubxn4")</f>
        <v>Ubxn4</v>
      </c>
      <c r="D8056" s="10">
        <f t="shared" si="125"/>
        <v>4.5206094377451391</v>
      </c>
      <c r="F8056" s="8" t="str">
        <f>HYPERLINK("https://esbl.nhlbi.nih.gov/Databases/mpkFractions/proteomic_fractions_log_files/Yang_log_img/85861252.jpg","show blot")</f>
        <v>show blot</v>
      </c>
      <c r="H8056" s="8" t="str">
        <f>HYPERLINK("https://esbl.nhlbi.nih.gov/Databases/mpkFractions/proteomic_fractions_linear_files/Yang_linear_img/85861252.jpg","show blot")</f>
        <v>show blot</v>
      </c>
      <c r="J8056" s="5" t="s">
        <v>15862</v>
      </c>
      <c r="L8056" s="11">
        <v>4.5206094377451391</v>
      </c>
      <c r="N8056" s="12"/>
    </row>
    <row r="8057" spans="1:14" s="5" customFormat="1" ht="15" customHeight="1" x14ac:dyDescent="0.25">
      <c r="A8057" s="9" t="s">
        <v>15863</v>
      </c>
      <c r="C8057" s="9" t="str">
        <f>HYPERLINK("http://www.ncbi.nlm.nih.gov/protein/13277354","Ubxn6")</f>
        <v>Ubxn6</v>
      </c>
      <c r="D8057" s="10">
        <f t="shared" si="125"/>
        <v>4.8559775182402296</v>
      </c>
      <c r="F8057" s="8" t="str">
        <f>HYPERLINK("https://esbl.nhlbi.nih.gov/Databases/mpkFractions/proteomic_fractions_log_files/Yang_log_img/13277354.jpg","show blot")</f>
        <v>show blot</v>
      </c>
      <c r="H8057" s="8" t="str">
        <f>HYPERLINK("https://esbl.nhlbi.nih.gov/Databases/mpkFractions/proteomic_fractions_linear_files/Yang_linear_img/13277354.jpg","show blot")</f>
        <v>show blot</v>
      </c>
      <c r="J8057" s="5" t="s">
        <v>15864</v>
      </c>
      <c r="L8057" s="11">
        <v>4.8559775182402296</v>
      </c>
      <c r="N8057" s="12"/>
    </row>
    <row r="8058" spans="1:14" s="5" customFormat="1" ht="15" customHeight="1" x14ac:dyDescent="0.25">
      <c r="A8058" s="9" t="s">
        <v>15865</v>
      </c>
      <c r="C8058" s="9" t="str">
        <f>HYPERLINK("http://www.ncbi.nlm.nih.gov/protein/268839673","Ubxn7")</f>
        <v>Ubxn7</v>
      </c>
      <c r="D8058" s="10">
        <f t="shared" si="125"/>
        <v>4.4646774849649926</v>
      </c>
      <c r="F8058" s="8" t="str">
        <f>HYPERLINK("https://esbl.nhlbi.nih.gov/Databases/mpkFractions/proteomic_fractions_log_files/Yang_log_img/268839673.jpg","show blot")</f>
        <v>show blot</v>
      </c>
      <c r="H8058" s="8" t="str">
        <f>HYPERLINK("https://esbl.nhlbi.nih.gov/Databases/mpkFractions/proteomic_fractions_linear_files/Yang_linear_img/268839673.jpg","show blot")</f>
        <v>show blot</v>
      </c>
      <c r="J8058" s="5" t="s">
        <v>15866</v>
      </c>
      <c r="L8058" s="11">
        <v>4.4646774849649926</v>
      </c>
      <c r="N8058" s="12"/>
    </row>
    <row r="8059" spans="1:14" s="5" customFormat="1" ht="15" customHeight="1" x14ac:dyDescent="0.25">
      <c r="A8059" s="9" t="s">
        <v>15867</v>
      </c>
      <c r="C8059" s="9" t="str">
        <f>HYPERLINK("http://www.ncbi.nlm.nih.gov/protein/139948802","Uchl3")</f>
        <v>Uchl3</v>
      </c>
      <c r="D8059" s="10">
        <f t="shared" si="125"/>
        <v>6.0315626334716272</v>
      </c>
      <c r="F8059" s="8" t="str">
        <f>HYPERLINK("https://esbl.nhlbi.nih.gov/Databases/mpkFractions/proteomic_fractions_log_files/Yang_log_img/139948802.jpg","show blot")</f>
        <v>show blot</v>
      </c>
      <c r="H8059" s="8" t="str">
        <f>HYPERLINK("https://esbl.nhlbi.nih.gov/Databases/mpkFractions/proteomic_fractions_linear_files/Yang_linear_img/139948802.jpg","show blot")</f>
        <v>show blot</v>
      </c>
      <c r="J8059" s="5" t="s">
        <v>15868</v>
      </c>
      <c r="L8059" s="11">
        <v>6.0315626334716272</v>
      </c>
      <c r="N8059" s="12"/>
    </row>
    <row r="8060" spans="1:14" s="5" customFormat="1" ht="15" customHeight="1" x14ac:dyDescent="0.25">
      <c r="A8060" s="9" t="s">
        <v>15869</v>
      </c>
      <c r="C8060" s="9" t="str">
        <f>HYPERLINK("http://www.ncbi.nlm.nih.gov/protein/15809026","Uchl4")</f>
        <v>Uchl4</v>
      </c>
      <c r="D8060" s="10">
        <f t="shared" si="125"/>
        <v>5.7191476833954669</v>
      </c>
      <c r="F8060" s="8" t="str">
        <f>HYPERLINK("https://esbl.nhlbi.nih.gov/Databases/mpkFractions/proteomic_fractions_log_files/Yang_log_img/15809026.jpg","show blot")</f>
        <v>show blot</v>
      </c>
      <c r="H8060" s="8" t="str">
        <f>HYPERLINK("https://esbl.nhlbi.nih.gov/Databases/mpkFractions/proteomic_fractions_linear_files/Yang_linear_img/15809026.jpg","show blot")</f>
        <v>show blot</v>
      </c>
      <c r="J8060" s="5" t="s">
        <v>15870</v>
      </c>
      <c r="L8060" s="11">
        <v>5.7191476833954669</v>
      </c>
      <c r="N8060" s="12"/>
    </row>
    <row r="8061" spans="1:14" s="5" customFormat="1" ht="15" customHeight="1" x14ac:dyDescent="0.25">
      <c r="A8061" s="9" t="s">
        <v>15871</v>
      </c>
      <c r="C8061" s="9" t="str">
        <f>HYPERLINK("http://www.ncbi.nlm.nih.gov/protein/229577281","Uchl5")</f>
        <v>Uchl5</v>
      </c>
      <c r="D8061" s="10">
        <f t="shared" si="125"/>
        <v>5.4347842248166662</v>
      </c>
      <c r="F8061" s="8" t="str">
        <f>HYPERLINK("https://esbl.nhlbi.nih.gov/Databases/mpkFractions/proteomic_fractions_log_files/Yang_log_img/229577281.jpg","show blot")</f>
        <v>show blot</v>
      </c>
      <c r="H8061" s="8" t="str">
        <f>HYPERLINK("https://esbl.nhlbi.nih.gov/Databases/mpkFractions/proteomic_fractions_linear_files/Yang_linear_img/229577281.jpg","show blot")</f>
        <v>show blot</v>
      </c>
      <c r="J8061" s="5" t="s">
        <v>15872</v>
      </c>
      <c r="L8061" s="11">
        <v>5.4347842248166662</v>
      </c>
      <c r="N8061" s="12"/>
    </row>
    <row r="8062" spans="1:14" s="5" customFormat="1" ht="15" customHeight="1" x14ac:dyDescent="0.25">
      <c r="A8062" s="9" t="s">
        <v>15873</v>
      </c>
      <c r="C8062" s="9" t="str">
        <f>HYPERLINK("http://www.ncbi.nlm.nih.gov/protein/229577283","Uchl5")</f>
        <v>Uchl5</v>
      </c>
      <c r="D8062" s="10">
        <f t="shared" si="125"/>
        <v>5.4347842248166662</v>
      </c>
      <c r="F8062" s="8" t="str">
        <f>HYPERLINK("https://esbl.nhlbi.nih.gov/Databases/mpkFractions/proteomic_fractions_log_files/Yang_log_img/229577283.jpg","show blot")</f>
        <v>show blot</v>
      </c>
      <c r="H8062" s="8" t="str">
        <f>HYPERLINK("https://esbl.nhlbi.nih.gov/Databases/mpkFractions/proteomic_fractions_linear_files/Yang_linear_img/229577283.jpg","show blot")</f>
        <v>show blot</v>
      </c>
      <c r="J8062" s="5" t="s">
        <v>15874</v>
      </c>
      <c r="L8062" s="11">
        <v>5.4347842248166662</v>
      </c>
      <c r="N8062" s="12"/>
    </row>
    <row r="8063" spans="1:14" s="5" customFormat="1" ht="15" customHeight="1" x14ac:dyDescent="0.25">
      <c r="A8063" s="9" t="s">
        <v>15875</v>
      </c>
      <c r="C8063" s="9" t="str">
        <f>HYPERLINK("http://www.ncbi.nlm.nih.gov/protein/227498248","Uck1")</f>
        <v>Uck1</v>
      </c>
      <c r="D8063" s="10">
        <f t="shared" si="125"/>
        <v>4.6933657219441232</v>
      </c>
      <c r="F8063" s="8" t="str">
        <f>HYPERLINK("https://esbl.nhlbi.nih.gov/Databases/mpkFractions/proteomic_fractions_log_files/Yang_log_img/227498248.jpg","show blot")</f>
        <v>show blot</v>
      </c>
      <c r="H8063" s="8" t="str">
        <f>HYPERLINK("https://esbl.nhlbi.nih.gov/Databases/mpkFractions/proteomic_fractions_linear_files/Yang_linear_img/227498248.jpg","show blot")</f>
        <v>show blot</v>
      </c>
      <c r="J8063" s="5" t="s">
        <v>15876</v>
      </c>
      <c r="L8063" s="11">
        <v>4.6933657219441232</v>
      </c>
      <c r="N8063" s="12"/>
    </row>
    <row r="8064" spans="1:14" s="5" customFormat="1" ht="15" customHeight="1" x14ac:dyDescent="0.25">
      <c r="A8064" s="9" t="s">
        <v>15877</v>
      </c>
      <c r="C8064" s="9" t="str">
        <f>HYPERLINK("http://www.ncbi.nlm.nih.gov/protein/13507680","Uck2")</f>
        <v>Uck2</v>
      </c>
      <c r="D8064" s="10">
        <f t="shared" si="125"/>
        <v>4.8423153751390924</v>
      </c>
      <c r="F8064" s="8" t="str">
        <f>HYPERLINK("https://esbl.nhlbi.nih.gov/Databases/mpkFractions/proteomic_fractions_log_files/Yang_log_img/13507680.jpg","show blot")</f>
        <v>show blot</v>
      </c>
      <c r="H8064" s="8" t="str">
        <f>HYPERLINK("https://esbl.nhlbi.nih.gov/Databases/mpkFractions/proteomic_fractions_linear_files/Yang_linear_img/13507680.jpg","show blot")</f>
        <v>show blot</v>
      </c>
      <c r="J8064" s="5" t="s">
        <v>15878</v>
      </c>
      <c r="L8064" s="11">
        <v>4.8423153751390924</v>
      </c>
      <c r="N8064" s="12"/>
    </row>
    <row r="8065" spans="1:14" s="5" customFormat="1" ht="15" customHeight="1" x14ac:dyDescent="0.25">
      <c r="A8065" s="9" t="s">
        <v>15879</v>
      </c>
      <c r="C8065" s="9" t="str">
        <f>HYPERLINK("http://www.ncbi.nlm.nih.gov/protein/31541796","Uckl1")</f>
        <v>Uckl1</v>
      </c>
      <c r="D8065" s="10">
        <f t="shared" si="125"/>
        <v>4.2875154212498874</v>
      </c>
      <c r="F8065" s="8" t="str">
        <f>HYPERLINK("https://esbl.nhlbi.nih.gov/Databases/mpkFractions/proteomic_fractions_log_files/Yang_log_img/31541796.jpg","show blot")</f>
        <v>show blot</v>
      </c>
      <c r="H8065" s="8" t="str">
        <f>HYPERLINK("https://esbl.nhlbi.nih.gov/Databases/mpkFractions/proteomic_fractions_linear_files/Yang_linear_img/31541796.jpg","show blot")</f>
        <v>show blot</v>
      </c>
      <c r="J8065" s="5" t="s">
        <v>15880</v>
      </c>
      <c r="L8065" s="11">
        <v>4.2875154212498874</v>
      </c>
      <c r="N8065" s="12"/>
    </row>
    <row r="8066" spans="1:14" s="5" customFormat="1" ht="15" customHeight="1" x14ac:dyDescent="0.25">
      <c r="A8066" s="9" t="s">
        <v>15881</v>
      </c>
      <c r="C8066" s="9" t="str">
        <f>HYPERLINK("http://www.ncbi.nlm.nih.gov/protein/104294890","Uevld")</f>
        <v>Uevld</v>
      </c>
      <c r="D8066" s="10">
        <f t="shared" si="125"/>
        <v>5.1443249398549851</v>
      </c>
      <c r="F8066" s="8" t="str">
        <f>HYPERLINK("https://esbl.nhlbi.nih.gov/Databases/mpkFractions/proteomic_fractions_log_files/Yang_log_img/104294890.jpg","show blot")</f>
        <v>show blot</v>
      </c>
      <c r="H8066" s="8" t="str">
        <f>HYPERLINK("https://esbl.nhlbi.nih.gov/Databases/mpkFractions/proteomic_fractions_linear_files/Yang_linear_img/104294890.jpg","show blot")</f>
        <v>show blot</v>
      </c>
      <c r="J8066" s="5" t="s">
        <v>15882</v>
      </c>
      <c r="L8066" s="11">
        <v>5.1443249398549851</v>
      </c>
      <c r="N8066" s="12"/>
    </row>
    <row r="8067" spans="1:14" s="5" customFormat="1" ht="15" customHeight="1" x14ac:dyDescent="0.25">
      <c r="A8067" s="9" t="s">
        <v>15883</v>
      </c>
      <c r="C8067" s="9" t="str">
        <f>HYPERLINK("http://www.ncbi.nlm.nih.gov/protein/13384768","Ufc1")</f>
        <v>Ufc1</v>
      </c>
      <c r="D8067" s="10">
        <f t="shared" si="125"/>
        <v>4.3900767144061872</v>
      </c>
      <c r="F8067" s="8" t="str">
        <f>HYPERLINK("https://esbl.nhlbi.nih.gov/Databases/mpkFractions/proteomic_fractions_log_files/Yang_log_img/13384768.jpg","show blot")</f>
        <v>show blot</v>
      </c>
      <c r="H8067" s="8" t="str">
        <f>HYPERLINK("https://esbl.nhlbi.nih.gov/Databases/mpkFractions/proteomic_fractions_linear_files/Yang_linear_img/13384768.jpg","show blot")</f>
        <v>show blot</v>
      </c>
      <c r="J8067" s="5" t="s">
        <v>15884</v>
      </c>
      <c r="L8067" s="11">
        <v>4.3900767144061872</v>
      </c>
      <c r="N8067" s="12"/>
    </row>
    <row r="8068" spans="1:14" s="5" customFormat="1" ht="15" customHeight="1" x14ac:dyDescent="0.25">
      <c r="A8068" s="9" t="s">
        <v>15885</v>
      </c>
      <c r="C8068" s="9" t="str">
        <f>HYPERLINK("http://www.ncbi.nlm.nih.gov/protein/257153392","Ufd1l")</f>
        <v>Ufd1l</v>
      </c>
      <c r="D8068" s="10">
        <f t="shared" si="125"/>
        <v>5.248104559773199</v>
      </c>
      <c r="F8068" s="8" t="str">
        <f>HYPERLINK("https://esbl.nhlbi.nih.gov/Databases/mpkFractions/proteomic_fractions_log_files/Yang_log_img/257153392.jpg","show blot")</f>
        <v>show blot</v>
      </c>
      <c r="H8068" s="8" t="str">
        <f>HYPERLINK("https://esbl.nhlbi.nih.gov/Databases/mpkFractions/proteomic_fractions_linear_files/Yang_linear_img/257153392.jpg","show blot")</f>
        <v>show blot</v>
      </c>
      <c r="J8068" s="5" t="s">
        <v>15886</v>
      </c>
      <c r="L8068" s="11">
        <v>5.248104559773199</v>
      </c>
      <c r="N8068" s="12"/>
    </row>
    <row r="8069" spans="1:14" s="5" customFormat="1" ht="15" customHeight="1" x14ac:dyDescent="0.25">
      <c r="A8069" s="9" t="s">
        <v>15887</v>
      </c>
      <c r="C8069" s="9" t="str">
        <f>HYPERLINK("http://www.ncbi.nlm.nih.gov/protein/227330590","Ufl1")</f>
        <v>Ufl1</v>
      </c>
      <c r="D8069" s="10">
        <f t="shared" ref="D8069:D8132" si="126">L8069</f>
        <v>2.542717496657493</v>
      </c>
      <c r="F8069" s="8" t="str">
        <f>HYPERLINK("https://esbl.nhlbi.nih.gov/Databases/mpkFractions/proteomic_fractions_log_files/Yang_log_img/227330590.jpg","show blot")</f>
        <v>show blot</v>
      </c>
      <c r="H8069" s="8" t="str">
        <f>HYPERLINK("https://esbl.nhlbi.nih.gov/Databases/mpkFractions/proteomic_fractions_linear_files/Yang_linear_img/227330590.jpg","show blot")</f>
        <v>show blot</v>
      </c>
      <c r="J8069" s="5" t="s">
        <v>15888</v>
      </c>
      <c r="L8069" s="11">
        <v>2.542717496657493</v>
      </c>
      <c r="N8069" s="12"/>
    </row>
    <row r="8070" spans="1:14" s="5" customFormat="1" ht="15" customHeight="1" x14ac:dyDescent="0.25">
      <c r="A8070" s="9" t="s">
        <v>15889</v>
      </c>
      <c r="C8070" s="9" t="str">
        <f>HYPERLINK("http://www.ncbi.nlm.nih.gov/protein/13385932","Ufm1")</f>
        <v>Ufm1</v>
      </c>
      <c r="D8070" s="10">
        <f t="shared" si="126"/>
        <v>3.774743988463412</v>
      </c>
      <c r="F8070" s="8" t="str">
        <f>HYPERLINK("https://esbl.nhlbi.nih.gov/Databases/mpkFractions/proteomic_fractions_log_files/Yang_log_img/13385932.jpg","show blot")</f>
        <v>show blot</v>
      </c>
      <c r="H8070" s="8" t="str">
        <f>HYPERLINK("https://esbl.nhlbi.nih.gov/Databases/mpkFractions/proteomic_fractions_linear_files/Yang_linear_img/13385932.jpg","show blot")</f>
        <v>show blot</v>
      </c>
      <c r="J8070" s="5" t="s">
        <v>15890</v>
      </c>
      <c r="L8070" s="11">
        <v>3.774743988463412</v>
      </c>
      <c r="N8070" s="12"/>
    </row>
    <row r="8071" spans="1:14" s="5" customFormat="1" ht="15" customHeight="1" x14ac:dyDescent="0.25">
      <c r="A8071" s="9" t="s">
        <v>15891</v>
      </c>
      <c r="C8071" s="9" t="str">
        <f>HYPERLINK("http://www.ncbi.nlm.nih.gov/protein/20149754","Ufsp2")</f>
        <v>Ufsp2</v>
      </c>
      <c r="D8071" s="10">
        <f t="shared" si="126"/>
        <v>3.7307784156475692</v>
      </c>
      <c r="F8071" s="8" t="str">
        <f>HYPERLINK("https://esbl.nhlbi.nih.gov/Databases/mpkFractions/proteomic_fractions_log_files/Yang_log_img/20149754.jpg","show blot")</f>
        <v>show blot</v>
      </c>
      <c r="H8071" s="8" t="str">
        <f>HYPERLINK("https://esbl.nhlbi.nih.gov/Databases/mpkFractions/proteomic_fractions_linear_files/Yang_linear_img/20149754.jpg","show blot")</f>
        <v>show blot</v>
      </c>
      <c r="J8071" s="5" t="s">
        <v>15892</v>
      </c>
      <c r="L8071" s="11">
        <v>3.7307784156475692</v>
      </c>
      <c r="N8071" s="12"/>
    </row>
    <row r="8072" spans="1:14" s="5" customFormat="1" ht="15" customHeight="1" x14ac:dyDescent="0.25">
      <c r="A8072" s="9" t="s">
        <v>15893</v>
      </c>
      <c r="C8072" s="9" t="str">
        <f>HYPERLINK("http://www.ncbi.nlm.nih.gov/protein/6678499","Ugdh")</f>
        <v>Ugdh</v>
      </c>
      <c r="D8072" s="10">
        <f t="shared" si="126"/>
        <v>5.8162704159084342</v>
      </c>
      <c r="F8072" s="8" t="str">
        <f>HYPERLINK("https://esbl.nhlbi.nih.gov/Databases/mpkFractions/proteomic_fractions_log_files/Yang_log_img/6678499.jpg","show blot")</f>
        <v>show blot</v>
      </c>
      <c r="H8072" s="8" t="str">
        <f>HYPERLINK("https://esbl.nhlbi.nih.gov/Databases/mpkFractions/proteomic_fractions_linear_files/Yang_linear_img/6678499.jpg","show blot")</f>
        <v>show blot</v>
      </c>
      <c r="J8072" s="5" t="s">
        <v>15894</v>
      </c>
      <c r="L8072" s="11">
        <v>5.8162704159084342</v>
      </c>
      <c r="N8072" s="12"/>
    </row>
    <row r="8073" spans="1:14" s="5" customFormat="1" ht="15" customHeight="1" x14ac:dyDescent="0.25">
      <c r="A8073" s="9" t="s">
        <v>15895</v>
      </c>
      <c r="C8073" s="9" t="str">
        <f>HYPERLINK("http://www.ncbi.nlm.nih.gov/protein/236466498","Uggt1")</f>
        <v>Uggt1</v>
      </c>
      <c r="D8073" s="10">
        <f t="shared" si="126"/>
        <v>4.7456785875696994</v>
      </c>
      <c r="F8073" s="8" t="str">
        <f>HYPERLINK("https://esbl.nhlbi.nih.gov/Databases/mpkFractions/proteomic_fractions_log_files/Yang_log_img/236466498.jpg","show blot")</f>
        <v>show blot</v>
      </c>
      <c r="H8073" s="8" t="str">
        <f>HYPERLINK("https://esbl.nhlbi.nih.gov/Databases/mpkFractions/proteomic_fractions_linear_files/Yang_linear_img/236466498.jpg","show blot")</f>
        <v>show blot</v>
      </c>
      <c r="J8073" s="5" t="s">
        <v>15896</v>
      </c>
      <c r="L8073" s="11">
        <v>4.7456785875696994</v>
      </c>
      <c r="N8073" s="12"/>
    </row>
    <row r="8074" spans="1:14" s="5" customFormat="1" ht="15" customHeight="1" x14ac:dyDescent="0.25">
      <c r="A8074" s="9" t="s">
        <v>15897</v>
      </c>
      <c r="C8074" s="9" t="str">
        <f>HYPERLINK("http://www.ncbi.nlm.nih.gov/protein/158749642","Uggt2")</f>
        <v>Uggt2</v>
      </c>
      <c r="D8074" s="10">
        <f t="shared" si="126"/>
        <v>2.8841603129486879</v>
      </c>
      <c r="F8074" s="8" t="str">
        <f>HYPERLINK("https://esbl.nhlbi.nih.gov/Databases/mpkFractions/proteomic_fractions_log_files/Yang_log_img/158749642.jpg","show blot")</f>
        <v>show blot</v>
      </c>
      <c r="H8074" s="8" t="str">
        <f>HYPERLINK("https://esbl.nhlbi.nih.gov/Databases/mpkFractions/proteomic_fractions_linear_files/Yang_linear_img/158749642.jpg","show blot")</f>
        <v>show blot</v>
      </c>
      <c r="J8074" s="5" t="s">
        <v>15898</v>
      </c>
      <c r="L8074" s="11">
        <v>2.8841603129486879</v>
      </c>
      <c r="N8074" s="12"/>
    </row>
    <row r="8075" spans="1:14" s="5" customFormat="1" ht="15" customHeight="1" x14ac:dyDescent="0.25">
      <c r="A8075" s="9" t="s">
        <v>15899</v>
      </c>
      <c r="C8075" s="9" t="str">
        <f>HYPERLINK("http://www.ncbi.nlm.nih.gov/protein/21314832","Ugp2")</f>
        <v>Ugp2</v>
      </c>
      <c r="D8075" s="10">
        <f t="shared" si="126"/>
        <v>5.5723547774313182</v>
      </c>
      <c r="F8075" s="8" t="str">
        <f>HYPERLINK("https://esbl.nhlbi.nih.gov/Databases/mpkFractions/proteomic_fractions_log_files/Yang_log_img/21314832.jpg","show blot")</f>
        <v>show blot</v>
      </c>
      <c r="H8075" s="8" t="str">
        <f>HYPERLINK("https://esbl.nhlbi.nih.gov/Databases/mpkFractions/proteomic_fractions_linear_files/Yang_linear_img/21314832.jpg","show blot")</f>
        <v>show blot</v>
      </c>
      <c r="J8075" s="5" t="s">
        <v>15900</v>
      </c>
      <c r="L8075" s="11">
        <v>5.5723547774313182</v>
      </c>
      <c r="N8075" s="12"/>
    </row>
    <row r="8076" spans="1:14" s="5" customFormat="1" ht="15" customHeight="1" x14ac:dyDescent="0.25">
      <c r="A8076" s="9" t="s">
        <v>15901</v>
      </c>
      <c r="C8076" s="9" t="str">
        <f>HYPERLINK("http://www.ncbi.nlm.nih.gov/protein/31543926","Ugt8a")</f>
        <v>Ugt8a</v>
      </c>
      <c r="D8076" s="10">
        <f t="shared" si="126"/>
        <v>3.385152681677007</v>
      </c>
      <c r="F8076" s="8" t="str">
        <f>HYPERLINK("https://esbl.nhlbi.nih.gov/Databases/mpkFractions/proteomic_fractions_log_files/Yang_log_img/31543926.jpg","show blot")</f>
        <v>show blot</v>
      </c>
      <c r="H8076" s="8" t="str">
        <f>HYPERLINK("https://esbl.nhlbi.nih.gov/Databases/mpkFractions/proteomic_fractions_linear_files/Yang_linear_img/31543926.jpg","show blot")</f>
        <v>show blot</v>
      </c>
      <c r="J8076" s="5" t="s">
        <v>15902</v>
      </c>
      <c r="L8076" s="11">
        <v>3.385152681677007</v>
      </c>
      <c r="N8076" s="12"/>
    </row>
    <row r="8077" spans="1:14" s="5" customFormat="1" ht="15" customHeight="1" x14ac:dyDescent="0.25">
      <c r="A8077" s="9" t="s">
        <v>15903</v>
      </c>
      <c r="C8077" s="9" t="str">
        <f>HYPERLINK("http://www.ncbi.nlm.nih.gov/protein/161621269","Uhrf1")</f>
        <v>Uhrf1</v>
      </c>
      <c r="D8077" s="10">
        <f t="shared" si="126"/>
        <v>4.9017842369706388</v>
      </c>
      <c r="F8077" s="8" t="str">
        <f>HYPERLINK("https://esbl.nhlbi.nih.gov/Databases/mpkFractions/proteomic_fractions_log_files/Yang_log_img/161621269.jpg","show blot")</f>
        <v>show blot</v>
      </c>
      <c r="H8077" s="8" t="str">
        <f>HYPERLINK("https://esbl.nhlbi.nih.gov/Databases/mpkFractions/proteomic_fractions_linear_files/Yang_linear_img/161621269.jpg","show blot")</f>
        <v>show blot</v>
      </c>
      <c r="J8077" s="5" t="s">
        <v>15904</v>
      </c>
      <c r="L8077" s="11">
        <v>4.9017842369706388</v>
      </c>
      <c r="N8077" s="12"/>
    </row>
    <row r="8078" spans="1:14" s="5" customFormat="1" ht="15" customHeight="1" x14ac:dyDescent="0.25">
      <c r="A8078" s="9" t="s">
        <v>15905</v>
      </c>
      <c r="C8078" s="9" t="str">
        <f>HYPERLINK("http://www.ncbi.nlm.nih.gov/protein/162287241","Uhrf1")</f>
        <v>Uhrf1</v>
      </c>
      <c r="D8078" s="10">
        <f t="shared" si="126"/>
        <v>4.9017842369706388</v>
      </c>
      <c r="F8078" s="8" t="str">
        <f>HYPERLINK("https://esbl.nhlbi.nih.gov/Databases/mpkFractions/proteomic_fractions_log_files/Yang_log_img/162287241.jpg","show blot")</f>
        <v>show blot</v>
      </c>
      <c r="H8078" s="8" t="str">
        <f>HYPERLINK("https://esbl.nhlbi.nih.gov/Databases/mpkFractions/proteomic_fractions_linear_files/Yang_linear_img/162287241.jpg","show blot")</f>
        <v>show blot</v>
      </c>
      <c r="J8078" s="5" t="s">
        <v>15906</v>
      </c>
      <c r="L8078" s="11">
        <v>4.9017842369706388</v>
      </c>
      <c r="N8078" s="12"/>
    </row>
    <row r="8079" spans="1:14" s="5" customFormat="1" ht="15" customHeight="1" x14ac:dyDescent="0.25">
      <c r="A8079" s="9" t="s">
        <v>15907</v>
      </c>
      <c r="C8079" s="9" t="str">
        <f>HYPERLINK("http://www.ncbi.nlm.nih.gov/protein/124107591","Uhrf1bp1")</f>
        <v>Uhrf1bp1</v>
      </c>
      <c r="D8079" s="10">
        <f t="shared" si="126"/>
        <v>4.074359253457521</v>
      </c>
      <c r="F8079" s="8" t="str">
        <f>HYPERLINK("https://esbl.nhlbi.nih.gov/Databases/mpkFractions/proteomic_fractions_log_files/Yang_log_img/124107591.jpg","show blot")</f>
        <v>show blot</v>
      </c>
      <c r="H8079" s="8" t="str">
        <f>HYPERLINK("https://esbl.nhlbi.nih.gov/Databases/mpkFractions/proteomic_fractions_linear_files/Yang_linear_img/124107591.jpg","show blot")</f>
        <v>show blot</v>
      </c>
      <c r="J8079" s="5" t="s">
        <v>15908</v>
      </c>
      <c r="L8079" s="11">
        <v>4.074359253457521</v>
      </c>
      <c r="N8079" s="12"/>
    </row>
    <row r="8080" spans="1:14" s="5" customFormat="1" ht="15" customHeight="1" x14ac:dyDescent="0.25">
      <c r="A8080" s="9" t="s">
        <v>15909</v>
      </c>
      <c r="C8080" s="9" t="str">
        <f>HYPERLINK("http://www.ncbi.nlm.nih.gov/protein/33859498","Umps")</f>
        <v>Umps</v>
      </c>
      <c r="D8080" s="10">
        <f t="shared" si="126"/>
        <v>5.995726309590764</v>
      </c>
      <c r="F8080" s="8" t="str">
        <f>HYPERLINK("https://esbl.nhlbi.nih.gov/Databases/mpkFractions/proteomic_fractions_log_files/Yang_log_img/33859498.jpg","show blot")</f>
        <v>show blot</v>
      </c>
      <c r="H8080" s="8" t="str">
        <f>HYPERLINK("https://esbl.nhlbi.nih.gov/Databases/mpkFractions/proteomic_fractions_linear_files/Yang_linear_img/33859498.jpg","show blot")</f>
        <v>show blot</v>
      </c>
      <c r="J8080" s="5" t="s">
        <v>15910</v>
      </c>
      <c r="L8080" s="11">
        <v>5.995726309590764</v>
      </c>
      <c r="N8080" s="12"/>
    </row>
    <row r="8081" spans="1:14" s="5" customFormat="1" ht="15" customHeight="1" x14ac:dyDescent="0.25">
      <c r="A8081" s="9" t="s">
        <v>15911</v>
      </c>
      <c r="C8081" s="9" t="str">
        <f>HYPERLINK("http://www.ncbi.nlm.nih.gov/protein/6755939","Unc119")</f>
        <v>Unc119</v>
      </c>
      <c r="D8081" s="10">
        <f t="shared" si="126"/>
        <v>3.4431116974794969</v>
      </c>
      <c r="F8081" s="8" t="str">
        <f>HYPERLINK("https://esbl.nhlbi.nih.gov/Databases/mpkFractions/proteomic_fractions_log_files/Yang_log_img/6755939.jpg","show blot")</f>
        <v>show blot</v>
      </c>
      <c r="H8081" s="8" t="str">
        <f>HYPERLINK("https://esbl.nhlbi.nih.gov/Databases/mpkFractions/proteomic_fractions_linear_files/Yang_linear_img/6755939.jpg","show blot")</f>
        <v>show blot</v>
      </c>
      <c r="J8081" s="5" t="s">
        <v>15912</v>
      </c>
      <c r="L8081" s="11">
        <v>3.4431116974794969</v>
      </c>
      <c r="N8081" s="12"/>
    </row>
    <row r="8082" spans="1:14" s="5" customFormat="1" ht="15" customHeight="1" x14ac:dyDescent="0.25">
      <c r="A8082" s="9" t="s">
        <v>15913</v>
      </c>
      <c r="C8082" s="9" t="str">
        <f>HYPERLINK("http://www.ncbi.nlm.nih.gov/protein/30425054","Unc119b")</f>
        <v>Unc119b</v>
      </c>
      <c r="D8082" s="10">
        <f t="shared" si="126"/>
        <v>5.4378262974490559</v>
      </c>
      <c r="F8082" s="8" t="str">
        <f>HYPERLINK("https://esbl.nhlbi.nih.gov/Databases/mpkFractions/proteomic_fractions_log_files/Yang_log_img/30425054.jpg","show blot")</f>
        <v>show blot</v>
      </c>
      <c r="H8082" s="8" t="str">
        <f>HYPERLINK("https://esbl.nhlbi.nih.gov/Databases/mpkFractions/proteomic_fractions_linear_files/Yang_linear_img/30425054.jpg","show blot")</f>
        <v>show blot</v>
      </c>
      <c r="J8082" s="5" t="s">
        <v>15914</v>
      </c>
      <c r="L8082" s="11">
        <v>5.4378262974490559</v>
      </c>
      <c r="N8082" s="12"/>
    </row>
    <row r="8083" spans="1:14" s="5" customFormat="1" ht="15" customHeight="1" x14ac:dyDescent="0.25">
      <c r="A8083" s="9" t="s">
        <v>15915</v>
      </c>
      <c r="C8083" s="9" t="str">
        <f>HYPERLINK("http://www.ncbi.nlm.nih.gov/protein/124487217","Unc13c")</f>
        <v>Unc13c</v>
      </c>
      <c r="D8083" s="10">
        <f t="shared" si="126"/>
        <v>2.1505550286657349</v>
      </c>
      <c r="F8083" s="8" t="str">
        <f>HYPERLINK("https://esbl.nhlbi.nih.gov/Databases/mpkFractions/proteomic_fractions_log_files/Yang_log_img/124487217.jpg","show blot")</f>
        <v>show blot</v>
      </c>
      <c r="H8083" s="8" t="str">
        <f>HYPERLINK("https://esbl.nhlbi.nih.gov/Databases/mpkFractions/proteomic_fractions_linear_files/Yang_linear_img/124487217.jpg","show blot")</f>
        <v>show blot</v>
      </c>
      <c r="J8083" s="5" t="s">
        <v>15916</v>
      </c>
      <c r="L8083" s="11">
        <v>2.1505550286657349</v>
      </c>
      <c r="N8083" s="12"/>
    </row>
    <row r="8084" spans="1:14" s="5" customFormat="1" ht="15" customHeight="1" x14ac:dyDescent="0.25">
      <c r="A8084" s="9" t="s">
        <v>15917</v>
      </c>
      <c r="C8084" s="9" t="str">
        <f>HYPERLINK("http://www.ncbi.nlm.nih.gov/protein/62243588","Unc13d")</f>
        <v>Unc13d</v>
      </c>
      <c r="D8084" s="10">
        <f t="shared" si="126"/>
        <v>0.38866138415444551</v>
      </c>
      <c r="F8084" s="8" t="str">
        <f>HYPERLINK("https://esbl.nhlbi.nih.gov/Databases/mpkFractions/proteomic_fractions_log_files/Yang_log_img/62243588.jpg","show blot")</f>
        <v>show blot</v>
      </c>
      <c r="H8084" s="8" t="str">
        <f>HYPERLINK("https://esbl.nhlbi.nih.gov/Databases/mpkFractions/proteomic_fractions_linear_files/Yang_linear_img/62243588.jpg","show blot")</f>
        <v>show blot</v>
      </c>
      <c r="J8084" s="5" t="s">
        <v>15918</v>
      </c>
      <c r="L8084" s="11">
        <v>0.38866138415444551</v>
      </c>
      <c r="N8084" s="12"/>
    </row>
    <row r="8085" spans="1:14" s="5" customFormat="1" ht="15" customHeight="1" x14ac:dyDescent="0.25">
      <c r="A8085" s="9" t="s">
        <v>15919</v>
      </c>
      <c r="C8085" s="9" t="str">
        <f>HYPERLINK("http://www.ncbi.nlm.nih.gov/protein/227908790","Unc45a")</f>
        <v>Unc45a</v>
      </c>
      <c r="D8085" s="10">
        <f t="shared" si="126"/>
        <v>4.5494252516916118</v>
      </c>
      <c r="F8085" s="8" t="str">
        <f>HYPERLINK("https://esbl.nhlbi.nih.gov/Databases/mpkFractions/proteomic_fractions_log_files/Yang_log_img/227908790.jpg","show blot")</f>
        <v>show blot</v>
      </c>
      <c r="H8085" s="8" t="str">
        <f>HYPERLINK("https://esbl.nhlbi.nih.gov/Databases/mpkFractions/proteomic_fractions_linear_files/Yang_linear_img/227908790.jpg","show blot")</f>
        <v>show blot</v>
      </c>
      <c r="J8085" s="5" t="s">
        <v>15920</v>
      </c>
      <c r="L8085" s="11">
        <v>4.5494252516916118</v>
      </c>
      <c r="N8085" s="12"/>
    </row>
    <row r="8086" spans="1:14" s="5" customFormat="1" ht="15" customHeight="1" x14ac:dyDescent="0.25">
      <c r="A8086" s="9" t="s">
        <v>15921</v>
      </c>
      <c r="C8086" s="9" t="str">
        <f>HYPERLINK("http://www.ncbi.nlm.nih.gov/protein/313661493","Unc79")</f>
        <v>Unc79</v>
      </c>
      <c r="D8086" s="10">
        <f t="shared" si="126"/>
        <v>1.6678860203832799</v>
      </c>
      <c r="F8086" s="8" t="str">
        <f>HYPERLINK("https://esbl.nhlbi.nih.gov/Databases/mpkFractions/proteomic_fractions_log_files/Yang_log_img/313661493.jpg","show blot")</f>
        <v>show blot</v>
      </c>
      <c r="H8086" s="8" t="str">
        <f>HYPERLINK("https://esbl.nhlbi.nih.gov/Databases/mpkFractions/proteomic_fractions_linear_files/Yang_linear_img/313661493.jpg","show blot")</f>
        <v>show blot</v>
      </c>
      <c r="J8086" s="5" t="s">
        <v>15922</v>
      </c>
      <c r="L8086" s="11">
        <v>1.6678860203832799</v>
      </c>
      <c r="N8086" s="12"/>
    </row>
    <row r="8087" spans="1:14" s="5" customFormat="1" ht="15" customHeight="1" x14ac:dyDescent="0.25">
      <c r="A8087" s="9" t="s">
        <v>15923</v>
      </c>
      <c r="C8087" s="9" t="str">
        <f>HYPERLINK("http://www.ncbi.nlm.nih.gov/protein/101943608","Ung")</f>
        <v>Ung</v>
      </c>
      <c r="D8087" s="10">
        <f t="shared" si="126"/>
        <v>3.3809118320574618</v>
      </c>
      <c r="F8087" s="8" t="str">
        <f>HYPERLINK("https://esbl.nhlbi.nih.gov/Databases/mpkFractions/proteomic_fractions_log_files/Yang_log_img/101943608.jpg","show blot")</f>
        <v>show blot</v>
      </c>
      <c r="H8087" s="8" t="str">
        <f>HYPERLINK("https://esbl.nhlbi.nih.gov/Databases/mpkFractions/proteomic_fractions_linear_files/Yang_linear_img/101943608.jpg","show blot")</f>
        <v>show blot</v>
      </c>
      <c r="J8087" s="5" t="s">
        <v>15924</v>
      </c>
      <c r="L8087" s="11">
        <v>3.3809118320574618</v>
      </c>
      <c r="N8087" s="12"/>
    </row>
    <row r="8088" spans="1:14" s="5" customFormat="1" ht="15" customHeight="1" x14ac:dyDescent="0.25">
      <c r="A8088" s="9" t="s">
        <v>15925</v>
      </c>
      <c r="C8088" s="9" t="str">
        <f>HYPERLINK("http://www.ncbi.nlm.nih.gov/protein/27369808","Unk")</f>
        <v>Unk</v>
      </c>
      <c r="D8088" s="10">
        <f t="shared" si="126"/>
        <v>3.8104716494117161</v>
      </c>
      <c r="F8088" s="8" t="str">
        <f>HYPERLINK("https://esbl.nhlbi.nih.gov/Databases/mpkFractions/proteomic_fractions_log_files/Yang_log_img/27369808.jpg","show blot")</f>
        <v>show blot</v>
      </c>
      <c r="H8088" s="8" t="str">
        <f>HYPERLINK("https://esbl.nhlbi.nih.gov/Databases/mpkFractions/proteomic_fractions_linear_files/Yang_linear_img/27369808.jpg","show blot")</f>
        <v>show blot</v>
      </c>
      <c r="J8088" s="5" t="s">
        <v>15926</v>
      </c>
      <c r="L8088" s="11">
        <v>3.8104716494117161</v>
      </c>
      <c r="N8088" s="12"/>
    </row>
    <row r="8089" spans="1:14" s="5" customFormat="1" ht="15" customHeight="1" x14ac:dyDescent="0.25">
      <c r="A8089" s="9" t="s">
        <v>15927</v>
      </c>
      <c r="C8089" s="9" t="str">
        <f>HYPERLINK("http://www.ncbi.nlm.nih.gov/protein/170784811","Upf1")</f>
        <v>Upf1</v>
      </c>
      <c r="D8089" s="10">
        <f t="shared" si="126"/>
        <v>5.4884378770540234</v>
      </c>
      <c r="F8089" s="8" t="str">
        <f>HYPERLINK("https://esbl.nhlbi.nih.gov/Databases/mpkFractions/proteomic_fractions_log_files/Yang_log_img/170784811.jpg","show blot")</f>
        <v>show blot</v>
      </c>
      <c r="H8089" s="8" t="str">
        <f>HYPERLINK("https://esbl.nhlbi.nih.gov/Databases/mpkFractions/proteomic_fractions_linear_files/Yang_linear_img/170784811.jpg","show blot")</f>
        <v>show blot</v>
      </c>
      <c r="J8089" s="5" t="s">
        <v>15928</v>
      </c>
      <c r="L8089" s="11">
        <v>5.4884378770540234</v>
      </c>
      <c r="N8089" s="12"/>
    </row>
    <row r="8090" spans="1:14" s="5" customFormat="1" ht="15" customHeight="1" x14ac:dyDescent="0.25">
      <c r="A8090" s="9" t="s">
        <v>15929</v>
      </c>
      <c r="C8090" s="9" t="str">
        <f>HYPERLINK("http://www.ncbi.nlm.nih.gov/protein/170784813","Upf1")</f>
        <v>Upf1</v>
      </c>
      <c r="D8090" s="10">
        <f t="shared" si="126"/>
        <v>5.4884378770540234</v>
      </c>
      <c r="F8090" s="8" t="str">
        <f>HYPERLINK("https://esbl.nhlbi.nih.gov/Databases/mpkFractions/proteomic_fractions_log_files/Yang_log_img/170784813.jpg","show blot")</f>
        <v>show blot</v>
      </c>
      <c r="H8090" s="8" t="str">
        <f>HYPERLINK("https://esbl.nhlbi.nih.gov/Databases/mpkFractions/proteomic_fractions_linear_files/Yang_linear_img/170784813.jpg","show blot")</f>
        <v>show blot</v>
      </c>
      <c r="J8090" s="5" t="s">
        <v>15930</v>
      </c>
      <c r="L8090" s="11">
        <v>5.4884378770540234</v>
      </c>
      <c r="N8090" s="12"/>
    </row>
    <row r="8091" spans="1:14" s="5" customFormat="1" ht="15" customHeight="1" x14ac:dyDescent="0.25">
      <c r="A8091" s="9" t="s">
        <v>15931</v>
      </c>
      <c r="C8091" s="9" t="str">
        <f>HYPERLINK("http://www.ncbi.nlm.nih.gov/protein/124487283","Upf2")</f>
        <v>Upf2</v>
      </c>
      <c r="D8091" s="10">
        <f t="shared" si="126"/>
        <v>3.5110148965836601</v>
      </c>
      <c r="F8091" s="8" t="str">
        <f>HYPERLINK("https://esbl.nhlbi.nih.gov/Databases/mpkFractions/proteomic_fractions_log_files/Yang_log_img/124487283.jpg","show blot")</f>
        <v>show blot</v>
      </c>
      <c r="H8091" s="8" t="str">
        <f>HYPERLINK("https://esbl.nhlbi.nih.gov/Databases/mpkFractions/proteomic_fractions_linear_files/Yang_linear_img/124487283.jpg","show blot")</f>
        <v>show blot</v>
      </c>
      <c r="J8091" s="5" t="s">
        <v>15932</v>
      </c>
      <c r="L8091" s="11">
        <v>3.5110148965836601</v>
      </c>
      <c r="N8091" s="12"/>
    </row>
    <row r="8092" spans="1:14" s="5" customFormat="1" ht="15" customHeight="1" x14ac:dyDescent="0.25">
      <c r="A8092" s="9" t="s">
        <v>15933</v>
      </c>
      <c r="C8092" s="9" t="str">
        <f>HYPERLINK("http://www.ncbi.nlm.nih.gov/protein/74959788","Upf3b")</f>
        <v>Upf3b</v>
      </c>
      <c r="D8092" s="10">
        <f t="shared" si="126"/>
        <v>4.170837359089913</v>
      </c>
      <c r="F8092" s="8" t="str">
        <f>HYPERLINK("https://esbl.nhlbi.nih.gov/Databases/mpkFractions/proteomic_fractions_log_files/Yang_log_img/74959788.jpg","show blot")</f>
        <v>show blot</v>
      </c>
      <c r="H8092" s="8" t="str">
        <f>HYPERLINK("https://esbl.nhlbi.nih.gov/Databases/mpkFractions/proteomic_fractions_linear_files/Yang_linear_img/74959788.jpg","show blot")</f>
        <v>show blot</v>
      </c>
      <c r="J8092" s="5" t="s">
        <v>15934</v>
      </c>
      <c r="L8092" s="11">
        <v>4.170837359089913</v>
      </c>
      <c r="N8092" s="12"/>
    </row>
    <row r="8093" spans="1:14" s="5" customFormat="1" ht="15" customHeight="1" x14ac:dyDescent="0.25">
      <c r="A8093" s="9" t="s">
        <v>15935</v>
      </c>
      <c r="C8093" s="9" t="str">
        <f>HYPERLINK("http://www.ncbi.nlm.nih.gov/protein/58037127","Upk1a")</f>
        <v>Upk1a</v>
      </c>
      <c r="D8093" s="10">
        <f t="shared" si="126"/>
        <v>4.6160004665875913</v>
      </c>
      <c r="F8093" s="8" t="str">
        <f>HYPERLINK("https://esbl.nhlbi.nih.gov/Databases/mpkFractions/proteomic_fractions_log_files/Yang_log_img/58037127.jpg","show blot")</f>
        <v>show blot</v>
      </c>
      <c r="H8093" s="8" t="str">
        <f>HYPERLINK("https://esbl.nhlbi.nih.gov/Databases/mpkFractions/proteomic_fractions_linear_files/Yang_linear_img/58037127.jpg","show blot")</f>
        <v>show blot</v>
      </c>
      <c r="J8093" s="5" t="s">
        <v>15936</v>
      </c>
      <c r="L8093" s="11">
        <v>4.6160004665875913</v>
      </c>
      <c r="N8093" s="12"/>
    </row>
    <row r="8094" spans="1:14" s="5" customFormat="1" ht="15" customHeight="1" x14ac:dyDescent="0.25">
      <c r="A8094" s="9" t="s">
        <v>15937</v>
      </c>
      <c r="C8094" s="9" t="str">
        <f>HYPERLINK("http://www.ncbi.nlm.nih.gov/protein/121949819","Upk2")</f>
        <v>Upk2</v>
      </c>
      <c r="D8094" s="10">
        <f t="shared" si="126"/>
        <v>3.5675075789306239</v>
      </c>
      <c r="F8094" s="8" t="str">
        <f>HYPERLINK("https://esbl.nhlbi.nih.gov/Databases/mpkFractions/proteomic_fractions_log_files/Yang_log_img/121949819.jpg","show blot")</f>
        <v>show blot</v>
      </c>
      <c r="H8094" s="8" t="str">
        <f>HYPERLINK("https://esbl.nhlbi.nih.gov/Databases/mpkFractions/proteomic_fractions_linear_files/Yang_linear_img/121949819.jpg","show blot")</f>
        <v>show blot</v>
      </c>
      <c r="J8094" s="5" t="s">
        <v>15938</v>
      </c>
      <c r="L8094" s="11">
        <v>3.5675075789306239</v>
      </c>
      <c r="N8094" s="12"/>
    </row>
    <row r="8095" spans="1:14" s="5" customFormat="1" ht="15" customHeight="1" x14ac:dyDescent="0.25">
      <c r="A8095" s="9" t="s">
        <v>15939</v>
      </c>
      <c r="C8095" s="9" t="str">
        <f>HYPERLINK("http://www.ncbi.nlm.nih.gov/protein/124487135","Uprt")</f>
        <v>Uprt</v>
      </c>
      <c r="D8095" s="10">
        <f t="shared" si="126"/>
        <v>4.2791280499291293</v>
      </c>
      <c r="F8095" s="8" t="str">
        <f>HYPERLINK("https://esbl.nhlbi.nih.gov/Databases/mpkFractions/proteomic_fractions_log_files/Yang_log_img/124487135.jpg","show blot")</f>
        <v>show blot</v>
      </c>
      <c r="H8095" s="8" t="str">
        <f>HYPERLINK("https://esbl.nhlbi.nih.gov/Databases/mpkFractions/proteomic_fractions_linear_files/Yang_linear_img/124487135.jpg","show blot")</f>
        <v>show blot</v>
      </c>
      <c r="J8095" s="5" t="s">
        <v>15940</v>
      </c>
      <c r="L8095" s="11">
        <v>4.2791280499291293</v>
      </c>
      <c r="N8095" s="12"/>
    </row>
    <row r="8096" spans="1:14" s="5" customFormat="1" ht="15" customHeight="1" x14ac:dyDescent="0.25">
      <c r="A8096" s="9" t="s">
        <v>15941</v>
      </c>
      <c r="C8096" s="9" t="str">
        <f>HYPERLINK("http://www.ncbi.nlm.nih.gov/protein/213512915","Uqcc1")</f>
        <v>Uqcc1</v>
      </c>
      <c r="D8096" s="10">
        <f t="shared" si="126"/>
        <v>5.0330087903903227</v>
      </c>
      <c r="F8096" s="8" t="str">
        <f>HYPERLINK("https://esbl.nhlbi.nih.gov/Databases/mpkFractions/proteomic_fractions_log_files/Yang_log_img/213512915.jpg","show blot")</f>
        <v>show blot</v>
      </c>
      <c r="H8096" s="8" t="str">
        <f>HYPERLINK("https://esbl.nhlbi.nih.gov/Databases/mpkFractions/proteomic_fractions_linear_files/Yang_linear_img/213512915.jpg","show blot")</f>
        <v>show blot</v>
      </c>
      <c r="J8096" s="5" t="s">
        <v>15942</v>
      </c>
      <c r="L8096" s="11">
        <v>5.0330087903903227</v>
      </c>
      <c r="N8096" s="12"/>
    </row>
    <row r="8097" spans="1:14" s="5" customFormat="1" ht="15" customHeight="1" x14ac:dyDescent="0.25">
      <c r="A8097" s="9" t="s">
        <v>15943</v>
      </c>
      <c r="C8097" s="9" t="str">
        <f>HYPERLINK("http://www.ncbi.nlm.nih.gov/protein/13385560","Uqcc2")</f>
        <v>Uqcc2</v>
      </c>
      <c r="D8097" s="10">
        <f t="shared" si="126"/>
        <v>4.6562045313770311</v>
      </c>
      <c r="F8097" s="8" t="str">
        <f>HYPERLINK("https://esbl.nhlbi.nih.gov/Databases/mpkFractions/proteomic_fractions_log_files/Yang_log_img/13385560.jpg","show blot")</f>
        <v>show blot</v>
      </c>
      <c r="H8097" s="8" t="str">
        <f>HYPERLINK("https://esbl.nhlbi.nih.gov/Databases/mpkFractions/proteomic_fractions_linear_files/Yang_linear_img/13385560.jpg","show blot")</f>
        <v>show blot</v>
      </c>
      <c r="J8097" s="5" t="s">
        <v>15944</v>
      </c>
      <c r="L8097" s="11">
        <v>4.6562045313770311</v>
      </c>
      <c r="N8097" s="12"/>
    </row>
    <row r="8098" spans="1:14" s="5" customFormat="1" ht="15" customHeight="1" x14ac:dyDescent="0.25">
      <c r="A8098" s="9" t="s">
        <v>15945</v>
      </c>
      <c r="C8098" s="9" t="str">
        <f>HYPERLINK("http://www.ncbi.nlm.nih.gov/protein/37574048","Uqcr10")</f>
        <v>Uqcr10</v>
      </c>
      <c r="D8098" s="10">
        <f t="shared" si="126"/>
        <v>6.0748429480654984</v>
      </c>
      <c r="F8098" s="8" t="str">
        <f>HYPERLINK("https://esbl.nhlbi.nih.gov/Databases/mpkFractions/proteomic_fractions_log_files/Yang_log_img/37574048.jpg","show blot")</f>
        <v>show blot</v>
      </c>
      <c r="H8098" s="8" t="str">
        <f>HYPERLINK("https://esbl.nhlbi.nih.gov/Databases/mpkFractions/proteomic_fractions_linear_files/Yang_linear_img/37574048.jpg","show blot")</f>
        <v>show blot</v>
      </c>
      <c r="J8098" s="5" t="s">
        <v>15946</v>
      </c>
      <c r="L8098" s="11">
        <v>6.0748429480654984</v>
      </c>
      <c r="N8098" s="12"/>
    </row>
    <row r="8099" spans="1:14" s="5" customFormat="1" ht="15" customHeight="1" x14ac:dyDescent="0.25">
      <c r="A8099" s="9" t="s">
        <v>15947</v>
      </c>
      <c r="C8099" s="9" t="str">
        <f>HYPERLINK("http://www.ncbi.nlm.nih.gov/protein/13385112","Uqcr11")</f>
        <v>Uqcr11</v>
      </c>
      <c r="D8099" s="10">
        <f t="shared" si="126"/>
        <v>4.3944734419748581</v>
      </c>
      <c r="F8099" s="8" t="str">
        <f>HYPERLINK("https://esbl.nhlbi.nih.gov/Databases/mpkFractions/proteomic_fractions_log_files/Yang_log_img/13385112.jpg","show blot")</f>
        <v>show blot</v>
      </c>
      <c r="H8099" s="8" t="str">
        <f>HYPERLINK("https://esbl.nhlbi.nih.gov/Databases/mpkFractions/proteomic_fractions_linear_files/Yang_linear_img/13385112.jpg","show blot")</f>
        <v>show blot</v>
      </c>
      <c r="J8099" s="5" t="s">
        <v>15948</v>
      </c>
      <c r="L8099" s="11">
        <v>4.3944734419748581</v>
      </c>
      <c r="N8099" s="12"/>
    </row>
    <row r="8100" spans="1:14" s="5" customFormat="1" ht="15" customHeight="1" x14ac:dyDescent="0.25">
      <c r="A8100" s="9" t="s">
        <v>15949</v>
      </c>
      <c r="C8100" s="9" t="str">
        <f>HYPERLINK("http://www.ncbi.nlm.nih.gov/protein/13385726","Uqcrb")</f>
        <v>Uqcrb</v>
      </c>
      <c r="D8100" s="10">
        <f t="shared" si="126"/>
        <v>5.4580270079337394</v>
      </c>
      <c r="F8100" s="8" t="str">
        <f>HYPERLINK("https://esbl.nhlbi.nih.gov/Databases/mpkFractions/proteomic_fractions_log_files/Yang_log_img/13385726.jpg","show blot")</f>
        <v>show blot</v>
      </c>
      <c r="H8100" s="8" t="str">
        <f>HYPERLINK("https://esbl.nhlbi.nih.gov/Databases/mpkFractions/proteomic_fractions_linear_files/Yang_linear_img/13385726.jpg","show blot")</f>
        <v>show blot</v>
      </c>
      <c r="J8100" s="5" t="s">
        <v>15950</v>
      </c>
      <c r="L8100" s="11">
        <v>5.4580270079337394</v>
      </c>
      <c r="N8100" s="12"/>
    </row>
    <row r="8101" spans="1:14" s="5" customFormat="1" ht="15" customHeight="1" x14ac:dyDescent="0.25">
      <c r="A8101" s="9" t="s">
        <v>15951</v>
      </c>
      <c r="C8101" s="9" t="str">
        <f>HYPERLINK("http://www.ncbi.nlm.nih.gov/protein/46593021","Uqcrc1")</f>
        <v>Uqcrc1</v>
      </c>
      <c r="D8101" s="10">
        <f t="shared" si="126"/>
        <v>6.2671494388988442</v>
      </c>
      <c r="F8101" s="8" t="str">
        <f>HYPERLINK("https://esbl.nhlbi.nih.gov/Databases/mpkFractions/proteomic_fractions_log_files/Yang_log_img/46593021.jpg","show blot")</f>
        <v>show blot</v>
      </c>
      <c r="H8101" s="8" t="str">
        <f>HYPERLINK("https://esbl.nhlbi.nih.gov/Databases/mpkFractions/proteomic_fractions_linear_files/Yang_linear_img/46593021.jpg","show blot")</f>
        <v>show blot</v>
      </c>
      <c r="J8101" s="5" t="s">
        <v>15952</v>
      </c>
      <c r="L8101" s="11">
        <v>6.2671494388988442</v>
      </c>
      <c r="N8101" s="12"/>
    </row>
    <row r="8102" spans="1:14" s="5" customFormat="1" ht="15" customHeight="1" x14ac:dyDescent="0.25">
      <c r="A8102" s="9" t="s">
        <v>15953</v>
      </c>
      <c r="C8102" s="9" t="str">
        <f>HYPERLINK("http://www.ncbi.nlm.nih.gov/protein/22267442","Uqcrc2")</f>
        <v>Uqcrc2</v>
      </c>
      <c r="D8102" s="10">
        <f t="shared" si="126"/>
        <v>6.2765101570924866</v>
      </c>
      <c r="F8102" s="8" t="str">
        <f>HYPERLINK("https://esbl.nhlbi.nih.gov/Databases/mpkFractions/proteomic_fractions_log_files/Yang_log_img/22267442.jpg","show blot")</f>
        <v>show blot</v>
      </c>
      <c r="H8102" s="8" t="str">
        <f>HYPERLINK("https://esbl.nhlbi.nih.gov/Databases/mpkFractions/proteomic_fractions_linear_files/Yang_linear_img/22267442.jpg","show blot")</f>
        <v>show blot</v>
      </c>
      <c r="J8102" s="5" t="s">
        <v>15954</v>
      </c>
      <c r="L8102" s="11">
        <v>6.2765101570924866</v>
      </c>
      <c r="N8102" s="12"/>
    </row>
    <row r="8103" spans="1:14" s="5" customFormat="1" ht="15" customHeight="1" x14ac:dyDescent="0.25">
      <c r="A8103" s="9" t="s">
        <v>15955</v>
      </c>
      <c r="C8103" s="9" t="str">
        <f>HYPERLINK("http://www.ncbi.nlm.nih.gov/protein/13385168","Uqcrfs1")</f>
        <v>Uqcrfs1</v>
      </c>
      <c r="D8103" s="10">
        <f t="shared" si="126"/>
        <v>5.6959376990840056</v>
      </c>
      <c r="F8103" s="8" t="str">
        <f>HYPERLINK("https://esbl.nhlbi.nih.gov/Databases/mpkFractions/proteomic_fractions_log_files/Yang_log_img/13385168.jpg","show blot")</f>
        <v>show blot</v>
      </c>
      <c r="H8103" s="8" t="str">
        <f>HYPERLINK("https://esbl.nhlbi.nih.gov/Databases/mpkFractions/proteomic_fractions_linear_files/Yang_linear_img/13385168.jpg","show blot")</f>
        <v>show blot</v>
      </c>
      <c r="J8103" s="5" t="s">
        <v>15956</v>
      </c>
      <c r="L8103" s="11">
        <v>5.6959376990840056</v>
      </c>
      <c r="N8103" s="12"/>
    </row>
    <row r="8104" spans="1:14" s="5" customFormat="1" ht="15" customHeight="1" x14ac:dyDescent="0.25">
      <c r="A8104" s="9" t="s">
        <v>15957</v>
      </c>
      <c r="C8104" s="9" t="str">
        <f>HYPERLINK("http://www.ncbi.nlm.nih.gov/protein/21539599","Uqcrh")</f>
        <v>Uqcrh</v>
      </c>
      <c r="D8104" s="10">
        <f t="shared" si="126"/>
        <v>5.0770775822622189</v>
      </c>
      <c r="F8104" s="8" t="str">
        <f>HYPERLINK("https://esbl.nhlbi.nih.gov/Databases/mpkFractions/proteomic_fractions_log_files/Yang_log_img/21539599.jpg","show blot")</f>
        <v>show blot</v>
      </c>
      <c r="H8104" s="8" t="str">
        <f>HYPERLINK("https://esbl.nhlbi.nih.gov/Databases/mpkFractions/proteomic_fractions_linear_files/Yang_linear_img/21539599.jpg","show blot")</f>
        <v>show blot</v>
      </c>
      <c r="J8104" s="5" t="s">
        <v>15958</v>
      </c>
      <c r="L8104" s="11">
        <v>5.0770775822622189</v>
      </c>
      <c r="N8104" s="12"/>
    </row>
    <row r="8105" spans="1:14" s="5" customFormat="1" ht="15" customHeight="1" x14ac:dyDescent="0.25">
      <c r="A8105" s="9" t="s">
        <v>15959</v>
      </c>
      <c r="C8105" s="9" t="str">
        <f>HYPERLINK("http://www.ncbi.nlm.nih.gov/protein/21539585","Uqcrq")</f>
        <v>Uqcrq</v>
      </c>
      <c r="D8105" s="10">
        <f t="shared" si="126"/>
        <v>5.089307307668915</v>
      </c>
      <c r="F8105" s="8" t="str">
        <f>HYPERLINK("https://esbl.nhlbi.nih.gov/Databases/mpkFractions/proteomic_fractions_log_files/Yang_log_img/21539585.jpg","show blot")</f>
        <v>show blot</v>
      </c>
      <c r="H8105" s="8" t="str">
        <f>HYPERLINK("https://esbl.nhlbi.nih.gov/Databases/mpkFractions/proteomic_fractions_linear_files/Yang_linear_img/21539585.jpg","show blot")</f>
        <v>show blot</v>
      </c>
      <c r="J8105" s="5" t="s">
        <v>15960</v>
      </c>
      <c r="L8105" s="11">
        <v>5.089307307668915</v>
      </c>
      <c r="N8105" s="12"/>
    </row>
    <row r="8106" spans="1:14" s="5" customFormat="1" ht="15" customHeight="1" x14ac:dyDescent="0.25">
      <c r="A8106" s="9" t="s">
        <v>15961</v>
      </c>
      <c r="C8106" s="9" t="str">
        <f>HYPERLINK("http://www.ncbi.nlm.nih.gov/protein/256818750","Urb1")</f>
        <v>Urb1</v>
      </c>
      <c r="D8106" s="10">
        <f t="shared" si="126"/>
        <v>3.663738202140332</v>
      </c>
      <c r="F8106" s="8" t="str">
        <f>HYPERLINK("https://esbl.nhlbi.nih.gov/Databases/mpkFractions/proteomic_fractions_log_files/Yang_log_img/256818750.jpg","show blot")</f>
        <v>show blot</v>
      </c>
      <c r="H8106" s="8" t="str">
        <f>HYPERLINK("https://esbl.nhlbi.nih.gov/Databases/mpkFractions/proteomic_fractions_linear_files/Yang_linear_img/256818750.jpg","show blot")</f>
        <v>show blot</v>
      </c>
      <c r="J8106" s="5" t="s">
        <v>15962</v>
      </c>
      <c r="L8106" s="11">
        <v>3.663738202140332</v>
      </c>
      <c r="N8106" s="12"/>
    </row>
    <row r="8107" spans="1:14" s="5" customFormat="1" ht="15" customHeight="1" x14ac:dyDescent="0.25">
      <c r="A8107" s="9" t="s">
        <v>15963</v>
      </c>
      <c r="C8107" s="9" t="str">
        <f>HYPERLINK("http://www.ncbi.nlm.nih.gov/protein/71274162","Urb2")</f>
        <v>Urb2</v>
      </c>
      <c r="D8107" s="10">
        <f t="shared" si="126"/>
        <v>2.968204307735502</v>
      </c>
      <c r="F8107" s="8" t="str">
        <f>HYPERLINK("https://esbl.nhlbi.nih.gov/Databases/mpkFractions/proteomic_fractions_log_files/Yang_log_img/71274162.jpg","show blot")</f>
        <v>show blot</v>
      </c>
      <c r="H8107" s="8" t="str">
        <f>HYPERLINK("https://esbl.nhlbi.nih.gov/Databases/mpkFractions/proteomic_fractions_linear_files/Yang_linear_img/71274162.jpg","show blot")</f>
        <v>show blot</v>
      </c>
      <c r="J8107" s="5" t="s">
        <v>15964</v>
      </c>
      <c r="L8107" s="11">
        <v>2.968204307735502</v>
      </c>
      <c r="N8107" s="12"/>
    </row>
    <row r="8108" spans="1:14" s="5" customFormat="1" ht="15" customHeight="1" x14ac:dyDescent="0.25">
      <c r="A8108" s="9" t="s">
        <v>15965</v>
      </c>
      <c r="C8108" s="9" t="str">
        <f>HYPERLINK("http://www.ncbi.nlm.nih.gov/protein/110347606","Urod")</f>
        <v>Urod</v>
      </c>
      <c r="D8108" s="10">
        <f t="shared" si="126"/>
        <v>5.4983236989043194</v>
      </c>
      <c r="F8108" s="8" t="str">
        <f>HYPERLINK("https://esbl.nhlbi.nih.gov/Databases/mpkFractions/proteomic_fractions_log_files/Yang_log_img/110347606.jpg","show blot")</f>
        <v>show blot</v>
      </c>
      <c r="H8108" s="8" t="str">
        <f>HYPERLINK("https://esbl.nhlbi.nih.gov/Databases/mpkFractions/proteomic_fractions_linear_files/Yang_linear_img/110347606.jpg","show blot")</f>
        <v>show blot</v>
      </c>
      <c r="J8108" s="5" t="s">
        <v>15966</v>
      </c>
      <c r="L8108" s="11">
        <v>5.4983236989043194</v>
      </c>
      <c r="N8108" s="12"/>
    </row>
    <row r="8109" spans="1:14" s="5" customFormat="1" ht="15" customHeight="1" x14ac:dyDescent="0.25">
      <c r="A8109" s="9" t="s">
        <v>15967</v>
      </c>
      <c r="C8109" s="9" t="str">
        <f>HYPERLINK("http://www.ncbi.nlm.nih.gov/protein/6678519","Uros")</f>
        <v>Uros</v>
      </c>
      <c r="D8109" s="10">
        <f t="shared" si="126"/>
        <v>4.9438916863696196</v>
      </c>
      <c r="F8109" s="8" t="str">
        <f>HYPERLINK("https://esbl.nhlbi.nih.gov/Databases/mpkFractions/proteomic_fractions_log_files/Yang_log_img/6678519.jpg","show blot")</f>
        <v>show blot</v>
      </c>
      <c r="H8109" s="8" t="str">
        <f>HYPERLINK("https://esbl.nhlbi.nih.gov/Databases/mpkFractions/proteomic_fractions_linear_files/Yang_linear_img/6678519.jpg","show blot")</f>
        <v>show blot</v>
      </c>
      <c r="J8109" s="5" t="s">
        <v>15968</v>
      </c>
      <c r="L8109" s="11">
        <v>4.9438916863696196</v>
      </c>
      <c r="N8109" s="12"/>
    </row>
    <row r="8110" spans="1:14" s="5" customFormat="1" ht="15" customHeight="1" x14ac:dyDescent="0.25">
      <c r="A8110" s="9" t="s">
        <v>15969</v>
      </c>
      <c r="C8110" s="9" t="str">
        <f>HYPERLINK("http://www.ncbi.nlm.nih.gov/protein/21630259","Use1")</f>
        <v>Use1</v>
      </c>
      <c r="D8110" s="10">
        <f t="shared" si="126"/>
        <v>2.8768509967668261</v>
      </c>
      <c r="F8110" s="8" t="str">
        <f>HYPERLINK("https://esbl.nhlbi.nih.gov/Databases/mpkFractions/proteomic_fractions_log_files/Yang_log_img/21630259.jpg","show blot")</f>
        <v>show blot</v>
      </c>
      <c r="H8110" s="8" t="str">
        <f>HYPERLINK("https://esbl.nhlbi.nih.gov/Databases/mpkFractions/proteomic_fractions_linear_files/Yang_linear_img/21630259.jpg","show blot")</f>
        <v>show blot</v>
      </c>
      <c r="J8110" s="5" t="s">
        <v>15970</v>
      </c>
      <c r="L8110" s="11">
        <v>2.8768509967668261</v>
      </c>
      <c r="N8110" s="12"/>
    </row>
    <row r="8111" spans="1:14" s="5" customFormat="1" ht="15" customHeight="1" x14ac:dyDescent="0.25">
      <c r="A8111" s="9" t="s">
        <v>15971</v>
      </c>
      <c r="C8111" s="9" t="str">
        <f>HYPERLINK("http://www.ncbi.nlm.nih.gov/protein/224809387","Use1")</f>
        <v>Use1</v>
      </c>
      <c r="D8111" s="10">
        <f t="shared" si="126"/>
        <v>2.8768509967668261</v>
      </c>
      <c r="F8111" s="8" t="str">
        <f>HYPERLINK("https://esbl.nhlbi.nih.gov/Databases/mpkFractions/proteomic_fractions_log_files/Yang_log_img/224809387.jpg","show blot")</f>
        <v>show blot</v>
      </c>
      <c r="H8111" s="8" t="str">
        <f>HYPERLINK("https://esbl.nhlbi.nih.gov/Databases/mpkFractions/proteomic_fractions_linear_files/Yang_linear_img/224809387.jpg","show blot")</f>
        <v>show blot</v>
      </c>
      <c r="J8111" s="5" t="s">
        <v>15972</v>
      </c>
      <c r="L8111" s="11">
        <v>2.8768509967668261</v>
      </c>
      <c r="N8111" s="12"/>
    </row>
    <row r="8112" spans="1:14" s="5" customFormat="1" ht="15" customHeight="1" x14ac:dyDescent="0.25">
      <c r="A8112" s="9" t="s">
        <v>15973</v>
      </c>
      <c r="C8112" s="9" t="str">
        <f>HYPERLINK("http://www.ncbi.nlm.nih.gov/protein/254911001","Ush1c")</f>
        <v>Ush1c</v>
      </c>
      <c r="D8112" s="10">
        <f t="shared" si="126"/>
        <v>0.62425641223213868</v>
      </c>
      <c r="F8112" s="8" t="str">
        <f>HYPERLINK("https://esbl.nhlbi.nih.gov/Databases/mpkFractions/proteomic_fractions_log_files/Yang_log_img/254911001.jpg","show blot")</f>
        <v>show blot</v>
      </c>
      <c r="H8112" s="8" t="str">
        <f>HYPERLINK("https://esbl.nhlbi.nih.gov/Databases/mpkFractions/proteomic_fractions_linear_files/Yang_linear_img/254911001.jpg","show blot")</f>
        <v>show blot</v>
      </c>
      <c r="J8112" s="5" t="s">
        <v>15974</v>
      </c>
      <c r="L8112" s="11">
        <v>0.62425641223213868</v>
      </c>
      <c r="N8112" s="12"/>
    </row>
    <row r="8113" spans="1:14" s="5" customFormat="1" ht="15" customHeight="1" x14ac:dyDescent="0.25">
      <c r="A8113" s="9" t="s">
        <v>15975</v>
      </c>
      <c r="C8113" s="9" t="str">
        <f>HYPERLINK("http://www.ncbi.nlm.nih.gov/protein/254911003","Ush1c")</f>
        <v>Ush1c</v>
      </c>
      <c r="D8113" s="10">
        <f t="shared" si="126"/>
        <v>0.62425641223213868</v>
      </c>
      <c r="F8113" s="8" t="str">
        <f>HYPERLINK("https://esbl.nhlbi.nih.gov/Databases/mpkFractions/proteomic_fractions_log_files/Yang_log_img/254911003.jpg","show blot")</f>
        <v>show blot</v>
      </c>
      <c r="H8113" s="8" t="str">
        <f>HYPERLINK("https://esbl.nhlbi.nih.gov/Databases/mpkFractions/proteomic_fractions_linear_files/Yang_linear_img/254911003.jpg","show blot")</f>
        <v>show blot</v>
      </c>
      <c r="J8113" s="5" t="s">
        <v>15976</v>
      </c>
      <c r="L8113" s="11">
        <v>0.62425641223213868</v>
      </c>
      <c r="N8113" s="12"/>
    </row>
    <row r="8114" spans="1:14" s="5" customFormat="1" ht="15" customHeight="1" x14ac:dyDescent="0.25">
      <c r="A8114" s="9" t="s">
        <v>15977</v>
      </c>
      <c r="C8114" s="9" t="str">
        <f>HYPERLINK("http://www.ncbi.nlm.nih.gov/protein/254911005","Ush1c")</f>
        <v>Ush1c</v>
      </c>
      <c r="D8114" s="10">
        <f t="shared" si="126"/>
        <v>0.62425641223213868</v>
      </c>
      <c r="F8114" s="8" t="str">
        <f>HYPERLINK("https://esbl.nhlbi.nih.gov/Databases/mpkFractions/proteomic_fractions_log_files/Yang_log_img/254911005.jpg","show blot")</f>
        <v>show blot</v>
      </c>
      <c r="H8114" s="8" t="str">
        <f>HYPERLINK("https://esbl.nhlbi.nih.gov/Databases/mpkFractions/proteomic_fractions_linear_files/Yang_linear_img/254911005.jpg","show blot")</f>
        <v>show blot</v>
      </c>
      <c r="J8114" s="5" t="s">
        <v>15978</v>
      </c>
      <c r="L8114" s="11">
        <v>0.62425641223213868</v>
      </c>
      <c r="N8114" s="12"/>
    </row>
    <row r="8115" spans="1:14" s="5" customFormat="1" ht="15" customHeight="1" x14ac:dyDescent="0.25">
      <c r="A8115" s="9" t="s">
        <v>15979</v>
      </c>
      <c r="C8115" s="9" t="str">
        <f>HYPERLINK("http://www.ncbi.nlm.nih.gov/protein/23956096","Uso1")</f>
        <v>Uso1</v>
      </c>
      <c r="D8115" s="10">
        <f t="shared" si="126"/>
        <v>5.4392158469512211</v>
      </c>
      <c r="F8115" s="8" t="str">
        <f>HYPERLINK("https://esbl.nhlbi.nih.gov/Databases/mpkFractions/proteomic_fractions_log_files/Yang_log_img/23956096.jpg","show blot")</f>
        <v>show blot</v>
      </c>
      <c r="H8115" s="8" t="str">
        <f>HYPERLINK("https://esbl.nhlbi.nih.gov/Databases/mpkFractions/proteomic_fractions_linear_files/Yang_linear_img/23956096.jpg","show blot")</f>
        <v>show blot</v>
      </c>
      <c r="J8115" s="5" t="s">
        <v>15980</v>
      </c>
      <c r="L8115" s="11">
        <v>5.4392158469512211</v>
      </c>
      <c r="N8115" s="12"/>
    </row>
    <row r="8116" spans="1:14" s="5" customFormat="1" ht="15" customHeight="1" x14ac:dyDescent="0.25">
      <c r="A8116" s="9" t="s">
        <v>15981</v>
      </c>
      <c r="C8116" s="9" t="str">
        <f>HYPERLINK("http://www.ncbi.nlm.nih.gov/protein/6678493","Usp10")</f>
        <v>Usp10</v>
      </c>
      <c r="D8116" s="10">
        <f t="shared" si="126"/>
        <v>4.8923017951104342</v>
      </c>
      <c r="F8116" s="8" t="str">
        <f>HYPERLINK("https://esbl.nhlbi.nih.gov/Databases/mpkFractions/proteomic_fractions_log_files/Yang_log_img/6678493.jpg","show blot")</f>
        <v>show blot</v>
      </c>
      <c r="H8116" s="8" t="str">
        <f>HYPERLINK("https://esbl.nhlbi.nih.gov/Databases/mpkFractions/proteomic_fractions_linear_files/Yang_linear_img/6678493.jpg","show blot")</f>
        <v>show blot</v>
      </c>
      <c r="J8116" s="5" t="s">
        <v>15982</v>
      </c>
      <c r="L8116" s="11">
        <v>4.8923017951104342</v>
      </c>
      <c r="N8116" s="12"/>
    </row>
    <row r="8117" spans="1:14" s="5" customFormat="1" ht="15" customHeight="1" x14ac:dyDescent="0.25">
      <c r="A8117" s="9" t="s">
        <v>15983</v>
      </c>
      <c r="C8117" s="9" t="str">
        <f>HYPERLINK("http://www.ncbi.nlm.nih.gov/protein/164663834","Usp11")</f>
        <v>Usp11</v>
      </c>
      <c r="D8117" s="10">
        <f t="shared" si="126"/>
        <v>3.6661995192114021</v>
      </c>
      <c r="F8117" s="8" t="str">
        <f>HYPERLINK("https://esbl.nhlbi.nih.gov/Databases/mpkFractions/proteomic_fractions_log_files/Yang_log_img/164663834.jpg","show blot")</f>
        <v>show blot</v>
      </c>
      <c r="H8117" s="8" t="str">
        <f>HYPERLINK("https://esbl.nhlbi.nih.gov/Databases/mpkFractions/proteomic_fractions_linear_files/Yang_linear_img/164663834.jpg","show blot")</f>
        <v>show blot</v>
      </c>
      <c r="J8117" s="5" t="s">
        <v>15984</v>
      </c>
      <c r="L8117" s="11">
        <v>3.6661995192114021</v>
      </c>
      <c r="N8117" s="12"/>
    </row>
    <row r="8118" spans="1:14" s="5" customFormat="1" ht="15" customHeight="1" x14ac:dyDescent="0.25">
      <c r="A8118" s="9" t="s">
        <v>15985</v>
      </c>
      <c r="C8118" s="9" t="str">
        <f>HYPERLINK("http://www.ncbi.nlm.nih.gov/protein/34328057","Usp12")</f>
        <v>Usp12</v>
      </c>
      <c r="D8118" s="10">
        <f t="shared" si="126"/>
        <v>2.4014005407815442</v>
      </c>
      <c r="F8118" s="8" t="str">
        <f>HYPERLINK("https://esbl.nhlbi.nih.gov/Databases/mpkFractions/proteomic_fractions_log_files/Yang_log_img/34328057.jpg","show blot")</f>
        <v>show blot</v>
      </c>
      <c r="H8118" s="8" t="str">
        <f>HYPERLINK("https://esbl.nhlbi.nih.gov/Databases/mpkFractions/proteomic_fractions_linear_files/Yang_linear_img/34328057.jpg","show blot")</f>
        <v>show blot</v>
      </c>
      <c r="J8118" s="5" t="s">
        <v>15986</v>
      </c>
      <c r="L8118" s="11">
        <v>2.4014005407815442</v>
      </c>
      <c r="N8118" s="12"/>
    </row>
    <row r="8119" spans="1:14" s="5" customFormat="1" ht="15" customHeight="1" x14ac:dyDescent="0.25">
      <c r="A8119" s="9" t="s">
        <v>15987</v>
      </c>
      <c r="C8119" s="9" t="str">
        <f>HYPERLINK("http://www.ncbi.nlm.nih.gov/protein/31560313","Usp14")</f>
        <v>Usp14</v>
      </c>
      <c r="D8119" s="10">
        <f t="shared" si="126"/>
        <v>5.833902666152178</v>
      </c>
      <c r="F8119" s="8" t="str">
        <f>HYPERLINK("https://esbl.nhlbi.nih.gov/Databases/mpkFractions/proteomic_fractions_log_files/Yang_log_img/31560313.jpg","show blot")</f>
        <v>show blot</v>
      </c>
      <c r="H8119" s="8" t="str">
        <f>HYPERLINK("https://esbl.nhlbi.nih.gov/Databases/mpkFractions/proteomic_fractions_linear_files/Yang_linear_img/31560313.jpg","show blot")</f>
        <v>show blot</v>
      </c>
      <c r="J8119" s="5" t="s">
        <v>15988</v>
      </c>
      <c r="L8119" s="11">
        <v>5.833902666152178</v>
      </c>
      <c r="N8119" s="12"/>
    </row>
    <row r="8120" spans="1:14" s="5" customFormat="1" ht="15" customHeight="1" x14ac:dyDescent="0.25">
      <c r="A8120" s="9" t="s">
        <v>15989</v>
      </c>
      <c r="C8120" s="9" t="str">
        <f>HYPERLINK("http://www.ncbi.nlm.nih.gov/protein/84452155","Usp14")</f>
        <v>Usp14</v>
      </c>
      <c r="D8120" s="10">
        <f t="shared" si="126"/>
        <v>5.833902666152178</v>
      </c>
      <c r="F8120" s="8" t="str">
        <f>HYPERLINK("https://esbl.nhlbi.nih.gov/Databases/mpkFractions/proteomic_fractions_log_files/Yang_log_img/84452155.jpg","show blot")</f>
        <v>show blot</v>
      </c>
      <c r="H8120" s="8" t="str">
        <f>HYPERLINK("https://esbl.nhlbi.nih.gov/Databases/mpkFractions/proteomic_fractions_linear_files/Yang_linear_img/84452155.jpg","show blot")</f>
        <v>show blot</v>
      </c>
      <c r="J8120" s="5" t="s">
        <v>15990</v>
      </c>
      <c r="L8120" s="11">
        <v>5.833902666152178</v>
      </c>
      <c r="N8120" s="12"/>
    </row>
    <row r="8121" spans="1:14" s="5" customFormat="1" ht="15" customHeight="1" x14ac:dyDescent="0.25">
      <c r="A8121" s="9" t="s">
        <v>15991</v>
      </c>
      <c r="C8121" s="9" t="str">
        <f>HYPERLINK("http://www.ncbi.nlm.nih.gov/protein/21489969","Usp15")</f>
        <v>Usp15</v>
      </c>
      <c r="D8121" s="10">
        <f t="shared" si="126"/>
        <v>4.8725876077565404</v>
      </c>
      <c r="F8121" s="8" t="str">
        <f>HYPERLINK("https://esbl.nhlbi.nih.gov/Databases/mpkFractions/proteomic_fractions_log_files/Yang_log_img/21489969.jpg","show blot")</f>
        <v>show blot</v>
      </c>
      <c r="H8121" s="8" t="str">
        <f>HYPERLINK("https://esbl.nhlbi.nih.gov/Databases/mpkFractions/proteomic_fractions_linear_files/Yang_linear_img/21489969.jpg","show blot")</f>
        <v>show blot</v>
      </c>
      <c r="J8121" s="5" t="s">
        <v>15992</v>
      </c>
      <c r="L8121" s="11">
        <v>4.8725876077565404</v>
      </c>
      <c r="N8121" s="12"/>
    </row>
    <row r="8122" spans="1:14" s="5" customFormat="1" ht="15" customHeight="1" x14ac:dyDescent="0.25">
      <c r="A8122" s="9" t="s">
        <v>15993</v>
      </c>
      <c r="C8122" s="9" t="str">
        <f>HYPERLINK("http://www.ncbi.nlm.nih.gov/protein/251823802","Usp16")</f>
        <v>Usp16</v>
      </c>
      <c r="D8122" s="10">
        <f t="shared" si="126"/>
        <v>3.469235301107779</v>
      </c>
      <c r="F8122" s="8" t="str">
        <f>HYPERLINK("https://esbl.nhlbi.nih.gov/Databases/mpkFractions/proteomic_fractions_log_files/Yang_log_img/251823802.jpg","show blot")</f>
        <v>show blot</v>
      </c>
      <c r="H8122" s="8" t="str">
        <f>HYPERLINK("https://esbl.nhlbi.nih.gov/Databases/mpkFractions/proteomic_fractions_linear_files/Yang_linear_img/251823802.jpg","show blot")</f>
        <v>show blot</v>
      </c>
      <c r="J8122" s="5" t="s">
        <v>15994</v>
      </c>
      <c r="L8122" s="11">
        <v>3.469235301107779</v>
      </c>
      <c r="N8122" s="12"/>
    </row>
    <row r="8123" spans="1:14" s="5" customFormat="1" ht="15" customHeight="1" x14ac:dyDescent="0.25">
      <c r="A8123" s="9" t="s">
        <v>15995</v>
      </c>
      <c r="C8123" s="9" t="str">
        <f>HYPERLINK("http://www.ncbi.nlm.nih.gov/protein/112983634","Usp17ld")</f>
        <v>Usp17ld</v>
      </c>
      <c r="D8123" s="10">
        <f t="shared" si="126"/>
        <v>3.303896823672956</v>
      </c>
      <c r="F8123" s="8" t="str">
        <f>HYPERLINK("https://esbl.nhlbi.nih.gov/Databases/mpkFractions/proteomic_fractions_log_files/Yang_log_img/112983634.jpg","show blot")</f>
        <v>show blot</v>
      </c>
      <c r="H8123" s="8" t="str">
        <f>HYPERLINK("https://esbl.nhlbi.nih.gov/Databases/mpkFractions/proteomic_fractions_linear_files/Yang_linear_img/112983634.jpg","show blot")</f>
        <v>show blot</v>
      </c>
      <c r="J8123" s="5" t="s">
        <v>15996</v>
      </c>
      <c r="L8123" s="11">
        <v>3.303896823672956</v>
      </c>
      <c r="N8123" s="12"/>
    </row>
    <row r="8124" spans="1:14" s="5" customFormat="1" ht="15" customHeight="1" x14ac:dyDescent="0.25">
      <c r="A8124" s="9" t="s">
        <v>15997</v>
      </c>
      <c r="C8124" s="9" t="str">
        <f>HYPERLINK("http://www.ncbi.nlm.nih.gov/protein/270265841","Usp19")</f>
        <v>Usp19</v>
      </c>
      <c r="D8124" s="10">
        <f t="shared" si="126"/>
        <v>4.1173673798065211</v>
      </c>
      <c r="F8124" s="8" t="str">
        <f>HYPERLINK("https://esbl.nhlbi.nih.gov/Databases/mpkFractions/proteomic_fractions_log_files/Yang_log_img/270265841.jpg","show blot")</f>
        <v>show blot</v>
      </c>
      <c r="H8124" s="8" t="str">
        <f>HYPERLINK("https://esbl.nhlbi.nih.gov/Databases/mpkFractions/proteomic_fractions_linear_files/Yang_linear_img/270265841.jpg","show blot")</f>
        <v>show blot</v>
      </c>
      <c r="J8124" s="5" t="s">
        <v>15998</v>
      </c>
      <c r="L8124" s="11">
        <v>4.1173673798065211</v>
      </c>
      <c r="N8124" s="12"/>
    </row>
    <row r="8125" spans="1:14" s="5" customFormat="1" ht="15" customHeight="1" x14ac:dyDescent="0.25">
      <c r="A8125" s="9" t="s">
        <v>15999</v>
      </c>
      <c r="C8125" s="9" t="str">
        <f>HYPERLINK("http://www.ncbi.nlm.nih.gov/protein/270265843","Usp19")</f>
        <v>Usp19</v>
      </c>
      <c r="D8125" s="10">
        <f t="shared" si="126"/>
        <v>4.1173673798065211</v>
      </c>
      <c r="F8125" s="8" t="str">
        <f>HYPERLINK("https://esbl.nhlbi.nih.gov/Databases/mpkFractions/proteomic_fractions_log_files/Yang_log_img/270265843.jpg","show blot")</f>
        <v>show blot</v>
      </c>
      <c r="H8125" s="8" t="str">
        <f>HYPERLINK("https://esbl.nhlbi.nih.gov/Databases/mpkFractions/proteomic_fractions_linear_files/Yang_linear_img/270265843.jpg","show blot")</f>
        <v>show blot</v>
      </c>
      <c r="J8125" s="5" t="s">
        <v>16000</v>
      </c>
      <c r="L8125" s="11">
        <v>4.1173673798065211</v>
      </c>
      <c r="N8125" s="12"/>
    </row>
    <row r="8126" spans="1:14" s="5" customFormat="1" ht="15" customHeight="1" x14ac:dyDescent="0.25">
      <c r="A8126" s="9" t="s">
        <v>16001</v>
      </c>
      <c r="C8126" s="9" t="str">
        <f>HYPERLINK("http://www.ncbi.nlm.nih.gov/protein/270265845","Usp19")</f>
        <v>Usp19</v>
      </c>
      <c r="D8126" s="10">
        <f t="shared" si="126"/>
        <v>4.1173673798065211</v>
      </c>
      <c r="F8126" s="8" t="str">
        <f>HYPERLINK("https://esbl.nhlbi.nih.gov/Databases/mpkFractions/proteomic_fractions_log_files/Yang_log_img/270265845.jpg","show blot")</f>
        <v>show blot</v>
      </c>
      <c r="H8126" s="8" t="str">
        <f>HYPERLINK("https://esbl.nhlbi.nih.gov/Databases/mpkFractions/proteomic_fractions_linear_files/Yang_linear_img/270265845.jpg","show blot")</f>
        <v>show blot</v>
      </c>
      <c r="J8126" s="5" t="s">
        <v>16002</v>
      </c>
      <c r="L8126" s="11">
        <v>4.1173673798065211</v>
      </c>
      <c r="N8126" s="12"/>
    </row>
    <row r="8127" spans="1:14" s="5" customFormat="1" ht="15" customHeight="1" x14ac:dyDescent="0.25">
      <c r="A8127" s="9" t="s">
        <v>16003</v>
      </c>
      <c r="C8127" s="9" t="str">
        <f>HYPERLINK("http://www.ncbi.nlm.nih.gov/protein/270265848","Usp19")</f>
        <v>Usp19</v>
      </c>
      <c r="D8127" s="10">
        <f t="shared" si="126"/>
        <v>4.1173673798065211</v>
      </c>
      <c r="F8127" s="8" t="str">
        <f>HYPERLINK("https://esbl.nhlbi.nih.gov/Databases/mpkFractions/proteomic_fractions_log_files/Yang_log_img/270265848.jpg","show blot")</f>
        <v>show blot</v>
      </c>
      <c r="H8127" s="8" t="str">
        <f>HYPERLINK("https://esbl.nhlbi.nih.gov/Databases/mpkFractions/proteomic_fractions_linear_files/Yang_linear_img/270265848.jpg","show blot")</f>
        <v>show blot</v>
      </c>
      <c r="J8127" s="5" t="s">
        <v>16004</v>
      </c>
      <c r="L8127" s="11">
        <v>4.1173673798065211</v>
      </c>
      <c r="N8127" s="12"/>
    </row>
    <row r="8128" spans="1:14" s="5" customFormat="1" ht="15" customHeight="1" x14ac:dyDescent="0.25">
      <c r="A8128" s="9" t="s">
        <v>16005</v>
      </c>
      <c r="C8128" s="9" t="str">
        <f>HYPERLINK("http://www.ncbi.nlm.nih.gov/protein/270265851","Usp19")</f>
        <v>Usp19</v>
      </c>
      <c r="D8128" s="10">
        <f t="shared" si="126"/>
        <v>4.1173673798065211</v>
      </c>
      <c r="F8128" s="8" t="str">
        <f>HYPERLINK("https://esbl.nhlbi.nih.gov/Databases/mpkFractions/proteomic_fractions_log_files/Yang_log_img/270265851.jpg","show blot")</f>
        <v>show blot</v>
      </c>
      <c r="H8128" s="8" t="str">
        <f>HYPERLINK("https://esbl.nhlbi.nih.gov/Databases/mpkFractions/proteomic_fractions_linear_files/Yang_linear_img/270265851.jpg","show blot")</f>
        <v>show blot</v>
      </c>
      <c r="J8128" s="5" t="s">
        <v>16006</v>
      </c>
      <c r="L8128" s="11">
        <v>4.1173673798065211</v>
      </c>
      <c r="N8128" s="12"/>
    </row>
    <row r="8129" spans="1:14" s="5" customFormat="1" ht="15" customHeight="1" x14ac:dyDescent="0.25">
      <c r="A8129" s="9" t="s">
        <v>16007</v>
      </c>
      <c r="C8129" s="9" t="str">
        <f>HYPERLINK("http://www.ncbi.nlm.nih.gov/protein/260064007","Usp24")</f>
        <v>Usp24</v>
      </c>
      <c r="D8129" s="10">
        <f t="shared" si="126"/>
        <v>3.154043968081683</v>
      </c>
      <c r="F8129" s="8" t="str">
        <f>HYPERLINK("https://esbl.nhlbi.nih.gov/Databases/mpkFractions/proteomic_fractions_log_files/Yang_log_img/260064007.jpg","show blot")</f>
        <v>show blot</v>
      </c>
      <c r="H8129" s="8" t="str">
        <f>HYPERLINK("https://esbl.nhlbi.nih.gov/Databases/mpkFractions/proteomic_fractions_linear_files/Yang_linear_img/260064007.jpg","show blot")</f>
        <v>show blot</v>
      </c>
      <c r="J8129" s="5" t="s">
        <v>16008</v>
      </c>
      <c r="L8129" s="11">
        <v>3.154043968081683</v>
      </c>
      <c r="N8129" s="12"/>
    </row>
    <row r="8130" spans="1:14" s="5" customFormat="1" ht="15" customHeight="1" x14ac:dyDescent="0.25">
      <c r="A8130" s="9" t="s">
        <v>16009</v>
      </c>
      <c r="C8130" s="9" t="str">
        <f>HYPERLINK("http://www.ncbi.nlm.nih.gov/protein/31980712","Usp25")</f>
        <v>Usp25</v>
      </c>
      <c r="D8130" s="10">
        <f t="shared" si="126"/>
        <v>4.1818976497633811</v>
      </c>
      <c r="F8130" s="8" t="str">
        <f>HYPERLINK("https://esbl.nhlbi.nih.gov/Databases/mpkFractions/proteomic_fractions_log_files/Yang_log_img/31980712.jpg","show blot")</f>
        <v>show blot</v>
      </c>
      <c r="H8130" s="8" t="str">
        <f>HYPERLINK("https://esbl.nhlbi.nih.gov/Databases/mpkFractions/proteomic_fractions_linear_files/Yang_linear_img/31980712.jpg","show blot")</f>
        <v>show blot</v>
      </c>
      <c r="J8130" s="5" t="s">
        <v>16010</v>
      </c>
      <c r="L8130" s="11">
        <v>4.1818976497633811</v>
      </c>
      <c r="N8130" s="12"/>
    </row>
    <row r="8131" spans="1:14" s="5" customFormat="1" ht="15" customHeight="1" x14ac:dyDescent="0.25">
      <c r="A8131" s="9" t="s">
        <v>16011</v>
      </c>
      <c r="C8131" s="9" t="str">
        <f>HYPERLINK("http://www.ncbi.nlm.nih.gov/protein/126032299","Usp32")</f>
        <v>Usp32</v>
      </c>
      <c r="D8131" s="10">
        <f t="shared" si="126"/>
        <v>1.0635931476230249</v>
      </c>
      <c r="F8131" s="8" t="str">
        <f>HYPERLINK("https://esbl.nhlbi.nih.gov/Databases/mpkFractions/proteomic_fractions_log_files/Yang_log_img/126032299.jpg","show blot")</f>
        <v>show blot</v>
      </c>
      <c r="H8131" s="8" t="str">
        <f>HYPERLINK("https://esbl.nhlbi.nih.gov/Databases/mpkFractions/proteomic_fractions_linear_files/Yang_linear_img/126032299.jpg","show blot")</f>
        <v>show blot</v>
      </c>
      <c r="J8131" s="5" t="s">
        <v>16012</v>
      </c>
      <c r="L8131" s="11">
        <v>1.0635931476230249</v>
      </c>
      <c r="N8131" s="12"/>
    </row>
    <row r="8132" spans="1:14" s="5" customFormat="1" ht="15" customHeight="1" x14ac:dyDescent="0.25">
      <c r="A8132" s="9" t="s">
        <v>16013</v>
      </c>
      <c r="C8132" s="9" t="str">
        <f>HYPERLINK("http://www.ncbi.nlm.nih.gov/protein/357527386","Usp34")</f>
        <v>Usp34</v>
      </c>
      <c r="D8132" s="10">
        <f t="shared" si="126"/>
        <v>3.437642027080257</v>
      </c>
      <c r="F8132" s="8" t="str">
        <f>HYPERLINK("https://esbl.nhlbi.nih.gov/Databases/mpkFractions/proteomic_fractions_log_files/Yang_log_img/357527386.jpg","show blot")</f>
        <v>show blot</v>
      </c>
      <c r="H8132" s="8" t="str">
        <f>HYPERLINK("https://esbl.nhlbi.nih.gov/Databases/mpkFractions/proteomic_fractions_linear_files/Yang_linear_img/357527386.jpg","show blot")</f>
        <v>show blot</v>
      </c>
      <c r="J8132" s="5" t="s">
        <v>16014</v>
      </c>
      <c r="L8132" s="11">
        <v>3.437642027080257</v>
      </c>
      <c r="N8132" s="12"/>
    </row>
    <row r="8133" spans="1:14" s="5" customFormat="1" ht="15" customHeight="1" x14ac:dyDescent="0.25">
      <c r="A8133" s="9" t="s">
        <v>16015</v>
      </c>
      <c r="C8133" s="9" t="str">
        <f>HYPERLINK("http://www.ncbi.nlm.nih.gov/protein/226442882","Usp36")</f>
        <v>Usp36</v>
      </c>
      <c r="D8133" s="10">
        <f t="shared" ref="D8133:D8196" si="127">L8133</f>
        <v>2.7109733298908241</v>
      </c>
      <c r="F8133" s="8" t="str">
        <f>HYPERLINK("https://esbl.nhlbi.nih.gov/Databases/mpkFractions/proteomic_fractions_log_files/Yang_log_img/226442882.jpg","show blot")</f>
        <v>show blot</v>
      </c>
      <c r="H8133" s="8" t="str">
        <f>HYPERLINK("https://esbl.nhlbi.nih.gov/Databases/mpkFractions/proteomic_fractions_linear_files/Yang_linear_img/226442882.jpg","show blot")</f>
        <v>show blot</v>
      </c>
      <c r="J8133" s="5" t="s">
        <v>16016</v>
      </c>
      <c r="L8133" s="11">
        <v>2.7109733298908241</v>
      </c>
      <c r="N8133" s="12"/>
    </row>
    <row r="8134" spans="1:14" s="5" customFormat="1" ht="15" customHeight="1" x14ac:dyDescent="0.25">
      <c r="A8134" s="9" t="s">
        <v>16017</v>
      </c>
      <c r="C8134" s="9" t="str">
        <f>HYPERLINK("http://www.ncbi.nlm.nih.gov/protein/34328301","Usp38")</f>
        <v>Usp38</v>
      </c>
      <c r="D8134" s="10">
        <f t="shared" si="127"/>
        <v>2.9597797927448979</v>
      </c>
      <c r="F8134" s="8" t="str">
        <f>HYPERLINK("https://esbl.nhlbi.nih.gov/Databases/mpkFractions/proteomic_fractions_log_files/Yang_log_img/34328301.jpg","show blot")</f>
        <v>show blot</v>
      </c>
      <c r="H8134" s="8" t="str">
        <f>HYPERLINK("https://esbl.nhlbi.nih.gov/Databases/mpkFractions/proteomic_fractions_linear_files/Yang_linear_img/34328301.jpg","show blot")</f>
        <v>show blot</v>
      </c>
      <c r="J8134" s="5" t="s">
        <v>16018</v>
      </c>
      <c r="L8134" s="11">
        <v>2.9597797927448979</v>
      </c>
      <c r="N8134" s="12"/>
    </row>
    <row r="8135" spans="1:14" s="5" customFormat="1" ht="15" customHeight="1" x14ac:dyDescent="0.25">
      <c r="A8135" s="9" t="s">
        <v>16019</v>
      </c>
      <c r="C8135" s="9" t="str">
        <f>HYPERLINK("http://www.ncbi.nlm.nih.gov/protein/20070404","Usp39")</f>
        <v>Usp39</v>
      </c>
      <c r="D8135" s="10">
        <f t="shared" si="127"/>
        <v>4.892836895070257</v>
      </c>
      <c r="F8135" s="8" t="str">
        <f>HYPERLINK("https://esbl.nhlbi.nih.gov/Databases/mpkFractions/proteomic_fractions_log_files/Yang_log_img/20070404.jpg","show blot")</f>
        <v>show blot</v>
      </c>
      <c r="H8135" s="8" t="str">
        <f>HYPERLINK("https://esbl.nhlbi.nih.gov/Databases/mpkFractions/proteomic_fractions_linear_files/Yang_linear_img/20070404.jpg","show blot")</f>
        <v>show blot</v>
      </c>
      <c r="J8135" s="5" t="s">
        <v>16020</v>
      </c>
      <c r="L8135" s="11">
        <v>4.892836895070257</v>
      </c>
      <c r="N8135" s="12"/>
    </row>
    <row r="8136" spans="1:14" s="5" customFormat="1" ht="15" customHeight="1" x14ac:dyDescent="0.25">
      <c r="A8136" s="9" t="s">
        <v>16021</v>
      </c>
      <c r="C8136" s="9" t="str">
        <f>HYPERLINK("http://www.ncbi.nlm.nih.gov/protein/164519045","Usp4")</f>
        <v>Usp4</v>
      </c>
      <c r="D8136" s="10">
        <f t="shared" si="127"/>
        <v>4.8101695952028773</v>
      </c>
      <c r="F8136" s="8" t="str">
        <f>HYPERLINK("https://esbl.nhlbi.nih.gov/Databases/mpkFractions/proteomic_fractions_log_files/Yang_log_img/164519045.jpg","show blot")</f>
        <v>show blot</v>
      </c>
      <c r="H8136" s="8" t="str">
        <f>HYPERLINK("https://esbl.nhlbi.nih.gov/Databases/mpkFractions/proteomic_fractions_linear_files/Yang_linear_img/164519045.jpg","show blot")</f>
        <v>show blot</v>
      </c>
      <c r="J8136" s="5" t="s">
        <v>16022</v>
      </c>
      <c r="L8136" s="11">
        <v>4.8101695952028773</v>
      </c>
      <c r="N8136" s="12"/>
    </row>
    <row r="8137" spans="1:14" s="5" customFormat="1" ht="15" customHeight="1" x14ac:dyDescent="0.25">
      <c r="A8137" s="9" t="s">
        <v>16023</v>
      </c>
      <c r="C8137" s="9" t="str">
        <f>HYPERLINK("http://www.ncbi.nlm.nih.gov/protein/312836847","Usp47")</f>
        <v>Usp47</v>
      </c>
      <c r="D8137" s="10">
        <f t="shared" si="127"/>
        <v>4.8050624992455804</v>
      </c>
      <c r="F8137" s="8" t="str">
        <f>HYPERLINK("https://esbl.nhlbi.nih.gov/Databases/mpkFractions/proteomic_fractions_log_files/Yang_log_img/312836847.jpg","show blot")</f>
        <v>show blot</v>
      </c>
      <c r="H8137" s="8" t="str">
        <f>HYPERLINK("https://esbl.nhlbi.nih.gov/Databases/mpkFractions/proteomic_fractions_linear_files/Yang_linear_img/312836847.jpg","show blot")</f>
        <v>show blot</v>
      </c>
      <c r="J8137" s="5" t="s">
        <v>16024</v>
      </c>
      <c r="L8137" s="11">
        <v>4.8050624992455804</v>
      </c>
      <c r="N8137" s="12"/>
    </row>
    <row r="8138" spans="1:14" s="5" customFormat="1" ht="15" customHeight="1" x14ac:dyDescent="0.25">
      <c r="A8138" s="9" t="s">
        <v>16025</v>
      </c>
      <c r="C8138" s="9" t="str">
        <f>HYPERLINK("http://www.ncbi.nlm.nih.gov/protein/48928014","Usp47")</f>
        <v>Usp47</v>
      </c>
      <c r="D8138" s="10">
        <f t="shared" si="127"/>
        <v>4.8050624992455804</v>
      </c>
      <c r="F8138" s="8" t="str">
        <f>HYPERLINK("https://esbl.nhlbi.nih.gov/Databases/mpkFractions/proteomic_fractions_log_files/Yang_log_img/48928014.jpg","show blot")</f>
        <v>show blot</v>
      </c>
      <c r="H8138" s="8" t="str">
        <f>HYPERLINK("https://esbl.nhlbi.nih.gov/Databases/mpkFractions/proteomic_fractions_linear_files/Yang_linear_img/48928014.jpg","show blot")</f>
        <v>show blot</v>
      </c>
      <c r="J8138" s="5" t="s">
        <v>16026</v>
      </c>
      <c r="L8138" s="11">
        <v>4.8050624992455804</v>
      </c>
      <c r="N8138" s="12"/>
    </row>
    <row r="8139" spans="1:14" s="5" customFormat="1" ht="15" customHeight="1" x14ac:dyDescent="0.25">
      <c r="A8139" s="9" t="s">
        <v>16027</v>
      </c>
      <c r="C8139" s="9" t="str">
        <f>HYPERLINK("http://www.ncbi.nlm.nih.gov/protein/7305619","Usp5")</f>
        <v>Usp5</v>
      </c>
      <c r="D8139" s="10">
        <f t="shared" si="127"/>
        <v>5.2958465213516197</v>
      </c>
      <c r="F8139" s="8" t="str">
        <f>HYPERLINK("https://esbl.nhlbi.nih.gov/Databases/mpkFractions/proteomic_fractions_log_files/Yang_log_img/7305619.jpg","show blot")</f>
        <v>show blot</v>
      </c>
      <c r="H8139" s="8" t="str">
        <f>HYPERLINK("https://esbl.nhlbi.nih.gov/Databases/mpkFractions/proteomic_fractions_linear_files/Yang_linear_img/7305619.jpg","show blot")</f>
        <v>show blot</v>
      </c>
      <c r="J8139" s="5" t="s">
        <v>16028</v>
      </c>
      <c r="L8139" s="11">
        <v>5.2958465213516197</v>
      </c>
      <c r="N8139" s="12"/>
    </row>
    <row r="8140" spans="1:14" s="5" customFormat="1" ht="15" customHeight="1" x14ac:dyDescent="0.25">
      <c r="A8140" s="9" t="s">
        <v>16029</v>
      </c>
      <c r="C8140" s="9" t="str">
        <f>HYPERLINK("http://www.ncbi.nlm.nih.gov/protein/154146209","Usp7")</f>
        <v>Usp7</v>
      </c>
      <c r="D8140" s="10">
        <f t="shared" si="127"/>
        <v>5.2619719249263373</v>
      </c>
      <c r="F8140" s="8" t="str">
        <f>HYPERLINK("https://esbl.nhlbi.nih.gov/Databases/mpkFractions/proteomic_fractions_log_files/Yang_log_img/154146209.jpg","show blot")</f>
        <v>show blot</v>
      </c>
      <c r="H8140" s="8" t="str">
        <f>HYPERLINK("https://esbl.nhlbi.nih.gov/Databases/mpkFractions/proteomic_fractions_linear_files/Yang_linear_img/154146209.jpg","show blot")</f>
        <v>show blot</v>
      </c>
      <c r="J8140" s="5" t="s">
        <v>16030</v>
      </c>
      <c r="L8140" s="11">
        <v>5.2619719249263373</v>
      </c>
      <c r="N8140" s="12"/>
    </row>
    <row r="8141" spans="1:14" s="5" customFormat="1" ht="15" customHeight="1" x14ac:dyDescent="0.25">
      <c r="A8141" s="9" t="s">
        <v>16031</v>
      </c>
      <c r="C8141" s="9" t="str">
        <f>HYPERLINK("http://www.ncbi.nlm.nih.gov/protein/31981044","Usp8")</f>
        <v>Usp8</v>
      </c>
      <c r="D8141" s="10">
        <f t="shared" si="127"/>
        <v>4.1448966763987833</v>
      </c>
      <c r="F8141" s="8" t="str">
        <f>HYPERLINK("https://esbl.nhlbi.nih.gov/Databases/mpkFractions/proteomic_fractions_log_files/Yang_log_img/31981044.jpg","show blot")</f>
        <v>show blot</v>
      </c>
      <c r="H8141" s="8" t="str">
        <f>HYPERLINK("https://esbl.nhlbi.nih.gov/Databases/mpkFractions/proteomic_fractions_linear_files/Yang_linear_img/31981044.jpg","show blot")</f>
        <v>show blot</v>
      </c>
      <c r="J8141" s="5" t="s">
        <v>16032</v>
      </c>
      <c r="L8141" s="11">
        <v>4.1448966763987833</v>
      </c>
      <c r="N8141" s="12"/>
    </row>
    <row r="8142" spans="1:14" s="5" customFormat="1" ht="15" customHeight="1" x14ac:dyDescent="0.25">
      <c r="A8142" s="9" t="s">
        <v>16033</v>
      </c>
      <c r="C8142" s="9" t="str">
        <f>HYPERLINK("http://www.ncbi.nlm.nih.gov/protein/357588457","Usp8")</f>
        <v>Usp8</v>
      </c>
      <c r="D8142" s="10">
        <f t="shared" si="127"/>
        <v>4.1448966763987833</v>
      </c>
      <c r="F8142" s="8" t="str">
        <f>HYPERLINK("https://esbl.nhlbi.nih.gov/Databases/mpkFractions/proteomic_fractions_log_files/Yang_log_img/357588457.jpg","show blot")</f>
        <v>show blot</v>
      </c>
      <c r="H8142" s="8" t="str">
        <f>HYPERLINK("https://esbl.nhlbi.nih.gov/Databases/mpkFractions/proteomic_fractions_linear_files/Yang_linear_img/357588457.jpg","show blot")</f>
        <v>show blot</v>
      </c>
      <c r="J8142" s="5" t="s">
        <v>16034</v>
      </c>
      <c r="L8142" s="11">
        <v>4.1448966763987833</v>
      </c>
      <c r="N8142" s="12"/>
    </row>
    <row r="8143" spans="1:14" s="5" customFormat="1" ht="15" customHeight="1" x14ac:dyDescent="0.25">
      <c r="A8143" s="9" t="s">
        <v>16035</v>
      </c>
      <c r="C8143" s="9" t="str">
        <f>HYPERLINK("http://www.ncbi.nlm.nih.gov/protein/115511018","Usp9x")</f>
        <v>Usp9x</v>
      </c>
      <c r="D8143" s="10">
        <f t="shared" si="127"/>
        <v>5.0573807138646707</v>
      </c>
      <c r="F8143" s="8" t="str">
        <f>HYPERLINK("https://esbl.nhlbi.nih.gov/Databases/mpkFractions/proteomic_fractions_log_files/Yang_log_img/115511018.jpg","show blot")</f>
        <v>show blot</v>
      </c>
      <c r="H8143" s="8" t="str">
        <f>HYPERLINK("https://esbl.nhlbi.nih.gov/Databases/mpkFractions/proteomic_fractions_linear_files/Yang_linear_img/115511018.jpg","show blot")</f>
        <v>show blot</v>
      </c>
      <c r="J8143" s="5" t="s">
        <v>16036</v>
      </c>
      <c r="L8143" s="11">
        <v>5.0573807138646707</v>
      </c>
      <c r="N8143" s="12"/>
    </row>
    <row r="8144" spans="1:14" s="5" customFormat="1" ht="15" customHeight="1" x14ac:dyDescent="0.25">
      <c r="A8144" s="9" t="s">
        <v>16037</v>
      </c>
      <c r="C8144" s="9" t="str">
        <f>HYPERLINK("http://www.ncbi.nlm.nih.gov/protein/120300980","Usp9y")</f>
        <v>Usp9y</v>
      </c>
      <c r="D8144" s="10">
        <f t="shared" si="127"/>
        <v>4.4617421062145608</v>
      </c>
      <c r="F8144" s="8" t="str">
        <f>HYPERLINK("https://esbl.nhlbi.nih.gov/Databases/mpkFractions/proteomic_fractions_log_files/Yang_log_img/120300980.jpg","show blot")</f>
        <v>show blot</v>
      </c>
      <c r="H8144" s="8" t="str">
        <f>HYPERLINK("https://esbl.nhlbi.nih.gov/Databases/mpkFractions/proteomic_fractions_linear_files/Yang_linear_img/120300980.jpg","show blot")</f>
        <v>show blot</v>
      </c>
      <c r="J8144" s="5" t="s">
        <v>16038</v>
      </c>
      <c r="L8144" s="11">
        <v>4.4617421062145608</v>
      </c>
      <c r="N8144" s="12"/>
    </row>
    <row r="8145" spans="1:14" s="5" customFormat="1" ht="15" customHeight="1" x14ac:dyDescent="0.25">
      <c r="A8145" s="9" t="s">
        <v>16039</v>
      </c>
      <c r="C8145" s="9" t="str">
        <f>HYPERLINK("http://www.ncbi.nlm.nih.gov/protein/169646253","Uspl1")</f>
        <v>Uspl1</v>
      </c>
      <c r="D8145" s="10">
        <f t="shared" si="127"/>
        <v>3.095003600823218</v>
      </c>
      <c r="F8145" s="8" t="str">
        <f>HYPERLINK("https://esbl.nhlbi.nih.gov/Databases/mpkFractions/proteomic_fractions_log_files/Yang_log_img/169646253.jpg","show blot")</f>
        <v>show blot</v>
      </c>
      <c r="H8145" s="8" t="str">
        <f>HYPERLINK("https://esbl.nhlbi.nih.gov/Databases/mpkFractions/proteomic_fractions_linear_files/Yang_linear_img/169646253.jpg","show blot")</f>
        <v>show blot</v>
      </c>
      <c r="J8145" s="5" t="s">
        <v>16040</v>
      </c>
      <c r="L8145" s="11">
        <v>3.095003600823218</v>
      </c>
      <c r="N8145" s="12"/>
    </row>
    <row r="8146" spans="1:14" s="5" customFormat="1" ht="15" customHeight="1" x14ac:dyDescent="0.25">
      <c r="A8146" s="9" t="s">
        <v>16041</v>
      </c>
      <c r="C8146" s="9" t="str">
        <f>HYPERLINK("http://www.ncbi.nlm.nih.gov/protein/169646335","Uspl1")</f>
        <v>Uspl1</v>
      </c>
      <c r="D8146" s="10">
        <f t="shared" si="127"/>
        <v>3.095003600823218</v>
      </c>
      <c r="F8146" s="8" t="str">
        <f>HYPERLINK("https://esbl.nhlbi.nih.gov/Databases/mpkFractions/proteomic_fractions_log_files/Yang_log_img/169646335.jpg","show blot")</f>
        <v>show blot</v>
      </c>
      <c r="H8146" s="8" t="str">
        <f>HYPERLINK("https://esbl.nhlbi.nih.gov/Databases/mpkFractions/proteomic_fractions_linear_files/Yang_linear_img/169646335.jpg","show blot")</f>
        <v>show blot</v>
      </c>
      <c r="J8146" s="5" t="s">
        <v>16042</v>
      </c>
      <c r="L8146" s="11">
        <v>3.095003600823218</v>
      </c>
      <c r="N8146" s="12"/>
    </row>
    <row r="8147" spans="1:14" s="5" customFormat="1" ht="15" customHeight="1" x14ac:dyDescent="0.25">
      <c r="A8147" s="9" t="s">
        <v>16043</v>
      </c>
      <c r="C8147" s="9" t="str">
        <f>HYPERLINK("http://www.ncbi.nlm.nih.gov/protein/558472807","Uspl1")</f>
        <v>Uspl1</v>
      </c>
      <c r="D8147" s="10">
        <f t="shared" si="127"/>
        <v>3.095003600823218</v>
      </c>
      <c r="F8147" s="8" t="str">
        <f>HYPERLINK("https://esbl.nhlbi.nih.gov/Databases/mpkFractions/proteomic_fractions_log_files/Yang_log_img/558472807.jpg","show blot")</f>
        <v>show blot</v>
      </c>
      <c r="H8147" s="8" t="str">
        <f>HYPERLINK("https://esbl.nhlbi.nih.gov/Databases/mpkFractions/proteomic_fractions_linear_files/Yang_linear_img/558472807.jpg","show blot")</f>
        <v>show blot</v>
      </c>
      <c r="J8147" s="5" t="s">
        <v>16044</v>
      </c>
      <c r="L8147" s="11">
        <v>3.095003600823218</v>
      </c>
      <c r="N8147" s="12"/>
    </row>
    <row r="8148" spans="1:14" s="5" customFormat="1" ht="15" customHeight="1" x14ac:dyDescent="0.25">
      <c r="A8148" s="9" t="s">
        <v>16045</v>
      </c>
      <c r="C8148" s="9" t="str">
        <f>HYPERLINK("http://www.ncbi.nlm.nih.gov/protein/110556631","Ust")</f>
        <v>Ust</v>
      </c>
      <c r="D8148" s="10">
        <f t="shared" si="127"/>
        <v>2.672386521609956</v>
      </c>
      <c r="F8148" s="8" t="str">
        <f>HYPERLINK("https://esbl.nhlbi.nih.gov/Databases/mpkFractions/proteomic_fractions_log_files/Yang_log_img/110556631.jpg","show blot")</f>
        <v>show blot</v>
      </c>
      <c r="H8148" s="8" t="str">
        <f>HYPERLINK("https://esbl.nhlbi.nih.gov/Databases/mpkFractions/proteomic_fractions_linear_files/Yang_linear_img/110556631.jpg","show blot")</f>
        <v>show blot</v>
      </c>
      <c r="J8148" s="5" t="s">
        <v>16046</v>
      </c>
      <c r="L8148" s="11">
        <v>2.672386521609956</v>
      </c>
      <c r="N8148" s="12"/>
    </row>
    <row r="8149" spans="1:14" s="5" customFormat="1" ht="15" customHeight="1" x14ac:dyDescent="0.25">
      <c r="A8149" s="9" t="s">
        <v>16047</v>
      </c>
      <c r="C8149" s="9" t="str">
        <f>HYPERLINK("http://www.ncbi.nlm.nih.gov/protein/30725776","Utp15")</f>
        <v>Utp15</v>
      </c>
      <c r="D8149" s="10">
        <f t="shared" si="127"/>
        <v>2.3204983406714348</v>
      </c>
      <c r="F8149" s="8" t="str">
        <f>HYPERLINK("https://esbl.nhlbi.nih.gov/Databases/mpkFractions/proteomic_fractions_log_files/Yang_log_img/30725776.jpg","show blot")</f>
        <v>show blot</v>
      </c>
      <c r="H8149" s="8" t="str">
        <f>HYPERLINK("https://esbl.nhlbi.nih.gov/Databases/mpkFractions/proteomic_fractions_linear_files/Yang_linear_img/30725776.jpg","show blot")</f>
        <v>show blot</v>
      </c>
      <c r="J8149" s="5" t="s">
        <v>16048</v>
      </c>
      <c r="L8149" s="11">
        <v>2.3204983406714348</v>
      </c>
      <c r="N8149" s="12"/>
    </row>
    <row r="8150" spans="1:14" s="5" customFormat="1" ht="15" customHeight="1" x14ac:dyDescent="0.25">
      <c r="A8150" s="9" t="s">
        <v>16049</v>
      </c>
      <c r="C8150" s="9" t="str">
        <f>HYPERLINK("http://www.ncbi.nlm.nih.gov/protein/226437674","Utp20")</f>
        <v>Utp20</v>
      </c>
      <c r="D8150" s="10">
        <f t="shared" si="127"/>
        <v>4.3940141314971024</v>
      </c>
      <c r="F8150" s="8" t="str">
        <f>HYPERLINK("https://esbl.nhlbi.nih.gov/Databases/mpkFractions/proteomic_fractions_log_files/Yang_log_img/226437674.jpg","show blot")</f>
        <v>show blot</v>
      </c>
      <c r="H8150" s="8" t="str">
        <f>HYPERLINK("https://esbl.nhlbi.nih.gov/Databases/mpkFractions/proteomic_fractions_linear_files/Yang_linear_img/226437674.jpg","show blot")</f>
        <v>show blot</v>
      </c>
      <c r="J8150" s="5" t="s">
        <v>16050</v>
      </c>
      <c r="L8150" s="11">
        <v>4.3940141314971024</v>
      </c>
      <c r="N8150" s="12"/>
    </row>
    <row r="8151" spans="1:14" s="5" customFormat="1" ht="15" customHeight="1" x14ac:dyDescent="0.25">
      <c r="A8151" s="9" t="s">
        <v>16051</v>
      </c>
      <c r="C8151" s="9" t="str">
        <f>HYPERLINK("http://www.ncbi.nlm.nih.gov/protein/12746430","Utp3")</f>
        <v>Utp3</v>
      </c>
      <c r="D8151" s="10">
        <f t="shared" si="127"/>
        <v>3.6644584881449109</v>
      </c>
      <c r="F8151" s="8" t="str">
        <f>HYPERLINK("https://esbl.nhlbi.nih.gov/Databases/mpkFractions/proteomic_fractions_log_files/Yang_log_img/12746430.jpg","show blot")</f>
        <v>show blot</v>
      </c>
      <c r="H8151" s="8" t="str">
        <f>HYPERLINK("https://esbl.nhlbi.nih.gov/Databases/mpkFractions/proteomic_fractions_linear_files/Yang_linear_img/12746430.jpg","show blot")</f>
        <v>show blot</v>
      </c>
      <c r="J8151" s="5" t="s">
        <v>16052</v>
      </c>
      <c r="L8151" s="11">
        <v>3.6644584881449109</v>
      </c>
      <c r="N8151" s="12"/>
    </row>
    <row r="8152" spans="1:14" s="5" customFormat="1" ht="15" customHeight="1" x14ac:dyDescent="0.25">
      <c r="A8152" s="9" t="s">
        <v>16053</v>
      </c>
      <c r="C8152" s="9" t="str">
        <f>HYPERLINK("http://www.ncbi.nlm.nih.gov/protein/110431378","Utrn")</f>
        <v>Utrn</v>
      </c>
      <c r="D8152" s="10">
        <f t="shared" si="127"/>
        <v>4.3936253340002356</v>
      </c>
      <c r="F8152" s="8" t="str">
        <f>HYPERLINK("https://esbl.nhlbi.nih.gov/Databases/mpkFractions/proteomic_fractions_log_files/Yang_log_img/110431378.jpg","show blot")</f>
        <v>show blot</v>
      </c>
      <c r="H8152" s="8" t="str">
        <f>HYPERLINK("https://esbl.nhlbi.nih.gov/Databases/mpkFractions/proteomic_fractions_linear_files/Yang_linear_img/110431378.jpg","show blot")</f>
        <v>show blot</v>
      </c>
      <c r="J8152" s="5" t="s">
        <v>16054</v>
      </c>
      <c r="L8152" s="11">
        <v>4.3936253340002356</v>
      </c>
      <c r="N8152" s="12"/>
    </row>
    <row r="8153" spans="1:14" s="5" customFormat="1" ht="15" customHeight="1" x14ac:dyDescent="0.25">
      <c r="A8153" s="9" t="s">
        <v>16055</v>
      </c>
      <c r="C8153" s="9" t="str">
        <f>HYPERLINK("http://www.ncbi.nlm.nih.gov/protein/6755931","Uts2")</f>
        <v>Uts2</v>
      </c>
      <c r="D8153" s="10">
        <f t="shared" si="127"/>
        <v>5.2151528173445234</v>
      </c>
      <c r="F8153" s="8" t="str">
        <f>HYPERLINK("https://esbl.nhlbi.nih.gov/Databases/mpkFractions/proteomic_fractions_log_files/Yang_log_img/6755931.jpg","show blot")</f>
        <v>show blot</v>
      </c>
      <c r="H8153" s="8" t="str">
        <f>HYPERLINK("https://esbl.nhlbi.nih.gov/Databases/mpkFractions/proteomic_fractions_linear_files/Yang_linear_img/6755931.jpg","show blot")</f>
        <v>show blot</v>
      </c>
      <c r="J8153" s="5" t="s">
        <v>16056</v>
      </c>
      <c r="L8153" s="11">
        <v>5.2151528173445234</v>
      </c>
      <c r="N8153" s="12"/>
    </row>
    <row r="8154" spans="1:14" s="5" customFormat="1" ht="15" customHeight="1" x14ac:dyDescent="0.25">
      <c r="A8154" s="9" t="s">
        <v>16057</v>
      </c>
      <c r="C8154" s="9" t="str">
        <f>HYPERLINK("http://www.ncbi.nlm.nih.gov/protein/170671724","Uvrag")</f>
        <v>Uvrag</v>
      </c>
      <c r="D8154" s="10">
        <f t="shared" si="127"/>
        <v>3.3569987550712499</v>
      </c>
      <c r="F8154" s="8" t="str">
        <f>HYPERLINK("https://esbl.nhlbi.nih.gov/Databases/mpkFractions/proteomic_fractions_log_files/Yang_log_img/170671724.jpg","show blot")</f>
        <v>show blot</v>
      </c>
      <c r="H8154" s="8" t="str">
        <f>HYPERLINK("https://esbl.nhlbi.nih.gov/Databases/mpkFractions/proteomic_fractions_linear_files/Yang_linear_img/170671724.jpg","show blot")</f>
        <v>show blot</v>
      </c>
      <c r="J8154" s="5" t="s">
        <v>16058</v>
      </c>
      <c r="L8154" s="11">
        <v>3.3569987550712499</v>
      </c>
      <c r="N8154" s="12"/>
    </row>
    <row r="8155" spans="1:14" s="5" customFormat="1" ht="15" customHeight="1" x14ac:dyDescent="0.25">
      <c r="A8155" s="9" t="s">
        <v>16059</v>
      </c>
      <c r="C8155" s="9" t="str">
        <f>HYPERLINK("http://www.ncbi.nlm.nih.gov/protein/28076899","Uxs1")</f>
        <v>Uxs1</v>
      </c>
      <c r="D8155" s="10">
        <f t="shared" si="127"/>
        <v>1.8058567660725959</v>
      </c>
      <c r="F8155" s="8" t="str">
        <f>HYPERLINK("https://esbl.nhlbi.nih.gov/Databases/mpkFractions/proteomic_fractions_log_files/Yang_log_img/28076899.jpg","show blot")</f>
        <v>show blot</v>
      </c>
      <c r="H8155" s="8" t="str">
        <f>HYPERLINK("https://esbl.nhlbi.nih.gov/Databases/mpkFractions/proteomic_fractions_linear_files/Yang_linear_img/28076899.jpg","show blot")</f>
        <v>show blot</v>
      </c>
      <c r="J8155" s="5" t="s">
        <v>16060</v>
      </c>
      <c r="L8155" s="11">
        <v>1.8058567660725959</v>
      </c>
      <c r="N8155" s="12"/>
    </row>
    <row r="8156" spans="1:14" s="5" customFormat="1" ht="15" customHeight="1" x14ac:dyDescent="0.25">
      <c r="A8156" s="9" t="s">
        <v>16061</v>
      </c>
      <c r="C8156" s="9" t="str">
        <f>HYPERLINK("http://www.ncbi.nlm.nih.gov/protein/30841023","Uxt")</f>
        <v>Uxt</v>
      </c>
      <c r="D8156" s="10">
        <f t="shared" si="127"/>
        <v>4.5794625992054181</v>
      </c>
      <c r="F8156" s="8" t="str">
        <f>HYPERLINK("https://esbl.nhlbi.nih.gov/Databases/mpkFractions/proteomic_fractions_log_files/Yang_log_img/30841023.jpg","show blot")</f>
        <v>show blot</v>
      </c>
      <c r="H8156" s="8" t="str">
        <f>HYPERLINK("https://esbl.nhlbi.nih.gov/Databases/mpkFractions/proteomic_fractions_linear_files/Yang_linear_img/30841023.jpg","show blot")</f>
        <v>show blot</v>
      </c>
      <c r="J8156" s="5" t="s">
        <v>16062</v>
      </c>
      <c r="L8156" s="11">
        <v>4.5794625992054181</v>
      </c>
      <c r="N8156" s="12"/>
    </row>
    <row r="8157" spans="1:14" s="5" customFormat="1" ht="15" customHeight="1" x14ac:dyDescent="0.25">
      <c r="A8157" s="9" t="s">
        <v>16063</v>
      </c>
      <c r="C8157" s="9" t="str">
        <f>HYPERLINK("http://www.ncbi.nlm.nih.gov/protein/31542488","Vac14")</f>
        <v>Vac14</v>
      </c>
      <c r="D8157" s="10">
        <f t="shared" si="127"/>
        <v>5.226391797125336</v>
      </c>
      <c r="F8157" s="8" t="str">
        <f>HYPERLINK("https://esbl.nhlbi.nih.gov/Databases/mpkFractions/proteomic_fractions_log_files/Yang_log_img/31542488.jpg","show blot")</f>
        <v>show blot</v>
      </c>
      <c r="H8157" s="8" t="str">
        <f>HYPERLINK("https://esbl.nhlbi.nih.gov/Databases/mpkFractions/proteomic_fractions_linear_files/Yang_linear_img/31542488.jpg","show blot")</f>
        <v>show blot</v>
      </c>
      <c r="J8157" s="5" t="s">
        <v>16064</v>
      </c>
      <c r="L8157" s="11">
        <v>5.226391797125336</v>
      </c>
      <c r="N8157" s="12"/>
    </row>
    <row r="8158" spans="1:14" s="5" customFormat="1" ht="15" customHeight="1" x14ac:dyDescent="0.25">
      <c r="A8158" s="9" t="s">
        <v>16065</v>
      </c>
      <c r="C8158" s="9" t="str">
        <f>HYPERLINK("http://www.ncbi.nlm.nih.gov/protein/123702073","Vamp1")</f>
        <v>Vamp1</v>
      </c>
      <c r="D8158" s="10">
        <f t="shared" si="127"/>
        <v>4.9339451168560906</v>
      </c>
      <c r="F8158" s="8" t="str">
        <f>HYPERLINK("https://esbl.nhlbi.nih.gov/Databases/mpkFractions/proteomic_fractions_log_files/Yang_log_img/123702073.jpg","show blot")</f>
        <v>show blot</v>
      </c>
      <c r="H8158" s="8" t="str">
        <f>HYPERLINK("https://esbl.nhlbi.nih.gov/Databases/mpkFractions/proteomic_fractions_linear_files/Yang_linear_img/123702073.jpg","show blot")</f>
        <v>show blot</v>
      </c>
      <c r="J8158" s="5" t="s">
        <v>16066</v>
      </c>
      <c r="L8158" s="11">
        <v>4.9339451168560906</v>
      </c>
      <c r="N8158" s="12"/>
    </row>
    <row r="8159" spans="1:14" s="5" customFormat="1" ht="15" customHeight="1" x14ac:dyDescent="0.25">
      <c r="A8159" s="9" t="s">
        <v>16067</v>
      </c>
      <c r="C8159" s="9" t="str">
        <f>HYPERLINK("http://www.ncbi.nlm.nih.gov/protein/6678549","Vamp1")</f>
        <v>Vamp1</v>
      </c>
      <c r="D8159" s="10">
        <f t="shared" si="127"/>
        <v>4.9339451168560906</v>
      </c>
      <c r="F8159" s="8" t="str">
        <f>HYPERLINK("https://esbl.nhlbi.nih.gov/Databases/mpkFractions/proteomic_fractions_log_files/Yang_log_img/6678549.jpg","show blot")</f>
        <v>show blot</v>
      </c>
      <c r="H8159" s="8" t="str">
        <f>HYPERLINK("https://esbl.nhlbi.nih.gov/Databases/mpkFractions/proteomic_fractions_linear_files/Yang_linear_img/6678549.jpg","show blot")</f>
        <v>show blot</v>
      </c>
      <c r="J8159" s="5" t="s">
        <v>16068</v>
      </c>
      <c r="L8159" s="11">
        <v>4.9339451168560906</v>
      </c>
      <c r="N8159" s="12"/>
    </row>
    <row r="8160" spans="1:14" s="5" customFormat="1" ht="15" customHeight="1" x14ac:dyDescent="0.25">
      <c r="A8160" s="9" t="s">
        <v>16069</v>
      </c>
      <c r="C8160" s="9" t="str">
        <f>HYPERLINK("http://www.ncbi.nlm.nih.gov/protein/6678551","Vamp2")</f>
        <v>Vamp2</v>
      </c>
      <c r="D8160" s="10">
        <f t="shared" si="127"/>
        <v>6.0198271379875496</v>
      </c>
      <c r="F8160" s="8" t="str">
        <f>HYPERLINK("https://esbl.nhlbi.nih.gov/Databases/mpkFractions/proteomic_fractions_log_files/Yang_log_img/6678551.jpg","show blot")</f>
        <v>show blot</v>
      </c>
      <c r="H8160" s="8" t="str">
        <f>HYPERLINK("https://esbl.nhlbi.nih.gov/Databases/mpkFractions/proteomic_fractions_linear_files/Yang_linear_img/6678551.jpg","show blot")</f>
        <v>show blot</v>
      </c>
      <c r="J8160" s="5" t="s">
        <v>16070</v>
      </c>
      <c r="L8160" s="11">
        <v>6.0198271379875496</v>
      </c>
      <c r="N8160" s="12"/>
    </row>
    <row r="8161" spans="1:14" s="5" customFormat="1" ht="15" customHeight="1" x14ac:dyDescent="0.25">
      <c r="A8161" s="9" t="s">
        <v>16071</v>
      </c>
      <c r="C8161" s="9" t="str">
        <f>HYPERLINK("http://www.ncbi.nlm.nih.gov/protein/6678553","Vamp3")</f>
        <v>Vamp3</v>
      </c>
      <c r="D8161" s="10">
        <f t="shared" si="127"/>
        <v>6.1152499951304886</v>
      </c>
      <c r="F8161" s="8" t="str">
        <f>HYPERLINK("https://esbl.nhlbi.nih.gov/Databases/mpkFractions/proteomic_fractions_log_files/Yang_log_img/6678553.jpg","show blot")</f>
        <v>show blot</v>
      </c>
      <c r="H8161" s="8" t="str">
        <f>HYPERLINK("https://esbl.nhlbi.nih.gov/Databases/mpkFractions/proteomic_fractions_linear_files/Yang_linear_img/6678553.jpg","show blot")</f>
        <v>show blot</v>
      </c>
      <c r="J8161" s="5" t="s">
        <v>16072</v>
      </c>
      <c r="L8161" s="11">
        <v>6.1152499951304886</v>
      </c>
      <c r="N8161" s="12"/>
    </row>
    <row r="8162" spans="1:14" s="5" customFormat="1" ht="15" customHeight="1" x14ac:dyDescent="0.25">
      <c r="A8162" s="9" t="s">
        <v>16073</v>
      </c>
      <c r="C8162" s="9" t="str">
        <f>HYPERLINK("http://www.ncbi.nlm.nih.gov/protein/31543938","Vamp4")</f>
        <v>Vamp4</v>
      </c>
      <c r="D8162" s="10">
        <f t="shared" si="127"/>
        <v>3.9675789426407779</v>
      </c>
      <c r="F8162" s="8" t="str">
        <f>HYPERLINK("https://esbl.nhlbi.nih.gov/Databases/mpkFractions/proteomic_fractions_log_files/Yang_log_img/31543938.jpg","show blot")</f>
        <v>show blot</v>
      </c>
      <c r="H8162" s="8" t="str">
        <f>HYPERLINK("https://esbl.nhlbi.nih.gov/Databases/mpkFractions/proteomic_fractions_linear_files/Yang_linear_img/31543938.jpg","show blot")</f>
        <v>show blot</v>
      </c>
      <c r="J8162" s="5" t="s">
        <v>16074</v>
      </c>
      <c r="L8162" s="11">
        <v>3.9675789426407779</v>
      </c>
      <c r="N8162" s="12"/>
    </row>
    <row r="8163" spans="1:14" s="5" customFormat="1" ht="15" customHeight="1" x14ac:dyDescent="0.25">
      <c r="A8163" s="9" t="s">
        <v>16075</v>
      </c>
      <c r="C8163" s="9" t="str">
        <f>HYPERLINK("http://www.ncbi.nlm.nih.gov/protein/124001562;8394526","Vamp5")</f>
        <v>Vamp5</v>
      </c>
      <c r="D8163" s="10">
        <f t="shared" si="127"/>
        <v>3.3338375827728619</v>
      </c>
      <c r="F8163" s="8" t="str">
        <f>HYPERLINK("https://esbl.nhlbi.nih.gov/Databases/mpkFractions/proteomic_fractions_log_files/Yang_log_img/124001562;8394526.jpg","show blot")</f>
        <v>show blot</v>
      </c>
      <c r="H8163" s="8" t="str">
        <f>HYPERLINK("https://esbl.nhlbi.nih.gov/Databases/mpkFractions/proteomic_fractions_linear_files/Yang_linear_img/124001562;8394526.jpg","show blot")</f>
        <v>show blot</v>
      </c>
      <c r="J8163" s="5" t="s">
        <v>16076</v>
      </c>
      <c r="L8163" s="11">
        <v>3.3338375827728619</v>
      </c>
      <c r="N8163" s="12"/>
    </row>
    <row r="8164" spans="1:14" s="5" customFormat="1" ht="15" customHeight="1" x14ac:dyDescent="0.25">
      <c r="A8164" s="9" t="s">
        <v>16077</v>
      </c>
      <c r="C8164" s="9" t="str">
        <f>HYPERLINK("http://www.ncbi.nlm.nih.gov/protein/33468929","Vamp7")</f>
        <v>Vamp7</v>
      </c>
      <c r="D8164" s="10">
        <f t="shared" si="127"/>
        <v>4.8147133438174317</v>
      </c>
      <c r="F8164" s="8" t="str">
        <f>HYPERLINK("https://esbl.nhlbi.nih.gov/Databases/mpkFractions/proteomic_fractions_log_files/Yang_log_img/33468929.jpg","show blot")</f>
        <v>show blot</v>
      </c>
      <c r="H8164" s="8" t="str">
        <f>HYPERLINK("https://esbl.nhlbi.nih.gov/Databases/mpkFractions/proteomic_fractions_linear_files/Yang_linear_img/33468929.jpg","show blot")</f>
        <v>show blot</v>
      </c>
      <c r="J8164" s="5" t="s">
        <v>16078</v>
      </c>
      <c r="L8164" s="11">
        <v>4.8147133438174317</v>
      </c>
      <c r="N8164" s="12"/>
    </row>
    <row r="8165" spans="1:14" s="5" customFormat="1" ht="15" customHeight="1" x14ac:dyDescent="0.25">
      <c r="A8165" s="9" t="s">
        <v>16079</v>
      </c>
      <c r="C8165" s="9" t="str">
        <f>HYPERLINK("http://www.ncbi.nlm.nih.gov/protein/31980629","Vamp8")</f>
        <v>Vamp8</v>
      </c>
      <c r="D8165" s="10">
        <f t="shared" si="127"/>
        <v>5.9484208908148863</v>
      </c>
      <c r="F8165" s="8" t="str">
        <f>HYPERLINK("https://esbl.nhlbi.nih.gov/Databases/mpkFractions/proteomic_fractions_log_files/Yang_log_img/31980629.jpg","show blot")</f>
        <v>show blot</v>
      </c>
      <c r="H8165" s="8" t="str">
        <f>HYPERLINK("https://esbl.nhlbi.nih.gov/Databases/mpkFractions/proteomic_fractions_linear_files/Yang_linear_img/31980629.jpg","show blot")</f>
        <v>show blot</v>
      </c>
      <c r="J8165" s="5" t="s">
        <v>16080</v>
      </c>
      <c r="L8165" s="11">
        <v>5.9484208908148863</v>
      </c>
      <c r="N8165" s="12"/>
    </row>
    <row r="8166" spans="1:14" s="5" customFormat="1" ht="15" customHeight="1" x14ac:dyDescent="0.25">
      <c r="A8166" s="9" t="s">
        <v>16081</v>
      </c>
      <c r="C8166" s="9" t="str">
        <f>HYPERLINK("http://www.ncbi.nlm.nih.gov/protein/260099697","Vangl1")</f>
        <v>Vangl1</v>
      </c>
      <c r="D8166" s="10">
        <f t="shared" si="127"/>
        <v>4.6559296343993886</v>
      </c>
      <c r="F8166" s="8" t="str">
        <f>HYPERLINK("https://esbl.nhlbi.nih.gov/Databases/mpkFractions/proteomic_fractions_log_files/Yang_log_img/260099697.jpg","show blot")</f>
        <v>show blot</v>
      </c>
      <c r="H8166" s="8" t="str">
        <f>HYPERLINK("https://esbl.nhlbi.nih.gov/Databases/mpkFractions/proteomic_fractions_linear_files/Yang_linear_img/260099697.jpg","show blot")</f>
        <v>show blot</v>
      </c>
      <c r="J8166" s="5" t="s">
        <v>16082</v>
      </c>
      <c r="L8166" s="11">
        <v>4.6559296343993886</v>
      </c>
      <c r="N8166" s="12"/>
    </row>
    <row r="8167" spans="1:14" s="5" customFormat="1" ht="15" customHeight="1" x14ac:dyDescent="0.25">
      <c r="A8167" s="9" t="s">
        <v>16083</v>
      </c>
      <c r="C8167" s="9" t="str">
        <f>HYPERLINK("http://www.ncbi.nlm.nih.gov/protein/260099699","Vangl1")</f>
        <v>Vangl1</v>
      </c>
      <c r="D8167" s="10">
        <f t="shared" si="127"/>
        <v>4.6559296343993886</v>
      </c>
      <c r="F8167" s="8" t="str">
        <f>HYPERLINK("https://esbl.nhlbi.nih.gov/Databases/mpkFractions/proteomic_fractions_log_files/Yang_log_img/260099699.jpg","show blot")</f>
        <v>show blot</v>
      </c>
      <c r="H8167" s="8" t="str">
        <f>HYPERLINK("https://esbl.nhlbi.nih.gov/Databases/mpkFractions/proteomic_fractions_linear_files/Yang_linear_img/260099699.jpg","show blot")</f>
        <v>show blot</v>
      </c>
      <c r="J8167" s="5" t="s">
        <v>16084</v>
      </c>
      <c r="L8167" s="11">
        <v>4.6559296343993886</v>
      </c>
      <c r="N8167" s="12"/>
    </row>
    <row r="8168" spans="1:14" s="5" customFormat="1" ht="15" customHeight="1" x14ac:dyDescent="0.25">
      <c r="A8168" s="9" t="s">
        <v>16085</v>
      </c>
      <c r="C8168" s="9" t="str">
        <f>HYPERLINK("http://www.ncbi.nlm.nih.gov/protein/94721328","Vapa")</f>
        <v>Vapa</v>
      </c>
      <c r="D8168" s="10">
        <f t="shared" si="127"/>
        <v>6.1046280985770638</v>
      </c>
      <c r="F8168" s="8" t="str">
        <f>HYPERLINK("https://esbl.nhlbi.nih.gov/Databases/mpkFractions/proteomic_fractions_log_files/Yang_log_img/94721328.jpg","show blot")</f>
        <v>show blot</v>
      </c>
      <c r="H8168" s="8" t="str">
        <f>HYPERLINK("https://esbl.nhlbi.nih.gov/Databases/mpkFractions/proteomic_fractions_linear_files/Yang_linear_img/94721328.jpg","show blot")</f>
        <v>show blot</v>
      </c>
      <c r="J8168" s="5" t="s">
        <v>16086</v>
      </c>
      <c r="L8168" s="11">
        <v>6.1046280985770638</v>
      </c>
      <c r="N8168" s="12"/>
    </row>
    <row r="8169" spans="1:14" s="5" customFormat="1" ht="15" customHeight="1" x14ac:dyDescent="0.25">
      <c r="A8169" s="9" t="s">
        <v>16087</v>
      </c>
      <c r="C8169" s="9" t="str">
        <f>HYPERLINK("http://www.ncbi.nlm.nih.gov/protein/31543940","Vapb")</f>
        <v>Vapb</v>
      </c>
      <c r="D8169" s="10">
        <f t="shared" si="127"/>
        <v>5.9597191274969017</v>
      </c>
      <c r="F8169" s="8" t="str">
        <f>HYPERLINK("https://esbl.nhlbi.nih.gov/Databases/mpkFractions/proteomic_fractions_log_files/Yang_log_img/31543940.jpg","show blot")</f>
        <v>show blot</v>
      </c>
      <c r="H8169" s="8" t="str">
        <f>HYPERLINK("https://esbl.nhlbi.nih.gov/Databases/mpkFractions/proteomic_fractions_linear_files/Yang_linear_img/31543940.jpg","show blot")</f>
        <v>show blot</v>
      </c>
      <c r="J8169" s="5" t="s">
        <v>16088</v>
      </c>
      <c r="L8169" s="11">
        <v>5.9597191274969017</v>
      </c>
      <c r="N8169" s="12"/>
    </row>
    <row r="8170" spans="1:14" s="5" customFormat="1" ht="15" customHeight="1" x14ac:dyDescent="0.25">
      <c r="A8170" s="9" t="s">
        <v>16089</v>
      </c>
      <c r="C8170" s="9" t="str">
        <f>HYPERLINK("http://www.ncbi.nlm.nih.gov/protein/255069795","Vars")</f>
        <v>Vars</v>
      </c>
      <c r="D8170" s="10">
        <f t="shared" si="127"/>
        <v>6.4190442419595826</v>
      </c>
      <c r="F8170" s="8" t="str">
        <f>HYPERLINK("https://esbl.nhlbi.nih.gov/Databases/mpkFractions/proteomic_fractions_log_files/Yang_log_img/255069795.jpg","show blot")</f>
        <v>show blot</v>
      </c>
      <c r="H8170" s="8" t="str">
        <f>HYPERLINK("https://esbl.nhlbi.nih.gov/Databases/mpkFractions/proteomic_fractions_linear_files/Yang_linear_img/255069795.jpg","show blot")</f>
        <v>show blot</v>
      </c>
      <c r="J8170" s="5" t="s">
        <v>16090</v>
      </c>
      <c r="L8170" s="11">
        <v>6.4190442419595826</v>
      </c>
      <c r="N8170" s="12"/>
    </row>
    <row r="8171" spans="1:14" s="5" customFormat="1" ht="15" customHeight="1" x14ac:dyDescent="0.25">
      <c r="A8171" s="9" t="s">
        <v>16091</v>
      </c>
      <c r="C8171" s="9" t="str">
        <f>HYPERLINK("http://www.ncbi.nlm.nih.gov/protein/160333671","Vars2")</f>
        <v>Vars2</v>
      </c>
      <c r="D8171" s="10">
        <f t="shared" si="127"/>
        <v>1.795119643626168</v>
      </c>
      <c r="F8171" s="8" t="str">
        <f>HYPERLINK("https://esbl.nhlbi.nih.gov/Databases/mpkFractions/proteomic_fractions_log_files/Yang_log_img/160333671.jpg","show blot")</f>
        <v>show blot</v>
      </c>
      <c r="H8171" s="8" t="str">
        <f>HYPERLINK("https://esbl.nhlbi.nih.gov/Databases/mpkFractions/proteomic_fractions_linear_files/Yang_linear_img/160333671.jpg","show blot")</f>
        <v>show blot</v>
      </c>
      <c r="J8171" s="5" t="s">
        <v>16092</v>
      </c>
      <c r="L8171" s="11">
        <v>1.795119643626168</v>
      </c>
      <c r="N8171" s="12"/>
    </row>
    <row r="8172" spans="1:14" s="5" customFormat="1" ht="15" customHeight="1" x14ac:dyDescent="0.25">
      <c r="A8172" s="9" t="s">
        <v>16093</v>
      </c>
      <c r="C8172" s="9" t="str">
        <f>HYPERLINK("http://www.ncbi.nlm.nih.gov/protein/31981693","Vasn")</f>
        <v>Vasn</v>
      </c>
      <c r="D8172" s="10">
        <f t="shared" si="127"/>
        <v>2.3429965445962289</v>
      </c>
      <c r="F8172" s="8" t="str">
        <f>HYPERLINK("https://esbl.nhlbi.nih.gov/Databases/mpkFractions/proteomic_fractions_log_files/Yang_log_img/31981693.jpg","show blot")</f>
        <v>show blot</v>
      </c>
      <c r="H8172" s="8" t="str">
        <f>HYPERLINK("https://esbl.nhlbi.nih.gov/Databases/mpkFractions/proteomic_fractions_linear_files/Yang_linear_img/31981693.jpg","show blot")</f>
        <v>show blot</v>
      </c>
      <c r="J8172" s="5" t="s">
        <v>16094</v>
      </c>
      <c r="L8172" s="11">
        <v>2.3429965445962289</v>
      </c>
      <c r="N8172" s="12"/>
    </row>
    <row r="8173" spans="1:14" s="5" customFormat="1" ht="15" customHeight="1" x14ac:dyDescent="0.25">
      <c r="A8173" s="9" t="s">
        <v>16095</v>
      </c>
      <c r="C8173" s="9" t="str">
        <f>HYPERLINK("http://www.ncbi.nlm.nih.gov/protein/530537260","Vasp")</f>
        <v>Vasp</v>
      </c>
      <c r="D8173" s="10">
        <f t="shared" si="127"/>
        <v>4.7615205236158724</v>
      </c>
      <c r="F8173" s="8" t="str">
        <f>HYPERLINK("https://esbl.nhlbi.nih.gov/Databases/mpkFractions/proteomic_fractions_log_files/Yang_log_img/530537260.jpg","show blot")</f>
        <v>show blot</v>
      </c>
      <c r="H8173" s="8" t="str">
        <f>HYPERLINK("https://esbl.nhlbi.nih.gov/Databases/mpkFractions/proteomic_fractions_linear_files/Yang_linear_img/530537260.jpg","show blot")</f>
        <v>show blot</v>
      </c>
      <c r="J8173" s="5" t="s">
        <v>16096</v>
      </c>
      <c r="L8173" s="11">
        <v>4.7615205236158724</v>
      </c>
      <c r="N8173" s="12"/>
    </row>
    <row r="8174" spans="1:14" s="5" customFormat="1" ht="15" customHeight="1" x14ac:dyDescent="0.25">
      <c r="A8174" s="9" t="s">
        <v>16097</v>
      </c>
      <c r="C8174" s="9" t="str">
        <f>HYPERLINK("http://www.ncbi.nlm.nih.gov/protein/530537263","Vasp")</f>
        <v>Vasp</v>
      </c>
      <c r="D8174" s="10">
        <f t="shared" si="127"/>
        <v>4.7615205236158724</v>
      </c>
      <c r="F8174" s="8" t="str">
        <f>HYPERLINK("https://esbl.nhlbi.nih.gov/Databases/mpkFractions/proteomic_fractions_log_files/Yang_log_img/530537263.jpg","show blot")</f>
        <v>show blot</v>
      </c>
      <c r="H8174" s="8" t="str">
        <f>HYPERLINK("https://esbl.nhlbi.nih.gov/Databases/mpkFractions/proteomic_fractions_linear_files/Yang_linear_img/530537263.jpg","show blot")</f>
        <v>show blot</v>
      </c>
      <c r="J8174" s="5" t="s">
        <v>16098</v>
      </c>
      <c r="L8174" s="11">
        <v>4.7615205236158724</v>
      </c>
      <c r="N8174" s="12"/>
    </row>
    <row r="8175" spans="1:14" s="5" customFormat="1" ht="15" customHeight="1" x14ac:dyDescent="0.25">
      <c r="A8175" s="9" t="s">
        <v>16099</v>
      </c>
      <c r="C8175" s="9" t="str">
        <f>HYPERLINK("http://www.ncbi.nlm.nih.gov/protein/160707909","Vasp")</f>
        <v>Vasp</v>
      </c>
      <c r="D8175" s="10">
        <f t="shared" si="127"/>
        <v>4.7615205236158724</v>
      </c>
      <c r="F8175" s="8" t="str">
        <f>HYPERLINK("https://esbl.nhlbi.nih.gov/Databases/mpkFractions/proteomic_fractions_log_files/Yang_log_img/160707909.jpg","show blot")</f>
        <v>show blot</v>
      </c>
      <c r="H8175" s="8" t="str">
        <f>HYPERLINK("https://esbl.nhlbi.nih.gov/Databases/mpkFractions/proteomic_fractions_linear_files/Yang_linear_img/160707909.jpg","show blot")</f>
        <v>show blot</v>
      </c>
      <c r="J8175" s="5" t="s">
        <v>16100</v>
      </c>
      <c r="L8175" s="11">
        <v>4.7615205236158724</v>
      </c>
      <c r="N8175" s="12"/>
    </row>
    <row r="8176" spans="1:14" s="5" customFormat="1" ht="15" customHeight="1" x14ac:dyDescent="0.25">
      <c r="A8176" s="9" t="s">
        <v>16101</v>
      </c>
      <c r="C8176" s="9" t="str">
        <f>HYPERLINK("http://www.ncbi.nlm.nih.gov/protein/33859662","Vat1")</f>
        <v>Vat1</v>
      </c>
      <c r="D8176" s="10">
        <f t="shared" si="127"/>
        <v>6.1527685062777477</v>
      </c>
      <c r="F8176" s="8" t="str">
        <f>HYPERLINK("https://esbl.nhlbi.nih.gov/Databases/mpkFractions/proteomic_fractions_log_files/Yang_log_img/33859662.jpg","show blot")</f>
        <v>show blot</v>
      </c>
      <c r="H8176" s="8" t="str">
        <f>HYPERLINK("https://esbl.nhlbi.nih.gov/Databases/mpkFractions/proteomic_fractions_linear_files/Yang_linear_img/33859662.jpg","show blot")</f>
        <v>show blot</v>
      </c>
      <c r="J8176" s="5" t="s">
        <v>16102</v>
      </c>
      <c r="L8176" s="11">
        <v>6.1527685062777477</v>
      </c>
      <c r="N8176" s="12"/>
    </row>
    <row r="8177" spans="1:14" s="5" customFormat="1" ht="15" customHeight="1" x14ac:dyDescent="0.25">
      <c r="A8177" s="9" t="s">
        <v>16103</v>
      </c>
      <c r="C8177" s="9" t="str">
        <f>HYPERLINK("http://www.ncbi.nlm.nih.gov/protein/6678555","Vav2")</f>
        <v>Vav2</v>
      </c>
      <c r="D8177" s="10">
        <f t="shared" si="127"/>
        <v>3.434604411409754</v>
      </c>
      <c r="F8177" s="8" t="str">
        <f>HYPERLINK("https://esbl.nhlbi.nih.gov/Databases/mpkFractions/proteomic_fractions_log_files/Yang_log_img/6678555.jpg","show blot")</f>
        <v>show blot</v>
      </c>
      <c r="H8177" s="8" t="str">
        <f>HYPERLINK("https://esbl.nhlbi.nih.gov/Databases/mpkFractions/proteomic_fractions_linear_files/Yang_linear_img/6678555.jpg","show blot")</f>
        <v>show blot</v>
      </c>
      <c r="J8177" s="5" t="s">
        <v>16104</v>
      </c>
      <c r="L8177" s="11">
        <v>3.434604411409754</v>
      </c>
      <c r="N8177" s="12"/>
    </row>
    <row r="8178" spans="1:14" s="5" customFormat="1" ht="15" customHeight="1" x14ac:dyDescent="0.25">
      <c r="A8178" s="9" t="s">
        <v>16105</v>
      </c>
      <c r="C8178" s="9" t="str">
        <f>HYPERLINK("http://www.ncbi.nlm.nih.gov/protein/124248572","Vbp1")</f>
        <v>Vbp1</v>
      </c>
      <c r="D8178" s="10">
        <f t="shared" si="127"/>
        <v>5.6283677755915136</v>
      </c>
      <c r="F8178" s="8" t="str">
        <f>HYPERLINK("https://esbl.nhlbi.nih.gov/Databases/mpkFractions/proteomic_fractions_log_files/Yang_log_img/124248572.jpg","show blot")</f>
        <v>show blot</v>
      </c>
      <c r="H8178" s="8" t="str">
        <f>HYPERLINK("https://esbl.nhlbi.nih.gov/Databases/mpkFractions/proteomic_fractions_linear_files/Yang_linear_img/124248572.jpg","show blot")</f>
        <v>show blot</v>
      </c>
      <c r="J8178" s="5" t="s">
        <v>16106</v>
      </c>
      <c r="L8178" s="11">
        <v>5.6283677755915136</v>
      </c>
      <c r="N8178" s="12"/>
    </row>
    <row r="8179" spans="1:14" s="5" customFormat="1" ht="15" customHeight="1" x14ac:dyDescent="0.25">
      <c r="A8179" s="9" t="s">
        <v>16107</v>
      </c>
      <c r="C8179" s="9" t="str">
        <f>HYPERLINK("http://www.ncbi.nlm.nih.gov/protein/31543942","Vcl")</f>
        <v>Vcl</v>
      </c>
      <c r="D8179" s="10">
        <f t="shared" si="127"/>
        <v>6.6018543331230468</v>
      </c>
      <c r="F8179" s="8" t="str">
        <f>HYPERLINK("https://esbl.nhlbi.nih.gov/Databases/mpkFractions/proteomic_fractions_log_files/Yang_log_img/31543942.jpg","show blot")</f>
        <v>show blot</v>
      </c>
      <c r="H8179" s="8" t="str">
        <f>HYPERLINK("https://esbl.nhlbi.nih.gov/Databases/mpkFractions/proteomic_fractions_linear_files/Yang_linear_img/31543942.jpg","show blot")</f>
        <v>show blot</v>
      </c>
      <c r="J8179" s="5" t="s">
        <v>16108</v>
      </c>
      <c r="L8179" s="11">
        <v>6.6018543331230468</v>
      </c>
      <c r="N8179" s="12"/>
    </row>
    <row r="8180" spans="1:14" s="5" customFormat="1" ht="15" customHeight="1" x14ac:dyDescent="0.25">
      <c r="A8180" s="9" t="s">
        <v>16109</v>
      </c>
      <c r="C8180" s="9" t="str">
        <f>HYPERLINK("http://www.ncbi.nlm.nih.gov/protein/225543319","Vcp")</f>
        <v>Vcp</v>
      </c>
      <c r="D8180" s="10">
        <f t="shared" si="127"/>
        <v>6.4135561380724306</v>
      </c>
      <c r="F8180" s="8" t="str">
        <f>HYPERLINK("https://esbl.nhlbi.nih.gov/Databases/mpkFractions/proteomic_fractions_log_files/Yang_log_img/225543319.jpg","show blot")</f>
        <v>show blot</v>
      </c>
      <c r="H8180" s="8" t="str">
        <f>HYPERLINK("https://esbl.nhlbi.nih.gov/Databases/mpkFractions/proteomic_fractions_linear_files/Yang_linear_img/225543319.jpg","show blot")</f>
        <v>show blot</v>
      </c>
      <c r="J8180" s="5" t="s">
        <v>16110</v>
      </c>
      <c r="L8180" s="11">
        <v>6.4135561380724306</v>
      </c>
      <c r="N8180" s="12"/>
    </row>
    <row r="8181" spans="1:14" s="5" customFormat="1" ht="15" customHeight="1" x14ac:dyDescent="0.25">
      <c r="A8181" s="9" t="s">
        <v>16111</v>
      </c>
      <c r="C8181" s="9" t="str">
        <f>HYPERLINK("http://www.ncbi.nlm.nih.gov/protein/70778826","Vcpip1")</f>
        <v>Vcpip1</v>
      </c>
      <c r="D8181" s="10">
        <f t="shared" si="127"/>
        <v>4.475621005723716</v>
      </c>
      <c r="F8181" s="8" t="str">
        <f>HYPERLINK("https://esbl.nhlbi.nih.gov/Databases/mpkFractions/proteomic_fractions_log_files/Yang_log_img/70778826.jpg","show blot")</f>
        <v>show blot</v>
      </c>
      <c r="H8181" s="8" t="str">
        <f>HYPERLINK("https://esbl.nhlbi.nih.gov/Databases/mpkFractions/proteomic_fractions_linear_files/Yang_linear_img/70778826.jpg","show blot")</f>
        <v>show blot</v>
      </c>
      <c r="J8181" s="5" t="s">
        <v>16112</v>
      </c>
      <c r="L8181" s="11">
        <v>4.475621005723716</v>
      </c>
      <c r="N8181" s="12"/>
    </row>
    <row r="8182" spans="1:14" s="5" customFormat="1" ht="15" customHeight="1" x14ac:dyDescent="0.25">
      <c r="A8182" s="9" t="s">
        <v>16113</v>
      </c>
      <c r="C8182" s="9" t="str">
        <f>HYPERLINK("http://www.ncbi.nlm.nih.gov/protein/98986329","Vcpkmt")</f>
        <v>Vcpkmt</v>
      </c>
      <c r="D8182" s="10">
        <f t="shared" si="127"/>
        <v>4.3843892297544542</v>
      </c>
      <c r="F8182" s="8" t="str">
        <f>HYPERLINK("https://esbl.nhlbi.nih.gov/Databases/mpkFractions/proteomic_fractions_log_files/Yang_log_img/98986329.jpg","show blot")</f>
        <v>show blot</v>
      </c>
      <c r="H8182" s="8" t="str">
        <f>HYPERLINK("https://esbl.nhlbi.nih.gov/Databases/mpkFractions/proteomic_fractions_linear_files/Yang_linear_img/98986329.jpg","show blot")</f>
        <v>show blot</v>
      </c>
      <c r="J8182" s="5" t="s">
        <v>16114</v>
      </c>
      <c r="L8182" s="11">
        <v>4.3843892297544542</v>
      </c>
      <c r="N8182" s="12"/>
    </row>
    <row r="8183" spans="1:14" s="5" customFormat="1" ht="15" customHeight="1" x14ac:dyDescent="0.25">
      <c r="A8183" s="9" t="s">
        <v>16115</v>
      </c>
      <c r="C8183" s="9" t="str">
        <f>HYPERLINK("http://www.ncbi.nlm.nih.gov/protein/6755963","Vdac1")</f>
        <v>Vdac1</v>
      </c>
      <c r="D8183" s="10">
        <f t="shared" si="127"/>
        <v>7.0473027472731404</v>
      </c>
      <c r="F8183" s="8" t="str">
        <f>HYPERLINK("https://esbl.nhlbi.nih.gov/Databases/mpkFractions/proteomic_fractions_log_files/Yang_log_img/6755963.jpg","show blot")</f>
        <v>show blot</v>
      </c>
      <c r="H8183" s="8" t="str">
        <f>HYPERLINK("https://esbl.nhlbi.nih.gov/Databases/mpkFractions/proteomic_fractions_linear_files/Yang_linear_img/6755963.jpg","show blot")</f>
        <v>show blot</v>
      </c>
      <c r="J8183" s="5" t="s">
        <v>16116</v>
      </c>
      <c r="L8183" s="11">
        <v>7.0473027472731404</v>
      </c>
      <c r="N8183" s="12"/>
    </row>
    <row r="8184" spans="1:14" s="5" customFormat="1" ht="15" customHeight="1" x14ac:dyDescent="0.25">
      <c r="A8184" s="9" t="s">
        <v>16117</v>
      </c>
      <c r="C8184" s="9" t="str">
        <f>HYPERLINK("http://www.ncbi.nlm.nih.gov/protein/6755965","Vdac2")</f>
        <v>Vdac2</v>
      </c>
      <c r="D8184" s="10">
        <f t="shared" si="127"/>
        <v>6.8178318845382924</v>
      </c>
      <c r="F8184" s="8" t="str">
        <f>HYPERLINK("https://esbl.nhlbi.nih.gov/Databases/mpkFractions/proteomic_fractions_log_files/Yang_log_img/6755965.jpg","show blot")</f>
        <v>show blot</v>
      </c>
      <c r="H8184" s="8" t="str">
        <f>HYPERLINK("https://esbl.nhlbi.nih.gov/Databases/mpkFractions/proteomic_fractions_linear_files/Yang_linear_img/6755965.jpg","show blot")</f>
        <v>show blot</v>
      </c>
      <c r="J8184" s="5" t="s">
        <v>16118</v>
      </c>
      <c r="L8184" s="11">
        <v>6.8178318845382924</v>
      </c>
      <c r="N8184" s="12"/>
    </row>
    <row r="8185" spans="1:14" s="5" customFormat="1" ht="15" customHeight="1" x14ac:dyDescent="0.25">
      <c r="A8185" s="9" t="s">
        <v>16119</v>
      </c>
      <c r="C8185" s="9" t="str">
        <f>HYPERLINK("http://www.ncbi.nlm.nih.gov/protein/312222784","Vdac3")</f>
        <v>Vdac3</v>
      </c>
      <c r="D8185" s="10">
        <f t="shared" si="127"/>
        <v>6.6711616079444198</v>
      </c>
      <c r="F8185" s="8" t="str">
        <f>HYPERLINK("https://esbl.nhlbi.nih.gov/Databases/mpkFractions/proteomic_fractions_log_files/Yang_log_img/312222784.jpg","show blot")</f>
        <v>show blot</v>
      </c>
      <c r="H8185" s="8" t="str">
        <f>HYPERLINK("https://esbl.nhlbi.nih.gov/Databases/mpkFractions/proteomic_fractions_linear_files/Yang_linear_img/312222784.jpg","show blot")</f>
        <v>show blot</v>
      </c>
      <c r="J8185" s="5" t="s">
        <v>16120</v>
      </c>
      <c r="L8185" s="11">
        <v>6.6711616079444198</v>
      </c>
      <c r="N8185" s="12"/>
    </row>
    <row r="8186" spans="1:14" s="5" customFormat="1" ht="15" customHeight="1" x14ac:dyDescent="0.25">
      <c r="A8186" s="9" t="s">
        <v>16121</v>
      </c>
      <c r="C8186" s="9" t="str">
        <f>HYPERLINK("http://www.ncbi.nlm.nih.gov/protein/6755967","Vdac3")</f>
        <v>Vdac3</v>
      </c>
      <c r="D8186" s="10">
        <f t="shared" si="127"/>
        <v>6.6711616079444198</v>
      </c>
      <c r="F8186" s="8" t="str">
        <f>HYPERLINK("https://esbl.nhlbi.nih.gov/Databases/mpkFractions/proteomic_fractions_log_files/Yang_log_img/6755967.jpg","show blot")</f>
        <v>show blot</v>
      </c>
      <c r="H8186" s="8" t="str">
        <f>HYPERLINK("https://esbl.nhlbi.nih.gov/Databases/mpkFractions/proteomic_fractions_linear_files/Yang_linear_img/6755967.jpg","show blot")</f>
        <v>show blot</v>
      </c>
      <c r="J8186" s="5" t="s">
        <v>16122</v>
      </c>
      <c r="L8186" s="11">
        <v>6.6711616079444198</v>
      </c>
      <c r="N8186" s="12"/>
    </row>
    <row r="8187" spans="1:14" s="5" customFormat="1" ht="15" customHeight="1" x14ac:dyDescent="0.25">
      <c r="A8187" s="9" t="s">
        <v>16123</v>
      </c>
      <c r="C8187" s="9" t="str">
        <f>HYPERLINK("http://www.ncbi.nlm.nih.gov/protein/240848537","Veph1")</f>
        <v>Veph1</v>
      </c>
      <c r="D8187" s="10">
        <f t="shared" si="127"/>
        <v>4.0652751534746372</v>
      </c>
      <c r="F8187" s="8" t="str">
        <f>HYPERLINK("https://esbl.nhlbi.nih.gov/Databases/mpkFractions/proteomic_fractions_log_files/Yang_log_img/240848537.jpg","show blot")</f>
        <v>show blot</v>
      </c>
      <c r="H8187" s="8" t="str">
        <f>HYPERLINK("https://esbl.nhlbi.nih.gov/Databases/mpkFractions/proteomic_fractions_linear_files/Yang_linear_img/240848537.jpg","show blot")</f>
        <v>show blot</v>
      </c>
      <c r="J8187" s="5" t="s">
        <v>16124</v>
      </c>
      <c r="L8187" s="11">
        <v>4.0652751534746372</v>
      </c>
      <c r="N8187" s="12"/>
    </row>
    <row r="8188" spans="1:14" s="5" customFormat="1" ht="15" customHeight="1" x14ac:dyDescent="0.25">
      <c r="A8188" s="9" t="s">
        <v>16125</v>
      </c>
      <c r="C8188" s="9" t="str">
        <f>HYPERLINK("http://www.ncbi.nlm.nih.gov/protein/6678567","Vhl")</f>
        <v>Vhl</v>
      </c>
      <c r="D8188" s="10">
        <f t="shared" si="127"/>
        <v>2.923867236854254</v>
      </c>
      <c r="F8188" s="8" t="str">
        <f>HYPERLINK("https://esbl.nhlbi.nih.gov/Databases/mpkFractions/proteomic_fractions_log_files/Yang_log_img/6678567.jpg","show blot")</f>
        <v>show blot</v>
      </c>
      <c r="H8188" s="8" t="str">
        <f>HYPERLINK("https://esbl.nhlbi.nih.gov/Databases/mpkFractions/proteomic_fractions_linear_files/Yang_linear_img/6678567.jpg","show blot")</f>
        <v>show blot</v>
      </c>
      <c r="J8188" s="5" t="s">
        <v>16126</v>
      </c>
      <c r="L8188" s="11">
        <v>2.923867236854254</v>
      </c>
      <c r="N8188" s="12"/>
    </row>
    <row r="8189" spans="1:14" s="5" customFormat="1" ht="15" customHeight="1" x14ac:dyDescent="0.25">
      <c r="A8189" s="9" t="s">
        <v>16127</v>
      </c>
      <c r="C8189" s="9" t="str">
        <f>HYPERLINK("http://www.ncbi.nlm.nih.gov/protein/190684696","Vil1")</f>
        <v>Vil1</v>
      </c>
      <c r="D8189" s="10">
        <f t="shared" si="127"/>
        <v>4.7913204678652388</v>
      </c>
      <c r="F8189" s="8" t="str">
        <f>HYPERLINK("https://esbl.nhlbi.nih.gov/Databases/mpkFractions/proteomic_fractions_log_files/Yang_log_img/190684696.jpg","show blot")</f>
        <v>show blot</v>
      </c>
      <c r="H8189" s="8" t="str">
        <f>HYPERLINK("https://esbl.nhlbi.nih.gov/Databases/mpkFractions/proteomic_fractions_linear_files/Yang_linear_img/190684696.jpg","show blot")</f>
        <v>show blot</v>
      </c>
      <c r="J8189" s="5" t="s">
        <v>16128</v>
      </c>
      <c r="L8189" s="11">
        <v>4.7913204678652388</v>
      </c>
      <c r="N8189" s="12"/>
    </row>
    <row r="8190" spans="1:14" s="5" customFormat="1" ht="15" customHeight="1" x14ac:dyDescent="0.25">
      <c r="A8190" s="9" t="s">
        <v>16129</v>
      </c>
      <c r="C8190" s="9" t="str">
        <f>HYPERLINK("http://www.ncbi.nlm.nih.gov/protein/257096031","Vill")</f>
        <v>Vill</v>
      </c>
      <c r="D8190" s="10">
        <f t="shared" si="127"/>
        <v>4.554308499967255</v>
      </c>
      <c r="F8190" s="8" t="str">
        <f>HYPERLINK("https://esbl.nhlbi.nih.gov/Databases/mpkFractions/proteomic_fractions_log_files/Yang_log_img/257096031.jpg","show blot")</f>
        <v>show blot</v>
      </c>
      <c r="H8190" s="8" t="str">
        <f>HYPERLINK("https://esbl.nhlbi.nih.gov/Databases/mpkFractions/proteomic_fractions_linear_files/Yang_linear_img/257096031.jpg","show blot")</f>
        <v>show blot</v>
      </c>
      <c r="J8190" s="5" t="s">
        <v>16130</v>
      </c>
      <c r="L8190" s="11">
        <v>4.554308499967255</v>
      </c>
      <c r="N8190" s="12"/>
    </row>
    <row r="8191" spans="1:14" s="5" customFormat="1" ht="15" customHeight="1" x14ac:dyDescent="0.25">
      <c r="A8191" s="9" t="s">
        <v>16131</v>
      </c>
      <c r="C8191" s="9" t="str">
        <f>HYPERLINK("http://www.ncbi.nlm.nih.gov/protein/257096033","Vill")</f>
        <v>Vill</v>
      </c>
      <c r="D8191" s="10">
        <f t="shared" si="127"/>
        <v>4.554308499967255</v>
      </c>
      <c r="F8191" s="8" t="str">
        <f>HYPERLINK("https://esbl.nhlbi.nih.gov/Databases/mpkFractions/proteomic_fractions_log_files/Yang_log_img/257096033.jpg","show blot")</f>
        <v>show blot</v>
      </c>
      <c r="H8191" s="8" t="str">
        <f>HYPERLINK("https://esbl.nhlbi.nih.gov/Databases/mpkFractions/proteomic_fractions_linear_files/Yang_linear_img/257096033.jpg","show blot")</f>
        <v>show blot</v>
      </c>
      <c r="J8191" s="5" t="s">
        <v>16132</v>
      </c>
      <c r="L8191" s="11">
        <v>4.554308499967255</v>
      </c>
      <c r="N8191" s="12"/>
    </row>
    <row r="8192" spans="1:14" s="5" customFormat="1" ht="15" customHeight="1" x14ac:dyDescent="0.25">
      <c r="A8192" s="9" t="s">
        <v>16133</v>
      </c>
      <c r="C8192" s="9" t="str">
        <f>HYPERLINK("http://www.ncbi.nlm.nih.gov/protein/31982755","Vim")</f>
        <v>Vim</v>
      </c>
      <c r="D8192" s="10">
        <f t="shared" si="127"/>
        <v>6.437105828102073</v>
      </c>
      <c r="F8192" s="8" t="str">
        <f>HYPERLINK("https://esbl.nhlbi.nih.gov/Databases/mpkFractions/proteomic_fractions_log_files/Yang_log_img/31982755.jpg","show blot")</f>
        <v>show blot</v>
      </c>
      <c r="H8192" s="8" t="str">
        <f>HYPERLINK("https://esbl.nhlbi.nih.gov/Databases/mpkFractions/proteomic_fractions_linear_files/Yang_linear_img/31982755.jpg","show blot")</f>
        <v>show blot</v>
      </c>
      <c r="J8192" s="5" t="s">
        <v>16134</v>
      </c>
      <c r="L8192" s="11">
        <v>6.437105828102073</v>
      </c>
      <c r="N8192" s="12"/>
    </row>
    <row r="8193" spans="1:14" s="5" customFormat="1" ht="15" customHeight="1" x14ac:dyDescent="0.25">
      <c r="A8193" s="9" t="s">
        <v>16135</v>
      </c>
      <c r="C8193" s="9" t="str">
        <f>HYPERLINK("http://www.ncbi.nlm.nih.gov/protein/111119010","Vimp")</f>
        <v>Vimp</v>
      </c>
      <c r="D8193" s="10">
        <f t="shared" si="127"/>
        <v>3.0763720054929462</v>
      </c>
      <c r="F8193" s="8" t="str">
        <f>HYPERLINK("https://esbl.nhlbi.nih.gov/Databases/mpkFractions/proteomic_fractions_log_files/Yang_log_img/111119010.jpg","show blot")</f>
        <v>show blot</v>
      </c>
      <c r="H8193" s="8" t="str">
        <f>HYPERLINK("https://esbl.nhlbi.nih.gov/Databases/mpkFractions/proteomic_fractions_linear_files/Yang_linear_img/111119010.jpg","show blot")</f>
        <v>show blot</v>
      </c>
      <c r="J8193" s="5" t="s">
        <v>16136</v>
      </c>
      <c r="L8193" s="11">
        <v>3.0763720054929462</v>
      </c>
      <c r="N8193" s="12"/>
    </row>
    <row r="8194" spans="1:14" s="5" customFormat="1" ht="15" customHeight="1" x14ac:dyDescent="0.25">
      <c r="A8194" s="9" t="s">
        <v>16137</v>
      </c>
      <c r="C8194" s="9" t="str">
        <f>HYPERLINK("http://www.ncbi.nlm.nih.gov/protein/217035166","Vipas39")</f>
        <v>Vipas39</v>
      </c>
      <c r="D8194" s="10">
        <f t="shared" si="127"/>
        <v>1.348232727098837</v>
      </c>
      <c r="F8194" s="8" t="str">
        <f>HYPERLINK("https://esbl.nhlbi.nih.gov/Databases/mpkFractions/proteomic_fractions_log_files/Yang_log_img/217035166.jpg","show blot")</f>
        <v>show blot</v>
      </c>
      <c r="H8194" s="8" t="str">
        <f>HYPERLINK("https://esbl.nhlbi.nih.gov/Databases/mpkFractions/proteomic_fractions_linear_files/Yang_linear_img/217035166.jpg","show blot")</f>
        <v>show blot</v>
      </c>
      <c r="J8194" s="5" t="s">
        <v>16138</v>
      </c>
      <c r="L8194" s="11">
        <v>1.348232727098837</v>
      </c>
      <c r="N8194" s="12"/>
    </row>
    <row r="8195" spans="1:14" s="5" customFormat="1" ht="15" customHeight="1" x14ac:dyDescent="0.25">
      <c r="A8195" s="9" t="s">
        <v>16139</v>
      </c>
      <c r="C8195" s="9" t="str">
        <f>HYPERLINK("http://www.ncbi.nlm.nih.gov/protein/217272818","Vipas39")</f>
        <v>Vipas39</v>
      </c>
      <c r="D8195" s="10">
        <f t="shared" si="127"/>
        <v>1.348232727098837</v>
      </c>
      <c r="F8195" s="8" t="str">
        <f>HYPERLINK("https://esbl.nhlbi.nih.gov/Databases/mpkFractions/proteomic_fractions_log_files/Yang_log_img/217272818.jpg","show blot")</f>
        <v>show blot</v>
      </c>
      <c r="H8195" s="8" t="str">
        <f>HYPERLINK("https://esbl.nhlbi.nih.gov/Databases/mpkFractions/proteomic_fractions_linear_files/Yang_linear_img/217272818.jpg","show blot")</f>
        <v>show blot</v>
      </c>
      <c r="J8195" s="5" t="s">
        <v>16140</v>
      </c>
      <c r="L8195" s="11">
        <v>1.348232727098837</v>
      </c>
      <c r="N8195" s="12"/>
    </row>
    <row r="8196" spans="1:14" s="5" customFormat="1" ht="15" customHeight="1" x14ac:dyDescent="0.25">
      <c r="A8196" s="9" t="s">
        <v>16141</v>
      </c>
      <c r="C8196" s="9" t="str">
        <f>HYPERLINK("http://www.ncbi.nlm.nih.gov/protein/30519915","Vkorc1")</f>
        <v>Vkorc1</v>
      </c>
      <c r="D8196" s="10">
        <f t="shared" si="127"/>
        <v>4.5236650129047034</v>
      </c>
      <c r="F8196" s="8" t="str">
        <f>HYPERLINK("https://esbl.nhlbi.nih.gov/Databases/mpkFractions/proteomic_fractions_log_files/Yang_log_img/30519915.jpg","show blot")</f>
        <v>show blot</v>
      </c>
      <c r="H8196" s="8" t="str">
        <f>HYPERLINK("https://esbl.nhlbi.nih.gov/Databases/mpkFractions/proteomic_fractions_linear_files/Yang_linear_img/30519915.jpg","show blot")</f>
        <v>show blot</v>
      </c>
      <c r="J8196" s="5" t="s">
        <v>16142</v>
      </c>
      <c r="L8196" s="11">
        <v>4.5236650129047034</v>
      </c>
      <c r="N8196" s="12"/>
    </row>
    <row r="8197" spans="1:14" s="5" customFormat="1" ht="15" customHeight="1" x14ac:dyDescent="0.25">
      <c r="A8197" s="9" t="s">
        <v>16143</v>
      </c>
      <c r="C8197" s="9" t="str">
        <f>HYPERLINK("http://www.ncbi.nlm.nih.gov/protein/556503385","Vkorc1l1")</f>
        <v>Vkorc1l1</v>
      </c>
      <c r="D8197" s="10">
        <f t="shared" ref="D8197:D8260" si="128">L8197</f>
        <v>4.5534834679737211</v>
      </c>
      <c r="F8197" s="8" t="str">
        <f>HYPERLINK("https://esbl.nhlbi.nih.gov/Databases/mpkFractions/proteomic_fractions_log_files/Yang_log_img/556503385.jpg","show blot")</f>
        <v>show blot</v>
      </c>
      <c r="H8197" s="8" t="str">
        <f>HYPERLINK("https://esbl.nhlbi.nih.gov/Databases/mpkFractions/proteomic_fractions_linear_files/Yang_linear_img/556503385.jpg","show blot")</f>
        <v>show blot</v>
      </c>
      <c r="J8197" s="5" t="s">
        <v>16144</v>
      </c>
      <c r="L8197" s="11">
        <v>4.5534834679737211</v>
      </c>
      <c r="N8197" s="12"/>
    </row>
    <row r="8198" spans="1:14" s="5" customFormat="1" ht="15" customHeight="1" x14ac:dyDescent="0.25">
      <c r="A8198" s="9" t="s">
        <v>16145</v>
      </c>
      <c r="C8198" s="9" t="str">
        <f>HYPERLINK("http://www.ncbi.nlm.nih.gov/protein/47717109","Vkorc1l1")</f>
        <v>Vkorc1l1</v>
      </c>
      <c r="D8198" s="10">
        <f t="shared" si="128"/>
        <v>4.5534834679737211</v>
      </c>
      <c r="F8198" s="8" t="str">
        <f>HYPERLINK("https://esbl.nhlbi.nih.gov/Databases/mpkFractions/proteomic_fractions_log_files/Yang_log_img/47717109.jpg","show blot")</f>
        <v>show blot</v>
      </c>
      <c r="H8198" s="8" t="str">
        <f>HYPERLINK("https://esbl.nhlbi.nih.gov/Databases/mpkFractions/proteomic_fractions_linear_files/Yang_linear_img/47717109.jpg","show blot")</f>
        <v>show blot</v>
      </c>
      <c r="J8198" s="5" t="s">
        <v>16146</v>
      </c>
      <c r="L8198" s="11">
        <v>4.5534834679737211</v>
      </c>
      <c r="N8198" s="12"/>
    </row>
    <row r="8199" spans="1:14" s="5" customFormat="1" ht="15" customHeight="1" x14ac:dyDescent="0.25">
      <c r="A8199" s="9" t="s">
        <v>16147</v>
      </c>
      <c r="C8199" s="9" t="str">
        <f>HYPERLINK("http://www.ncbi.nlm.nih.gov/protein/46309457","Vkorc1l1")</f>
        <v>Vkorc1l1</v>
      </c>
      <c r="D8199" s="10">
        <f t="shared" si="128"/>
        <v>4.5534834679737211</v>
      </c>
      <c r="F8199" s="8" t="str">
        <f>HYPERLINK("https://esbl.nhlbi.nih.gov/Databases/mpkFractions/proteomic_fractions_log_files/Yang_log_img/46309457.jpg","show blot")</f>
        <v>show blot</v>
      </c>
      <c r="H8199" s="8" t="str">
        <f>HYPERLINK("https://esbl.nhlbi.nih.gov/Databases/mpkFractions/proteomic_fractions_linear_files/Yang_linear_img/46309457.jpg","show blot")</f>
        <v>show blot</v>
      </c>
      <c r="J8199" s="5" t="s">
        <v>16148</v>
      </c>
      <c r="L8199" s="11">
        <v>4.5534834679737211</v>
      </c>
      <c r="N8199" s="12"/>
    </row>
    <row r="8200" spans="1:14" s="5" customFormat="1" ht="15" customHeight="1" x14ac:dyDescent="0.25">
      <c r="A8200" s="9" t="s">
        <v>16149</v>
      </c>
      <c r="C8200" s="9" t="str">
        <f>HYPERLINK("http://www.ncbi.nlm.nih.gov/protein/238637303","Vldlr")</f>
        <v>Vldlr</v>
      </c>
      <c r="D8200" s="10">
        <f t="shared" si="128"/>
        <v>2.126191892564802</v>
      </c>
      <c r="F8200" s="8" t="str">
        <f>HYPERLINK("https://esbl.nhlbi.nih.gov/Databases/mpkFractions/proteomic_fractions_log_files/Yang_log_img/238637303.jpg","show blot")</f>
        <v>show blot</v>
      </c>
      <c r="H8200" s="8" t="str">
        <f>HYPERLINK("https://esbl.nhlbi.nih.gov/Databases/mpkFractions/proteomic_fractions_linear_files/Yang_linear_img/238637303.jpg","show blot")</f>
        <v>show blot</v>
      </c>
      <c r="J8200" s="5" t="s">
        <v>16150</v>
      </c>
      <c r="L8200" s="11">
        <v>2.126191892564802</v>
      </c>
      <c r="N8200" s="12"/>
    </row>
    <row r="8201" spans="1:14" s="5" customFormat="1" ht="15" customHeight="1" x14ac:dyDescent="0.25">
      <c r="A8201" s="9" t="s">
        <v>16151</v>
      </c>
      <c r="C8201" s="9" t="str">
        <f>HYPERLINK("http://www.ncbi.nlm.nih.gov/protein/238637305","Vldlr")</f>
        <v>Vldlr</v>
      </c>
      <c r="D8201" s="10">
        <f t="shared" si="128"/>
        <v>2.126191892564802</v>
      </c>
      <c r="F8201" s="8" t="str">
        <f>HYPERLINK("https://esbl.nhlbi.nih.gov/Databases/mpkFractions/proteomic_fractions_log_files/Yang_log_img/238637305.jpg","show blot")</f>
        <v>show blot</v>
      </c>
      <c r="H8201" s="8" t="str">
        <f>HYPERLINK("https://esbl.nhlbi.nih.gov/Databases/mpkFractions/proteomic_fractions_linear_files/Yang_linear_img/238637305.jpg","show blot")</f>
        <v>show blot</v>
      </c>
      <c r="J8201" s="5" t="s">
        <v>16152</v>
      </c>
      <c r="L8201" s="11">
        <v>2.126191892564802</v>
      </c>
      <c r="N8201" s="12"/>
    </row>
    <row r="8202" spans="1:14" s="5" customFormat="1" ht="15" customHeight="1" x14ac:dyDescent="0.25">
      <c r="A8202" s="9" t="s">
        <v>16153</v>
      </c>
      <c r="C8202" s="9" t="str">
        <f>HYPERLINK("http://www.ncbi.nlm.nih.gov/protein/124486867","Vma21")</f>
        <v>Vma21</v>
      </c>
      <c r="D8202" s="10">
        <f t="shared" si="128"/>
        <v>4.3188547920417708</v>
      </c>
      <c r="F8202" s="8" t="str">
        <f>HYPERLINK("https://esbl.nhlbi.nih.gov/Databases/mpkFractions/proteomic_fractions_log_files/Yang_log_img/124486867.jpg","show blot")</f>
        <v>show blot</v>
      </c>
      <c r="H8202" s="8" t="str">
        <f>HYPERLINK("https://esbl.nhlbi.nih.gov/Databases/mpkFractions/proteomic_fractions_linear_files/Yang_linear_img/124486867.jpg","show blot")</f>
        <v>show blot</v>
      </c>
      <c r="J8202" s="5" t="s">
        <v>16154</v>
      </c>
      <c r="L8202" s="11">
        <v>4.3188547920417708</v>
      </c>
      <c r="N8202" s="12"/>
    </row>
    <row r="8203" spans="1:14" s="5" customFormat="1" ht="15" customHeight="1" x14ac:dyDescent="0.25">
      <c r="A8203" s="9" t="s">
        <v>16155</v>
      </c>
      <c r="C8203" s="9" t="str">
        <f>HYPERLINK("http://www.ncbi.nlm.nih.gov/protein/262050612","Vmac")</f>
        <v>Vmac</v>
      </c>
      <c r="D8203" s="10">
        <f t="shared" si="128"/>
        <v>3.990814026484867</v>
      </c>
      <c r="F8203" s="8" t="str">
        <f>HYPERLINK("https://esbl.nhlbi.nih.gov/Databases/mpkFractions/proteomic_fractions_log_files/Yang_log_img/262050612.jpg","show blot")</f>
        <v>show blot</v>
      </c>
      <c r="H8203" s="8" t="str">
        <f>HYPERLINK("https://esbl.nhlbi.nih.gov/Databases/mpkFractions/proteomic_fractions_linear_files/Yang_linear_img/262050612.jpg","show blot")</f>
        <v>show blot</v>
      </c>
      <c r="J8203" s="5" t="s">
        <v>16156</v>
      </c>
      <c r="L8203" s="11">
        <v>3.990814026484867</v>
      </c>
      <c r="N8203" s="12"/>
    </row>
    <row r="8204" spans="1:14" s="5" customFormat="1" ht="15" customHeight="1" x14ac:dyDescent="0.25">
      <c r="A8204" s="9" t="s">
        <v>16157</v>
      </c>
      <c r="C8204" s="9" t="str">
        <f>HYPERLINK("http://www.ncbi.nlm.nih.gov/protein/30725792","Vmac")</f>
        <v>Vmac</v>
      </c>
      <c r="D8204" s="10">
        <f t="shared" si="128"/>
        <v>3.990814026484867</v>
      </c>
      <c r="F8204" s="8" t="str">
        <f>HYPERLINK("https://esbl.nhlbi.nih.gov/Databases/mpkFractions/proteomic_fractions_log_files/Yang_log_img/30725792.jpg","show blot")</f>
        <v>show blot</v>
      </c>
      <c r="H8204" s="8" t="str">
        <f>HYPERLINK("https://esbl.nhlbi.nih.gov/Databases/mpkFractions/proteomic_fractions_linear_files/Yang_linear_img/30725792.jpg","show blot")</f>
        <v>show blot</v>
      </c>
      <c r="J8204" s="5" t="s">
        <v>16158</v>
      </c>
      <c r="L8204" s="11">
        <v>3.990814026484867</v>
      </c>
      <c r="N8204" s="12"/>
    </row>
    <row r="8205" spans="1:14" s="5" customFormat="1" ht="15" customHeight="1" x14ac:dyDescent="0.25">
      <c r="A8205" s="9" t="s">
        <v>16159</v>
      </c>
      <c r="C8205" s="9" t="str">
        <f>HYPERLINK("http://www.ncbi.nlm.nih.gov/protein/282847329","Vmn1r11")</f>
        <v>Vmn1r11</v>
      </c>
      <c r="D8205" s="10">
        <f t="shared" si="128"/>
        <v>4.6292984820019054</v>
      </c>
      <c r="F8205" s="8" t="str">
        <f>HYPERLINK("https://esbl.nhlbi.nih.gov/Databases/mpkFractions/proteomic_fractions_log_files/Yang_log_img/282847329.jpg","show blot")</f>
        <v>show blot</v>
      </c>
      <c r="H8205" s="8" t="str">
        <f>HYPERLINK("https://esbl.nhlbi.nih.gov/Databases/mpkFractions/proteomic_fractions_linear_files/Yang_linear_img/282847329.jpg","show blot")</f>
        <v>show blot</v>
      </c>
      <c r="J8205" s="5" t="s">
        <v>16160</v>
      </c>
      <c r="L8205" s="11">
        <v>4.6292984820019054</v>
      </c>
      <c r="N8205" s="12"/>
    </row>
    <row r="8206" spans="1:14" s="5" customFormat="1" ht="15" customHeight="1" x14ac:dyDescent="0.25">
      <c r="A8206" s="9" t="s">
        <v>16161</v>
      </c>
      <c r="C8206" s="9" t="str">
        <f>HYPERLINK("http://www.ncbi.nlm.nih.gov/protein/285026477","Vmn1r68")</f>
        <v>Vmn1r68</v>
      </c>
      <c r="D8206" s="10">
        <f t="shared" si="128"/>
        <v>3.1677766626407058</v>
      </c>
      <c r="F8206" s="8" t="str">
        <f>HYPERLINK("https://esbl.nhlbi.nih.gov/Databases/mpkFractions/proteomic_fractions_log_files/Yang_log_img/285026477.jpg","show blot")</f>
        <v>show blot</v>
      </c>
      <c r="H8206" s="8" t="str">
        <f>HYPERLINK("https://esbl.nhlbi.nih.gov/Databases/mpkFractions/proteomic_fractions_linear_files/Yang_linear_img/285026477.jpg","show blot")</f>
        <v>show blot</v>
      </c>
      <c r="J8206" s="5" t="s">
        <v>16162</v>
      </c>
      <c r="L8206" s="11">
        <v>3.1677766626407058</v>
      </c>
      <c r="N8206" s="12"/>
    </row>
    <row r="8207" spans="1:14" s="5" customFormat="1" ht="15" customHeight="1" x14ac:dyDescent="0.25">
      <c r="A8207" s="9" t="s">
        <v>16163</v>
      </c>
      <c r="C8207" s="9" t="str">
        <f>HYPERLINK("http://www.ncbi.nlm.nih.gov/protein/22003898","Vmn1r69")</f>
        <v>Vmn1r69</v>
      </c>
      <c r="D8207" s="10">
        <f t="shared" si="128"/>
        <v>3.1677766626407058</v>
      </c>
      <c r="F8207" s="8" t="str">
        <f>HYPERLINK("https://esbl.nhlbi.nih.gov/Databases/mpkFractions/proteomic_fractions_log_files/Yang_log_img/22003898.jpg","show blot")</f>
        <v>show blot</v>
      </c>
      <c r="H8207" s="8" t="str">
        <f>HYPERLINK("https://esbl.nhlbi.nih.gov/Databases/mpkFractions/proteomic_fractions_linear_files/Yang_linear_img/22003898.jpg","show blot")</f>
        <v>show blot</v>
      </c>
      <c r="J8207" s="5" t="s">
        <v>16164</v>
      </c>
      <c r="L8207" s="11">
        <v>3.1677766626407058</v>
      </c>
      <c r="N8207" s="12"/>
    </row>
    <row r="8208" spans="1:14" s="5" customFormat="1" ht="15" customHeight="1" x14ac:dyDescent="0.25">
      <c r="A8208" s="9" t="s">
        <v>16165</v>
      </c>
      <c r="C8208" s="9" t="str">
        <f>HYPERLINK("http://www.ncbi.nlm.nih.gov/protein/27753991","Vmp1")</f>
        <v>Vmp1</v>
      </c>
      <c r="D8208" s="10">
        <f t="shared" si="128"/>
        <v>3.5313531846947921</v>
      </c>
      <c r="F8208" s="8" t="str">
        <f>HYPERLINK("https://esbl.nhlbi.nih.gov/Databases/mpkFractions/proteomic_fractions_log_files/Yang_log_img/27753991.jpg","show blot")</f>
        <v>show blot</v>
      </c>
      <c r="H8208" s="8" t="str">
        <f>HYPERLINK("https://esbl.nhlbi.nih.gov/Databases/mpkFractions/proteomic_fractions_linear_files/Yang_linear_img/27753991.jpg","show blot")</f>
        <v>show blot</v>
      </c>
      <c r="J8208" s="5" t="s">
        <v>16166</v>
      </c>
      <c r="L8208" s="11">
        <v>3.5313531846947921</v>
      </c>
      <c r="N8208" s="12"/>
    </row>
    <row r="8209" spans="1:14" s="5" customFormat="1" ht="15" customHeight="1" x14ac:dyDescent="0.25">
      <c r="A8209" s="9" t="s">
        <v>16167</v>
      </c>
      <c r="C8209" s="9" t="str">
        <f>HYPERLINK("http://www.ncbi.nlm.nih.gov/protein/82617569","Vprbp")</f>
        <v>Vprbp</v>
      </c>
      <c r="D8209" s="10">
        <f t="shared" si="128"/>
        <v>3.8049859445644429</v>
      </c>
      <c r="F8209" s="8" t="str">
        <f>HYPERLINK("https://esbl.nhlbi.nih.gov/Databases/mpkFractions/proteomic_fractions_log_files/Yang_log_img/82617569.jpg","show blot")</f>
        <v>show blot</v>
      </c>
      <c r="H8209" s="8" t="str">
        <f>HYPERLINK("https://esbl.nhlbi.nih.gov/Databases/mpkFractions/proteomic_fractions_linear_files/Yang_linear_img/82617569.jpg","show blot")</f>
        <v>show blot</v>
      </c>
      <c r="J8209" s="5" t="s">
        <v>16168</v>
      </c>
      <c r="L8209" s="11">
        <v>3.8049859445644429</v>
      </c>
      <c r="N8209" s="12"/>
    </row>
    <row r="8210" spans="1:14" s="5" customFormat="1" ht="15" customHeight="1" x14ac:dyDescent="0.25">
      <c r="A8210" s="9" t="s">
        <v>16169</v>
      </c>
      <c r="C8210" s="9" t="str">
        <f>HYPERLINK("http://www.ncbi.nlm.nih.gov/protein/58037259","Vps11")</f>
        <v>Vps11</v>
      </c>
      <c r="D8210" s="10">
        <f t="shared" si="128"/>
        <v>3.2586313255147101</v>
      </c>
      <c r="F8210" s="8" t="str">
        <f>HYPERLINK("https://esbl.nhlbi.nih.gov/Databases/mpkFractions/proteomic_fractions_log_files/Yang_log_img/58037259.jpg","show blot")</f>
        <v>show blot</v>
      </c>
      <c r="H8210" s="8" t="str">
        <f>HYPERLINK("https://esbl.nhlbi.nih.gov/Databases/mpkFractions/proteomic_fractions_linear_files/Yang_linear_img/58037259.jpg","show blot")</f>
        <v>show blot</v>
      </c>
      <c r="J8210" s="5" t="s">
        <v>16170</v>
      </c>
      <c r="L8210" s="11">
        <v>3.2586313255147101</v>
      </c>
      <c r="N8210" s="12"/>
    </row>
    <row r="8211" spans="1:14" s="5" customFormat="1" ht="15" customHeight="1" x14ac:dyDescent="0.25">
      <c r="A8211" s="9" t="s">
        <v>16171</v>
      </c>
      <c r="C8211" s="9" t="str">
        <f>HYPERLINK("http://www.ncbi.nlm.nih.gov/protein/66392160","Vps13a")</f>
        <v>Vps13a</v>
      </c>
      <c r="D8211" s="10">
        <f t="shared" si="128"/>
        <v>3.0146811354274061</v>
      </c>
      <c r="F8211" s="8" t="str">
        <f>HYPERLINK("https://esbl.nhlbi.nih.gov/Databases/mpkFractions/proteomic_fractions_log_files/Yang_log_img/66392160.jpg","show blot")</f>
        <v>show blot</v>
      </c>
      <c r="H8211" s="8" t="str">
        <f>HYPERLINK("https://esbl.nhlbi.nih.gov/Databases/mpkFractions/proteomic_fractions_linear_files/Yang_linear_img/66392160.jpg","show blot")</f>
        <v>show blot</v>
      </c>
      <c r="J8211" s="5" t="s">
        <v>16172</v>
      </c>
      <c r="L8211" s="11">
        <v>3.0146811354274061</v>
      </c>
      <c r="N8211" s="12"/>
    </row>
    <row r="8212" spans="1:14" s="5" customFormat="1" ht="15" customHeight="1" x14ac:dyDescent="0.25">
      <c r="A8212" s="9" t="s">
        <v>16173</v>
      </c>
      <c r="C8212" s="9" t="str">
        <f>HYPERLINK("http://www.ncbi.nlm.nih.gov/protein/122114537","Vps13c")</f>
        <v>Vps13c</v>
      </c>
      <c r="D8212" s="10">
        <f t="shared" si="128"/>
        <v>4.6087021726697239</v>
      </c>
      <c r="F8212" s="8" t="str">
        <f>HYPERLINK("https://esbl.nhlbi.nih.gov/Databases/mpkFractions/proteomic_fractions_log_files/Yang_log_img/122114537.jpg","show blot")</f>
        <v>show blot</v>
      </c>
      <c r="H8212" s="8" t="str">
        <f>HYPERLINK("https://esbl.nhlbi.nih.gov/Databases/mpkFractions/proteomic_fractions_linear_files/Yang_linear_img/122114537.jpg","show blot")</f>
        <v>show blot</v>
      </c>
      <c r="J8212" s="5" t="s">
        <v>16174</v>
      </c>
      <c r="L8212" s="11">
        <v>4.6087021726697239</v>
      </c>
      <c r="N8212" s="12"/>
    </row>
    <row r="8213" spans="1:14" s="5" customFormat="1" ht="15" customHeight="1" x14ac:dyDescent="0.25">
      <c r="A8213" s="9" t="s">
        <v>16175</v>
      </c>
      <c r="C8213" s="9" t="str">
        <f>HYPERLINK("http://www.ncbi.nlm.nih.gov/protein/451172096","Vps13d")</f>
        <v>Vps13d</v>
      </c>
      <c r="D8213" s="10">
        <f t="shared" si="128"/>
        <v>0.74172751291019967</v>
      </c>
      <c r="F8213" s="8" t="str">
        <f>HYPERLINK("https://esbl.nhlbi.nih.gov/Databases/mpkFractions/proteomic_fractions_log_files/Yang_log_img/451172096.jpg","show blot")</f>
        <v>show blot</v>
      </c>
      <c r="H8213" s="8" t="str">
        <f>HYPERLINK("https://esbl.nhlbi.nih.gov/Databases/mpkFractions/proteomic_fractions_linear_files/Yang_linear_img/451172096.jpg","show blot")</f>
        <v>show blot</v>
      </c>
      <c r="J8213" s="5" t="s">
        <v>16176</v>
      </c>
      <c r="L8213" s="11">
        <v>0.74172751291019967</v>
      </c>
      <c r="N8213" s="12"/>
    </row>
    <row r="8214" spans="1:14" s="5" customFormat="1" ht="15" customHeight="1" x14ac:dyDescent="0.25">
      <c r="A8214" s="9" t="s">
        <v>16177</v>
      </c>
      <c r="C8214" s="9" t="str">
        <f>HYPERLINK("http://www.ncbi.nlm.nih.gov/protein/451805038","Vps13d")</f>
        <v>Vps13d</v>
      </c>
      <c r="D8214" s="10">
        <f t="shared" si="128"/>
        <v>0.74172751291019967</v>
      </c>
      <c r="F8214" s="8" t="str">
        <f>HYPERLINK("https://esbl.nhlbi.nih.gov/Databases/mpkFractions/proteomic_fractions_log_files/Yang_log_img/451805038.jpg","show blot")</f>
        <v>show blot</v>
      </c>
      <c r="H8214" s="8" t="str">
        <f>HYPERLINK("https://esbl.nhlbi.nih.gov/Databases/mpkFractions/proteomic_fractions_linear_files/Yang_linear_img/451805038.jpg","show blot")</f>
        <v>show blot</v>
      </c>
      <c r="J8214" s="5" t="s">
        <v>16178</v>
      </c>
      <c r="L8214" s="11">
        <v>0.74172751291019967</v>
      </c>
      <c r="N8214" s="12"/>
    </row>
    <row r="8215" spans="1:14" s="5" customFormat="1" ht="15" customHeight="1" x14ac:dyDescent="0.25">
      <c r="A8215" s="9" t="s">
        <v>16179</v>
      </c>
      <c r="C8215" s="9" t="str">
        <f>HYPERLINK("http://www.ncbi.nlm.nih.gov/protein/254939640","Vps16")</f>
        <v>Vps16</v>
      </c>
      <c r="D8215" s="10">
        <f t="shared" si="128"/>
        <v>4.1185524866007546</v>
      </c>
      <c r="F8215" s="8" t="str">
        <f>HYPERLINK("https://esbl.nhlbi.nih.gov/Databases/mpkFractions/proteomic_fractions_log_files/Yang_log_img/254939640.jpg","show blot")</f>
        <v>show blot</v>
      </c>
      <c r="H8215" s="8" t="str">
        <f>HYPERLINK("https://esbl.nhlbi.nih.gov/Databases/mpkFractions/proteomic_fractions_linear_files/Yang_linear_img/254939640.jpg","show blot")</f>
        <v>show blot</v>
      </c>
      <c r="J8215" s="5" t="s">
        <v>16180</v>
      </c>
      <c r="L8215" s="11">
        <v>4.1185524866007546</v>
      </c>
      <c r="N8215" s="12"/>
    </row>
    <row r="8216" spans="1:14" s="5" customFormat="1" ht="15" customHeight="1" x14ac:dyDescent="0.25">
      <c r="A8216" s="9" t="s">
        <v>16181</v>
      </c>
      <c r="C8216" s="9" t="str">
        <f>HYPERLINK("http://www.ncbi.nlm.nih.gov/protein/254675217","Vps18")</f>
        <v>Vps18</v>
      </c>
      <c r="D8216" s="10">
        <f t="shared" si="128"/>
        <v>3.7694952608437848</v>
      </c>
      <c r="F8216" s="8" t="str">
        <f>HYPERLINK("https://esbl.nhlbi.nih.gov/Databases/mpkFractions/proteomic_fractions_log_files/Yang_log_img/254675217.jpg","show blot")</f>
        <v>show blot</v>
      </c>
      <c r="H8216" s="8" t="str">
        <f>HYPERLINK("https://esbl.nhlbi.nih.gov/Databases/mpkFractions/proteomic_fractions_linear_files/Yang_linear_img/254675217.jpg","show blot")</f>
        <v>show blot</v>
      </c>
      <c r="J8216" s="5" t="s">
        <v>16182</v>
      </c>
      <c r="L8216" s="11">
        <v>3.7694952608437848</v>
      </c>
      <c r="N8216" s="12"/>
    </row>
    <row r="8217" spans="1:14" s="5" customFormat="1" ht="15" customHeight="1" x14ac:dyDescent="0.25">
      <c r="A8217" s="9" t="s">
        <v>16183</v>
      </c>
      <c r="C8217" s="9" t="str">
        <f>HYPERLINK("http://www.ncbi.nlm.nih.gov/protein/548923764","Vps25")</f>
        <v>Vps25</v>
      </c>
      <c r="D8217" s="10">
        <f t="shared" si="128"/>
        <v>5.4851344095807368</v>
      </c>
      <c r="F8217" s="8" t="str">
        <f>HYPERLINK("https://esbl.nhlbi.nih.gov/Databases/mpkFractions/proteomic_fractions_log_files/Yang_log_img/548923764.jpg","show blot")</f>
        <v>show blot</v>
      </c>
      <c r="H8217" s="8" t="str">
        <f>HYPERLINK("https://esbl.nhlbi.nih.gov/Databases/mpkFractions/proteomic_fractions_linear_files/Yang_linear_img/548923764.jpg","show blot")</f>
        <v>show blot</v>
      </c>
      <c r="J8217" s="5" t="s">
        <v>16184</v>
      </c>
      <c r="L8217" s="11">
        <v>5.4851344095807368</v>
      </c>
      <c r="N8217" s="12"/>
    </row>
    <row r="8218" spans="1:14" s="5" customFormat="1" ht="15" customHeight="1" x14ac:dyDescent="0.25">
      <c r="A8218" s="9" t="s">
        <v>16185</v>
      </c>
      <c r="C8218" s="9" t="str">
        <f>HYPERLINK("http://www.ncbi.nlm.nih.gov/protein/25092662","Vps25")</f>
        <v>Vps25</v>
      </c>
      <c r="D8218" s="10">
        <f t="shared" si="128"/>
        <v>5.4851344095807368</v>
      </c>
      <c r="F8218" s="8" t="str">
        <f>HYPERLINK("https://esbl.nhlbi.nih.gov/Databases/mpkFractions/proteomic_fractions_log_files/Yang_log_img/25092662.jpg","show blot")</f>
        <v>show blot</v>
      </c>
      <c r="H8218" s="8" t="str">
        <f>HYPERLINK("https://esbl.nhlbi.nih.gov/Databases/mpkFractions/proteomic_fractions_linear_files/Yang_linear_img/25092662.jpg","show blot")</f>
        <v>show blot</v>
      </c>
      <c r="J8218" s="5" t="s">
        <v>16186</v>
      </c>
      <c r="L8218" s="11">
        <v>5.4851344095807368</v>
      </c>
      <c r="N8218" s="12"/>
    </row>
    <row r="8219" spans="1:14" s="5" customFormat="1" ht="15" customHeight="1" x14ac:dyDescent="0.25">
      <c r="A8219" s="9" t="s">
        <v>16187</v>
      </c>
      <c r="C8219" s="9" t="str">
        <f>HYPERLINK("http://www.ncbi.nlm.nih.gov/protein/164518904","Vps26a")</f>
        <v>Vps26a</v>
      </c>
      <c r="D8219" s="10">
        <f t="shared" si="128"/>
        <v>6.1825905423422656</v>
      </c>
      <c r="F8219" s="8" t="str">
        <f>HYPERLINK("https://esbl.nhlbi.nih.gov/Databases/mpkFractions/proteomic_fractions_log_files/Yang_log_img/164518904.jpg","show blot")</f>
        <v>show blot</v>
      </c>
      <c r="H8219" s="8" t="str">
        <f>HYPERLINK("https://esbl.nhlbi.nih.gov/Databases/mpkFractions/proteomic_fractions_linear_files/Yang_linear_img/164518904.jpg","show blot")</f>
        <v>show blot</v>
      </c>
      <c r="J8219" s="5" t="s">
        <v>16188</v>
      </c>
      <c r="L8219" s="11">
        <v>6.1825905423422656</v>
      </c>
      <c r="N8219" s="12"/>
    </row>
    <row r="8220" spans="1:14" s="5" customFormat="1" ht="15" customHeight="1" x14ac:dyDescent="0.25">
      <c r="A8220" s="9" t="s">
        <v>16189</v>
      </c>
      <c r="C8220" s="9" t="str">
        <f>HYPERLINK("http://www.ncbi.nlm.nih.gov/protein/19526826","Vps26a")</f>
        <v>Vps26a</v>
      </c>
      <c r="D8220" s="10">
        <f t="shared" si="128"/>
        <v>6.1825905423422656</v>
      </c>
      <c r="F8220" s="8" t="str">
        <f>HYPERLINK("https://esbl.nhlbi.nih.gov/Databases/mpkFractions/proteomic_fractions_log_files/Yang_log_img/19526826.jpg","show blot")</f>
        <v>show blot</v>
      </c>
      <c r="H8220" s="8" t="str">
        <f>HYPERLINK("https://esbl.nhlbi.nih.gov/Databases/mpkFractions/proteomic_fractions_linear_files/Yang_linear_img/19526826.jpg","show blot")</f>
        <v>show blot</v>
      </c>
      <c r="J8220" s="5" t="s">
        <v>16190</v>
      </c>
      <c r="L8220" s="11">
        <v>6.1825905423422656</v>
      </c>
      <c r="N8220" s="12"/>
    </row>
    <row r="8221" spans="1:14" s="5" customFormat="1" ht="15" customHeight="1" x14ac:dyDescent="0.25">
      <c r="A8221" s="9" t="s">
        <v>16191</v>
      </c>
      <c r="C8221" s="9" t="str">
        <f>HYPERLINK("http://www.ncbi.nlm.nih.gov/protein/29825827","Vps26b")</f>
        <v>Vps26b</v>
      </c>
      <c r="D8221" s="10">
        <f t="shared" si="128"/>
        <v>5.5119902449435294</v>
      </c>
      <c r="F8221" s="8" t="str">
        <f>HYPERLINK("https://esbl.nhlbi.nih.gov/Databases/mpkFractions/proteomic_fractions_log_files/Yang_log_img/29825827.jpg","show blot")</f>
        <v>show blot</v>
      </c>
      <c r="H8221" s="8" t="str">
        <f>HYPERLINK("https://esbl.nhlbi.nih.gov/Databases/mpkFractions/proteomic_fractions_linear_files/Yang_linear_img/29825827.jpg","show blot")</f>
        <v>show blot</v>
      </c>
      <c r="J8221" s="5" t="s">
        <v>16192</v>
      </c>
      <c r="L8221" s="11">
        <v>5.5119902449435294</v>
      </c>
      <c r="N8221" s="12"/>
    </row>
    <row r="8222" spans="1:14" s="5" customFormat="1" ht="15" customHeight="1" x14ac:dyDescent="0.25">
      <c r="A8222" s="9" t="s">
        <v>16193</v>
      </c>
      <c r="C8222" s="9" t="str">
        <f>HYPERLINK("http://www.ncbi.nlm.nih.gov/protein/13385320","Vps28")</f>
        <v>Vps28</v>
      </c>
      <c r="D8222" s="10">
        <f t="shared" si="128"/>
        <v>5.3432143562647898</v>
      </c>
      <c r="F8222" s="8" t="str">
        <f>HYPERLINK("https://esbl.nhlbi.nih.gov/Databases/mpkFractions/proteomic_fractions_log_files/Yang_log_img/13385320.jpg","show blot")</f>
        <v>show blot</v>
      </c>
      <c r="H8222" s="8" t="str">
        <f>HYPERLINK("https://esbl.nhlbi.nih.gov/Databases/mpkFractions/proteomic_fractions_linear_files/Yang_linear_img/13385320.jpg","show blot")</f>
        <v>show blot</v>
      </c>
      <c r="J8222" s="5" t="s">
        <v>16194</v>
      </c>
      <c r="L8222" s="11">
        <v>5.3432143562647898</v>
      </c>
      <c r="N8222" s="12"/>
    </row>
    <row r="8223" spans="1:14" s="5" customFormat="1" ht="15" customHeight="1" x14ac:dyDescent="0.25">
      <c r="A8223" s="9" t="s">
        <v>16195</v>
      </c>
      <c r="C8223" s="9" t="str">
        <f>HYPERLINK("http://www.ncbi.nlm.nih.gov/protein/9790285","Vps29")</f>
        <v>Vps29</v>
      </c>
      <c r="D8223" s="10">
        <f t="shared" si="128"/>
        <v>6.082267459963937</v>
      </c>
      <c r="F8223" s="8" t="str">
        <f>HYPERLINK("https://esbl.nhlbi.nih.gov/Databases/mpkFractions/proteomic_fractions_log_files/Yang_log_img/9790285.jpg","show blot")</f>
        <v>show blot</v>
      </c>
      <c r="H8223" s="8" t="str">
        <f>HYPERLINK("https://esbl.nhlbi.nih.gov/Databases/mpkFractions/proteomic_fractions_linear_files/Yang_linear_img/9790285.jpg","show blot")</f>
        <v>show blot</v>
      </c>
      <c r="J8223" s="5" t="s">
        <v>16196</v>
      </c>
      <c r="L8223" s="11">
        <v>6.082267459963937</v>
      </c>
      <c r="N8223" s="12"/>
    </row>
    <row r="8224" spans="1:14" s="5" customFormat="1" ht="15" customHeight="1" x14ac:dyDescent="0.25">
      <c r="A8224" s="9" t="s">
        <v>16197</v>
      </c>
      <c r="C8224" s="9" t="str">
        <f>HYPERLINK("http://www.ncbi.nlm.nih.gov/protein/254588041","Vps33a")</f>
        <v>Vps33a</v>
      </c>
      <c r="D8224" s="10">
        <f t="shared" si="128"/>
        <v>3.9685196148126711</v>
      </c>
      <c r="F8224" s="8" t="str">
        <f>HYPERLINK("https://esbl.nhlbi.nih.gov/Databases/mpkFractions/proteomic_fractions_log_files/Yang_log_img/254588041.jpg","show blot")</f>
        <v>show blot</v>
      </c>
      <c r="H8224" s="8" t="str">
        <f>HYPERLINK("https://esbl.nhlbi.nih.gov/Databases/mpkFractions/proteomic_fractions_linear_files/Yang_linear_img/254588041.jpg","show blot")</f>
        <v>show blot</v>
      </c>
      <c r="J8224" s="5" t="s">
        <v>16198</v>
      </c>
      <c r="L8224" s="11">
        <v>3.9685196148126711</v>
      </c>
      <c r="N8224" s="12"/>
    </row>
    <row r="8225" spans="1:14" s="5" customFormat="1" ht="15" customHeight="1" x14ac:dyDescent="0.25">
      <c r="A8225" s="9" t="s">
        <v>16199</v>
      </c>
      <c r="C8225" s="9" t="str">
        <f>HYPERLINK("http://www.ncbi.nlm.nih.gov/protein/158937308","Vps33b")</f>
        <v>Vps33b</v>
      </c>
      <c r="D8225" s="10">
        <f t="shared" si="128"/>
        <v>4.388224214616546</v>
      </c>
      <c r="F8225" s="8" t="str">
        <f>HYPERLINK("https://esbl.nhlbi.nih.gov/Databases/mpkFractions/proteomic_fractions_log_files/Yang_log_img/158937308.jpg","show blot")</f>
        <v>show blot</v>
      </c>
      <c r="H8225" s="8" t="str">
        <f>HYPERLINK("https://esbl.nhlbi.nih.gov/Databases/mpkFractions/proteomic_fractions_linear_files/Yang_linear_img/158937308.jpg","show blot")</f>
        <v>show blot</v>
      </c>
      <c r="J8225" s="5" t="s">
        <v>16200</v>
      </c>
      <c r="L8225" s="11">
        <v>4.388224214616546</v>
      </c>
      <c r="N8225" s="12"/>
    </row>
    <row r="8226" spans="1:14" s="5" customFormat="1" ht="15" customHeight="1" x14ac:dyDescent="0.25">
      <c r="A8226" s="9" t="s">
        <v>16201</v>
      </c>
      <c r="C8226" s="9" t="str">
        <f>HYPERLINK("http://www.ncbi.nlm.nih.gov/protein/13928670","Vps35")</f>
        <v>Vps35</v>
      </c>
      <c r="D8226" s="10">
        <f t="shared" si="128"/>
        <v>6.0522097725629376</v>
      </c>
      <c r="F8226" s="8" t="str">
        <f>HYPERLINK("https://esbl.nhlbi.nih.gov/Databases/mpkFractions/proteomic_fractions_log_files/Yang_log_img/13928670.jpg","show blot")</f>
        <v>show blot</v>
      </c>
      <c r="H8226" s="8" t="str">
        <f>HYPERLINK("https://esbl.nhlbi.nih.gov/Databases/mpkFractions/proteomic_fractions_linear_files/Yang_linear_img/13928670.jpg","show blot")</f>
        <v>show blot</v>
      </c>
      <c r="J8226" s="5" t="s">
        <v>16202</v>
      </c>
      <c r="L8226" s="11">
        <v>6.0522097725629376</v>
      </c>
      <c r="N8226" s="12"/>
    </row>
    <row r="8227" spans="1:14" s="5" customFormat="1" ht="15" customHeight="1" x14ac:dyDescent="0.25">
      <c r="A8227" s="9" t="s">
        <v>16203</v>
      </c>
      <c r="C8227" s="9" t="str">
        <f>HYPERLINK("http://www.ncbi.nlm.nih.gov/protein/30794416","Vps36")</f>
        <v>Vps36</v>
      </c>
      <c r="D8227" s="10">
        <f t="shared" si="128"/>
        <v>5.0785347311439279</v>
      </c>
      <c r="F8227" s="8" t="str">
        <f>HYPERLINK("https://esbl.nhlbi.nih.gov/Databases/mpkFractions/proteomic_fractions_log_files/Yang_log_img/30794416.jpg","show blot")</f>
        <v>show blot</v>
      </c>
      <c r="H8227" s="8" t="str">
        <f>HYPERLINK("https://esbl.nhlbi.nih.gov/Databases/mpkFractions/proteomic_fractions_linear_files/Yang_linear_img/30794416.jpg","show blot")</f>
        <v>show blot</v>
      </c>
      <c r="J8227" s="5" t="s">
        <v>16204</v>
      </c>
      <c r="L8227" s="11">
        <v>5.0785347311439279</v>
      </c>
      <c r="N8227" s="12"/>
    </row>
    <row r="8228" spans="1:14" s="5" customFormat="1" ht="15" customHeight="1" x14ac:dyDescent="0.25">
      <c r="A8228" s="9" t="s">
        <v>16205</v>
      </c>
      <c r="C8228" s="9" t="str">
        <f>HYPERLINK("http://www.ncbi.nlm.nih.gov/protein/29244484","Vps37b")</f>
        <v>Vps37b</v>
      </c>
      <c r="D8228" s="10">
        <f t="shared" si="128"/>
        <v>4.2108321748537954</v>
      </c>
      <c r="F8228" s="8" t="str">
        <f>HYPERLINK("https://esbl.nhlbi.nih.gov/Databases/mpkFractions/proteomic_fractions_log_files/Yang_log_img/29244484.jpg","show blot")</f>
        <v>show blot</v>
      </c>
      <c r="H8228" s="8" t="str">
        <f>HYPERLINK("https://esbl.nhlbi.nih.gov/Databases/mpkFractions/proteomic_fractions_linear_files/Yang_linear_img/29244484.jpg","show blot")</f>
        <v>show blot</v>
      </c>
      <c r="J8228" s="5" t="s">
        <v>16206</v>
      </c>
      <c r="L8228" s="11">
        <v>4.2108321748537954</v>
      </c>
      <c r="N8228" s="12"/>
    </row>
    <row r="8229" spans="1:14" s="5" customFormat="1" ht="15" customHeight="1" x14ac:dyDescent="0.25">
      <c r="A8229" s="9" t="s">
        <v>16207</v>
      </c>
      <c r="C8229" s="9" t="str">
        <f>HYPERLINK("http://www.ncbi.nlm.nih.gov/protein/31088908","Vps37c")</f>
        <v>Vps37c</v>
      </c>
      <c r="D8229" s="10">
        <f t="shared" si="128"/>
        <v>3.7896675625521241</v>
      </c>
      <c r="F8229" s="8" t="str">
        <f>HYPERLINK("https://esbl.nhlbi.nih.gov/Databases/mpkFractions/proteomic_fractions_log_files/Yang_log_img/31088908.jpg","show blot")</f>
        <v>show blot</v>
      </c>
      <c r="H8229" s="8" t="str">
        <f>HYPERLINK("https://esbl.nhlbi.nih.gov/Databases/mpkFractions/proteomic_fractions_linear_files/Yang_linear_img/31088908.jpg","show blot")</f>
        <v>show blot</v>
      </c>
      <c r="J8229" s="5" t="s">
        <v>16208</v>
      </c>
      <c r="L8229" s="11">
        <v>3.7896675625521241</v>
      </c>
      <c r="N8229" s="12"/>
    </row>
    <row r="8230" spans="1:14" s="5" customFormat="1" ht="15" customHeight="1" x14ac:dyDescent="0.25">
      <c r="A8230" s="9" t="s">
        <v>16209</v>
      </c>
      <c r="C8230" s="9" t="str">
        <f>HYPERLINK("http://www.ncbi.nlm.nih.gov/protein/22164794","Vps39")</f>
        <v>Vps39</v>
      </c>
      <c r="D8230" s="10">
        <f t="shared" si="128"/>
        <v>3.6051037296659749</v>
      </c>
      <c r="F8230" s="8" t="str">
        <f>HYPERLINK("https://esbl.nhlbi.nih.gov/Databases/mpkFractions/proteomic_fractions_log_files/Yang_log_img/22164794.jpg","show blot")</f>
        <v>show blot</v>
      </c>
      <c r="H8230" s="8" t="str">
        <f>HYPERLINK("https://esbl.nhlbi.nih.gov/Databases/mpkFractions/proteomic_fractions_linear_files/Yang_linear_img/22164794.jpg","show blot")</f>
        <v>show blot</v>
      </c>
      <c r="J8230" s="5" t="s">
        <v>16210</v>
      </c>
      <c r="L8230" s="11">
        <v>3.6051037296659749</v>
      </c>
      <c r="N8230" s="12"/>
    </row>
    <row r="8231" spans="1:14" s="5" customFormat="1" ht="15" customHeight="1" x14ac:dyDescent="0.25">
      <c r="A8231" s="9" t="s">
        <v>16211</v>
      </c>
      <c r="C8231" s="9" t="str">
        <f>HYPERLINK("http://www.ncbi.nlm.nih.gov/protein/30578384","Vps39")</f>
        <v>Vps39</v>
      </c>
      <c r="D8231" s="10">
        <f t="shared" si="128"/>
        <v>3.6051037296659749</v>
      </c>
      <c r="F8231" s="8" t="str">
        <f>HYPERLINK("https://esbl.nhlbi.nih.gov/Databases/mpkFractions/proteomic_fractions_log_files/Yang_log_img/30578384.jpg","show blot")</f>
        <v>show blot</v>
      </c>
      <c r="H8231" s="8" t="str">
        <f>HYPERLINK("https://esbl.nhlbi.nih.gov/Databases/mpkFractions/proteomic_fractions_linear_files/Yang_linear_img/30578384.jpg","show blot")</f>
        <v>show blot</v>
      </c>
      <c r="J8231" s="5" t="s">
        <v>16212</v>
      </c>
      <c r="L8231" s="11">
        <v>3.6051037296659749</v>
      </c>
      <c r="N8231" s="12"/>
    </row>
    <row r="8232" spans="1:14" s="5" customFormat="1" ht="15" customHeight="1" x14ac:dyDescent="0.25">
      <c r="A8232" s="9" t="s">
        <v>16213</v>
      </c>
      <c r="C8232" s="9" t="str">
        <f>HYPERLINK("http://www.ncbi.nlm.nih.gov/protein/7305631","Vps45")</f>
        <v>Vps45</v>
      </c>
      <c r="D8232" s="10">
        <f t="shared" si="128"/>
        <v>4.6922386893536414</v>
      </c>
      <c r="F8232" s="8" t="str">
        <f>HYPERLINK("https://esbl.nhlbi.nih.gov/Databases/mpkFractions/proteomic_fractions_log_files/Yang_log_img/7305631.jpg","show blot")</f>
        <v>show blot</v>
      </c>
      <c r="H8232" s="8" t="str">
        <f>HYPERLINK("https://esbl.nhlbi.nih.gov/Databases/mpkFractions/proteomic_fractions_linear_files/Yang_linear_img/7305631.jpg","show blot")</f>
        <v>show blot</v>
      </c>
      <c r="J8232" s="5" t="s">
        <v>16214</v>
      </c>
      <c r="L8232" s="11">
        <v>4.6922386893536414</v>
      </c>
      <c r="N8232" s="12"/>
    </row>
    <row r="8233" spans="1:14" s="5" customFormat="1" ht="15" customHeight="1" x14ac:dyDescent="0.25">
      <c r="A8233" s="9" t="s">
        <v>16215</v>
      </c>
      <c r="C8233" s="9" t="str">
        <f>HYPERLINK("http://www.ncbi.nlm.nih.gov/protein/18699726","Vps4a")</f>
        <v>Vps4a</v>
      </c>
      <c r="D8233" s="10">
        <f t="shared" si="128"/>
        <v>4.4069166097176238</v>
      </c>
      <c r="F8233" s="8" t="str">
        <f>HYPERLINK("https://esbl.nhlbi.nih.gov/Databases/mpkFractions/proteomic_fractions_log_files/Yang_log_img/18699726.jpg","show blot")</f>
        <v>show blot</v>
      </c>
      <c r="H8233" s="8" t="str">
        <f>HYPERLINK("https://esbl.nhlbi.nih.gov/Databases/mpkFractions/proteomic_fractions_linear_files/Yang_linear_img/18699726.jpg","show blot")</f>
        <v>show blot</v>
      </c>
      <c r="J8233" s="5" t="s">
        <v>16216</v>
      </c>
      <c r="L8233" s="11">
        <v>4.4069166097176238</v>
      </c>
      <c r="N8233" s="12"/>
    </row>
    <row r="8234" spans="1:14" s="5" customFormat="1" ht="15" customHeight="1" x14ac:dyDescent="0.25">
      <c r="A8234" s="9" t="s">
        <v>16217</v>
      </c>
      <c r="C8234" s="9" t="str">
        <f>HYPERLINK("http://www.ncbi.nlm.nih.gov/protein/164698506","Vps4b")</f>
        <v>Vps4b</v>
      </c>
      <c r="D8234" s="10">
        <f t="shared" si="128"/>
        <v>5.014938617364801</v>
      </c>
      <c r="F8234" s="8" t="str">
        <f>HYPERLINK("https://esbl.nhlbi.nih.gov/Databases/mpkFractions/proteomic_fractions_log_files/Yang_log_img/164698506.jpg","show blot")</f>
        <v>show blot</v>
      </c>
      <c r="H8234" s="8" t="str">
        <f>HYPERLINK("https://esbl.nhlbi.nih.gov/Databases/mpkFractions/proteomic_fractions_linear_files/Yang_linear_img/164698506.jpg","show blot")</f>
        <v>show blot</v>
      </c>
      <c r="J8234" s="5" t="s">
        <v>16218</v>
      </c>
      <c r="L8234" s="11">
        <v>5.014938617364801</v>
      </c>
      <c r="N8234" s="12"/>
    </row>
    <row r="8235" spans="1:14" s="5" customFormat="1" ht="15" customHeight="1" x14ac:dyDescent="0.25">
      <c r="A8235" s="9" t="s">
        <v>16219</v>
      </c>
      <c r="C8235" s="9" t="str">
        <f>HYPERLINK("http://www.ncbi.nlm.nih.gov/protein/124486662","Vps51")</f>
        <v>Vps51</v>
      </c>
      <c r="D8235" s="10">
        <f t="shared" si="128"/>
        <v>5.0530722986484511</v>
      </c>
      <c r="F8235" s="8" t="str">
        <f>HYPERLINK("https://esbl.nhlbi.nih.gov/Databases/mpkFractions/proteomic_fractions_log_files/Yang_log_img/124486662.jpg","show blot")</f>
        <v>show blot</v>
      </c>
      <c r="H8235" s="8" t="str">
        <f>HYPERLINK("https://esbl.nhlbi.nih.gov/Databases/mpkFractions/proteomic_fractions_linear_files/Yang_linear_img/124486662.jpg","show blot")</f>
        <v>show blot</v>
      </c>
      <c r="J8235" s="5" t="s">
        <v>16220</v>
      </c>
      <c r="L8235" s="11">
        <v>5.0530722986484511</v>
      </c>
      <c r="N8235" s="12"/>
    </row>
    <row r="8236" spans="1:14" s="5" customFormat="1" ht="15" customHeight="1" x14ac:dyDescent="0.25">
      <c r="A8236" s="9" t="s">
        <v>16221</v>
      </c>
      <c r="C8236" s="9" t="str">
        <f>HYPERLINK("http://www.ncbi.nlm.nih.gov/protein/148747162","Vps52")</f>
        <v>Vps52</v>
      </c>
      <c r="D8236" s="10">
        <f t="shared" si="128"/>
        <v>5.0907218955918214</v>
      </c>
      <c r="F8236" s="8" t="str">
        <f>HYPERLINK("https://esbl.nhlbi.nih.gov/Databases/mpkFractions/proteomic_fractions_log_files/Yang_log_img/148747162.jpg","show blot")</f>
        <v>show blot</v>
      </c>
      <c r="H8236" s="8" t="str">
        <f>HYPERLINK("https://esbl.nhlbi.nih.gov/Databases/mpkFractions/proteomic_fractions_linear_files/Yang_linear_img/148747162.jpg","show blot")</f>
        <v>show blot</v>
      </c>
      <c r="J8236" s="5" t="s">
        <v>16222</v>
      </c>
      <c r="L8236" s="11">
        <v>5.0907218955918214</v>
      </c>
      <c r="N8236" s="12"/>
    </row>
    <row r="8237" spans="1:14" s="5" customFormat="1" ht="15" customHeight="1" x14ac:dyDescent="0.25">
      <c r="A8237" s="9" t="s">
        <v>16223</v>
      </c>
      <c r="C8237" s="9" t="str">
        <f>HYPERLINK("http://www.ncbi.nlm.nih.gov/protein/377833518","Vps52")</f>
        <v>Vps52</v>
      </c>
      <c r="D8237" s="10">
        <f t="shared" si="128"/>
        <v>5.0907218955918214</v>
      </c>
      <c r="F8237" s="8" t="str">
        <f>HYPERLINK("https://esbl.nhlbi.nih.gov/Databases/mpkFractions/proteomic_fractions_log_files/Yang_log_img/377833518.jpg","show blot")</f>
        <v>show blot</v>
      </c>
      <c r="H8237" s="8" t="str">
        <f>HYPERLINK("https://esbl.nhlbi.nih.gov/Databases/mpkFractions/proteomic_fractions_linear_files/Yang_linear_img/377833518.jpg","show blot")</f>
        <v>show blot</v>
      </c>
      <c r="J8237" s="5" t="s">
        <v>16224</v>
      </c>
      <c r="L8237" s="11">
        <v>5.0907218955918214</v>
      </c>
      <c r="N8237" s="12"/>
    </row>
    <row r="8238" spans="1:14" s="5" customFormat="1" ht="15" customHeight="1" x14ac:dyDescent="0.25">
      <c r="A8238" s="9" t="s">
        <v>16225</v>
      </c>
      <c r="C8238" s="9" t="str">
        <f>HYPERLINK("http://www.ncbi.nlm.nih.gov/protein/31980873","Vps53")</f>
        <v>Vps53</v>
      </c>
      <c r="D8238" s="10">
        <f t="shared" si="128"/>
        <v>4.933302550318408</v>
      </c>
      <c r="F8238" s="8" t="str">
        <f>HYPERLINK("https://esbl.nhlbi.nih.gov/Databases/mpkFractions/proteomic_fractions_log_files/Yang_log_img/31980873.jpg","show blot")</f>
        <v>show blot</v>
      </c>
      <c r="H8238" s="8" t="str">
        <f>HYPERLINK("https://esbl.nhlbi.nih.gov/Databases/mpkFractions/proteomic_fractions_linear_files/Yang_linear_img/31980873.jpg","show blot")</f>
        <v>show blot</v>
      </c>
      <c r="J8238" s="5" t="s">
        <v>16226</v>
      </c>
      <c r="L8238" s="11">
        <v>4.933302550318408</v>
      </c>
      <c r="N8238" s="12"/>
    </row>
    <row r="8239" spans="1:14" s="5" customFormat="1" ht="15" customHeight="1" x14ac:dyDescent="0.25">
      <c r="A8239" s="9" t="s">
        <v>16227</v>
      </c>
      <c r="C8239" s="9" t="str">
        <f>HYPERLINK("http://www.ncbi.nlm.nih.gov/protein/124486983","Vps8")</f>
        <v>Vps8</v>
      </c>
      <c r="D8239" s="10">
        <f t="shared" si="128"/>
        <v>3.6880273563732389</v>
      </c>
      <c r="F8239" s="8" t="str">
        <f>HYPERLINK("https://esbl.nhlbi.nih.gov/Databases/mpkFractions/proteomic_fractions_log_files/Yang_log_img/124486983.jpg","show blot")</f>
        <v>show blot</v>
      </c>
      <c r="H8239" s="8" t="str">
        <f>HYPERLINK("https://esbl.nhlbi.nih.gov/Databases/mpkFractions/proteomic_fractions_linear_files/Yang_linear_img/124486983.jpg","show blot")</f>
        <v>show blot</v>
      </c>
      <c r="J8239" s="5" t="s">
        <v>16228</v>
      </c>
      <c r="L8239" s="11">
        <v>3.6880273563732389</v>
      </c>
      <c r="N8239" s="12"/>
    </row>
    <row r="8240" spans="1:14" s="5" customFormat="1" ht="15" customHeight="1" x14ac:dyDescent="0.25">
      <c r="A8240" s="9" t="s">
        <v>16229</v>
      </c>
      <c r="C8240" s="9" t="str">
        <f>HYPERLINK("http://www.ncbi.nlm.nih.gov/protein/71067120","Vrk1")</f>
        <v>Vrk1</v>
      </c>
      <c r="D8240" s="10">
        <f t="shared" si="128"/>
        <v>4.6188784245630448</v>
      </c>
      <c r="F8240" s="8" t="str">
        <f>HYPERLINK("https://esbl.nhlbi.nih.gov/Databases/mpkFractions/proteomic_fractions_log_files/Yang_log_img/71067120.jpg","show blot")</f>
        <v>show blot</v>
      </c>
      <c r="H8240" s="8" t="str">
        <f>HYPERLINK("https://esbl.nhlbi.nih.gov/Databases/mpkFractions/proteomic_fractions_linear_files/Yang_linear_img/71067120.jpg","show blot")</f>
        <v>show blot</v>
      </c>
      <c r="J8240" s="5" t="s">
        <v>16230</v>
      </c>
      <c r="L8240" s="11">
        <v>4.6188784245630448</v>
      </c>
      <c r="N8240" s="12"/>
    </row>
    <row r="8241" spans="1:14" s="5" customFormat="1" ht="15" customHeight="1" x14ac:dyDescent="0.25">
      <c r="A8241" s="9" t="s">
        <v>16231</v>
      </c>
      <c r="C8241" s="9" t="str">
        <f>HYPERLINK("http://www.ncbi.nlm.nih.gov/protein/71067122","Vrk1")</f>
        <v>Vrk1</v>
      </c>
      <c r="D8241" s="10">
        <f t="shared" si="128"/>
        <v>4.6188784245630448</v>
      </c>
      <c r="F8241" s="8" t="str">
        <f>HYPERLINK("https://esbl.nhlbi.nih.gov/Databases/mpkFractions/proteomic_fractions_log_files/Yang_log_img/71067122.jpg","show blot")</f>
        <v>show blot</v>
      </c>
      <c r="H8241" s="8" t="str">
        <f>HYPERLINK("https://esbl.nhlbi.nih.gov/Databases/mpkFractions/proteomic_fractions_linear_files/Yang_linear_img/71067122.jpg","show blot")</f>
        <v>show blot</v>
      </c>
      <c r="J8241" s="5" t="s">
        <v>16232</v>
      </c>
      <c r="L8241" s="11">
        <v>4.6188784245630448</v>
      </c>
      <c r="N8241" s="12"/>
    </row>
    <row r="8242" spans="1:14" s="5" customFormat="1" ht="15" customHeight="1" x14ac:dyDescent="0.25">
      <c r="A8242" s="9" t="s">
        <v>16233</v>
      </c>
      <c r="C8242" s="9" t="str">
        <f>HYPERLINK("http://www.ncbi.nlm.nih.gov/protein/6755985","Vrk1")</f>
        <v>Vrk1</v>
      </c>
      <c r="D8242" s="10">
        <f t="shared" si="128"/>
        <v>4.6188784245630448</v>
      </c>
      <c r="F8242" s="8" t="str">
        <f>HYPERLINK("https://esbl.nhlbi.nih.gov/Databases/mpkFractions/proteomic_fractions_log_files/Yang_log_img/6755985.jpg","show blot")</f>
        <v>show blot</v>
      </c>
      <c r="H8242" s="8" t="str">
        <f>HYPERLINK("https://esbl.nhlbi.nih.gov/Databases/mpkFractions/proteomic_fractions_linear_files/Yang_linear_img/6755985.jpg","show blot")</f>
        <v>show blot</v>
      </c>
      <c r="J8242" s="5" t="s">
        <v>16234</v>
      </c>
      <c r="L8242" s="11">
        <v>4.6188784245630448</v>
      </c>
      <c r="N8242" s="12"/>
    </row>
    <row r="8243" spans="1:14" s="5" customFormat="1" ht="15" customHeight="1" x14ac:dyDescent="0.25">
      <c r="A8243" s="9" t="s">
        <v>16235</v>
      </c>
      <c r="C8243" s="9" t="str">
        <f>HYPERLINK("http://www.ncbi.nlm.nih.gov/protein/148664203","Vsig10")</f>
        <v>Vsig10</v>
      </c>
      <c r="D8243" s="10">
        <f t="shared" si="128"/>
        <v>4.7170113956923254</v>
      </c>
      <c r="F8243" s="8" t="str">
        <f>HYPERLINK("https://esbl.nhlbi.nih.gov/Databases/mpkFractions/proteomic_fractions_log_files/Yang_log_img/148664203.jpg","show blot")</f>
        <v>show blot</v>
      </c>
      <c r="H8243" s="8" t="str">
        <f>HYPERLINK("https://esbl.nhlbi.nih.gov/Databases/mpkFractions/proteomic_fractions_linear_files/Yang_linear_img/148664203.jpg","show blot")</f>
        <v>show blot</v>
      </c>
      <c r="J8243" s="5" t="s">
        <v>16236</v>
      </c>
      <c r="L8243" s="11">
        <v>4.7170113956923254</v>
      </c>
      <c r="N8243" s="12"/>
    </row>
    <row r="8244" spans="1:14" s="5" customFormat="1" ht="15" customHeight="1" x14ac:dyDescent="0.25">
      <c r="A8244" s="9" t="s">
        <v>16237</v>
      </c>
      <c r="C8244" s="9" t="str">
        <f>HYPERLINK("http://www.ncbi.nlm.nih.gov/protein/27754140","Vta1")</f>
        <v>Vta1</v>
      </c>
      <c r="D8244" s="10">
        <f t="shared" si="128"/>
        <v>5.5614635985262053</v>
      </c>
      <c r="F8244" s="8" t="str">
        <f>HYPERLINK("https://esbl.nhlbi.nih.gov/Databases/mpkFractions/proteomic_fractions_log_files/Yang_log_img/27754140.jpg","show blot")</f>
        <v>show blot</v>
      </c>
      <c r="H8244" s="8" t="str">
        <f>HYPERLINK("https://esbl.nhlbi.nih.gov/Databases/mpkFractions/proteomic_fractions_linear_files/Yang_linear_img/27754140.jpg","show blot")</f>
        <v>show blot</v>
      </c>
      <c r="J8244" s="5" t="s">
        <v>16238</v>
      </c>
      <c r="L8244" s="11">
        <v>5.5614635985262053</v>
      </c>
      <c r="N8244" s="12"/>
    </row>
    <row r="8245" spans="1:14" s="5" customFormat="1" ht="15" customHeight="1" x14ac:dyDescent="0.25">
      <c r="A8245" s="9" t="s">
        <v>16239</v>
      </c>
      <c r="C8245" s="9" t="str">
        <f>HYPERLINK("http://www.ncbi.nlm.nih.gov/protein/13928668","Vti1a")</f>
        <v>Vti1a</v>
      </c>
      <c r="D8245" s="10">
        <f t="shared" si="128"/>
        <v>4.1772290890206749</v>
      </c>
      <c r="F8245" s="8" t="str">
        <f>HYPERLINK("https://esbl.nhlbi.nih.gov/Databases/mpkFractions/proteomic_fractions_log_files/Yang_log_img/13928668.jpg","show blot")</f>
        <v>show blot</v>
      </c>
      <c r="H8245" s="8" t="str">
        <f>HYPERLINK("https://esbl.nhlbi.nih.gov/Databases/mpkFractions/proteomic_fractions_linear_files/Yang_linear_img/13928668.jpg","show blot")</f>
        <v>show blot</v>
      </c>
      <c r="J8245" s="5" t="s">
        <v>16240</v>
      </c>
      <c r="L8245" s="11">
        <v>4.1772290890206749</v>
      </c>
      <c r="N8245" s="12"/>
    </row>
    <row r="8246" spans="1:14" s="5" customFormat="1" ht="15" customHeight="1" x14ac:dyDescent="0.25">
      <c r="A8246" s="9" t="s">
        <v>16241</v>
      </c>
      <c r="C8246" s="9" t="str">
        <f>HYPERLINK("http://www.ncbi.nlm.nih.gov/protein/31980617","Vti1b")</f>
        <v>Vti1b</v>
      </c>
      <c r="D8246" s="10">
        <f t="shared" si="128"/>
        <v>4.2996383651401109</v>
      </c>
      <c r="F8246" s="8" t="str">
        <f>HYPERLINK("https://esbl.nhlbi.nih.gov/Databases/mpkFractions/proteomic_fractions_log_files/Yang_log_img/31980617.jpg","show blot")</f>
        <v>show blot</v>
      </c>
      <c r="H8246" s="8" t="str">
        <f>HYPERLINK("https://esbl.nhlbi.nih.gov/Databases/mpkFractions/proteomic_fractions_linear_files/Yang_linear_img/31980617.jpg","show blot")</f>
        <v>show blot</v>
      </c>
      <c r="J8246" s="5" t="s">
        <v>16242</v>
      </c>
      <c r="L8246" s="11">
        <v>4.2996383651401109</v>
      </c>
      <c r="N8246" s="12"/>
    </row>
    <row r="8247" spans="1:14" s="5" customFormat="1" ht="15" customHeight="1" x14ac:dyDescent="0.25">
      <c r="A8247" s="9" t="s">
        <v>16243</v>
      </c>
      <c r="C8247" s="9" t="str">
        <f>HYPERLINK("http://www.ncbi.nlm.nih.gov/protein/225543183","Vwa5a")</f>
        <v>Vwa5a</v>
      </c>
      <c r="D8247" s="10">
        <f t="shared" si="128"/>
        <v>5.38024773820284</v>
      </c>
      <c r="F8247" s="8" t="str">
        <f>HYPERLINK("https://esbl.nhlbi.nih.gov/Databases/mpkFractions/proteomic_fractions_log_files/Yang_log_img/225543183.jpg","show blot")</f>
        <v>show blot</v>
      </c>
      <c r="H8247" s="8" t="str">
        <f>HYPERLINK("https://esbl.nhlbi.nih.gov/Databases/mpkFractions/proteomic_fractions_linear_files/Yang_linear_img/225543183.jpg","show blot")</f>
        <v>show blot</v>
      </c>
      <c r="J8247" s="5" t="s">
        <v>16244</v>
      </c>
      <c r="L8247" s="11">
        <v>5.38024773820284</v>
      </c>
      <c r="N8247" s="12"/>
    </row>
    <row r="8248" spans="1:14" s="5" customFormat="1" ht="15" customHeight="1" x14ac:dyDescent="0.25">
      <c r="A8248" s="9" t="s">
        <v>16245</v>
      </c>
      <c r="C8248" s="9" t="str">
        <f>HYPERLINK("http://www.ncbi.nlm.nih.gov/protein/226958579","Vwa8")</f>
        <v>Vwa8</v>
      </c>
      <c r="D8248" s="10">
        <f t="shared" si="128"/>
        <v>3.4482839533410932</v>
      </c>
      <c r="F8248" s="8" t="str">
        <f>HYPERLINK("https://esbl.nhlbi.nih.gov/Databases/mpkFractions/proteomic_fractions_log_files/Yang_log_img/226958579.jpg","show blot")</f>
        <v>show blot</v>
      </c>
      <c r="H8248" s="8" t="str">
        <f>HYPERLINK("https://esbl.nhlbi.nih.gov/Databases/mpkFractions/proteomic_fractions_linear_files/Yang_linear_img/226958579.jpg","show blot")</f>
        <v>show blot</v>
      </c>
      <c r="J8248" s="5" t="s">
        <v>16246</v>
      </c>
      <c r="L8248" s="11">
        <v>3.4482839533410932</v>
      </c>
      <c r="N8248" s="12"/>
    </row>
    <row r="8249" spans="1:14" s="5" customFormat="1" ht="15" customHeight="1" x14ac:dyDescent="0.25">
      <c r="A8249" s="9" t="s">
        <v>16247</v>
      </c>
      <c r="C8249" s="9" t="str">
        <f>HYPERLINK("http://www.ncbi.nlm.nih.gov/protein/226958581","Vwa8")</f>
        <v>Vwa8</v>
      </c>
      <c r="D8249" s="10">
        <f t="shared" si="128"/>
        <v>3.4482839533410932</v>
      </c>
      <c r="F8249" s="8" t="str">
        <f>HYPERLINK("https://esbl.nhlbi.nih.gov/Databases/mpkFractions/proteomic_fractions_log_files/Yang_log_img/226958581.jpg","show blot")</f>
        <v>show blot</v>
      </c>
      <c r="H8249" s="8" t="str">
        <f>HYPERLINK("https://esbl.nhlbi.nih.gov/Databases/mpkFractions/proteomic_fractions_linear_files/Yang_linear_img/226958581.jpg","show blot")</f>
        <v>show blot</v>
      </c>
      <c r="J8249" s="5" t="s">
        <v>16248</v>
      </c>
      <c r="L8249" s="11">
        <v>3.4482839533410932</v>
      </c>
      <c r="N8249" s="12"/>
    </row>
    <row r="8250" spans="1:14" s="5" customFormat="1" ht="15" customHeight="1" x14ac:dyDescent="0.25">
      <c r="A8250" s="9" t="s">
        <v>16249</v>
      </c>
      <c r="C8250" s="9" t="str">
        <f>HYPERLINK("http://www.ncbi.nlm.nih.gov/protein/117647251","Vwa9")</f>
        <v>Vwa9</v>
      </c>
      <c r="D8250" s="10">
        <f t="shared" si="128"/>
        <v>3.194676756532151</v>
      </c>
      <c r="F8250" s="8" t="str">
        <f>HYPERLINK("https://esbl.nhlbi.nih.gov/Databases/mpkFractions/proteomic_fractions_log_files/Yang_log_img/117647251.jpg","show blot")</f>
        <v>show blot</v>
      </c>
      <c r="H8250" s="8" t="str">
        <f>HYPERLINK("https://esbl.nhlbi.nih.gov/Databases/mpkFractions/proteomic_fractions_linear_files/Yang_linear_img/117647251.jpg","show blot")</f>
        <v>show blot</v>
      </c>
      <c r="J8250" s="5" t="s">
        <v>16250</v>
      </c>
      <c r="L8250" s="11">
        <v>3.194676756532151</v>
      </c>
      <c r="N8250" s="12"/>
    </row>
    <row r="8251" spans="1:14" s="5" customFormat="1" ht="15" customHeight="1" x14ac:dyDescent="0.25">
      <c r="A8251" s="9" t="s">
        <v>16251</v>
      </c>
      <c r="C8251" s="9" t="str">
        <f>HYPERLINK("http://www.ncbi.nlm.nih.gov/protein/226371681","Wac")</f>
        <v>Wac</v>
      </c>
      <c r="D8251" s="10">
        <f t="shared" si="128"/>
        <v>4.9240663993532214</v>
      </c>
      <c r="F8251" s="8" t="str">
        <f>HYPERLINK("https://esbl.nhlbi.nih.gov/Databases/mpkFractions/proteomic_fractions_log_files/Yang_log_img/226371681.jpg","show blot")</f>
        <v>show blot</v>
      </c>
      <c r="H8251" s="8" t="str">
        <f>HYPERLINK("https://esbl.nhlbi.nih.gov/Databases/mpkFractions/proteomic_fractions_linear_files/Yang_linear_img/226371681.jpg","show blot")</f>
        <v>show blot</v>
      </c>
      <c r="J8251" s="5" t="s">
        <v>16252</v>
      </c>
      <c r="L8251" s="11">
        <v>4.9240663993532214</v>
      </c>
      <c r="N8251" s="12"/>
    </row>
    <row r="8252" spans="1:14" s="5" customFormat="1" ht="15" customHeight="1" x14ac:dyDescent="0.25">
      <c r="A8252" s="9" t="s">
        <v>16253</v>
      </c>
      <c r="C8252" s="9" t="str">
        <f>HYPERLINK("http://www.ncbi.nlm.nih.gov/protein/256818746","Wars")</f>
        <v>Wars</v>
      </c>
      <c r="D8252" s="10">
        <f t="shared" si="128"/>
        <v>5.8622514055722137</v>
      </c>
      <c r="F8252" s="8" t="str">
        <f>HYPERLINK("https://esbl.nhlbi.nih.gov/Databases/mpkFractions/proteomic_fractions_log_files/Yang_log_img/256818746.jpg","show blot")</f>
        <v>show blot</v>
      </c>
      <c r="H8252" s="8" t="str">
        <f>HYPERLINK("https://esbl.nhlbi.nih.gov/Databases/mpkFractions/proteomic_fractions_linear_files/Yang_linear_img/256818746.jpg","show blot")</f>
        <v>show blot</v>
      </c>
      <c r="J8252" s="5" t="s">
        <v>16254</v>
      </c>
      <c r="L8252" s="11">
        <v>5.8622514055722137</v>
      </c>
      <c r="N8252" s="12"/>
    </row>
    <row r="8253" spans="1:14" s="5" customFormat="1" ht="15" customHeight="1" x14ac:dyDescent="0.25">
      <c r="A8253" s="9" t="s">
        <v>16255</v>
      </c>
      <c r="C8253" s="9" t="str">
        <f>HYPERLINK("http://www.ncbi.nlm.nih.gov/protein/256818802","Wars")</f>
        <v>Wars</v>
      </c>
      <c r="D8253" s="10">
        <f t="shared" si="128"/>
        <v>5.8622514055722137</v>
      </c>
      <c r="F8253" s="8" t="str">
        <f>HYPERLINK("https://esbl.nhlbi.nih.gov/Databases/mpkFractions/proteomic_fractions_log_files/Yang_log_img/256818802.jpg","show blot")</f>
        <v>show blot</v>
      </c>
      <c r="H8253" s="8" t="str">
        <f>HYPERLINK("https://esbl.nhlbi.nih.gov/Databases/mpkFractions/proteomic_fractions_linear_files/Yang_linear_img/256818802.jpg","show blot")</f>
        <v>show blot</v>
      </c>
      <c r="J8253" s="5" t="s">
        <v>16256</v>
      </c>
      <c r="L8253" s="11">
        <v>5.8622514055722137</v>
      </c>
      <c r="N8253" s="12"/>
    </row>
    <row r="8254" spans="1:14" s="5" customFormat="1" ht="15" customHeight="1" x14ac:dyDescent="0.25">
      <c r="A8254" s="9" t="s">
        <v>16257</v>
      </c>
      <c r="C8254" s="9" t="str">
        <f>HYPERLINK("http://www.ncbi.nlm.nih.gov/protein/13994209","Wasf1")</f>
        <v>Wasf1</v>
      </c>
      <c r="D8254" s="10">
        <f t="shared" si="128"/>
        <v>3.2797949983303418</v>
      </c>
      <c r="F8254" s="8" t="str">
        <f>HYPERLINK("https://esbl.nhlbi.nih.gov/Databases/mpkFractions/proteomic_fractions_log_files/Yang_log_img/13994209.jpg","show blot")</f>
        <v>show blot</v>
      </c>
      <c r="H8254" s="8" t="str">
        <f>HYPERLINK("https://esbl.nhlbi.nih.gov/Databases/mpkFractions/proteomic_fractions_linear_files/Yang_linear_img/13994209.jpg","show blot")</f>
        <v>show blot</v>
      </c>
      <c r="J8254" s="5" t="s">
        <v>16258</v>
      </c>
      <c r="L8254" s="11">
        <v>3.2797949983303418</v>
      </c>
      <c r="N8254" s="12"/>
    </row>
    <row r="8255" spans="1:14" s="5" customFormat="1" ht="15" customHeight="1" x14ac:dyDescent="0.25">
      <c r="A8255" s="9" t="s">
        <v>16259</v>
      </c>
      <c r="C8255" s="9" t="str">
        <f>HYPERLINK("http://www.ncbi.nlm.nih.gov/protein/23510313","Wasf2")</f>
        <v>Wasf2</v>
      </c>
      <c r="D8255" s="10">
        <f t="shared" si="128"/>
        <v>4.6549771381190794</v>
      </c>
      <c r="F8255" s="8" t="str">
        <f>HYPERLINK("https://esbl.nhlbi.nih.gov/Databases/mpkFractions/proteomic_fractions_log_files/Yang_log_img/23510313.jpg","show blot")</f>
        <v>show blot</v>
      </c>
      <c r="H8255" s="8" t="str">
        <f>HYPERLINK("https://esbl.nhlbi.nih.gov/Databases/mpkFractions/proteomic_fractions_linear_files/Yang_linear_img/23510313.jpg","show blot")</f>
        <v>show blot</v>
      </c>
      <c r="J8255" s="5" t="s">
        <v>16260</v>
      </c>
      <c r="L8255" s="11">
        <v>4.6549771381190794</v>
      </c>
      <c r="N8255" s="12"/>
    </row>
    <row r="8256" spans="1:14" s="5" customFormat="1" ht="15" customHeight="1" x14ac:dyDescent="0.25">
      <c r="A8256" s="9" t="s">
        <v>16261</v>
      </c>
      <c r="C8256" s="9" t="str">
        <f>HYPERLINK("http://www.ncbi.nlm.nih.gov/protein/83649760","Wash")</f>
        <v>Wash</v>
      </c>
      <c r="D8256" s="10">
        <f t="shared" si="128"/>
        <v>4.3285884594110211</v>
      </c>
      <c r="F8256" s="8" t="str">
        <f>HYPERLINK("https://esbl.nhlbi.nih.gov/Databases/mpkFractions/proteomic_fractions_log_files/Yang_log_img/83649760.jpg","show blot")</f>
        <v>show blot</v>
      </c>
      <c r="H8256" s="8" t="str">
        <f>HYPERLINK("https://esbl.nhlbi.nih.gov/Databases/mpkFractions/proteomic_fractions_linear_files/Yang_linear_img/83649760.jpg","show blot")</f>
        <v>show blot</v>
      </c>
      <c r="J8256" s="5" t="s">
        <v>16262</v>
      </c>
      <c r="L8256" s="11">
        <v>4.3285884594110211</v>
      </c>
      <c r="N8256" s="12"/>
    </row>
    <row r="8257" spans="1:14" s="5" customFormat="1" ht="15" customHeight="1" x14ac:dyDescent="0.25">
      <c r="A8257" s="9" t="s">
        <v>16263</v>
      </c>
      <c r="C8257" s="9" t="str">
        <f>HYPERLINK("http://www.ncbi.nlm.nih.gov/protein/268370040","Wasl")</f>
        <v>Wasl</v>
      </c>
      <c r="D8257" s="10">
        <f t="shared" si="128"/>
        <v>5.0416102750437464</v>
      </c>
      <c r="F8257" s="8" t="str">
        <f>HYPERLINK("https://esbl.nhlbi.nih.gov/Databases/mpkFractions/proteomic_fractions_log_files/Yang_log_img/268370040.jpg","show blot")</f>
        <v>show blot</v>
      </c>
      <c r="H8257" s="8" t="str">
        <f>HYPERLINK("https://esbl.nhlbi.nih.gov/Databases/mpkFractions/proteomic_fractions_linear_files/Yang_linear_img/268370040.jpg","show blot")</f>
        <v>show blot</v>
      </c>
      <c r="J8257" s="5" t="s">
        <v>16264</v>
      </c>
      <c r="L8257" s="11">
        <v>5.0416102750437464</v>
      </c>
      <c r="N8257" s="12"/>
    </row>
    <row r="8258" spans="1:14" s="5" customFormat="1" ht="15" customHeight="1" x14ac:dyDescent="0.25">
      <c r="A8258" s="9" t="s">
        <v>16265</v>
      </c>
      <c r="C8258" s="9" t="str">
        <f>HYPERLINK("http://www.ncbi.nlm.nih.gov/protein/268370042","Wasl")</f>
        <v>Wasl</v>
      </c>
      <c r="D8258" s="10">
        <f t="shared" si="128"/>
        <v>5.0416102750437464</v>
      </c>
      <c r="F8258" s="8" t="str">
        <f>HYPERLINK("https://esbl.nhlbi.nih.gov/Databases/mpkFractions/proteomic_fractions_log_files/Yang_log_img/268370042.jpg","show blot")</f>
        <v>show blot</v>
      </c>
      <c r="H8258" s="8" t="str">
        <f>HYPERLINK("https://esbl.nhlbi.nih.gov/Databases/mpkFractions/proteomic_fractions_linear_files/Yang_linear_img/268370042.jpg","show blot")</f>
        <v>show blot</v>
      </c>
      <c r="J8258" s="5" t="s">
        <v>16266</v>
      </c>
      <c r="L8258" s="11">
        <v>5.0416102750437464</v>
      </c>
      <c r="N8258" s="12"/>
    </row>
    <row r="8259" spans="1:14" s="5" customFormat="1" ht="15" customHeight="1" x14ac:dyDescent="0.25">
      <c r="A8259" s="9" t="s">
        <v>16267</v>
      </c>
      <c r="C8259" s="9" t="str">
        <f>HYPERLINK("http://www.ncbi.nlm.nih.gov/protein/267844920","Wbp11")</f>
        <v>Wbp11</v>
      </c>
      <c r="D8259" s="10">
        <f t="shared" si="128"/>
        <v>2.616812533794532</v>
      </c>
      <c r="F8259" s="8" t="str">
        <f>HYPERLINK("https://esbl.nhlbi.nih.gov/Databases/mpkFractions/proteomic_fractions_log_files/Yang_log_img/267844920.jpg","show blot")</f>
        <v>show blot</v>
      </c>
      <c r="H8259" s="8" t="str">
        <f>HYPERLINK("https://esbl.nhlbi.nih.gov/Databases/mpkFractions/proteomic_fractions_linear_files/Yang_linear_img/267844920.jpg","show blot")</f>
        <v>show blot</v>
      </c>
      <c r="J8259" s="5" t="s">
        <v>16268</v>
      </c>
      <c r="L8259" s="11">
        <v>2.616812533794532</v>
      </c>
      <c r="N8259" s="12"/>
    </row>
    <row r="8260" spans="1:14" s="5" customFormat="1" ht="15" customHeight="1" x14ac:dyDescent="0.25">
      <c r="A8260" s="9" t="s">
        <v>16269</v>
      </c>
      <c r="C8260" s="9" t="str">
        <f>HYPERLINK("http://www.ncbi.nlm.nih.gov/protein/295317409","Wbp1l")</f>
        <v>Wbp1l</v>
      </c>
      <c r="D8260" s="10">
        <f t="shared" si="128"/>
        <v>3.435341341548563</v>
      </c>
      <c r="F8260" s="8" t="str">
        <f>HYPERLINK("https://esbl.nhlbi.nih.gov/Databases/mpkFractions/proteomic_fractions_log_files/Yang_log_img/295317409.jpg","show blot")</f>
        <v>show blot</v>
      </c>
      <c r="H8260" s="8" t="str">
        <f>HYPERLINK("https://esbl.nhlbi.nih.gov/Databases/mpkFractions/proteomic_fractions_linear_files/Yang_linear_img/295317409.jpg","show blot")</f>
        <v>show blot</v>
      </c>
      <c r="J8260" s="5" t="s">
        <v>16270</v>
      </c>
      <c r="L8260" s="11">
        <v>3.435341341548563</v>
      </c>
      <c r="N8260" s="12"/>
    </row>
    <row r="8261" spans="1:14" s="5" customFormat="1" ht="15" customHeight="1" x14ac:dyDescent="0.25">
      <c r="A8261" s="9" t="s">
        <v>16271</v>
      </c>
      <c r="C8261" s="9" t="str">
        <f>HYPERLINK("http://www.ncbi.nlm.nih.gov/protein/295317411","Wbp1l")</f>
        <v>Wbp1l</v>
      </c>
      <c r="D8261" s="10">
        <f t="shared" ref="D8261:D8324" si="129">L8261</f>
        <v>3.435341341548563</v>
      </c>
      <c r="F8261" s="8" t="str">
        <f>HYPERLINK("https://esbl.nhlbi.nih.gov/Databases/mpkFractions/proteomic_fractions_log_files/Yang_log_img/295317411.jpg","show blot")</f>
        <v>show blot</v>
      </c>
      <c r="H8261" s="8" t="str">
        <f>HYPERLINK("https://esbl.nhlbi.nih.gov/Databases/mpkFractions/proteomic_fractions_linear_files/Yang_linear_img/295317411.jpg","show blot")</f>
        <v>show blot</v>
      </c>
      <c r="J8261" s="5" t="s">
        <v>16272</v>
      </c>
      <c r="L8261" s="11">
        <v>3.435341341548563</v>
      </c>
      <c r="N8261" s="12"/>
    </row>
    <row r="8262" spans="1:14" s="5" customFormat="1" ht="15" customHeight="1" x14ac:dyDescent="0.25">
      <c r="A8262" s="9" t="s">
        <v>16273</v>
      </c>
      <c r="C8262" s="9" t="str">
        <f>HYPERLINK("http://www.ncbi.nlm.nih.gov/protein/295317413","Wbp1l")</f>
        <v>Wbp1l</v>
      </c>
      <c r="D8262" s="10">
        <f t="shared" si="129"/>
        <v>3.435341341548563</v>
      </c>
      <c r="F8262" s="8" t="str">
        <f>HYPERLINK("https://esbl.nhlbi.nih.gov/Databases/mpkFractions/proteomic_fractions_log_files/Yang_log_img/295317413.jpg","show blot")</f>
        <v>show blot</v>
      </c>
      <c r="H8262" s="8" t="str">
        <f>HYPERLINK("https://esbl.nhlbi.nih.gov/Databases/mpkFractions/proteomic_fractions_linear_files/Yang_linear_img/295317413.jpg","show blot")</f>
        <v>show blot</v>
      </c>
      <c r="J8262" s="5" t="s">
        <v>16274</v>
      </c>
      <c r="L8262" s="11">
        <v>3.435341341548563</v>
      </c>
      <c r="N8262" s="12"/>
    </row>
    <row r="8263" spans="1:14" s="5" customFormat="1" ht="15" customHeight="1" x14ac:dyDescent="0.25">
      <c r="A8263" s="9" t="s">
        <v>16275</v>
      </c>
      <c r="C8263" s="9" t="str">
        <f>HYPERLINK("http://www.ncbi.nlm.nih.gov/protein/8394539","Wbp2")</f>
        <v>Wbp2</v>
      </c>
      <c r="D8263" s="10">
        <f t="shared" si="129"/>
        <v>4.9403160277775013</v>
      </c>
      <c r="F8263" s="8" t="str">
        <f>HYPERLINK("https://esbl.nhlbi.nih.gov/Databases/mpkFractions/proteomic_fractions_log_files/Yang_log_img/8394539.jpg","show blot")</f>
        <v>show blot</v>
      </c>
      <c r="H8263" s="8" t="str">
        <f>HYPERLINK("https://esbl.nhlbi.nih.gov/Databases/mpkFractions/proteomic_fractions_linear_files/Yang_linear_img/8394539.jpg","show blot")</f>
        <v>show blot</v>
      </c>
      <c r="J8263" s="5" t="s">
        <v>16276</v>
      </c>
      <c r="L8263" s="11">
        <v>4.9403160277775013</v>
      </c>
      <c r="N8263" s="12"/>
    </row>
    <row r="8264" spans="1:14" s="5" customFormat="1" ht="15" customHeight="1" x14ac:dyDescent="0.25">
      <c r="A8264" s="9" t="s">
        <v>16277</v>
      </c>
      <c r="C8264" s="9" t="str">
        <f>HYPERLINK("http://www.ncbi.nlm.nih.gov/protein/33468951","Wbp5")</f>
        <v>Wbp5</v>
      </c>
      <c r="D8264" s="10">
        <f t="shared" si="129"/>
        <v>5.0222159338307142</v>
      </c>
      <c r="F8264" s="8" t="str">
        <f>HYPERLINK("https://esbl.nhlbi.nih.gov/Databases/mpkFractions/proteomic_fractions_log_files/Yang_log_img/33468951.jpg","show blot")</f>
        <v>show blot</v>
      </c>
      <c r="H8264" s="8" t="str">
        <f>HYPERLINK("https://esbl.nhlbi.nih.gov/Databases/mpkFractions/proteomic_fractions_linear_files/Yang_linear_img/33468951.jpg","show blot")</f>
        <v>show blot</v>
      </c>
      <c r="J8264" s="5" t="s">
        <v>16278</v>
      </c>
      <c r="L8264" s="11">
        <v>5.0222159338307142</v>
      </c>
      <c r="N8264" s="12"/>
    </row>
    <row r="8265" spans="1:14" s="5" customFormat="1" ht="15" customHeight="1" x14ac:dyDescent="0.25">
      <c r="A8265" s="9" t="s">
        <v>16279</v>
      </c>
      <c r="C8265" s="9" t="str">
        <f>HYPERLINK("http://www.ncbi.nlm.nih.gov/protein/15809010","Wbscr16")</f>
        <v>Wbscr16</v>
      </c>
      <c r="D8265" s="10">
        <f t="shared" si="129"/>
        <v>2.766395492364274</v>
      </c>
      <c r="F8265" s="8" t="str">
        <f>HYPERLINK("https://esbl.nhlbi.nih.gov/Databases/mpkFractions/proteomic_fractions_log_files/Yang_log_img/15809010.jpg","show blot")</f>
        <v>show blot</v>
      </c>
      <c r="H8265" s="8" t="str">
        <f>HYPERLINK("https://esbl.nhlbi.nih.gov/Databases/mpkFractions/proteomic_fractions_linear_files/Yang_linear_img/15809010.jpg","show blot")</f>
        <v>show blot</v>
      </c>
      <c r="J8265" s="5" t="s">
        <v>16280</v>
      </c>
      <c r="L8265" s="11">
        <v>2.766395492364274</v>
      </c>
      <c r="N8265" s="12"/>
    </row>
    <row r="8266" spans="1:14" s="5" customFormat="1" ht="15" customHeight="1" x14ac:dyDescent="0.25">
      <c r="A8266" s="9" t="s">
        <v>16281</v>
      </c>
      <c r="C8266" s="9" t="str">
        <f>HYPERLINK("http://www.ncbi.nlm.nih.gov/protein/125988405","Wbscr22")</f>
        <v>Wbscr22</v>
      </c>
      <c r="D8266" s="10">
        <f t="shared" si="129"/>
        <v>4.1465337547328112</v>
      </c>
      <c r="F8266" s="8" t="str">
        <f>HYPERLINK("https://esbl.nhlbi.nih.gov/Databases/mpkFractions/proteomic_fractions_log_files/Yang_log_img/125988405.jpg","show blot")</f>
        <v>show blot</v>
      </c>
      <c r="H8266" s="8" t="str">
        <f>HYPERLINK("https://esbl.nhlbi.nih.gov/Databases/mpkFractions/proteomic_fractions_linear_files/Yang_linear_img/125988405.jpg","show blot")</f>
        <v>show blot</v>
      </c>
      <c r="J8266" s="5" t="s">
        <v>16282</v>
      </c>
      <c r="L8266" s="11">
        <v>4.1465337547328112</v>
      </c>
      <c r="N8266" s="12"/>
    </row>
    <row r="8267" spans="1:14" s="5" customFormat="1" ht="15" customHeight="1" x14ac:dyDescent="0.25">
      <c r="A8267" s="9" t="s">
        <v>16283</v>
      </c>
      <c r="C8267" s="9" t="str">
        <f>HYPERLINK("http://www.ncbi.nlm.nih.gov/protein/50355999","Wbscr27")</f>
        <v>Wbscr27</v>
      </c>
      <c r="D8267" s="10">
        <f t="shared" si="129"/>
        <v>5.5567834541650383</v>
      </c>
      <c r="F8267" s="8" t="str">
        <f>HYPERLINK("https://esbl.nhlbi.nih.gov/Databases/mpkFractions/proteomic_fractions_log_files/Yang_log_img/50355999.jpg","show blot")</f>
        <v>show blot</v>
      </c>
      <c r="H8267" s="8" t="str">
        <f>HYPERLINK("https://esbl.nhlbi.nih.gov/Databases/mpkFractions/proteomic_fractions_linear_files/Yang_linear_img/50355999.jpg","show blot")</f>
        <v>show blot</v>
      </c>
      <c r="J8267" s="5" t="s">
        <v>16284</v>
      </c>
      <c r="L8267" s="11">
        <v>5.5567834541650383</v>
      </c>
      <c r="N8267" s="12"/>
    </row>
    <row r="8268" spans="1:14" s="5" customFormat="1" ht="15" customHeight="1" x14ac:dyDescent="0.25">
      <c r="A8268" s="9" t="s">
        <v>16285</v>
      </c>
      <c r="C8268" s="9" t="str">
        <f>HYPERLINK("http://www.ncbi.nlm.nih.gov/protein/34732713","Wbscr28")</f>
        <v>Wbscr28</v>
      </c>
      <c r="D8268" s="10">
        <f t="shared" si="129"/>
        <v>2.8492324193992191</v>
      </c>
      <c r="F8268" s="8" t="str">
        <f>HYPERLINK("https://esbl.nhlbi.nih.gov/Databases/mpkFractions/proteomic_fractions_log_files/Yang_log_img/34732713.jpg","show blot")</f>
        <v>show blot</v>
      </c>
      <c r="H8268" s="8" t="str">
        <f>HYPERLINK("https://esbl.nhlbi.nih.gov/Databases/mpkFractions/proteomic_fractions_linear_files/Yang_linear_img/34732713.jpg","show blot")</f>
        <v>show blot</v>
      </c>
      <c r="J8268" s="5" t="s">
        <v>16286</v>
      </c>
      <c r="L8268" s="11">
        <v>2.8492324193992191</v>
      </c>
      <c r="N8268" s="12"/>
    </row>
    <row r="8269" spans="1:14" s="5" customFormat="1" ht="15" customHeight="1" x14ac:dyDescent="0.25">
      <c r="A8269" s="9" t="s">
        <v>16287</v>
      </c>
      <c r="C8269" s="9" t="str">
        <f>HYPERLINK("http://www.ncbi.nlm.nih.gov/protein/34732715","Wbscr28")</f>
        <v>Wbscr28</v>
      </c>
      <c r="D8269" s="10">
        <f t="shared" si="129"/>
        <v>2.8492324193992191</v>
      </c>
      <c r="F8269" s="8" t="str">
        <f>HYPERLINK("https://esbl.nhlbi.nih.gov/Databases/mpkFractions/proteomic_fractions_log_files/Yang_log_img/34732715.jpg","show blot")</f>
        <v>show blot</v>
      </c>
      <c r="H8269" s="8" t="str">
        <f>HYPERLINK("https://esbl.nhlbi.nih.gov/Databases/mpkFractions/proteomic_fractions_linear_files/Yang_linear_img/34732715.jpg","show blot")</f>
        <v>show blot</v>
      </c>
      <c r="J8269" s="5" t="s">
        <v>16288</v>
      </c>
      <c r="L8269" s="11">
        <v>2.8492324193992191</v>
      </c>
      <c r="N8269" s="12"/>
    </row>
    <row r="8270" spans="1:14" s="5" customFormat="1" ht="15" customHeight="1" x14ac:dyDescent="0.25">
      <c r="A8270" s="9" t="s">
        <v>16289</v>
      </c>
      <c r="C8270" s="9" t="str">
        <f>HYPERLINK("http://www.ncbi.nlm.nih.gov/protein/162287109","Wdfy1")</f>
        <v>Wdfy1</v>
      </c>
      <c r="D8270" s="10">
        <f t="shared" si="129"/>
        <v>4.2218015979153858</v>
      </c>
      <c r="F8270" s="8" t="str">
        <f>HYPERLINK("https://esbl.nhlbi.nih.gov/Databases/mpkFractions/proteomic_fractions_log_files/Yang_log_img/162287109.jpg","show blot")</f>
        <v>show blot</v>
      </c>
      <c r="H8270" s="8" t="str">
        <f>HYPERLINK("https://esbl.nhlbi.nih.gov/Databases/mpkFractions/proteomic_fractions_linear_files/Yang_linear_img/162287109.jpg","show blot")</f>
        <v>show blot</v>
      </c>
      <c r="J8270" s="5" t="s">
        <v>16290</v>
      </c>
      <c r="L8270" s="11">
        <v>4.2218015979153858</v>
      </c>
      <c r="N8270" s="12"/>
    </row>
    <row r="8271" spans="1:14" s="5" customFormat="1" ht="15" customHeight="1" x14ac:dyDescent="0.25">
      <c r="A8271" s="9" t="s">
        <v>16291</v>
      </c>
      <c r="C8271" s="9" t="str">
        <f>HYPERLINK("http://www.ncbi.nlm.nih.gov/protein/254540214","Wdfy2")</f>
        <v>Wdfy2</v>
      </c>
      <c r="D8271" s="10">
        <f t="shared" si="129"/>
        <v>2.8847277561344322</v>
      </c>
      <c r="F8271" s="8" t="str">
        <f>HYPERLINK("https://esbl.nhlbi.nih.gov/Databases/mpkFractions/proteomic_fractions_log_files/Yang_log_img/254540214.jpg","show blot")</f>
        <v>show blot</v>
      </c>
      <c r="H8271" s="8" t="str">
        <f>HYPERLINK("https://esbl.nhlbi.nih.gov/Databases/mpkFractions/proteomic_fractions_linear_files/Yang_linear_img/254540214.jpg","show blot")</f>
        <v>show blot</v>
      </c>
      <c r="J8271" s="5" t="s">
        <v>16292</v>
      </c>
      <c r="L8271" s="11">
        <v>2.8847277561344322</v>
      </c>
      <c r="N8271" s="12"/>
    </row>
    <row r="8272" spans="1:14" s="5" customFormat="1" ht="15" customHeight="1" x14ac:dyDescent="0.25">
      <c r="A8272" s="9" t="s">
        <v>16293</v>
      </c>
      <c r="C8272" s="9" t="str">
        <f>HYPERLINK("http://www.ncbi.nlm.nih.gov/protein/39930599","Wdfy3")</f>
        <v>Wdfy3</v>
      </c>
      <c r="D8272" s="10">
        <f t="shared" si="129"/>
        <v>2.4277715259084101</v>
      </c>
      <c r="F8272" s="8" t="str">
        <f>HYPERLINK("https://esbl.nhlbi.nih.gov/Databases/mpkFractions/proteomic_fractions_log_files/Yang_log_img/39930599.jpg","show blot")</f>
        <v>show blot</v>
      </c>
      <c r="H8272" s="8" t="str">
        <f>HYPERLINK("https://esbl.nhlbi.nih.gov/Databases/mpkFractions/proteomic_fractions_linear_files/Yang_linear_img/39930599.jpg","show blot")</f>
        <v>show blot</v>
      </c>
      <c r="J8272" s="5" t="s">
        <v>16294</v>
      </c>
      <c r="L8272" s="11">
        <v>2.4277715259084101</v>
      </c>
      <c r="N8272" s="12"/>
    </row>
    <row r="8273" spans="1:14" s="5" customFormat="1" ht="15" customHeight="1" x14ac:dyDescent="0.25">
      <c r="A8273" s="9" t="s">
        <v>16295</v>
      </c>
      <c r="C8273" s="9" t="str">
        <f>HYPERLINK("http://www.ncbi.nlm.nih.gov/protein/40254224","Wdhd1")</f>
        <v>Wdhd1</v>
      </c>
      <c r="D8273" s="10">
        <f t="shared" si="129"/>
        <v>4.0700981906910494</v>
      </c>
      <c r="F8273" s="8" t="str">
        <f>HYPERLINK("https://esbl.nhlbi.nih.gov/Databases/mpkFractions/proteomic_fractions_log_files/Yang_log_img/40254224.jpg","show blot")</f>
        <v>show blot</v>
      </c>
      <c r="H8273" s="8" t="str">
        <f>HYPERLINK("https://esbl.nhlbi.nih.gov/Databases/mpkFractions/proteomic_fractions_linear_files/Yang_linear_img/40254224.jpg","show blot")</f>
        <v>show blot</v>
      </c>
      <c r="J8273" s="5" t="s">
        <v>16296</v>
      </c>
      <c r="L8273" s="11">
        <v>4.0700981906910494</v>
      </c>
      <c r="N8273" s="12"/>
    </row>
    <row r="8274" spans="1:14" s="5" customFormat="1" ht="15" customHeight="1" x14ac:dyDescent="0.25">
      <c r="A8274" s="9" t="s">
        <v>16297</v>
      </c>
      <c r="C8274" s="9" t="str">
        <f>HYPERLINK("http://www.ncbi.nlm.nih.gov/protein/31981772","Wdpcp")</f>
        <v>Wdpcp</v>
      </c>
      <c r="D8274" s="10">
        <f t="shared" si="129"/>
        <v>5.1186898129204312</v>
      </c>
      <c r="F8274" s="8" t="str">
        <f>HYPERLINK("https://esbl.nhlbi.nih.gov/Databases/mpkFractions/proteomic_fractions_log_files/Yang_log_img/31981772.jpg","show blot")</f>
        <v>show blot</v>
      </c>
      <c r="H8274" s="8" t="str">
        <f>HYPERLINK("https://esbl.nhlbi.nih.gov/Databases/mpkFractions/proteomic_fractions_linear_files/Yang_linear_img/31981772.jpg","show blot")</f>
        <v>show blot</v>
      </c>
      <c r="J8274" s="5" t="s">
        <v>16298</v>
      </c>
      <c r="L8274" s="11">
        <v>5.1186898129204312</v>
      </c>
      <c r="N8274" s="12"/>
    </row>
    <row r="8275" spans="1:14" s="5" customFormat="1" ht="15" customHeight="1" x14ac:dyDescent="0.25">
      <c r="A8275" s="9" t="s">
        <v>16299</v>
      </c>
      <c r="C8275" s="9" t="str">
        <f>HYPERLINK("http://www.ncbi.nlm.nih.gov/protein/6755995","Wdr1")</f>
        <v>Wdr1</v>
      </c>
      <c r="D8275" s="10">
        <f t="shared" si="129"/>
        <v>6.0922290558796748</v>
      </c>
      <c r="F8275" s="8" t="str">
        <f>HYPERLINK("https://esbl.nhlbi.nih.gov/Databases/mpkFractions/proteomic_fractions_log_files/Yang_log_img/6755995.jpg","show blot")</f>
        <v>show blot</v>
      </c>
      <c r="H8275" s="8" t="str">
        <f>HYPERLINK("https://esbl.nhlbi.nih.gov/Databases/mpkFractions/proteomic_fractions_linear_files/Yang_linear_img/6755995.jpg","show blot")</f>
        <v>show blot</v>
      </c>
      <c r="J8275" s="5" t="s">
        <v>16300</v>
      </c>
      <c r="L8275" s="11">
        <v>6.0922290558796748</v>
      </c>
      <c r="N8275" s="12"/>
    </row>
    <row r="8276" spans="1:14" s="5" customFormat="1" ht="15" customHeight="1" x14ac:dyDescent="0.25">
      <c r="A8276" s="9" t="s">
        <v>16301</v>
      </c>
      <c r="C8276" s="9" t="str">
        <f>HYPERLINK("http://www.ncbi.nlm.nih.gov/protein/227908800","Wdr11")</f>
        <v>Wdr11</v>
      </c>
      <c r="D8276" s="10">
        <f t="shared" si="129"/>
        <v>4.54129447645402</v>
      </c>
      <c r="F8276" s="8" t="str">
        <f>HYPERLINK("https://esbl.nhlbi.nih.gov/Databases/mpkFractions/proteomic_fractions_log_files/Yang_log_img/227908800.jpg","show blot")</f>
        <v>show blot</v>
      </c>
      <c r="H8276" s="8" t="str">
        <f>HYPERLINK("https://esbl.nhlbi.nih.gov/Databases/mpkFractions/proteomic_fractions_linear_files/Yang_linear_img/227908800.jpg","show blot")</f>
        <v>show blot</v>
      </c>
      <c r="J8276" s="5" t="s">
        <v>16302</v>
      </c>
      <c r="L8276" s="11">
        <v>4.54129447645402</v>
      </c>
      <c r="N8276" s="12"/>
    </row>
    <row r="8277" spans="1:14" s="5" customFormat="1" ht="15" customHeight="1" x14ac:dyDescent="0.25">
      <c r="A8277" s="9" t="s">
        <v>16303</v>
      </c>
      <c r="C8277" s="9" t="str">
        <f>HYPERLINK("http://www.ncbi.nlm.nih.gov/protein/10946614;312261271","Wdr12")</f>
        <v>Wdr12</v>
      </c>
      <c r="D8277" s="10">
        <f t="shared" si="129"/>
        <v>4.5748058345022331</v>
      </c>
      <c r="F8277" s="8" t="str">
        <f>HYPERLINK("https://esbl.nhlbi.nih.gov/Databases/mpkFractions/proteomic_fractions_log_files/Yang_log_img/10946614;312261271.jpg","show blot")</f>
        <v>show blot</v>
      </c>
      <c r="H8277" s="8" t="str">
        <f>HYPERLINK("https://esbl.nhlbi.nih.gov/Databases/mpkFractions/proteomic_fractions_linear_files/Yang_linear_img/10946614;312261271.jpg","show blot")</f>
        <v>show blot</v>
      </c>
      <c r="J8277" s="5" t="s">
        <v>16304</v>
      </c>
      <c r="L8277" s="11">
        <v>4.5748058345022331</v>
      </c>
      <c r="N8277" s="12"/>
    </row>
    <row r="8278" spans="1:14" s="5" customFormat="1" ht="15" customHeight="1" x14ac:dyDescent="0.25">
      <c r="A8278" s="9" t="s">
        <v>16305</v>
      </c>
      <c r="C8278" s="9" t="str">
        <f>HYPERLINK("http://www.ncbi.nlm.nih.gov/protein/312261271","Wdr12")</f>
        <v>Wdr12</v>
      </c>
      <c r="D8278" s="10">
        <f t="shared" si="129"/>
        <v>4.5748058345022331</v>
      </c>
      <c r="F8278" s="8" t="str">
        <f>HYPERLINK("https://esbl.nhlbi.nih.gov/Databases/mpkFractions/proteomic_fractions_log_files/Yang_log_img/312261271.jpg","show blot")</f>
        <v>show blot</v>
      </c>
      <c r="H8278" s="8" t="str">
        <f>HYPERLINK("https://esbl.nhlbi.nih.gov/Databases/mpkFractions/proteomic_fractions_linear_files/Yang_linear_img/312261271.jpg","show blot")</f>
        <v>show blot</v>
      </c>
      <c r="J8278" s="5" t="s">
        <v>16304</v>
      </c>
      <c r="L8278" s="11">
        <v>4.5748058345022331</v>
      </c>
      <c r="N8278" s="12"/>
    </row>
    <row r="8279" spans="1:14" s="5" customFormat="1" ht="15" customHeight="1" x14ac:dyDescent="0.25">
      <c r="A8279" s="9" t="s">
        <v>16306</v>
      </c>
      <c r="C8279" s="9" t="str">
        <f>HYPERLINK("http://www.ncbi.nlm.nih.gov/protein/261878588","Wdr13")</f>
        <v>Wdr13</v>
      </c>
      <c r="D8279" s="10">
        <f t="shared" si="129"/>
        <v>3.4023670016595351</v>
      </c>
      <c r="F8279" s="8" t="str">
        <f>HYPERLINK("https://esbl.nhlbi.nih.gov/Databases/mpkFractions/proteomic_fractions_log_files/Yang_log_img/261878588.jpg","show blot")</f>
        <v>show blot</v>
      </c>
      <c r="H8279" s="8" t="str">
        <f>HYPERLINK("https://esbl.nhlbi.nih.gov/Databases/mpkFractions/proteomic_fractions_linear_files/Yang_linear_img/261878588.jpg","show blot")</f>
        <v>show blot</v>
      </c>
      <c r="J8279" s="5" t="s">
        <v>16307</v>
      </c>
      <c r="L8279" s="11">
        <v>3.4023670016595351</v>
      </c>
      <c r="N8279" s="12"/>
    </row>
    <row r="8280" spans="1:14" s="5" customFormat="1" ht="15" customHeight="1" x14ac:dyDescent="0.25">
      <c r="A8280" s="9" t="s">
        <v>16308</v>
      </c>
      <c r="C8280" s="9" t="str">
        <f>HYPERLINK("http://www.ncbi.nlm.nih.gov/protein/83649741","Wdr18")</f>
        <v>Wdr18</v>
      </c>
      <c r="D8280" s="10">
        <f t="shared" si="129"/>
        <v>4.9601384209482164</v>
      </c>
      <c r="F8280" s="8" t="str">
        <f>HYPERLINK("https://esbl.nhlbi.nih.gov/Databases/mpkFractions/proteomic_fractions_log_files/Yang_log_img/83649741.jpg","show blot")</f>
        <v>show blot</v>
      </c>
      <c r="H8280" s="8" t="str">
        <f>HYPERLINK("https://esbl.nhlbi.nih.gov/Databases/mpkFractions/proteomic_fractions_linear_files/Yang_linear_img/83649741.jpg","show blot")</f>
        <v>show blot</v>
      </c>
      <c r="J8280" s="5" t="s">
        <v>16309</v>
      </c>
      <c r="L8280" s="11">
        <v>4.9601384209482164</v>
      </c>
      <c r="N8280" s="12"/>
    </row>
    <row r="8281" spans="1:14" s="5" customFormat="1" ht="15" customHeight="1" x14ac:dyDescent="0.25">
      <c r="A8281" s="9" t="s">
        <v>16310</v>
      </c>
      <c r="C8281" s="9" t="str">
        <f>HYPERLINK("http://www.ncbi.nlm.nih.gov/protein/154240688","Wdr19")</f>
        <v>Wdr19</v>
      </c>
      <c r="D8281" s="10">
        <f t="shared" si="129"/>
        <v>3.476426660055568</v>
      </c>
      <c r="F8281" s="8" t="str">
        <f>HYPERLINK("https://esbl.nhlbi.nih.gov/Databases/mpkFractions/proteomic_fractions_log_files/Yang_log_img/154240688.jpg","show blot")</f>
        <v>show blot</v>
      </c>
      <c r="H8281" s="8" t="str">
        <f>HYPERLINK("https://esbl.nhlbi.nih.gov/Databases/mpkFractions/proteomic_fractions_linear_files/Yang_linear_img/154240688.jpg","show blot")</f>
        <v>show blot</v>
      </c>
      <c r="J8281" s="5" t="s">
        <v>16311</v>
      </c>
      <c r="L8281" s="11">
        <v>3.476426660055568</v>
      </c>
      <c r="N8281" s="12"/>
    </row>
    <row r="8282" spans="1:14" s="5" customFormat="1" ht="15" customHeight="1" x14ac:dyDescent="0.25">
      <c r="A8282" s="9" t="s">
        <v>16312</v>
      </c>
      <c r="C8282" s="9" t="str">
        <f>HYPERLINK("http://www.ncbi.nlm.nih.gov/protein/61742804","Wdr20")</f>
        <v>Wdr20</v>
      </c>
      <c r="D8282" s="10">
        <f t="shared" si="129"/>
        <v>3.505931803008997</v>
      </c>
      <c r="F8282" s="8" t="str">
        <f>HYPERLINK("https://esbl.nhlbi.nih.gov/Databases/mpkFractions/proteomic_fractions_log_files/Yang_log_img/61742804.jpg","show blot")</f>
        <v>show blot</v>
      </c>
      <c r="H8282" s="8" t="str">
        <f>HYPERLINK("https://esbl.nhlbi.nih.gov/Databases/mpkFractions/proteomic_fractions_linear_files/Yang_linear_img/61742804.jpg","show blot")</f>
        <v>show blot</v>
      </c>
      <c r="J8282" s="5" t="s">
        <v>16313</v>
      </c>
      <c r="L8282" s="11">
        <v>3.505931803008997</v>
      </c>
      <c r="N8282" s="12"/>
    </row>
    <row r="8283" spans="1:14" s="5" customFormat="1" ht="15" customHeight="1" x14ac:dyDescent="0.25">
      <c r="A8283" s="9" t="s">
        <v>16314</v>
      </c>
      <c r="C8283" s="9" t="str">
        <f>HYPERLINK("http://www.ncbi.nlm.nih.gov/protein/21735451","Wdr20rt")</f>
        <v>Wdr20rt</v>
      </c>
      <c r="D8283" s="10">
        <f t="shared" si="129"/>
        <v>3.3910114642310658</v>
      </c>
      <c r="F8283" s="8" t="str">
        <f>HYPERLINK("https://esbl.nhlbi.nih.gov/Databases/mpkFractions/proteomic_fractions_log_files/Yang_log_img/21735451.jpg","show blot")</f>
        <v>show blot</v>
      </c>
      <c r="H8283" s="8" t="str">
        <f>HYPERLINK("https://esbl.nhlbi.nih.gov/Databases/mpkFractions/proteomic_fractions_linear_files/Yang_linear_img/21735451.jpg","show blot")</f>
        <v>show blot</v>
      </c>
      <c r="J8283" s="5" t="s">
        <v>16315</v>
      </c>
      <c r="L8283" s="11">
        <v>3.3910114642310658</v>
      </c>
      <c r="N8283" s="12"/>
    </row>
    <row r="8284" spans="1:14" s="5" customFormat="1" ht="15" customHeight="1" x14ac:dyDescent="0.25">
      <c r="A8284" s="9" t="s">
        <v>16316</v>
      </c>
      <c r="C8284" s="9" t="str">
        <f>HYPERLINK("http://www.ncbi.nlm.nih.gov/protein/264681550","Wdr26")</f>
        <v>Wdr26</v>
      </c>
      <c r="D8284" s="10">
        <f t="shared" si="129"/>
        <v>4.5921295593196474</v>
      </c>
      <c r="F8284" s="8" t="str">
        <f>HYPERLINK("https://esbl.nhlbi.nih.gov/Databases/mpkFractions/proteomic_fractions_log_files/Yang_log_img/264681550.jpg","show blot")</f>
        <v>show blot</v>
      </c>
      <c r="H8284" s="8" t="str">
        <f>HYPERLINK("https://esbl.nhlbi.nih.gov/Databases/mpkFractions/proteomic_fractions_linear_files/Yang_linear_img/264681550.jpg","show blot")</f>
        <v>show blot</v>
      </c>
      <c r="J8284" s="5" t="s">
        <v>16317</v>
      </c>
      <c r="L8284" s="11">
        <v>4.5921295593196474</v>
      </c>
      <c r="N8284" s="12"/>
    </row>
    <row r="8285" spans="1:14" s="5" customFormat="1" ht="15" customHeight="1" x14ac:dyDescent="0.25">
      <c r="A8285" s="9" t="s">
        <v>16318</v>
      </c>
      <c r="C8285" s="9" t="str">
        <f>HYPERLINK("http://www.ncbi.nlm.nih.gov/protein/30425338","Wdr3")</f>
        <v>Wdr3</v>
      </c>
      <c r="D8285" s="10">
        <f t="shared" si="129"/>
        <v>1.7085331354323789</v>
      </c>
      <c r="F8285" s="8" t="str">
        <f>HYPERLINK("https://esbl.nhlbi.nih.gov/Databases/mpkFractions/proteomic_fractions_log_files/Yang_log_img/30425338.jpg","show blot")</f>
        <v>show blot</v>
      </c>
      <c r="H8285" s="8" t="str">
        <f>HYPERLINK("https://esbl.nhlbi.nih.gov/Databases/mpkFractions/proteomic_fractions_linear_files/Yang_linear_img/30425338.jpg","show blot")</f>
        <v>show blot</v>
      </c>
      <c r="J8285" s="5" t="s">
        <v>16319</v>
      </c>
      <c r="L8285" s="11">
        <v>1.7085331354323789</v>
      </c>
      <c r="N8285" s="12"/>
    </row>
    <row r="8286" spans="1:14" s="5" customFormat="1" ht="15" customHeight="1" x14ac:dyDescent="0.25">
      <c r="A8286" s="9" t="s">
        <v>16320</v>
      </c>
      <c r="C8286" s="9" t="str">
        <f>HYPERLINK("http://www.ncbi.nlm.nih.gov/protein/21362285","Wdr33")</f>
        <v>Wdr33</v>
      </c>
      <c r="D8286" s="10">
        <f t="shared" si="129"/>
        <v>3.5216629685157379</v>
      </c>
      <c r="F8286" s="8" t="str">
        <f>HYPERLINK("https://esbl.nhlbi.nih.gov/Databases/mpkFractions/proteomic_fractions_log_files/Yang_log_img/21362285.jpg","show blot")</f>
        <v>show blot</v>
      </c>
      <c r="H8286" s="8" t="str">
        <f>HYPERLINK("https://esbl.nhlbi.nih.gov/Databases/mpkFractions/proteomic_fractions_linear_files/Yang_linear_img/21362285.jpg","show blot")</f>
        <v>show blot</v>
      </c>
      <c r="J8286" s="5" t="s">
        <v>16321</v>
      </c>
      <c r="L8286" s="11">
        <v>3.5216629685157379</v>
      </c>
      <c r="N8286" s="12"/>
    </row>
    <row r="8287" spans="1:14" s="5" customFormat="1" ht="15" customHeight="1" x14ac:dyDescent="0.25">
      <c r="A8287" s="9" t="s">
        <v>16322</v>
      </c>
      <c r="C8287" s="9" t="str">
        <f>HYPERLINK("http://www.ncbi.nlm.nih.gov/protein/139948827","Wdr34")</f>
        <v>Wdr34</v>
      </c>
      <c r="D8287" s="10">
        <f t="shared" si="129"/>
        <v>0.86942859043111897</v>
      </c>
      <c r="F8287" s="8" t="str">
        <f>HYPERLINK("https://esbl.nhlbi.nih.gov/Databases/mpkFractions/proteomic_fractions_log_files/Yang_log_img/139948827.jpg","show blot")</f>
        <v>show blot</v>
      </c>
      <c r="H8287" s="8" t="str">
        <f>HYPERLINK("https://esbl.nhlbi.nih.gov/Databases/mpkFractions/proteomic_fractions_linear_files/Yang_linear_img/139948827.jpg","show blot")</f>
        <v>show blot</v>
      </c>
      <c r="J8287" s="5" t="s">
        <v>16323</v>
      </c>
      <c r="L8287" s="11">
        <v>0.86942859043111897</v>
      </c>
      <c r="N8287" s="12"/>
    </row>
    <row r="8288" spans="1:14" s="5" customFormat="1" ht="15" customHeight="1" x14ac:dyDescent="0.25">
      <c r="A8288" s="9" t="s">
        <v>16324</v>
      </c>
      <c r="C8288" s="9" t="str">
        <f>HYPERLINK("http://www.ncbi.nlm.nih.gov/protein/226958501","Wdr35")</f>
        <v>Wdr35</v>
      </c>
      <c r="D8288" s="10">
        <f t="shared" si="129"/>
        <v>2.9434429715762782</v>
      </c>
      <c r="F8288" s="8" t="str">
        <f>HYPERLINK("https://esbl.nhlbi.nih.gov/Databases/mpkFractions/proteomic_fractions_log_files/Yang_log_img/226958501.jpg","show blot")</f>
        <v>show blot</v>
      </c>
      <c r="H8288" s="8" t="str">
        <f>HYPERLINK("https://esbl.nhlbi.nih.gov/Databases/mpkFractions/proteomic_fractions_linear_files/Yang_linear_img/226958501.jpg","show blot")</f>
        <v>show blot</v>
      </c>
      <c r="J8288" s="5" t="s">
        <v>16325</v>
      </c>
      <c r="L8288" s="11">
        <v>2.9434429715762782</v>
      </c>
      <c r="N8288" s="12"/>
    </row>
    <row r="8289" spans="1:14" s="5" customFormat="1" ht="15" customHeight="1" x14ac:dyDescent="0.25">
      <c r="A8289" s="9" t="s">
        <v>16326</v>
      </c>
      <c r="C8289" s="9" t="str">
        <f>HYPERLINK("http://www.ncbi.nlm.nih.gov/protein/226958503","Wdr35")</f>
        <v>Wdr35</v>
      </c>
      <c r="D8289" s="10">
        <f t="shared" si="129"/>
        <v>2.9434429715762782</v>
      </c>
      <c r="F8289" s="8" t="str">
        <f>HYPERLINK("https://esbl.nhlbi.nih.gov/Databases/mpkFractions/proteomic_fractions_log_files/Yang_log_img/226958503.jpg","show blot")</f>
        <v>show blot</v>
      </c>
      <c r="H8289" s="8" t="str">
        <f>HYPERLINK("https://esbl.nhlbi.nih.gov/Databases/mpkFractions/proteomic_fractions_linear_files/Yang_linear_img/226958503.jpg","show blot")</f>
        <v>show blot</v>
      </c>
      <c r="J8289" s="5" t="s">
        <v>16327</v>
      </c>
      <c r="L8289" s="11">
        <v>2.9434429715762782</v>
      </c>
      <c r="N8289" s="12"/>
    </row>
    <row r="8290" spans="1:14" s="5" customFormat="1" ht="15" customHeight="1" x14ac:dyDescent="0.25">
      <c r="A8290" s="9" t="s">
        <v>16328</v>
      </c>
      <c r="C8290" s="9" t="str">
        <f>HYPERLINK("http://www.ncbi.nlm.nih.gov/protein/31542010","Wdr36")</f>
        <v>Wdr36</v>
      </c>
      <c r="D8290" s="10">
        <f t="shared" si="129"/>
        <v>3.4824012328757319</v>
      </c>
      <c r="F8290" s="8" t="str">
        <f>HYPERLINK("https://esbl.nhlbi.nih.gov/Databases/mpkFractions/proteomic_fractions_log_files/Yang_log_img/31542010.jpg","show blot")</f>
        <v>show blot</v>
      </c>
      <c r="H8290" s="8" t="str">
        <f>HYPERLINK("https://esbl.nhlbi.nih.gov/Databases/mpkFractions/proteomic_fractions_linear_files/Yang_linear_img/31542010.jpg","show blot")</f>
        <v>show blot</v>
      </c>
      <c r="J8290" s="5" t="s">
        <v>16329</v>
      </c>
      <c r="L8290" s="11">
        <v>3.4824012328757319</v>
      </c>
      <c r="N8290" s="12"/>
    </row>
    <row r="8291" spans="1:14" s="5" customFormat="1" ht="15" customHeight="1" x14ac:dyDescent="0.25">
      <c r="A8291" s="9" t="s">
        <v>16330</v>
      </c>
      <c r="C8291" s="9" t="str">
        <f>HYPERLINK("http://www.ncbi.nlm.nih.gov/protein/158517940","Wdr36")</f>
        <v>Wdr36</v>
      </c>
      <c r="D8291" s="10">
        <f t="shared" si="129"/>
        <v>3.4824012328757319</v>
      </c>
      <c r="F8291" s="8" t="str">
        <f>HYPERLINK("https://esbl.nhlbi.nih.gov/Databases/mpkFractions/proteomic_fractions_log_files/Yang_log_img/158517940.jpg","show blot")</f>
        <v>show blot</v>
      </c>
      <c r="H8291" s="8" t="str">
        <f>HYPERLINK("https://esbl.nhlbi.nih.gov/Databases/mpkFractions/proteomic_fractions_linear_files/Yang_linear_img/158517940.jpg","show blot")</f>
        <v>show blot</v>
      </c>
      <c r="J8291" s="5" t="s">
        <v>16331</v>
      </c>
      <c r="L8291" s="11">
        <v>3.4824012328757319</v>
      </c>
      <c r="N8291" s="12"/>
    </row>
    <row r="8292" spans="1:14" s="5" customFormat="1" ht="15" customHeight="1" x14ac:dyDescent="0.25">
      <c r="A8292" s="9" t="s">
        <v>16332</v>
      </c>
      <c r="C8292" s="9" t="str">
        <f>HYPERLINK("http://www.ncbi.nlm.nih.gov/protein/158517942","Wdr36")</f>
        <v>Wdr36</v>
      </c>
      <c r="D8292" s="10">
        <f t="shared" si="129"/>
        <v>3.4824012328757319</v>
      </c>
      <c r="F8292" s="8" t="str">
        <f>HYPERLINK("https://esbl.nhlbi.nih.gov/Databases/mpkFractions/proteomic_fractions_log_files/Yang_log_img/158517942.jpg","show blot")</f>
        <v>show blot</v>
      </c>
      <c r="H8292" s="8" t="str">
        <f>HYPERLINK("https://esbl.nhlbi.nih.gov/Databases/mpkFractions/proteomic_fractions_linear_files/Yang_linear_img/158517942.jpg","show blot")</f>
        <v>show blot</v>
      </c>
      <c r="J8292" s="5" t="s">
        <v>16333</v>
      </c>
      <c r="L8292" s="11">
        <v>3.4824012328757319</v>
      </c>
      <c r="N8292" s="12"/>
    </row>
    <row r="8293" spans="1:14" s="5" customFormat="1" ht="15" customHeight="1" x14ac:dyDescent="0.25">
      <c r="A8293" s="9" t="s">
        <v>16334</v>
      </c>
      <c r="C8293" s="9" t="str">
        <f>HYPERLINK("http://www.ncbi.nlm.nih.gov/protein/27369593","Wdr37")</f>
        <v>Wdr37</v>
      </c>
      <c r="D8293" s="10">
        <f t="shared" si="129"/>
        <v>4.720322990491054</v>
      </c>
      <c r="F8293" s="8" t="str">
        <f>HYPERLINK("https://esbl.nhlbi.nih.gov/Databases/mpkFractions/proteomic_fractions_log_files/Yang_log_img/27369593.jpg","show blot")</f>
        <v>show blot</v>
      </c>
      <c r="H8293" s="8" t="str">
        <f>HYPERLINK("https://esbl.nhlbi.nih.gov/Databases/mpkFractions/proteomic_fractions_linear_files/Yang_linear_img/27369593.jpg","show blot")</f>
        <v>show blot</v>
      </c>
      <c r="J8293" s="5" t="s">
        <v>16335</v>
      </c>
      <c r="L8293" s="11">
        <v>4.720322990491054</v>
      </c>
      <c r="N8293" s="12"/>
    </row>
    <row r="8294" spans="1:14" s="5" customFormat="1" ht="15" customHeight="1" x14ac:dyDescent="0.25">
      <c r="A8294" s="9" t="s">
        <v>16336</v>
      </c>
      <c r="C8294" s="9" t="str">
        <f>HYPERLINK("http://www.ncbi.nlm.nih.gov/protein/86476061","Wdr37")</f>
        <v>Wdr37</v>
      </c>
      <c r="D8294" s="10">
        <f t="shared" si="129"/>
        <v>4.720322990491054</v>
      </c>
      <c r="F8294" s="8" t="str">
        <f>HYPERLINK("https://esbl.nhlbi.nih.gov/Databases/mpkFractions/proteomic_fractions_log_files/Yang_log_img/86476061.jpg","show blot")</f>
        <v>show blot</v>
      </c>
      <c r="H8294" s="8" t="str">
        <f>HYPERLINK("https://esbl.nhlbi.nih.gov/Databases/mpkFractions/proteomic_fractions_linear_files/Yang_linear_img/86476061.jpg","show blot")</f>
        <v>show blot</v>
      </c>
      <c r="J8294" s="5" t="s">
        <v>16337</v>
      </c>
      <c r="L8294" s="11">
        <v>4.720322990491054</v>
      </c>
      <c r="N8294" s="12"/>
    </row>
    <row r="8295" spans="1:14" s="5" customFormat="1" ht="15" customHeight="1" x14ac:dyDescent="0.25">
      <c r="A8295" s="9" t="s">
        <v>16338</v>
      </c>
      <c r="C8295" s="9" t="str">
        <f>HYPERLINK("http://www.ncbi.nlm.nih.gov/protein/255308863","Wdr4")</f>
        <v>Wdr4</v>
      </c>
      <c r="D8295" s="10">
        <f t="shared" si="129"/>
        <v>4.5130388502235066</v>
      </c>
      <c r="F8295" s="8" t="str">
        <f>HYPERLINK("https://esbl.nhlbi.nih.gov/Databases/mpkFractions/proteomic_fractions_log_files/Yang_log_img/255308863.jpg","show blot")</f>
        <v>show blot</v>
      </c>
      <c r="H8295" s="8" t="str">
        <f>HYPERLINK("https://esbl.nhlbi.nih.gov/Databases/mpkFractions/proteomic_fractions_linear_files/Yang_linear_img/255308863.jpg","show blot")</f>
        <v>show blot</v>
      </c>
      <c r="J8295" s="5" t="s">
        <v>16339</v>
      </c>
      <c r="L8295" s="11">
        <v>4.5130388502235066</v>
      </c>
      <c r="N8295" s="12"/>
    </row>
    <row r="8296" spans="1:14" s="5" customFormat="1" ht="15" customHeight="1" x14ac:dyDescent="0.25">
      <c r="A8296" s="9" t="s">
        <v>16340</v>
      </c>
      <c r="C8296" s="9" t="str">
        <f>HYPERLINK("http://www.ncbi.nlm.nih.gov/protein/123702001","Wdr41")</f>
        <v>Wdr41</v>
      </c>
      <c r="D8296" s="10">
        <f t="shared" si="129"/>
        <v>2.4729480759452418</v>
      </c>
      <c r="F8296" s="8" t="str">
        <f>HYPERLINK("https://esbl.nhlbi.nih.gov/Databases/mpkFractions/proteomic_fractions_log_files/Yang_log_img/123702001.jpg","show blot")</f>
        <v>show blot</v>
      </c>
      <c r="H8296" s="8" t="str">
        <f>HYPERLINK("https://esbl.nhlbi.nih.gov/Databases/mpkFractions/proteomic_fractions_linear_files/Yang_linear_img/123702001.jpg","show blot")</f>
        <v>show blot</v>
      </c>
      <c r="J8296" s="5" t="s">
        <v>16341</v>
      </c>
      <c r="L8296" s="11">
        <v>2.4729480759452418</v>
      </c>
      <c r="N8296" s="12"/>
    </row>
    <row r="8297" spans="1:14" s="5" customFormat="1" ht="15" customHeight="1" x14ac:dyDescent="0.25">
      <c r="A8297" s="9" t="s">
        <v>16342</v>
      </c>
      <c r="C8297" s="9" t="str">
        <f>HYPERLINK("http://www.ncbi.nlm.nih.gov/protein/124249073","Wdr44")</f>
        <v>Wdr44</v>
      </c>
      <c r="D8297" s="10">
        <f t="shared" si="129"/>
        <v>3.5084112275184518</v>
      </c>
      <c r="F8297" s="8" t="str">
        <f>HYPERLINK("https://esbl.nhlbi.nih.gov/Databases/mpkFractions/proteomic_fractions_log_files/Yang_log_img/124249073.jpg","show blot")</f>
        <v>show blot</v>
      </c>
      <c r="H8297" s="8" t="str">
        <f>HYPERLINK("https://esbl.nhlbi.nih.gov/Databases/mpkFractions/proteomic_fractions_linear_files/Yang_linear_img/124249073.jpg","show blot")</f>
        <v>show blot</v>
      </c>
      <c r="J8297" s="5" t="s">
        <v>16343</v>
      </c>
      <c r="L8297" s="11">
        <v>3.5084112275184518</v>
      </c>
      <c r="N8297" s="12"/>
    </row>
    <row r="8298" spans="1:14" s="5" customFormat="1" ht="15" customHeight="1" x14ac:dyDescent="0.25">
      <c r="A8298" s="9" t="s">
        <v>16344</v>
      </c>
      <c r="C8298" s="9" t="str">
        <f>HYPERLINK("http://www.ncbi.nlm.nih.gov/protein/27363472","Wdr45")</f>
        <v>Wdr45</v>
      </c>
      <c r="D8298" s="10">
        <f t="shared" si="129"/>
        <v>4.3301212706314773</v>
      </c>
      <c r="F8298" s="8" t="str">
        <f>HYPERLINK("https://esbl.nhlbi.nih.gov/Databases/mpkFractions/proteomic_fractions_log_files/Yang_log_img/27363472.jpg","show blot")</f>
        <v>show blot</v>
      </c>
      <c r="H8298" s="8" t="str">
        <f>HYPERLINK("https://esbl.nhlbi.nih.gov/Databases/mpkFractions/proteomic_fractions_linear_files/Yang_linear_img/27363472.jpg","show blot")</f>
        <v>show blot</v>
      </c>
      <c r="J8298" s="5" t="s">
        <v>16345</v>
      </c>
      <c r="L8298" s="11">
        <v>4.3301212706314773</v>
      </c>
      <c r="N8298" s="12"/>
    </row>
    <row r="8299" spans="1:14" s="5" customFormat="1" ht="15" customHeight="1" x14ac:dyDescent="0.25">
      <c r="A8299" s="9" t="s">
        <v>16346</v>
      </c>
      <c r="C8299" s="9" t="str">
        <f>HYPERLINK("http://www.ncbi.nlm.nih.gov/protein/27229002","Wdr45b")</f>
        <v>Wdr45b</v>
      </c>
      <c r="D8299" s="10">
        <f t="shared" si="129"/>
        <v>4.1753396564719667</v>
      </c>
      <c r="F8299" s="8" t="str">
        <f>HYPERLINK("https://esbl.nhlbi.nih.gov/Databases/mpkFractions/proteomic_fractions_log_files/Yang_log_img/27229002.jpg","show blot")</f>
        <v>show blot</v>
      </c>
      <c r="H8299" s="8" t="str">
        <f>HYPERLINK("https://esbl.nhlbi.nih.gov/Databases/mpkFractions/proteomic_fractions_linear_files/Yang_linear_img/27229002.jpg","show blot")</f>
        <v>show blot</v>
      </c>
      <c r="J8299" s="5" t="s">
        <v>16347</v>
      </c>
      <c r="L8299" s="11">
        <v>4.1753396564719667</v>
      </c>
      <c r="N8299" s="12"/>
    </row>
    <row r="8300" spans="1:14" s="5" customFormat="1" ht="15" customHeight="1" x14ac:dyDescent="0.25">
      <c r="A8300" s="9" t="s">
        <v>16348</v>
      </c>
      <c r="C8300" s="9" t="str">
        <f>HYPERLINK("http://www.ncbi.nlm.nih.gov/protein/10181122","Wdr46")</f>
        <v>Wdr46</v>
      </c>
      <c r="D8300" s="10">
        <f t="shared" si="129"/>
        <v>3.8468856345275491</v>
      </c>
      <c r="F8300" s="8" t="str">
        <f>HYPERLINK("https://esbl.nhlbi.nih.gov/Databases/mpkFractions/proteomic_fractions_log_files/Yang_log_img/10181122.jpg","show blot")</f>
        <v>show blot</v>
      </c>
      <c r="H8300" s="8" t="str">
        <f>HYPERLINK("https://esbl.nhlbi.nih.gov/Databases/mpkFractions/proteomic_fractions_linear_files/Yang_linear_img/10181122.jpg","show blot")</f>
        <v>show blot</v>
      </c>
      <c r="J8300" s="5" t="s">
        <v>16349</v>
      </c>
      <c r="L8300" s="11">
        <v>3.8468856345275491</v>
      </c>
      <c r="N8300" s="12"/>
    </row>
    <row r="8301" spans="1:14" s="5" customFormat="1" ht="15" customHeight="1" x14ac:dyDescent="0.25">
      <c r="A8301" s="9" t="s">
        <v>16350</v>
      </c>
      <c r="C8301" s="9" t="str">
        <f>HYPERLINK("http://www.ncbi.nlm.nih.gov/protein/170172546","Wdr47")</f>
        <v>Wdr47</v>
      </c>
      <c r="D8301" s="10">
        <f t="shared" si="129"/>
        <v>3.5437831735292602</v>
      </c>
      <c r="F8301" s="8" t="str">
        <f>HYPERLINK("https://esbl.nhlbi.nih.gov/Databases/mpkFractions/proteomic_fractions_log_files/Yang_log_img/170172546.jpg","show blot")</f>
        <v>show blot</v>
      </c>
      <c r="H8301" s="8" t="str">
        <f>HYPERLINK("https://esbl.nhlbi.nih.gov/Databases/mpkFractions/proteomic_fractions_linear_files/Yang_linear_img/170172546.jpg","show blot")</f>
        <v>show blot</v>
      </c>
      <c r="J8301" s="5" t="s">
        <v>16351</v>
      </c>
      <c r="L8301" s="11">
        <v>3.5437831735292602</v>
      </c>
      <c r="N8301" s="12"/>
    </row>
    <row r="8302" spans="1:14" s="5" customFormat="1" ht="15" customHeight="1" x14ac:dyDescent="0.25">
      <c r="A8302" s="9" t="s">
        <v>16352</v>
      </c>
      <c r="C8302" s="9" t="str">
        <f>HYPERLINK("http://www.ncbi.nlm.nih.gov/protein/33468987","Wdr48")</f>
        <v>Wdr48</v>
      </c>
      <c r="D8302" s="10">
        <f t="shared" si="129"/>
        <v>4.3773153373115612</v>
      </c>
      <c r="F8302" s="8" t="str">
        <f>HYPERLINK("https://esbl.nhlbi.nih.gov/Databases/mpkFractions/proteomic_fractions_log_files/Yang_log_img/33468987.jpg","show blot")</f>
        <v>show blot</v>
      </c>
      <c r="H8302" s="8" t="str">
        <f>HYPERLINK("https://esbl.nhlbi.nih.gov/Databases/mpkFractions/proteomic_fractions_linear_files/Yang_linear_img/33468987.jpg","show blot")</f>
        <v>show blot</v>
      </c>
      <c r="J8302" s="5" t="s">
        <v>16353</v>
      </c>
      <c r="L8302" s="11">
        <v>4.3773153373115612</v>
      </c>
      <c r="N8302" s="12"/>
    </row>
    <row r="8303" spans="1:14" s="5" customFormat="1" ht="15" customHeight="1" x14ac:dyDescent="0.25">
      <c r="A8303" s="9" t="s">
        <v>16354</v>
      </c>
      <c r="C8303" s="9" t="str">
        <f>HYPERLINK("http://www.ncbi.nlm.nih.gov/protein/309264766","Wdr49")</f>
        <v>Wdr49</v>
      </c>
      <c r="D8303" s="10">
        <f t="shared" si="129"/>
        <v>4.4083081952969403</v>
      </c>
      <c r="F8303" s="8" t="str">
        <f>HYPERLINK("https://esbl.nhlbi.nih.gov/Databases/mpkFractions/proteomic_fractions_log_files/Yang_log_img/309264766.jpg","show blot")</f>
        <v>show blot</v>
      </c>
      <c r="H8303" s="8" t="str">
        <f>HYPERLINK("https://esbl.nhlbi.nih.gov/Databases/mpkFractions/proteomic_fractions_linear_files/Yang_linear_img/309264766.jpg","show blot")</f>
        <v>show blot</v>
      </c>
      <c r="J8303" s="5" t="s">
        <v>16355</v>
      </c>
      <c r="L8303" s="11">
        <v>4.4083081952969403</v>
      </c>
      <c r="N8303" s="12"/>
    </row>
    <row r="8304" spans="1:14" s="5" customFormat="1" ht="15" customHeight="1" x14ac:dyDescent="0.25">
      <c r="A8304" s="9" t="s">
        <v>16356</v>
      </c>
      <c r="C8304" s="9" t="str">
        <f>HYPERLINK("http://www.ncbi.nlm.nih.gov/protein/407263036","Wdr49")</f>
        <v>Wdr49</v>
      </c>
      <c r="D8304" s="10">
        <f t="shared" si="129"/>
        <v>4.4083081952969403</v>
      </c>
      <c r="F8304" s="8" t="str">
        <f>HYPERLINK("https://esbl.nhlbi.nih.gov/Databases/mpkFractions/proteomic_fractions_log_files/Yang_log_img/407263036.jpg","show blot")</f>
        <v>show blot</v>
      </c>
      <c r="H8304" s="8" t="str">
        <f>HYPERLINK("https://esbl.nhlbi.nih.gov/Databases/mpkFractions/proteomic_fractions_linear_files/Yang_linear_img/407263036.jpg","show blot")</f>
        <v>show blot</v>
      </c>
      <c r="J8304" s="5" t="s">
        <v>16355</v>
      </c>
      <c r="L8304" s="11">
        <v>4.4083081952969403</v>
      </c>
      <c r="N8304" s="12"/>
    </row>
    <row r="8305" spans="1:14" s="5" customFormat="1" ht="15" customHeight="1" x14ac:dyDescent="0.25">
      <c r="A8305" s="9" t="s">
        <v>16357</v>
      </c>
      <c r="C8305" s="9" t="str">
        <f>HYPERLINK("http://www.ncbi.nlm.nih.gov/protein/18252790","Wdr5")</f>
        <v>Wdr5</v>
      </c>
      <c r="D8305" s="10">
        <f t="shared" si="129"/>
        <v>5.1528682317315848</v>
      </c>
      <c r="F8305" s="8" t="str">
        <f>HYPERLINK("https://esbl.nhlbi.nih.gov/Databases/mpkFractions/proteomic_fractions_log_files/Yang_log_img/18252790.jpg","show blot")</f>
        <v>show blot</v>
      </c>
      <c r="H8305" s="8" t="str">
        <f>HYPERLINK("https://esbl.nhlbi.nih.gov/Databases/mpkFractions/proteomic_fractions_linear_files/Yang_linear_img/18252790.jpg","show blot")</f>
        <v>show blot</v>
      </c>
      <c r="J8305" s="5" t="s">
        <v>16358</v>
      </c>
      <c r="L8305" s="11">
        <v>5.1528682317315848</v>
      </c>
      <c r="N8305" s="12"/>
    </row>
    <row r="8306" spans="1:14" s="5" customFormat="1" ht="15" customHeight="1" x14ac:dyDescent="0.25">
      <c r="A8306" s="9" t="s">
        <v>16359</v>
      </c>
      <c r="C8306" s="9" t="str">
        <f>HYPERLINK("http://www.ncbi.nlm.nih.gov/protein/256818776","Wdr52")</f>
        <v>Wdr52</v>
      </c>
      <c r="D8306" s="10">
        <f t="shared" si="129"/>
        <v>2.7735938245810599</v>
      </c>
      <c r="F8306" s="8" t="str">
        <f>HYPERLINK("https://esbl.nhlbi.nih.gov/Databases/mpkFractions/proteomic_fractions_log_files/Yang_log_img/256818776.jpg","show blot")</f>
        <v>show blot</v>
      </c>
      <c r="H8306" s="8" t="str">
        <f>HYPERLINK("https://esbl.nhlbi.nih.gov/Databases/mpkFractions/proteomic_fractions_linear_files/Yang_linear_img/256818776.jpg","show blot")</f>
        <v>show blot</v>
      </c>
      <c r="J8306" s="5" t="s">
        <v>16360</v>
      </c>
      <c r="L8306" s="11">
        <v>2.7735938245810599</v>
      </c>
      <c r="N8306" s="12"/>
    </row>
    <row r="8307" spans="1:14" s="5" customFormat="1" ht="15" customHeight="1" x14ac:dyDescent="0.25">
      <c r="A8307" s="9" t="s">
        <v>16361</v>
      </c>
      <c r="C8307" s="9" t="str">
        <f>HYPERLINK("http://www.ncbi.nlm.nih.gov/protein/12963827","Wdr54")</f>
        <v>Wdr54</v>
      </c>
      <c r="D8307" s="10">
        <f t="shared" si="129"/>
        <v>4.06374632325549</v>
      </c>
      <c r="F8307" s="8" t="str">
        <f>HYPERLINK("https://esbl.nhlbi.nih.gov/Databases/mpkFractions/proteomic_fractions_log_files/Yang_log_img/12963827.jpg","show blot")</f>
        <v>show blot</v>
      </c>
      <c r="H8307" s="8" t="str">
        <f>HYPERLINK("https://esbl.nhlbi.nih.gov/Databases/mpkFractions/proteomic_fractions_linear_files/Yang_linear_img/12963827.jpg","show blot")</f>
        <v>show blot</v>
      </c>
      <c r="J8307" s="5" t="s">
        <v>16362</v>
      </c>
      <c r="L8307" s="11">
        <v>4.06374632325549</v>
      </c>
      <c r="N8307" s="12"/>
    </row>
    <row r="8308" spans="1:14" s="5" customFormat="1" ht="15" customHeight="1" x14ac:dyDescent="0.25">
      <c r="A8308" s="9" t="s">
        <v>16363</v>
      </c>
      <c r="C8308" s="9" t="str">
        <f>HYPERLINK("http://www.ncbi.nlm.nih.gov/protein/13878227","Wdr6")</f>
        <v>Wdr6</v>
      </c>
      <c r="D8308" s="10">
        <f t="shared" si="129"/>
        <v>3.9473286425621228</v>
      </c>
      <c r="F8308" s="8" t="str">
        <f>HYPERLINK("https://esbl.nhlbi.nih.gov/Databases/mpkFractions/proteomic_fractions_log_files/Yang_log_img/13878227.jpg","show blot")</f>
        <v>show blot</v>
      </c>
      <c r="H8308" s="8" t="str">
        <f>HYPERLINK("https://esbl.nhlbi.nih.gov/Databases/mpkFractions/proteomic_fractions_linear_files/Yang_linear_img/13878227.jpg","show blot")</f>
        <v>show blot</v>
      </c>
      <c r="J8308" s="5" t="s">
        <v>16364</v>
      </c>
      <c r="L8308" s="11">
        <v>3.9473286425621228</v>
      </c>
      <c r="N8308" s="12"/>
    </row>
    <row r="8309" spans="1:14" s="5" customFormat="1" ht="15" customHeight="1" x14ac:dyDescent="0.25">
      <c r="A8309" s="9" t="s">
        <v>16365</v>
      </c>
      <c r="C8309" s="9" t="str">
        <f>HYPERLINK("http://www.ncbi.nlm.nih.gov/protein/70778824","Wdr61")</f>
        <v>Wdr61</v>
      </c>
      <c r="D8309" s="10">
        <f t="shared" si="129"/>
        <v>4.6204118221503014</v>
      </c>
      <c r="F8309" s="8" t="str">
        <f>HYPERLINK("https://esbl.nhlbi.nih.gov/Databases/mpkFractions/proteomic_fractions_log_files/Yang_log_img/70778824.jpg","show blot")</f>
        <v>show blot</v>
      </c>
      <c r="H8309" s="8" t="str">
        <f>HYPERLINK("https://esbl.nhlbi.nih.gov/Databases/mpkFractions/proteomic_fractions_linear_files/Yang_linear_img/70778824.jpg","show blot")</f>
        <v>show blot</v>
      </c>
      <c r="J8309" s="5" t="s">
        <v>16366</v>
      </c>
      <c r="L8309" s="11">
        <v>4.6204118221503014</v>
      </c>
      <c r="N8309" s="12"/>
    </row>
    <row r="8310" spans="1:14" s="5" customFormat="1" ht="15" customHeight="1" x14ac:dyDescent="0.25">
      <c r="A8310" s="9" t="s">
        <v>16367</v>
      </c>
      <c r="C8310" s="9" t="str">
        <f>HYPERLINK("http://www.ncbi.nlm.nih.gov/protein/13277350;70778817","Wdr61")</f>
        <v>Wdr61</v>
      </c>
      <c r="D8310" s="10">
        <f t="shared" si="129"/>
        <v>4.6204118221503014</v>
      </c>
      <c r="F8310" s="8" t="str">
        <f>HYPERLINK("https://esbl.nhlbi.nih.gov/Databases/mpkFractions/proteomic_fractions_log_files/Yang_log_img/13277350;70778817.jpg","show blot")</f>
        <v>show blot</v>
      </c>
      <c r="H8310" s="8" t="str">
        <f>HYPERLINK("https://esbl.nhlbi.nih.gov/Databases/mpkFractions/proteomic_fractions_linear_files/Yang_linear_img/13277350;70778817.jpg","show blot")</f>
        <v>show blot</v>
      </c>
      <c r="J8310" s="5" t="s">
        <v>16368</v>
      </c>
      <c r="L8310" s="11">
        <v>4.6204118221503014</v>
      </c>
      <c r="N8310" s="12"/>
    </row>
    <row r="8311" spans="1:14" s="5" customFormat="1" ht="15" customHeight="1" x14ac:dyDescent="0.25">
      <c r="A8311" s="9" t="s">
        <v>16369</v>
      </c>
      <c r="C8311" s="9" t="str">
        <f>HYPERLINK("http://www.ncbi.nlm.nih.gov/protein/124487149","Wdr70")</f>
        <v>Wdr70</v>
      </c>
      <c r="D8311" s="10">
        <f t="shared" si="129"/>
        <v>3.7011551300970211</v>
      </c>
      <c r="F8311" s="8" t="str">
        <f>HYPERLINK("https://esbl.nhlbi.nih.gov/Databases/mpkFractions/proteomic_fractions_log_files/Yang_log_img/124487149.jpg","show blot")</f>
        <v>show blot</v>
      </c>
      <c r="H8311" s="8" t="str">
        <f>HYPERLINK("https://esbl.nhlbi.nih.gov/Databases/mpkFractions/proteomic_fractions_linear_files/Yang_linear_img/124487149.jpg","show blot")</f>
        <v>show blot</v>
      </c>
      <c r="J8311" s="5" t="s">
        <v>16370</v>
      </c>
      <c r="L8311" s="11">
        <v>3.7011551300970211</v>
      </c>
      <c r="N8311" s="12"/>
    </row>
    <row r="8312" spans="1:14" s="5" customFormat="1" ht="15" customHeight="1" x14ac:dyDescent="0.25">
      <c r="A8312" s="9" t="s">
        <v>16371</v>
      </c>
      <c r="C8312" s="9" t="str">
        <f>HYPERLINK("http://www.ncbi.nlm.nih.gov/protein/148226059","Wdr72")</f>
        <v>Wdr72</v>
      </c>
      <c r="D8312" s="10">
        <f t="shared" si="129"/>
        <v>5.1494042732338201</v>
      </c>
      <c r="F8312" s="8" t="str">
        <f>HYPERLINK("https://esbl.nhlbi.nih.gov/Databases/mpkFractions/proteomic_fractions_log_files/Yang_log_img/148226059.jpg","show blot")</f>
        <v>show blot</v>
      </c>
      <c r="H8312" s="8" t="str">
        <f>HYPERLINK("https://esbl.nhlbi.nih.gov/Databases/mpkFractions/proteomic_fractions_linear_files/Yang_linear_img/148226059.jpg","show blot")</f>
        <v>show blot</v>
      </c>
      <c r="J8312" s="5" t="s">
        <v>16372</v>
      </c>
      <c r="L8312" s="11">
        <v>5.1494042732338201</v>
      </c>
      <c r="N8312" s="12"/>
    </row>
    <row r="8313" spans="1:14" s="5" customFormat="1" ht="15" customHeight="1" x14ac:dyDescent="0.25">
      <c r="A8313" s="9" t="s">
        <v>16373</v>
      </c>
      <c r="C8313" s="9" t="str">
        <f>HYPERLINK("http://www.ncbi.nlm.nih.gov/protein/254910981","Wdr73")</f>
        <v>Wdr73</v>
      </c>
      <c r="D8313" s="10">
        <f t="shared" si="129"/>
        <v>3.6110262801572852</v>
      </c>
      <c r="F8313" s="8" t="str">
        <f>HYPERLINK("https://esbl.nhlbi.nih.gov/Databases/mpkFractions/proteomic_fractions_log_files/Yang_log_img/254910981.jpg","show blot")</f>
        <v>show blot</v>
      </c>
      <c r="H8313" s="8" t="str">
        <f>HYPERLINK("https://esbl.nhlbi.nih.gov/Databases/mpkFractions/proteomic_fractions_linear_files/Yang_linear_img/254910981.jpg","show blot")</f>
        <v>show blot</v>
      </c>
      <c r="J8313" s="5" t="s">
        <v>16374</v>
      </c>
      <c r="L8313" s="11">
        <v>3.6110262801572852</v>
      </c>
      <c r="N8313" s="12"/>
    </row>
    <row r="8314" spans="1:14" s="5" customFormat="1" ht="15" customHeight="1" x14ac:dyDescent="0.25">
      <c r="A8314" s="9" t="s">
        <v>16375</v>
      </c>
      <c r="C8314" s="9" t="str">
        <f>HYPERLINK("http://www.ncbi.nlm.nih.gov/protein/19527374","Wdr74")</f>
        <v>Wdr74</v>
      </c>
      <c r="D8314" s="10">
        <f t="shared" si="129"/>
        <v>3.1992064791616581</v>
      </c>
      <c r="F8314" s="8" t="str">
        <f>HYPERLINK("https://esbl.nhlbi.nih.gov/Databases/mpkFractions/proteomic_fractions_log_files/Yang_log_img/19527374.jpg","show blot")</f>
        <v>show blot</v>
      </c>
      <c r="H8314" s="8" t="str">
        <f>HYPERLINK("https://esbl.nhlbi.nih.gov/Databases/mpkFractions/proteomic_fractions_linear_files/Yang_linear_img/19527374.jpg","show blot")</f>
        <v>show blot</v>
      </c>
      <c r="J8314" s="5" t="s">
        <v>16376</v>
      </c>
      <c r="L8314" s="11">
        <v>3.1992064791616581</v>
      </c>
      <c r="N8314" s="12"/>
    </row>
    <row r="8315" spans="1:14" s="5" customFormat="1" ht="15" customHeight="1" x14ac:dyDescent="0.25">
      <c r="A8315" s="9" t="s">
        <v>16377</v>
      </c>
      <c r="C8315" s="9" t="str">
        <f>HYPERLINK("http://www.ncbi.nlm.nih.gov/protein/124487321","Wdr76")</f>
        <v>Wdr76</v>
      </c>
      <c r="D8315" s="10">
        <f t="shared" si="129"/>
        <v>3.9341394600998552</v>
      </c>
      <c r="F8315" s="8" t="str">
        <f>HYPERLINK("https://esbl.nhlbi.nih.gov/Databases/mpkFractions/proteomic_fractions_log_files/Yang_log_img/124487321.jpg","show blot")</f>
        <v>show blot</v>
      </c>
      <c r="H8315" s="8" t="str">
        <f>HYPERLINK("https://esbl.nhlbi.nih.gov/Databases/mpkFractions/proteomic_fractions_linear_files/Yang_linear_img/124487321.jpg","show blot")</f>
        <v>show blot</v>
      </c>
      <c r="J8315" s="5" t="s">
        <v>16378</v>
      </c>
      <c r="L8315" s="11">
        <v>3.9341394600998552</v>
      </c>
      <c r="N8315" s="12"/>
    </row>
    <row r="8316" spans="1:14" s="5" customFormat="1" ht="15" customHeight="1" x14ac:dyDescent="0.25">
      <c r="A8316" s="9" t="s">
        <v>16379</v>
      </c>
      <c r="C8316" s="9" t="str">
        <f>HYPERLINK("http://www.ncbi.nlm.nih.gov/protein/19263322","Wdr77")</f>
        <v>Wdr77</v>
      </c>
      <c r="D8316" s="10">
        <f t="shared" si="129"/>
        <v>5.6595428500371003</v>
      </c>
      <c r="F8316" s="8" t="str">
        <f>HYPERLINK("https://esbl.nhlbi.nih.gov/Databases/mpkFractions/proteomic_fractions_log_files/Yang_log_img/19263322.jpg","show blot")</f>
        <v>show blot</v>
      </c>
      <c r="H8316" s="8" t="str">
        <f>HYPERLINK("https://esbl.nhlbi.nih.gov/Databases/mpkFractions/proteomic_fractions_linear_files/Yang_linear_img/19263322.jpg","show blot")</f>
        <v>show blot</v>
      </c>
      <c r="J8316" s="5" t="s">
        <v>16380</v>
      </c>
      <c r="L8316" s="11">
        <v>5.6595428500371003</v>
      </c>
      <c r="N8316" s="12"/>
    </row>
    <row r="8317" spans="1:14" s="5" customFormat="1" ht="15" customHeight="1" x14ac:dyDescent="0.25">
      <c r="A8317" s="9" t="s">
        <v>16381</v>
      </c>
      <c r="C8317" s="9" t="str">
        <f>HYPERLINK("http://www.ncbi.nlm.nih.gov/protein/242118003","Wdr81")</f>
        <v>Wdr81</v>
      </c>
      <c r="D8317" s="10">
        <f t="shared" si="129"/>
        <v>2.8178698958864699</v>
      </c>
      <c r="F8317" s="8" t="str">
        <f>HYPERLINK("https://esbl.nhlbi.nih.gov/Databases/mpkFractions/proteomic_fractions_log_files/Yang_log_img/242118003.jpg","show blot")</f>
        <v>show blot</v>
      </c>
      <c r="H8317" s="8" t="str">
        <f>HYPERLINK("https://esbl.nhlbi.nih.gov/Databases/mpkFractions/proteomic_fractions_linear_files/Yang_linear_img/242118003.jpg","show blot")</f>
        <v>show blot</v>
      </c>
      <c r="J8317" s="5" t="s">
        <v>16382</v>
      </c>
      <c r="L8317" s="11">
        <v>2.8178698958864699</v>
      </c>
      <c r="N8317" s="12"/>
    </row>
    <row r="8318" spans="1:14" s="5" customFormat="1" ht="15" customHeight="1" x14ac:dyDescent="0.25">
      <c r="A8318" s="9" t="s">
        <v>16383</v>
      </c>
      <c r="C8318" s="9" t="str">
        <f>HYPERLINK("http://www.ncbi.nlm.nih.gov/protein/148223079","Wdr82")</f>
        <v>Wdr82</v>
      </c>
      <c r="D8318" s="10">
        <f t="shared" si="129"/>
        <v>4.8897742525128329</v>
      </c>
      <c r="F8318" s="8" t="str">
        <f>HYPERLINK("https://esbl.nhlbi.nih.gov/Databases/mpkFractions/proteomic_fractions_log_files/Yang_log_img/148223079.jpg","show blot")</f>
        <v>show blot</v>
      </c>
      <c r="H8318" s="8" t="str">
        <f>HYPERLINK("https://esbl.nhlbi.nih.gov/Databases/mpkFractions/proteomic_fractions_linear_files/Yang_linear_img/148223079.jpg","show blot")</f>
        <v>show blot</v>
      </c>
      <c r="J8318" s="5" t="s">
        <v>16384</v>
      </c>
      <c r="L8318" s="11">
        <v>4.8897742525128329</v>
      </c>
      <c r="N8318" s="12"/>
    </row>
    <row r="8319" spans="1:14" s="5" customFormat="1" ht="15" customHeight="1" x14ac:dyDescent="0.25">
      <c r="A8319" s="9" t="s">
        <v>16385</v>
      </c>
      <c r="C8319" s="9" t="str">
        <f>HYPERLINK("http://www.ncbi.nlm.nih.gov/protein/71067130","Wdr83")</f>
        <v>Wdr83</v>
      </c>
      <c r="D8319" s="10">
        <f t="shared" si="129"/>
        <v>2.9093531007734912</v>
      </c>
      <c r="F8319" s="8" t="str">
        <f>HYPERLINK("https://esbl.nhlbi.nih.gov/Databases/mpkFractions/proteomic_fractions_log_files/Yang_log_img/71067130.jpg","show blot")</f>
        <v>show blot</v>
      </c>
      <c r="H8319" s="8" t="str">
        <f>HYPERLINK("https://esbl.nhlbi.nih.gov/Databases/mpkFractions/proteomic_fractions_linear_files/Yang_linear_img/71067130.jpg","show blot")</f>
        <v>show blot</v>
      </c>
      <c r="J8319" s="5" t="s">
        <v>16386</v>
      </c>
      <c r="L8319" s="11">
        <v>2.9093531007734912</v>
      </c>
      <c r="N8319" s="12"/>
    </row>
    <row r="8320" spans="1:14" s="5" customFormat="1" ht="15" customHeight="1" x14ac:dyDescent="0.25">
      <c r="A8320" s="9" t="s">
        <v>16387</v>
      </c>
      <c r="C8320" s="9" t="str">
        <f>HYPERLINK("http://www.ncbi.nlm.nih.gov/protein/61656182","Wdr91")</f>
        <v>Wdr91</v>
      </c>
      <c r="D8320" s="10">
        <f t="shared" si="129"/>
        <v>3.8871931393965489</v>
      </c>
      <c r="F8320" s="8" t="str">
        <f>HYPERLINK("https://esbl.nhlbi.nih.gov/Databases/mpkFractions/proteomic_fractions_log_files/Yang_log_img/61656182.jpg","show blot")</f>
        <v>show blot</v>
      </c>
      <c r="H8320" s="8" t="str">
        <f>HYPERLINK("https://esbl.nhlbi.nih.gov/Databases/mpkFractions/proteomic_fractions_linear_files/Yang_linear_img/61656182.jpg","show blot")</f>
        <v>show blot</v>
      </c>
      <c r="J8320" s="5" t="s">
        <v>16388</v>
      </c>
      <c r="L8320" s="11">
        <v>3.8871931393965489</v>
      </c>
      <c r="N8320" s="12"/>
    </row>
    <row r="8321" spans="1:14" s="5" customFormat="1" ht="15" customHeight="1" x14ac:dyDescent="0.25">
      <c r="A8321" s="9" t="s">
        <v>16389</v>
      </c>
      <c r="C8321" s="9" t="str">
        <f>HYPERLINK("http://www.ncbi.nlm.nih.gov/protein/30725770","Wdr92")</f>
        <v>Wdr92</v>
      </c>
      <c r="D8321" s="10">
        <f t="shared" si="129"/>
        <v>4.9161668385110717</v>
      </c>
      <c r="F8321" s="8" t="str">
        <f>HYPERLINK("https://esbl.nhlbi.nih.gov/Databases/mpkFractions/proteomic_fractions_log_files/Yang_log_img/30725770.jpg","show blot")</f>
        <v>show blot</v>
      </c>
      <c r="H8321" s="8" t="str">
        <f>HYPERLINK("https://esbl.nhlbi.nih.gov/Databases/mpkFractions/proteomic_fractions_linear_files/Yang_linear_img/30725770.jpg","show blot")</f>
        <v>show blot</v>
      </c>
      <c r="J8321" s="5" t="s">
        <v>16390</v>
      </c>
      <c r="L8321" s="11">
        <v>4.9161668385110717</v>
      </c>
      <c r="N8321" s="12"/>
    </row>
    <row r="8322" spans="1:14" s="5" customFormat="1" ht="15" customHeight="1" x14ac:dyDescent="0.25">
      <c r="A8322" s="9" t="s">
        <v>16391</v>
      </c>
      <c r="C8322" s="9" t="str">
        <f>HYPERLINK("http://www.ncbi.nlm.nih.gov/protein/227452250","Wdsub1")</f>
        <v>Wdsub1</v>
      </c>
      <c r="D8322" s="10">
        <f t="shared" si="129"/>
        <v>2.9685376317737151</v>
      </c>
      <c r="F8322" s="8" t="str">
        <f>HYPERLINK("https://esbl.nhlbi.nih.gov/Databases/mpkFractions/proteomic_fractions_log_files/Yang_log_img/227452250.jpg","show blot")</f>
        <v>show blot</v>
      </c>
      <c r="H8322" s="8" t="str">
        <f>HYPERLINK("https://esbl.nhlbi.nih.gov/Databases/mpkFractions/proteomic_fractions_linear_files/Yang_linear_img/227452250.jpg","show blot")</f>
        <v>show blot</v>
      </c>
      <c r="J8322" s="5" t="s">
        <v>16392</v>
      </c>
      <c r="L8322" s="11">
        <v>2.9685376317737151</v>
      </c>
      <c r="N8322" s="12"/>
    </row>
    <row r="8323" spans="1:14" s="5" customFormat="1" ht="15" customHeight="1" x14ac:dyDescent="0.25">
      <c r="A8323" s="9" t="s">
        <v>16393</v>
      </c>
      <c r="C8323" s="9" t="str">
        <f>HYPERLINK("http://www.ncbi.nlm.nih.gov/protein/58037281","Wdsub1")</f>
        <v>Wdsub1</v>
      </c>
      <c r="D8323" s="10">
        <f t="shared" si="129"/>
        <v>2.9685376317737151</v>
      </c>
      <c r="F8323" s="8" t="str">
        <f>HYPERLINK("https://esbl.nhlbi.nih.gov/Databases/mpkFractions/proteomic_fractions_log_files/Yang_log_img/58037281.jpg","show blot")</f>
        <v>show blot</v>
      </c>
      <c r="H8323" s="8" t="str">
        <f>HYPERLINK("https://esbl.nhlbi.nih.gov/Databases/mpkFractions/proteomic_fractions_linear_files/Yang_linear_img/58037281.jpg","show blot")</f>
        <v>show blot</v>
      </c>
      <c r="J8323" s="5" t="s">
        <v>16394</v>
      </c>
      <c r="L8323" s="11">
        <v>2.9685376317737151</v>
      </c>
      <c r="N8323" s="12"/>
    </row>
    <row r="8324" spans="1:14" s="5" customFormat="1" ht="15" customHeight="1" x14ac:dyDescent="0.25">
      <c r="A8324" s="9" t="s">
        <v>16395</v>
      </c>
      <c r="C8324" s="9" t="str">
        <f>HYPERLINK("http://www.ncbi.nlm.nih.gov/protein/40556280","Wdtc1")</f>
        <v>Wdtc1</v>
      </c>
      <c r="D8324" s="10">
        <f t="shared" si="129"/>
        <v>3.1056356288016249</v>
      </c>
      <c r="F8324" s="8" t="str">
        <f>HYPERLINK("https://esbl.nhlbi.nih.gov/Databases/mpkFractions/proteomic_fractions_log_files/Yang_log_img/40556280.jpg","show blot")</f>
        <v>show blot</v>
      </c>
      <c r="H8324" s="8" t="str">
        <f>HYPERLINK("https://esbl.nhlbi.nih.gov/Databases/mpkFractions/proteomic_fractions_linear_files/Yang_linear_img/40556280.jpg","show blot")</f>
        <v>show blot</v>
      </c>
      <c r="J8324" s="5" t="s">
        <v>16396</v>
      </c>
      <c r="L8324" s="11">
        <v>3.1056356288016249</v>
      </c>
      <c r="N8324" s="12"/>
    </row>
    <row r="8325" spans="1:14" s="5" customFormat="1" ht="15" customHeight="1" x14ac:dyDescent="0.25">
      <c r="A8325" s="9" t="s">
        <v>16397</v>
      </c>
      <c r="C8325" s="9" t="str">
        <f>HYPERLINK("http://www.ncbi.nlm.nih.gov/protein/58037459","Wdyhv1")</f>
        <v>Wdyhv1</v>
      </c>
      <c r="D8325" s="10">
        <f t="shared" ref="D8325:D8388" si="130">L8325</f>
        <v>4.008108281671281</v>
      </c>
      <c r="F8325" s="8" t="str">
        <f>HYPERLINK("https://esbl.nhlbi.nih.gov/Databases/mpkFractions/proteomic_fractions_log_files/Yang_log_img/58037459.jpg","show blot")</f>
        <v>show blot</v>
      </c>
      <c r="H8325" s="8" t="str">
        <f>HYPERLINK("https://esbl.nhlbi.nih.gov/Databases/mpkFractions/proteomic_fractions_linear_files/Yang_linear_img/58037459.jpg","show blot")</f>
        <v>show blot</v>
      </c>
      <c r="J8325" s="5" t="s">
        <v>16398</v>
      </c>
      <c r="L8325" s="11">
        <v>4.008108281671281</v>
      </c>
      <c r="N8325" s="12"/>
    </row>
    <row r="8326" spans="1:14" s="5" customFormat="1" ht="15" customHeight="1" x14ac:dyDescent="0.25">
      <c r="A8326" s="9" t="s">
        <v>16399</v>
      </c>
      <c r="C8326" s="9" t="str">
        <f>HYPERLINK("http://www.ncbi.nlm.nih.gov/protein/6755997","Wfs1")</f>
        <v>Wfs1</v>
      </c>
      <c r="D8326" s="10">
        <f t="shared" si="130"/>
        <v>3.4516971629786082</v>
      </c>
      <c r="F8326" s="8" t="str">
        <f>HYPERLINK("https://esbl.nhlbi.nih.gov/Databases/mpkFractions/proteomic_fractions_log_files/Yang_log_img/6755997.jpg","show blot")</f>
        <v>show blot</v>
      </c>
      <c r="H8326" s="8" t="str">
        <f>HYPERLINK("https://esbl.nhlbi.nih.gov/Databases/mpkFractions/proteomic_fractions_linear_files/Yang_linear_img/6755997.jpg","show blot")</f>
        <v>show blot</v>
      </c>
      <c r="J8326" s="5" t="s">
        <v>16400</v>
      </c>
      <c r="L8326" s="11">
        <v>3.4516971629786082</v>
      </c>
      <c r="N8326" s="12"/>
    </row>
    <row r="8327" spans="1:14" s="5" customFormat="1" ht="15" customHeight="1" x14ac:dyDescent="0.25">
      <c r="A8327" s="9" t="s">
        <v>16401</v>
      </c>
      <c r="C8327" s="9" t="str">
        <f>HYPERLINK("http://www.ncbi.nlm.nih.gov/protein/358679337","Wibg")</f>
        <v>Wibg</v>
      </c>
      <c r="D8327" s="10">
        <f t="shared" si="130"/>
        <v>5.5737506856020671</v>
      </c>
      <c r="F8327" s="8" t="str">
        <f>HYPERLINK("https://esbl.nhlbi.nih.gov/Databases/mpkFractions/proteomic_fractions_log_files/Yang_log_img/358679337.jpg","show blot")</f>
        <v>show blot</v>
      </c>
      <c r="H8327" s="8" t="str">
        <f>HYPERLINK("https://esbl.nhlbi.nih.gov/Databases/mpkFractions/proteomic_fractions_linear_files/Yang_linear_img/358679337.jpg","show blot")</f>
        <v>show blot</v>
      </c>
      <c r="J8327" s="5" t="s">
        <v>16402</v>
      </c>
      <c r="L8327" s="11">
        <v>5.5737506856020671</v>
      </c>
      <c r="N8327" s="12"/>
    </row>
    <row r="8328" spans="1:14" s="5" customFormat="1" ht="15" customHeight="1" x14ac:dyDescent="0.25">
      <c r="A8328" s="9" t="s">
        <v>16403</v>
      </c>
      <c r="C8328" s="9" t="str">
        <f>HYPERLINK("http://www.ncbi.nlm.nih.gov/protein/283945598","Wibg")</f>
        <v>Wibg</v>
      </c>
      <c r="D8328" s="10">
        <f t="shared" si="130"/>
        <v>5.5737506856020671</v>
      </c>
      <c r="F8328" s="8" t="str">
        <f>HYPERLINK("https://esbl.nhlbi.nih.gov/Databases/mpkFractions/proteomic_fractions_log_files/Yang_log_img/283945598.jpg","show blot")</f>
        <v>show blot</v>
      </c>
      <c r="H8328" s="8" t="str">
        <f>HYPERLINK("https://esbl.nhlbi.nih.gov/Databases/mpkFractions/proteomic_fractions_linear_files/Yang_linear_img/283945598.jpg","show blot")</f>
        <v>show blot</v>
      </c>
      <c r="J8328" s="5" t="s">
        <v>16404</v>
      </c>
      <c r="L8328" s="11">
        <v>5.5737506856020671</v>
      </c>
      <c r="N8328" s="12"/>
    </row>
    <row r="8329" spans="1:14" s="5" customFormat="1" ht="15" customHeight="1" x14ac:dyDescent="0.25">
      <c r="A8329" s="9" t="s">
        <v>16405</v>
      </c>
      <c r="C8329" s="9" t="str">
        <f>HYPERLINK("http://www.ncbi.nlm.nih.gov/protein/283945600","Wibg")</f>
        <v>Wibg</v>
      </c>
      <c r="D8329" s="10">
        <f t="shared" si="130"/>
        <v>5.5737506856020671</v>
      </c>
      <c r="F8329" s="8" t="str">
        <f>HYPERLINK("https://esbl.nhlbi.nih.gov/Databases/mpkFractions/proteomic_fractions_log_files/Yang_log_img/283945600.jpg","show blot")</f>
        <v>show blot</v>
      </c>
      <c r="H8329" s="8" t="str">
        <f>HYPERLINK("https://esbl.nhlbi.nih.gov/Databases/mpkFractions/proteomic_fractions_linear_files/Yang_linear_img/283945600.jpg","show blot")</f>
        <v>show blot</v>
      </c>
      <c r="J8329" s="5" t="s">
        <v>16406</v>
      </c>
      <c r="L8329" s="11">
        <v>5.5737506856020671</v>
      </c>
      <c r="N8329" s="12"/>
    </row>
    <row r="8330" spans="1:14" s="5" customFormat="1" ht="15" customHeight="1" x14ac:dyDescent="0.25">
      <c r="A8330" s="9" t="s">
        <v>16407</v>
      </c>
      <c r="C8330" s="9" t="str">
        <f>HYPERLINK("http://www.ncbi.nlm.nih.gov/protein/98986316","Wls")</f>
        <v>Wls</v>
      </c>
      <c r="D8330" s="10">
        <f t="shared" si="130"/>
        <v>4.0736998921331136</v>
      </c>
      <c r="F8330" s="8" t="str">
        <f>HYPERLINK("https://esbl.nhlbi.nih.gov/Databases/mpkFractions/proteomic_fractions_log_files/Yang_log_img/98986316.jpg","show blot")</f>
        <v>show blot</v>
      </c>
      <c r="H8330" s="8" t="str">
        <f>HYPERLINK("https://esbl.nhlbi.nih.gov/Databases/mpkFractions/proteomic_fractions_linear_files/Yang_linear_img/98986316.jpg","show blot")</f>
        <v>show blot</v>
      </c>
      <c r="J8330" s="5" t="s">
        <v>16408</v>
      </c>
      <c r="L8330" s="11">
        <v>4.0736998921331136</v>
      </c>
      <c r="N8330" s="12"/>
    </row>
    <row r="8331" spans="1:14" s="5" customFormat="1" ht="15" customHeight="1" x14ac:dyDescent="0.25">
      <c r="A8331" s="9" t="s">
        <v>16409</v>
      </c>
      <c r="C8331" s="9" t="str">
        <f>HYPERLINK("http://www.ncbi.nlm.nih.gov/protein/257900530","Wnk1")</f>
        <v>Wnk1</v>
      </c>
      <c r="D8331" s="10">
        <f t="shared" si="130"/>
        <v>4.4240419241976481</v>
      </c>
      <c r="F8331" s="8" t="str">
        <f>HYPERLINK("https://esbl.nhlbi.nih.gov/Databases/mpkFractions/proteomic_fractions_log_files/Yang_log_img/257900530.jpg","show blot")</f>
        <v>show blot</v>
      </c>
      <c r="H8331" s="8" t="str">
        <f>HYPERLINK("https://esbl.nhlbi.nih.gov/Databases/mpkFractions/proteomic_fractions_linear_files/Yang_linear_img/257900530.jpg","show blot")</f>
        <v>show blot</v>
      </c>
      <c r="J8331" s="5" t="s">
        <v>16410</v>
      </c>
      <c r="L8331" s="11">
        <v>4.4240419241976481</v>
      </c>
      <c r="N8331" s="12"/>
    </row>
    <row r="8332" spans="1:14" s="5" customFormat="1" ht="15" customHeight="1" x14ac:dyDescent="0.25">
      <c r="A8332" s="9" t="s">
        <v>16411</v>
      </c>
      <c r="C8332" s="9" t="str">
        <f>HYPERLINK("http://www.ncbi.nlm.nih.gov/protein/297206804","Wnk1")</f>
        <v>Wnk1</v>
      </c>
      <c r="D8332" s="10">
        <f t="shared" si="130"/>
        <v>4.4240419241976481</v>
      </c>
      <c r="F8332" s="8" t="str">
        <f>HYPERLINK("https://esbl.nhlbi.nih.gov/Databases/mpkFractions/proteomic_fractions_log_files/Yang_log_img/297206804.jpg","show blot")</f>
        <v>show blot</v>
      </c>
      <c r="H8332" s="8" t="str">
        <f>HYPERLINK("https://esbl.nhlbi.nih.gov/Databases/mpkFractions/proteomic_fractions_linear_files/Yang_linear_img/297206804.jpg","show blot")</f>
        <v>show blot</v>
      </c>
      <c r="J8332" s="5" t="s">
        <v>16412</v>
      </c>
      <c r="L8332" s="11">
        <v>4.4240419241976481</v>
      </c>
      <c r="N8332" s="12"/>
    </row>
    <row r="8333" spans="1:14" s="5" customFormat="1" ht="15" customHeight="1" x14ac:dyDescent="0.25">
      <c r="A8333" s="9" t="s">
        <v>16413</v>
      </c>
      <c r="C8333" s="9" t="str">
        <f>HYPERLINK("http://www.ncbi.nlm.nih.gov/protein/297206806","Wnk1")</f>
        <v>Wnk1</v>
      </c>
      <c r="D8333" s="10">
        <f t="shared" si="130"/>
        <v>4.4240419241976481</v>
      </c>
      <c r="F8333" s="8" t="str">
        <f>HYPERLINK("https://esbl.nhlbi.nih.gov/Databases/mpkFractions/proteomic_fractions_log_files/Yang_log_img/297206806.jpg","show blot")</f>
        <v>show blot</v>
      </c>
      <c r="H8333" s="8" t="str">
        <f>HYPERLINK("https://esbl.nhlbi.nih.gov/Databases/mpkFractions/proteomic_fractions_linear_files/Yang_linear_img/297206806.jpg","show blot")</f>
        <v>show blot</v>
      </c>
      <c r="J8333" s="5" t="s">
        <v>16414</v>
      </c>
      <c r="L8333" s="11">
        <v>4.4240419241976481</v>
      </c>
      <c r="N8333" s="12"/>
    </row>
    <row r="8334" spans="1:14" s="5" customFormat="1" ht="15" customHeight="1" x14ac:dyDescent="0.25">
      <c r="A8334" s="9" t="s">
        <v>16415</v>
      </c>
      <c r="C8334" s="9" t="str">
        <f>HYPERLINK("http://www.ncbi.nlm.nih.gov/protein/312283629","Wnk1")</f>
        <v>Wnk1</v>
      </c>
      <c r="D8334" s="10">
        <f t="shared" si="130"/>
        <v>4.4240419241976481</v>
      </c>
      <c r="F8334" s="8" t="str">
        <f>HYPERLINK("https://esbl.nhlbi.nih.gov/Databases/mpkFractions/proteomic_fractions_log_files/Yang_log_img/312283629.jpg","show blot")</f>
        <v>show blot</v>
      </c>
      <c r="H8334" s="8" t="str">
        <f>HYPERLINK("https://esbl.nhlbi.nih.gov/Databases/mpkFractions/proteomic_fractions_linear_files/Yang_linear_img/312283629.jpg","show blot")</f>
        <v>show blot</v>
      </c>
      <c r="J8334" s="5" t="s">
        <v>16416</v>
      </c>
      <c r="L8334" s="11">
        <v>4.4240419241976481</v>
      </c>
      <c r="N8334" s="12"/>
    </row>
    <row r="8335" spans="1:14" s="5" customFormat="1" ht="15" customHeight="1" x14ac:dyDescent="0.25">
      <c r="A8335" s="9" t="s">
        <v>16417</v>
      </c>
      <c r="C8335" s="9" t="str">
        <f>HYPERLINK("http://www.ncbi.nlm.nih.gov/protein/312283631","Wnk1")</f>
        <v>Wnk1</v>
      </c>
      <c r="D8335" s="10">
        <f t="shared" si="130"/>
        <v>4.4240419241976481</v>
      </c>
      <c r="F8335" s="8" t="str">
        <f>HYPERLINK("https://esbl.nhlbi.nih.gov/Databases/mpkFractions/proteomic_fractions_log_files/Yang_log_img/312283631.jpg","show blot")</f>
        <v>show blot</v>
      </c>
      <c r="H8335" s="8" t="str">
        <f>HYPERLINK("https://esbl.nhlbi.nih.gov/Databases/mpkFractions/proteomic_fractions_linear_files/Yang_linear_img/312283631.jpg","show blot")</f>
        <v>show blot</v>
      </c>
      <c r="J8335" s="5" t="s">
        <v>16418</v>
      </c>
      <c r="L8335" s="11">
        <v>4.4240419241976481</v>
      </c>
      <c r="N8335" s="12"/>
    </row>
    <row r="8336" spans="1:14" s="5" customFormat="1" ht="15" customHeight="1" x14ac:dyDescent="0.25">
      <c r="A8336" s="9" t="s">
        <v>16419</v>
      </c>
      <c r="C8336" s="9" t="str">
        <f>HYPERLINK("http://www.ncbi.nlm.nih.gov/protein/157057176","Wnk2")</f>
        <v>Wnk2</v>
      </c>
      <c r="D8336" s="10">
        <f t="shared" si="130"/>
        <v>3.673856931557737</v>
      </c>
      <c r="F8336" s="8" t="str">
        <f>HYPERLINK("https://esbl.nhlbi.nih.gov/Databases/mpkFractions/proteomic_fractions_log_files/Yang_log_img/157057176.jpg","show blot")</f>
        <v>show blot</v>
      </c>
      <c r="H8336" s="8" t="str">
        <f>HYPERLINK("https://esbl.nhlbi.nih.gov/Databases/mpkFractions/proteomic_fractions_linear_files/Yang_linear_img/157057176.jpg","show blot")</f>
        <v>show blot</v>
      </c>
      <c r="J8336" s="5" t="s">
        <v>16420</v>
      </c>
      <c r="L8336" s="11">
        <v>3.673856931557737</v>
      </c>
      <c r="N8336" s="12"/>
    </row>
    <row r="8337" spans="1:14" s="5" customFormat="1" ht="15" customHeight="1" x14ac:dyDescent="0.25">
      <c r="A8337" s="9" t="s">
        <v>16421</v>
      </c>
      <c r="C8337" s="9" t="str">
        <f>HYPERLINK("http://www.ncbi.nlm.nih.gov/protein/28316732","Wnk4")</f>
        <v>Wnk4</v>
      </c>
      <c r="D8337" s="10">
        <f t="shared" si="130"/>
        <v>4.2409004603136884</v>
      </c>
      <c r="F8337" s="8" t="str">
        <f>HYPERLINK("https://esbl.nhlbi.nih.gov/Databases/mpkFractions/proteomic_fractions_log_files/Yang_log_img/28316732.jpg","show blot")</f>
        <v>show blot</v>
      </c>
      <c r="H8337" s="8" t="str">
        <f>HYPERLINK("https://esbl.nhlbi.nih.gov/Databases/mpkFractions/proteomic_fractions_linear_files/Yang_linear_img/28316732.jpg","show blot")</f>
        <v>show blot</v>
      </c>
      <c r="J8337" s="5" t="s">
        <v>16422</v>
      </c>
      <c r="L8337" s="11">
        <v>4.2409004603136884</v>
      </c>
      <c r="N8337" s="12"/>
    </row>
    <row r="8338" spans="1:14" s="5" customFormat="1" ht="15" customHeight="1" x14ac:dyDescent="0.25">
      <c r="A8338" s="9" t="s">
        <v>16423</v>
      </c>
      <c r="C8338" s="9" t="str">
        <f>HYPERLINK("http://www.ncbi.nlm.nih.gov/protein/170763502","Wrn")</f>
        <v>Wrn</v>
      </c>
      <c r="D8338" s="10">
        <f t="shared" si="130"/>
        <v>2.574922914541085</v>
      </c>
      <c r="F8338" s="8" t="str">
        <f>HYPERLINK("https://esbl.nhlbi.nih.gov/Databases/mpkFractions/proteomic_fractions_log_files/Yang_log_img/170763502.jpg","show blot")</f>
        <v>show blot</v>
      </c>
      <c r="H8338" s="8" t="str">
        <f>HYPERLINK("https://esbl.nhlbi.nih.gov/Databases/mpkFractions/proteomic_fractions_linear_files/Yang_linear_img/170763502.jpg","show blot")</f>
        <v>show blot</v>
      </c>
      <c r="J8338" s="5" t="s">
        <v>16424</v>
      </c>
      <c r="L8338" s="11">
        <v>2.574922914541085</v>
      </c>
      <c r="N8338" s="12"/>
    </row>
    <row r="8339" spans="1:14" s="5" customFormat="1" ht="15" customHeight="1" x14ac:dyDescent="0.25">
      <c r="A8339" s="9" t="s">
        <v>16425</v>
      </c>
      <c r="C8339" s="9" t="str">
        <f>HYPERLINK("http://www.ncbi.nlm.nih.gov/protein/407261615","Wrn")</f>
        <v>Wrn</v>
      </c>
      <c r="D8339" s="10">
        <f t="shared" si="130"/>
        <v>2.574922914541085</v>
      </c>
      <c r="F8339" s="8" t="str">
        <f>HYPERLINK("https://esbl.nhlbi.nih.gov/Databases/mpkFractions/proteomic_fractions_log_files/Yang_log_img/407261615.jpg","show blot")</f>
        <v>show blot</v>
      </c>
      <c r="H8339" s="8" t="str">
        <f>HYPERLINK("https://esbl.nhlbi.nih.gov/Databases/mpkFractions/proteomic_fractions_linear_files/Yang_linear_img/407261615.jpg","show blot")</f>
        <v>show blot</v>
      </c>
      <c r="J8339" s="5" t="s">
        <v>16426</v>
      </c>
      <c r="L8339" s="11">
        <v>2.574922914541085</v>
      </c>
      <c r="N8339" s="12"/>
    </row>
    <row r="8340" spans="1:14" s="5" customFormat="1" ht="15" customHeight="1" x14ac:dyDescent="0.25">
      <c r="A8340" s="9" t="s">
        <v>16427</v>
      </c>
      <c r="C8340" s="9" t="str">
        <f>HYPERLINK("http://www.ncbi.nlm.nih.gov/protein/254540120","Wrnip1")</f>
        <v>Wrnip1</v>
      </c>
      <c r="D8340" s="10">
        <f t="shared" si="130"/>
        <v>2.9710032375005482</v>
      </c>
      <c r="F8340" s="8" t="str">
        <f>HYPERLINK("https://esbl.nhlbi.nih.gov/Databases/mpkFractions/proteomic_fractions_log_files/Yang_log_img/254540120.jpg","show blot")</f>
        <v>show blot</v>
      </c>
      <c r="H8340" s="8" t="str">
        <f>HYPERLINK("https://esbl.nhlbi.nih.gov/Databases/mpkFractions/proteomic_fractions_linear_files/Yang_linear_img/254540120.jpg","show blot")</f>
        <v>show blot</v>
      </c>
      <c r="J8340" s="5" t="s">
        <v>16428</v>
      </c>
      <c r="L8340" s="11">
        <v>2.9710032375005482</v>
      </c>
      <c r="N8340" s="12"/>
    </row>
    <row r="8341" spans="1:14" s="5" customFormat="1" ht="15" customHeight="1" x14ac:dyDescent="0.25">
      <c r="A8341" s="9" t="s">
        <v>16429</v>
      </c>
      <c r="C8341" s="9" t="str">
        <f>HYPERLINK("http://www.ncbi.nlm.nih.gov/protein/165377291","Wtap")</f>
        <v>Wtap</v>
      </c>
      <c r="D8341" s="10">
        <f t="shared" si="130"/>
        <v>3.5134756237594091</v>
      </c>
      <c r="F8341" s="8" t="str">
        <f>HYPERLINK("https://esbl.nhlbi.nih.gov/Databases/mpkFractions/proteomic_fractions_log_files/Yang_log_img/165377291.jpg","show blot")</f>
        <v>show blot</v>
      </c>
      <c r="H8341" s="8" t="str">
        <f>HYPERLINK("https://esbl.nhlbi.nih.gov/Databases/mpkFractions/proteomic_fractions_linear_files/Yang_linear_img/165377291.jpg","show blot")</f>
        <v>show blot</v>
      </c>
      <c r="J8341" s="5" t="s">
        <v>16430</v>
      </c>
      <c r="L8341" s="11">
        <v>3.5134756237594091</v>
      </c>
      <c r="N8341" s="12"/>
    </row>
    <row r="8342" spans="1:14" s="5" customFormat="1" ht="15" customHeight="1" x14ac:dyDescent="0.25">
      <c r="A8342" s="9" t="s">
        <v>16431</v>
      </c>
      <c r="C8342" s="9" t="str">
        <f>HYPERLINK("http://www.ncbi.nlm.nih.gov/protein/82524278","Wwc1")</f>
        <v>Wwc1</v>
      </c>
      <c r="D8342" s="10">
        <f t="shared" si="130"/>
        <v>3.9676052113272808</v>
      </c>
      <c r="F8342" s="8" t="str">
        <f>HYPERLINK("https://esbl.nhlbi.nih.gov/Databases/mpkFractions/proteomic_fractions_log_files/Yang_log_img/82524278.jpg","show blot")</f>
        <v>show blot</v>
      </c>
      <c r="H8342" s="8" t="str">
        <f>HYPERLINK("https://esbl.nhlbi.nih.gov/Databases/mpkFractions/proteomic_fractions_linear_files/Yang_linear_img/82524278.jpg","show blot")</f>
        <v>show blot</v>
      </c>
      <c r="J8342" s="5" t="s">
        <v>16432</v>
      </c>
      <c r="L8342" s="11">
        <v>3.9676052113272808</v>
      </c>
      <c r="N8342" s="12"/>
    </row>
    <row r="8343" spans="1:14" s="5" customFormat="1" ht="15" customHeight="1" x14ac:dyDescent="0.25">
      <c r="A8343" s="9" t="s">
        <v>16433</v>
      </c>
      <c r="C8343" s="9" t="str">
        <f>HYPERLINK("http://www.ncbi.nlm.nih.gov/protein/46575912","Wwc2")</f>
        <v>Wwc2</v>
      </c>
      <c r="D8343" s="10">
        <f t="shared" si="130"/>
        <v>3.848762980765422</v>
      </c>
      <c r="F8343" s="8" t="str">
        <f>HYPERLINK("https://esbl.nhlbi.nih.gov/Databases/mpkFractions/proteomic_fractions_log_files/Yang_log_img/46575912.jpg","show blot")</f>
        <v>show blot</v>
      </c>
      <c r="H8343" s="8" t="str">
        <f>HYPERLINK("https://esbl.nhlbi.nih.gov/Databases/mpkFractions/proteomic_fractions_linear_files/Yang_linear_img/46575912.jpg","show blot")</f>
        <v>show blot</v>
      </c>
      <c r="J8343" s="5" t="s">
        <v>16434</v>
      </c>
      <c r="L8343" s="11">
        <v>3.848762980765422</v>
      </c>
      <c r="N8343" s="12"/>
    </row>
    <row r="8344" spans="1:14" s="5" customFormat="1" ht="15" customHeight="1" x14ac:dyDescent="0.25">
      <c r="A8344" s="9" t="s">
        <v>16435</v>
      </c>
      <c r="C8344" s="9" t="str">
        <f>HYPERLINK("http://www.ncbi.nlm.nih.gov/protein/31980962","Wwox")</f>
        <v>Wwox</v>
      </c>
      <c r="D8344" s="10">
        <f t="shared" si="130"/>
        <v>1.929752016219106</v>
      </c>
      <c r="F8344" s="8" t="str">
        <f>HYPERLINK("https://esbl.nhlbi.nih.gov/Databases/mpkFractions/proteomic_fractions_log_files/Yang_log_img/31980962.jpg","show blot")</f>
        <v>show blot</v>
      </c>
      <c r="H8344" s="8" t="str">
        <f>HYPERLINK("https://esbl.nhlbi.nih.gov/Databases/mpkFractions/proteomic_fractions_linear_files/Yang_linear_img/31980962.jpg","show blot")</f>
        <v>show blot</v>
      </c>
      <c r="J8344" s="5" t="s">
        <v>16436</v>
      </c>
      <c r="L8344" s="11">
        <v>1.929752016219106</v>
      </c>
      <c r="N8344" s="12"/>
    </row>
    <row r="8345" spans="1:14" s="5" customFormat="1" ht="15" customHeight="1" x14ac:dyDescent="0.25">
      <c r="A8345" s="9" t="s">
        <v>16437</v>
      </c>
      <c r="C8345" s="9" t="str">
        <f>HYPERLINK("http://www.ncbi.nlm.nih.gov/protein/112734836","Wwp1")</f>
        <v>Wwp1</v>
      </c>
      <c r="D8345" s="10">
        <f t="shared" si="130"/>
        <v>3.6466724244746431</v>
      </c>
      <c r="F8345" s="8" t="str">
        <f>HYPERLINK("https://esbl.nhlbi.nih.gov/Databases/mpkFractions/proteomic_fractions_log_files/Yang_log_img/112734836.jpg","show blot")</f>
        <v>show blot</v>
      </c>
      <c r="H8345" s="8" t="str">
        <f>HYPERLINK("https://esbl.nhlbi.nih.gov/Databases/mpkFractions/proteomic_fractions_linear_files/Yang_linear_img/112734836.jpg","show blot")</f>
        <v>show blot</v>
      </c>
      <c r="J8345" s="5" t="s">
        <v>16438</v>
      </c>
      <c r="L8345" s="11">
        <v>3.6466724244746431</v>
      </c>
      <c r="N8345" s="12"/>
    </row>
    <row r="8346" spans="1:14" s="5" customFormat="1" ht="15" customHeight="1" x14ac:dyDescent="0.25">
      <c r="A8346" s="9" t="s">
        <v>16439</v>
      </c>
      <c r="C8346" s="9" t="str">
        <f>HYPERLINK("http://www.ncbi.nlm.nih.gov/protein/443906717","Wwp1")</f>
        <v>Wwp1</v>
      </c>
      <c r="D8346" s="10">
        <f t="shared" si="130"/>
        <v>3.6466724244746431</v>
      </c>
      <c r="F8346" s="8" t="str">
        <f>HYPERLINK("https://esbl.nhlbi.nih.gov/Databases/mpkFractions/proteomic_fractions_log_files/Yang_log_img/443906717.jpg","show blot")</f>
        <v>show blot</v>
      </c>
      <c r="H8346" s="8" t="str">
        <f>HYPERLINK("https://esbl.nhlbi.nih.gov/Databases/mpkFractions/proteomic_fractions_linear_files/Yang_linear_img/443906717.jpg","show blot")</f>
        <v>show blot</v>
      </c>
      <c r="J8346" s="5" t="s">
        <v>16440</v>
      </c>
      <c r="L8346" s="11">
        <v>3.6466724244746431</v>
      </c>
      <c r="N8346" s="12"/>
    </row>
    <row r="8347" spans="1:14" s="5" customFormat="1" ht="15" customHeight="1" x14ac:dyDescent="0.25">
      <c r="A8347" s="9" t="s">
        <v>16441</v>
      </c>
      <c r="C8347" s="9" t="str">
        <f>HYPERLINK("http://www.ncbi.nlm.nih.gov/protein/13385304","Wwp2")</f>
        <v>Wwp2</v>
      </c>
      <c r="D8347" s="10">
        <f t="shared" si="130"/>
        <v>3.5195601963584551</v>
      </c>
      <c r="F8347" s="8" t="str">
        <f>HYPERLINK("https://esbl.nhlbi.nih.gov/Databases/mpkFractions/proteomic_fractions_log_files/Yang_log_img/13385304.jpg","show blot")</f>
        <v>show blot</v>
      </c>
      <c r="H8347" s="8" t="str">
        <f>HYPERLINK("https://esbl.nhlbi.nih.gov/Databases/mpkFractions/proteomic_fractions_linear_files/Yang_linear_img/13385304.jpg","show blot")</f>
        <v>show blot</v>
      </c>
      <c r="J8347" s="5" t="s">
        <v>16442</v>
      </c>
      <c r="L8347" s="11">
        <v>3.5195601963584551</v>
      </c>
      <c r="N8347" s="12"/>
    </row>
    <row r="8348" spans="1:14" s="5" customFormat="1" ht="15" customHeight="1" x14ac:dyDescent="0.25">
      <c r="A8348" s="9" t="s">
        <v>16443</v>
      </c>
      <c r="C8348" s="9" t="str">
        <f>HYPERLINK("http://www.ncbi.nlm.nih.gov/protein/13385660","Xab2")</f>
        <v>Xab2</v>
      </c>
      <c r="D8348" s="10">
        <f t="shared" si="130"/>
        <v>3.0382189990018</v>
      </c>
      <c r="F8348" s="8" t="str">
        <f>HYPERLINK("https://esbl.nhlbi.nih.gov/Databases/mpkFractions/proteomic_fractions_log_files/Yang_log_img/13385660.jpg","show blot")</f>
        <v>show blot</v>
      </c>
      <c r="H8348" s="8" t="str">
        <f>HYPERLINK("https://esbl.nhlbi.nih.gov/Databases/mpkFractions/proteomic_fractions_linear_files/Yang_linear_img/13385660.jpg","show blot")</f>
        <v>show blot</v>
      </c>
      <c r="J8348" s="5" t="s">
        <v>16444</v>
      </c>
      <c r="L8348" s="11">
        <v>3.0382189990018</v>
      </c>
      <c r="N8348" s="12"/>
    </row>
    <row r="8349" spans="1:14" s="5" customFormat="1" ht="15" customHeight="1" x14ac:dyDescent="0.25">
      <c r="A8349" s="9" t="s">
        <v>16445</v>
      </c>
      <c r="C8349" s="9" t="str">
        <f>HYPERLINK("http://www.ncbi.nlm.nih.gov/protein/157951674","Xiap")</f>
        <v>Xiap</v>
      </c>
      <c r="D8349" s="10">
        <f t="shared" si="130"/>
        <v>3.1745921142068392</v>
      </c>
      <c r="F8349" s="8" t="str">
        <f>HYPERLINK("https://esbl.nhlbi.nih.gov/Databases/mpkFractions/proteomic_fractions_log_files/Yang_log_img/157951674.jpg","show blot")</f>
        <v>show blot</v>
      </c>
      <c r="H8349" s="8" t="str">
        <f>HYPERLINK("https://esbl.nhlbi.nih.gov/Databases/mpkFractions/proteomic_fractions_linear_files/Yang_linear_img/157951674.jpg","show blot")</f>
        <v>show blot</v>
      </c>
      <c r="J8349" s="5" t="s">
        <v>16446</v>
      </c>
      <c r="L8349" s="11">
        <v>3.1745921142068392</v>
      </c>
      <c r="N8349" s="12"/>
    </row>
    <row r="8350" spans="1:14" s="5" customFormat="1" ht="15" customHeight="1" x14ac:dyDescent="0.25">
      <c r="A8350" s="9" t="s">
        <v>16447</v>
      </c>
      <c r="C8350" s="9" t="str">
        <f>HYPERLINK("http://www.ncbi.nlm.nih.gov/protein/406855427","Xpnpep1")</f>
        <v>Xpnpep1</v>
      </c>
      <c r="D8350" s="10">
        <f t="shared" si="130"/>
        <v>5.6295295058619823</v>
      </c>
      <c r="F8350" s="8" t="str">
        <f>HYPERLINK("https://esbl.nhlbi.nih.gov/Databases/mpkFractions/proteomic_fractions_log_files/Yang_log_img/406855427.jpg","show blot")</f>
        <v>show blot</v>
      </c>
      <c r="H8350" s="8" t="str">
        <f>HYPERLINK("https://esbl.nhlbi.nih.gov/Databases/mpkFractions/proteomic_fractions_linear_files/Yang_linear_img/406855427.jpg","show blot")</f>
        <v>show blot</v>
      </c>
      <c r="J8350" s="5" t="s">
        <v>16448</v>
      </c>
      <c r="L8350" s="11">
        <v>5.6295295058619823</v>
      </c>
      <c r="N8350" s="12"/>
    </row>
    <row r="8351" spans="1:14" s="5" customFormat="1" ht="15" customHeight="1" x14ac:dyDescent="0.25">
      <c r="A8351" s="9" t="s">
        <v>16449</v>
      </c>
      <c r="C8351" s="9" t="str">
        <f>HYPERLINK("http://www.ncbi.nlm.nih.gov/protein/28893421","Xpnpep3")</f>
        <v>Xpnpep3</v>
      </c>
      <c r="D8351" s="10">
        <f t="shared" si="130"/>
        <v>3.927154012939237</v>
      </c>
      <c r="F8351" s="8" t="str">
        <f>HYPERLINK("https://esbl.nhlbi.nih.gov/Databases/mpkFractions/proteomic_fractions_log_files/Yang_log_img/28893421.jpg","show blot")</f>
        <v>show blot</v>
      </c>
      <c r="H8351" s="8" t="str">
        <f>HYPERLINK("https://esbl.nhlbi.nih.gov/Databases/mpkFractions/proteomic_fractions_linear_files/Yang_linear_img/28893421.jpg","show blot")</f>
        <v>show blot</v>
      </c>
      <c r="J8351" s="5" t="s">
        <v>16450</v>
      </c>
      <c r="L8351" s="11">
        <v>3.927154012939237</v>
      </c>
      <c r="N8351" s="12"/>
    </row>
    <row r="8352" spans="1:14" s="5" customFormat="1" ht="15" customHeight="1" x14ac:dyDescent="0.25">
      <c r="A8352" s="9" t="s">
        <v>16451</v>
      </c>
      <c r="C8352" s="9" t="str">
        <f>HYPERLINK("http://www.ncbi.nlm.nih.gov/protein/38604071","Xpo1")</f>
        <v>Xpo1</v>
      </c>
      <c r="D8352" s="10">
        <f t="shared" si="130"/>
        <v>5.6919380577281684</v>
      </c>
      <c r="F8352" s="8" t="str">
        <f>HYPERLINK("https://esbl.nhlbi.nih.gov/Databases/mpkFractions/proteomic_fractions_log_files/Yang_log_img/38604071.jpg","show blot")</f>
        <v>show blot</v>
      </c>
      <c r="H8352" s="8" t="str">
        <f>HYPERLINK("https://esbl.nhlbi.nih.gov/Databases/mpkFractions/proteomic_fractions_linear_files/Yang_linear_img/38604071.jpg","show blot")</f>
        <v>show blot</v>
      </c>
      <c r="J8352" s="5" t="s">
        <v>16452</v>
      </c>
      <c r="L8352" s="11">
        <v>5.6919380577281684</v>
      </c>
      <c r="N8352" s="12"/>
    </row>
    <row r="8353" spans="1:14" s="5" customFormat="1" ht="15" customHeight="1" x14ac:dyDescent="0.25">
      <c r="A8353" s="9" t="s">
        <v>16453</v>
      </c>
      <c r="C8353" s="9" t="str">
        <f>HYPERLINK("http://www.ncbi.nlm.nih.gov/protein/10048438","Xpo4")</f>
        <v>Xpo4</v>
      </c>
      <c r="D8353" s="10">
        <f t="shared" si="130"/>
        <v>3.921696484633248</v>
      </c>
      <c r="F8353" s="8" t="str">
        <f>HYPERLINK("https://esbl.nhlbi.nih.gov/Databases/mpkFractions/proteomic_fractions_log_files/Yang_log_img/10048438.jpg","show blot")</f>
        <v>show blot</v>
      </c>
      <c r="H8353" s="8" t="str">
        <f>HYPERLINK("https://esbl.nhlbi.nih.gov/Databases/mpkFractions/proteomic_fractions_linear_files/Yang_linear_img/10048438.jpg","show blot")</f>
        <v>show blot</v>
      </c>
      <c r="J8353" s="5" t="s">
        <v>16454</v>
      </c>
      <c r="L8353" s="11">
        <v>3.921696484633248</v>
      </c>
      <c r="N8353" s="12"/>
    </row>
    <row r="8354" spans="1:14" s="5" customFormat="1" ht="15" customHeight="1" x14ac:dyDescent="0.25">
      <c r="A8354" s="9" t="s">
        <v>16455</v>
      </c>
      <c r="C8354" s="9" t="str">
        <f>HYPERLINK("http://www.ncbi.nlm.nih.gov/protein/24429570","Xpo5")</f>
        <v>Xpo5</v>
      </c>
      <c r="D8354" s="10">
        <f t="shared" si="130"/>
        <v>5.2332693419150598</v>
      </c>
      <c r="F8354" s="8" t="str">
        <f>HYPERLINK("https://esbl.nhlbi.nih.gov/Databases/mpkFractions/proteomic_fractions_log_files/Yang_log_img/24429570.jpg","show blot")</f>
        <v>show blot</v>
      </c>
      <c r="H8354" s="8" t="str">
        <f>HYPERLINK("https://esbl.nhlbi.nih.gov/Databases/mpkFractions/proteomic_fractions_linear_files/Yang_linear_img/24429570.jpg","show blot")</f>
        <v>show blot</v>
      </c>
      <c r="J8354" s="5" t="s">
        <v>16456</v>
      </c>
      <c r="L8354" s="11">
        <v>5.2332693419150598</v>
      </c>
      <c r="N8354" s="12"/>
    </row>
    <row r="8355" spans="1:14" s="5" customFormat="1" ht="15" customHeight="1" x14ac:dyDescent="0.25">
      <c r="A8355" s="9" t="s">
        <v>16457</v>
      </c>
      <c r="C8355" s="9" t="str">
        <f>HYPERLINK("http://www.ncbi.nlm.nih.gov/protein/12746422","Xpo7")</f>
        <v>Xpo7</v>
      </c>
      <c r="D8355" s="10">
        <f t="shared" si="130"/>
        <v>4.9487113343458411</v>
      </c>
      <c r="F8355" s="8" t="str">
        <f>HYPERLINK("https://esbl.nhlbi.nih.gov/Databases/mpkFractions/proteomic_fractions_log_files/Yang_log_img/12746422.jpg","show blot")</f>
        <v>show blot</v>
      </c>
      <c r="H8355" s="8" t="str">
        <f>HYPERLINK("https://esbl.nhlbi.nih.gov/Databases/mpkFractions/proteomic_fractions_linear_files/Yang_linear_img/12746422.jpg","show blot")</f>
        <v>show blot</v>
      </c>
      <c r="J8355" s="5" t="s">
        <v>16458</v>
      </c>
      <c r="L8355" s="11">
        <v>4.9487113343458411</v>
      </c>
      <c r="N8355" s="12"/>
    </row>
    <row r="8356" spans="1:14" s="5" customFormat="1" ht="15" customHeight="1" x14ac:dyDescent="0.25">
      <c r="A8356" s="9" t="s">
        <v>16459</v>
      </c>
      <c r="C8356" s="9" t="str">
        <f>HYPERLINK("http://www.ncbi.nlm.nih.gov/protein/124486686","Xpot")</f>
        <v>Xpot</v>
      </c>
      <c r="D8356" s="10">
        <f t="shared" si="130"/>
        <v>4.501643322907988</v>
      </c>
      <c r="F8356" s="8" t="str">
        <f>HYPERLINK("https://esbl.nhlbi.nih.gov/Databases/mpkFractions/proteomic_fractions_log_files/Yang_log_img/124486686.jpg","show blot")</f>
        <v>show blot</v>
      </c>
      <c r="H8356" s="8" t="str">
        <f>HYPERLINK("https://esbl.nhlbi.nih.gov/Databases/mpkFractions/proteomic_fractions_linear_files/Yang_linear_img/124486686.jpg","show blot")</f>
        <v>show blot</v>
      </c>
      <c r="J8356" s="5" t="s">
        <v>16460</v>
      </c>
      <c r="L8356" s="11">
        <v>4.501643322907988</v>
      </c>
      <c r="N8356" s="12"/>
    </row>
    <row r="8357" spans="1:14" s="5" customFormat="1" ht="15" customHeight="1" x14ac:dyDescent="0.25">
      <c r="A8357" s="9" t="s">
        <v>16461</v>
      </c>
      <c r="C8357" s="9" t="str">
        <f>HYPERLINK("http://www.ncbi.nlm.nih.gov/protein/170295844","Xrcc1")</f>
        <v>Xrcc1</v>
      </c>
      <c r="D8357" s="10">
        <f t="shared" si="130"/>
        <v>4.2599135035363194</v>
      </c>
      <c r="F8357" s="8" t="str">
        <f>HYPERLINK("https://esbl.nhlbi.nih.gov/Databases/mpkFractions/proteomic_fractions_log_files/Yang_log_img/170295844.jpg","show blot")</f>
        <v>show blot</v>
      </c>
      <c r="H8357" s="8" t="str">
        <f>HYPERLINK("https://esbl.nhlbi.nih.gov/Databases/mpkFractions/proteomic_fractions_linear_files/Yang_linear_img/170295844.jpg","show blot")</f>
        <v>show blot</v>
      </c>
      <c r="J8357" s="5" t="s">
        <v>16462</v>
      </c>
      <c r="L8357" s="11">
        <v>4.2599135035363194</v>
      </c>
      <c r="N8357" s="12"/>
    </row>
    <row r="8358" spans="1:14" s="5" customFormat="1" ht="15" customHeight="1" x14ac:dyDescent="0.25">
      <c r="A8358" s="9" t="s">
        <v>16463</v>
      </c>
      <c r="C8358" s="9" t="str">
        <f>HYPERLINK("http://www.ncbi.nlm.nih.gov/protein/160333605","Xrcc5")</f>
        <v>Xrcc5</v>
      </c>
      <c r="D8358" s="10">
        <f t="shared" si="130"/>
        <v>5.4331470580851668</v>
      </c>
      <c r="F8358" s="8" t="str">
        <f>HYPERLINK("https://esbl.nhlbi.nih.gov/Databases/mpkFractions/proteomic_fractions_log_files/Yang_log_img/160333605.jpg","show blot")</f>
        <v>show blot</v>
      </c>
      <c r="H8358" s="8" t="str">
        <f>HYPERLINK("https://esbl.nhlbi.nih.gov/Databases/mpkFractions/proteomic_fractions_linear_files/Yang_linear_img/160333605.jpg","show blot")</f>
        <v>show blot</v>
      </c>
      <c r="J8358" s="5" t="s">
        <v>16464</v>
      </c>
      <c r="L8358" s="11">
        <v>5.4331470580851668</v>
      </c>
      <c r="N8358" s="12"/>
    </row>
    <row r="8359" spans="1:14" s="5" customFormat="1" ht="15" customHeight="1" x14ac:dyDescent="0.25">
      <c r="A8359" s="9" t="s">
        <v>16465</v>
      </c>
      <c r="C8359" s="9" t="str">
        <f>HYPERLINK("http://www.ncbi.nlm.nih.gov/protein/145587104","Xrcc6")</f>
        <v>Xrcc6</v>
      </c>
      <c r="D8359" s="10">
        <f t="shared" si="130"/>
        <v>5.3988399553090352</v>
      </c>
      <c r="F8359" s="8" t="str">
        <f>HYPERLINK("https://esbl.nhlbi.nih.gov/Databases/mpkFractions/proteomic_fractions_log_files/Yang_log_img/145587104.jpg","show blot")</f>
        <v>show blot</v>
      </c>
      <c r="H8359" s="8" t="str">
        <f>HYPERLINK("https://esbl.nhlbi.nih.gov/Databases/mpkFractions/proteomic_fractions_linear_files/Yang_linear_img/145587104.jpg","show blot")</f>
        <v>show blot</v>
      </c>
      <c r="J8359" s="5" t="s">
        <v>16466</v>
      </c>
      <c r="L8359" s="11">
        <v>5.3988399553090352</v>
      </c>
      <c r="N8359" s="12"/>
    </row>
    <row r="8360" spans="1:14" s="5" customFormat="1" ht="15" customHeight="1" x14ac:dyDescent="0.25">
      <c r="A8360" s="9" t="s">
        <v>16467</v>
      </c>
      <c r="C8360" s="9" t="str">
        <f>HYPERLINK("http://www.ncbi.nlm.nih.gov/protein/227116360","Xrcc6bp1")</f>
        <v>Xrcc6bp1</v>
      </c>
      <c r="D8360" s="10">
        <f t="shared" si="130"/>
        <v>2.8349612754146549</v>
      </c>
      <c r="F8360" s="8" t="str">
        <f>HYPERLINK("https://esbl.nhlbi.nih.gov/Databases/mpkFractions/proteomic_fractions_log_files/Yang_log_img/227116360.jpg","show blot")</f>
        <v>show blot</v>
      </c>
      <c r="H8360" s="8" t="str">
        <f>HYPERLINK("https://esbl.nhlbi.nih.gov/Databases/mpkFractions/proteomic_fractions_linear_files/Yang_linear_img/227116360.jpg","show blot")</f>
        <v>show blot</v>
      </c>
      <c r="J8360" s="5" t="s">
        <v>16468</v>
      </c>
      <c r="L8360" s="11">
        <v>2.8349612754146549</v>
      </c>
      <c r="N8360" s="12"/>
    </row>
    <row r="8361" spans="1:14" s="5" customFormat="1" ht="15" customHeight="1" x14ac:dyDescent="0.25">
      <c r="A8361" s="9" t="s">
        <v>16469</v>
      </c>
      <c r="C8361" s="9" t="str">
        <f>HYPERLINK("http://www.ncbi.nlm.nih.gov/protein/115495455","Xrn1")</f>
        <v>Xrn1</v>
      </c>
      <c r="D8361" s="10">
        <f t="shared" si="130"/>
        <v>2.8796133763542939</v>
      </c>
      <c r="F8361" s="8" t="str">
        <f>HYPERLINK("https://esbl.nhlbi.nih.gov/Databases/mpkFractions/proteomic_fractions_log_files/Yang_log_img/115495455.jpg","show blot")</f>
        <v>show blot</v>
      </c>
      <c r="H8361" s="8" t="str">
        <f>HYPERLINK("https://esbl.nhlbi.nih.gov/Databases/mpkFractions/proteomic_fractions_linear_files/Yang_linear_img/115495455.jpg","show blot")</f>
        <v>show blot</v>
      </c>
      <c r="J8361" s="5" t="s">
        <v>16470</v>
      </c>
      <c r="L8361" s="11">
        <v>2.8796133763542939</v>
      </c>
      <c r="N8361" s="12"/>
    </row>
    <row r="8362" spans="1:14" s="5" customFormat="1" ht="15" customHeight="1" x14ac:dyDescent="0.25">
      <c r="A8362" s="9" t="s">
        <v>16471</v>
      </c>
      <c r="C8362" s="9" t="str">
        <f>HYPERLINK("http://www.ncbi.nlm.nih.gov/protein/117606214","Xrn2")</f>
        <v>Xrn2</v>
      </c>
      <c r="D8362" s="10">
        <f t="shared" si="130"/>
        <v>4.5994008878710924</v>
      </c>
      <c r="F8362" s="8" t="str">
        <f>HYPERLINK("https://esbl.nhlbi.nih.gov/Databases/mpkFractions/proteomic_fractions_log_files/Yang_log_img/117606214.jpg","show blot")</f>
        <v>show blot</v>
      </c>
      <c r="H8362" s="8" t="str">
        <f>HYPERLINK("https://esbl.nhlbi.nih.gov/Databases/mpkFractions/proteomic_fractions_linear_files/Yang_linear_img/117606214.jpg","show blot")</f>
        <v>show blot</v>
      </c>
      <c r="J8362" s="5" t="s">
        <v>16472</v>
      </c>
      <c r="L8362" s="11">
        <v>4.5994008878710924</v>
      </c>
      <c r="N8362" s="12"/>
    </row>
    <row r="8363" spans="1:14" s="5" customFormat="1" ht="15" customHeight="1" x14ac:dyDescent="0.25">
      <c r="A8363" s="9" t="s">
        <v>16473</v>
      </c>
      <c r="C8363" s="9" t="str">
        <f>HYPERLINK("http://www.ncbi.nlm.nih.gov/protein/256000811","Xrra1")</f>
        <v>Xrra1</v>
      </c>
      <c r="D8363" s="10">
        <f t="shared" si="130"/>
        <v>3.5402448468416479</v>
      </c>
      <c r="F8363" s="8" t="str">
        <f>HYPERLINK("https://esbl.nhlbi.nih.gov/Databases/mpkFractions/proteomic_fractions_log_files/Yang_log_img/256000811.jpg","show blot")</f>
        <v>show blot</v>
      </c>
      <c r="H8363" s="8" t="str">
        <f>HYPERLINK("https://esbl.nhlbi.nih.gov/Databases/mpkFractions/proteomic_fractions_linear_files/Yang_linear_img/256000811.jpg","show blot")</f>
        <v>show blot</v>
      </c>
      <c r="J8363" s="5" t="s">
        <v>16474</v>
      </c>
      <c r="L8363" s="11">
        <v>3.5402448468416479</v>
      </c>
      <c r="N8363" s="12"/>
    </row>
    <row r="8364" spans="1:14" s="5" customFormat="1" ht="15" customHeight="1" x14ac:dyDescent="0.25">
      <c r="A8364" s="9" t="s">
        <v>16475</v>
      </c>
      <c r="C8364" s="9" t="str">
        <f>HYPERLINK("http://www.ncbi.nlm.nih.gov/protein/313760620","Xylb")</f>
        <v>Xylb</v>
      </c>
      <c r="D8364" s="10">
        <f t="shared" si="130"/>
        <v>5.2741854024086914</v>
      </c>
      <c r="F8364" s="8" t="str">
        <f>HYPERLINK("https://esbl.nhlbi.nih.gov/Databases/mpkFractions/proteomic_fractions_log_files/Yang_log_img/313760620.jpg","show blot")</f>
        <v>show blot</v>
      </c>
      <c r="H8364" s="8" t="str">
        <f>HYPERLINK("https://esbl.nhlbi.nih.gov/Databases/mpkFractions/proteomic_fractions_linear_files/Yang_linear_img/313760620.jpg","show blot")</f>
        <v>show blot</v>
      </c>
      <c r="J8364" s="5" t="s">
        <v>16476</v>
      </c>
      <c r="L8364" s="11">
        <v>5.2741854024086914</v>
      </c>
      <c r="N8364" s="12"/>
    </row>
    <row r="8365" spans="1:14" s="5" customFormat="1" ht="15" customHeight="1" x14ac:dyDescent="0.25">
      <c r="A8365" s="9" t="s">
        <v>16477</v>
      </c>
      <c r="C8365" s="9" t="str">
        <f>HYPERLINK("http://www.ncbi.nlm.nih.gov/protein/84794607","Xylb")</f>
        <v>Xylb</v>
      </c>
      <c r="D8365" s="10">
        <f t="shared" si="130"/>
        <v>5.2741854024086914</v>
      </c>
      <c r="F8365" s="8" t="str">
        <f>HYPERLINK("https://esbl.nhlbi.nih.gov/Databases/mpkFractions/proteomic_fractions_log_files/Yang_log_img/84794607.jpg","show blot")</f>
        <v>show blot</v>
      </c>
      <c r="H8365" s="8" t="str">
        <f>HYPERLINK("https://esbl.nhlbi.nih.gov/Databases/mpkFractions/proteomic_fractions_linear_files/Yang_linear_img/84794607.jpg","show blot")</f>
        <v>show blot</v>
      </c>
      <c r="J8365" s="5" t="s">
        <v>16478</v>
      </c>
      <c r="L8365" s="11">
        <v>5.2741854024086914</v>
      </c>
      <c r="N8365" s="12"/>
    </row>
    <row r="8366" spans="1:14" s="5" customFormat="1" ht="15" customHeight="1" x14ac:dyDescent="0.25">
      <c r="A8366" s="9" t="s">
        <v>16479</v>
      </c>
      <c r="C8366" s="9" t="str">
        <f>HYPERLINK("http://www.ncbi.nlm.nih.gov/protein/40254385","Yaf2")</f>
        <v>Yaf2</v>
      </c>
      <c r="D8366" s="10">
        <f t="shared" si="130"/>
        <v>2.644276756651994</v>
      </c>
      <c r="F8366" s="8" t="str">
        <f>HYPERLINK("https://esbl.nhlbi.nih.gov/Databases/mpkFractions/proteomic_fractions_log_files/Yang_log_img/40254385.jpg","show blot")</f>
        <v>show blot</v>
      </c>
      <c r="H8366" s="8" t="str">
        <f>HYPERLINK("https://esbl.nhlbi.nih.gov/Databases/mpkFractions/proteomic_fractions_linear_files/Yang_linear_img/40254385.jpg","show blot")</f>
        <v>show blot</v>
      </c>
      <c r="J8366" s="5" t="s">
        <v>16480</v>
      </c>
      <c r="L8366" s="11">
        <v>2.644276756651994</v>
      </c>
      <c r="N8366" s="12"/>
    </row>
    <row r="8367" spans="1:14" s="5" customFormat="1" ht="15" customHeight="1" x14ac:dyDescent="0.25">
      <c r="A8367" s="9" t="s">
        <v>16481</v>
      </c>
      <c r="C8367" s="9" t="str">
        <f>HYPERLINK("http://www.ncbi.nlm.nih.gov/protein/283945493","Yap1")</f>
        <v>Yap1</v>
      </c>
      <c r="D8367" s="10">
        <f t="shared" si="130"/>
        <v>2.9492124956953489</v>
      </c>
      <c r="F8367" s="8" t="str">
        <f>HYPERLINK("https://esbl.nhlbi.nih.gov/Databases/mpkFractions/proteomic_fractions_log_files/Yang_log_img/283945493.jpg","show blot")</f>
        <v>show blot</v>
      </c>
      <c r="H8367" s="8" t="str">
        <f>HYPERLINK("https://esbl.nhlbi.nih.gov/Databases/mpkFractions/proteomic_fractions_linear_files/Yang_linear_img/283945493.jpg","show blot")</f>
        <v>show blot</v>
      </c>
      <c r="J8367" s="5" t="s">
        <v>16482</v>
      </c>
      <c r="L8367" s="11">
        <v>2.9492124956953489</v>
      </c>
      <c r="N8367" s="12"/>
    </row>
    <row r="8368" spans="1:14" s="5" customFormat="1" ht="15" customHeight="1" x14ac:dyDescent="0.25">
      <c r="A8368" s="9" t="s">
        <v>16483</v>
      </c>
      <c r="C8368" s="9" t="str">
        <f>HYPERLINK("http://www.ncbi.nlm.nih.gov/protein/6678615","Yap1")</f>
        <v>Yap1</v>
      </c>
      <c r="D8368" s="10">
        <f t="shared" si="130"/>
        <v>2.9492124956953489</v>
      </c>
      <c r="F8368" s="8" t="str">
        <f>HYPERLINK("https://esbl.nhlbi.nih.gov/Databases/mpkFractions/proteomic_fractions_log_files/Yang_log_img/6678615.jpg","show blot")</f>
        <v>show blot</v>
      </c>
      <c r="H8368" s="8" t="str">
        <f>HYPERLINK("https://esbl.nhlbi.nih.gov/Databases/mpkFractions/proteomic_fractions_linear_files/Yang_linear_img/6678615.jpg","show blot")</f>
        <v>show blot</v>
      </c>
      <c r="J8368" s="5" t="s">
        <v>16484</v>
      </c>
      <c r="L8368" s="11">
        <v>2.9492124956953489</v>
      </c>
      <c r="N8368" s="12"/>
    </row>
    <row r="8369" spans="1:14" s="5" customFormat="1" ht="15" customHeight="1" x14ac:dyDescent="0.25">
      <c r="A8369" s="9" t="s">
        <v>16485</v>
      </c>
      <c r="C8369" s="9" t="str">
        <f>HYPERLINK("http://www.ncbi.nlm.nih.gov/protein/411147387","Yars")</f>
        <v>Yars</v>
      </c>
      <c r="D8369" s="10">
        <f t="shared" si="130"/>
        <v>5.5018017079361243</v>
      </c>
      <c r="F8369" s="8" t="str">
        <f>HYPERLINK("https://esbl.nhlbi.nih.gov/Databases/mpkFractions/proteomic_fractions_log_files/Yang_log_img/411147387.jpg","show blot")</f>
        <v>show blot</v>
      </c>
      <c r="H8369" s="8" t="str">
        <f>HYPERLINK("https://esbl.nhlbi.nih.gov/Databases/mpkFractions/proteomic_fractions_linear_files/Yang_linear_img/411147387.jpg","show blot")</f>
        <v>show blot</v>
      </c>
      <c r="J8369" s="5" t="s">
        <v>16486</v>
      </c>
      <c r="L8369" s="11">
        <v>5.5018017079361243</v>
      </c>
      <c r="N8369" s="12"/>
    </row>
    <row r="8370" spans="1:14" s="5" customFormat="1" ht="15" customHeight="1" x14ac:dyDescent="0.25">
      <c r="A8370" s="9" t="s">
        <v>16487</v>
      </c>
      <c r="C8370" s="9" t="str">
        <f>HYPERLINK("http://www.ncbi.nlm.nih.gov/protein/39930579","Yars2")</f>
        <v>Yars2</v>
      </c>
      <c r="D8370" s="10">
        <f t="shared" si="130"/>
        <v>3.4192803603436901</v>
      </c>
      <c r="F8370" s="8" t="str">
        <f>HYPERLINK("https://esbl.nhlbi.nih.gov/Databases/mpkFractions/proteomic_fractions_log_files/Yang_log_img/39930579.jpg","show blot")</f>
        <v>show blot</v>
      </c>
      <c r="H8370" s="8" t="str">
        <f>HYPERLINK("https://esbl.nhlbi.nih.gov/Databases/mpkFractions/proteomic_fractions_linear_files/Yang_linear_img/39930579.jpg","show blot")</f>
        <v>show blot</v>
      </c>
      <c r="J8370" s="5" t="s">
        <v>16488</v>
      </c>
      <c r="L8370" s="11">
        <v>3.4192803603436901</v>
      </c>
      <c r="N8370" s="12"/>
    </row>
    <row r="8371" spans="1:14" s="5" customFormat="1" ht="15" customHeight="1" x14ac:dyDescent="0.25">
      <c r="A8371" s="9" t="s">
        <v>16489</v>
      </c>
      <c r="C8371" s="9" t="str">
        <f>HYPERLINK("http://www.ncbi.nlm.nih.gov/protein/54607131","Ybey")</f>
        <v>Ybey</v>
      </c>
      <c r="D8371" s="10">
        <f t="shared" si="130"/>
        <v>3.257192970033171</v>
      </c>
      <c r="F8371" s="8" t="str">
        <f>HYPERLINK("https://esbl.nhlbi.nih.gov/Databases/mpkFractions/proteomic_fractions_log_files/Yang_log_img/54607131.jpg","show blot")</f>
        <v>show blot</v>
      </c>
      <c r="H8371" s="8" t="str">
        <f>HYPERLINK("https://esbl.nhlbi.nih.gov/Databases/mpkFractions/proteomic_fractions_linear_files/Yang_linear_img/54607131.jpg","show blot")</f>
        <v>show blot</v>
      </c>
      <c r="J8371" s="5" t="s">
        <v>16490</v>
      </c>
      <c r="L8371" s="11">
        <v>3.257192970033171</v>
      </c>
      <c r="N8371" s="12"/>
    </row>
    <row r="8372" spans="1:14" s="5" customFormat="1" ht="15" customHeight="1" x14ac:dyDescent="0.25">
      <c r="A8372" s="9" t="s">
        <v>16491</v>
      </c>
      <c r="C8372" s="9" t="str">
        <f>HYPERLINK("http://www.ncbi.nlm.nih.gov/protein/113205059","Ybx1")</f>
        <v>Ybx1</v>
      </c>
      <c r="D8372" s="10">
        <f t="shared" si="130"/>
        <v>6.4582267961188338</v>
      </c>
      <c r="F8372" s="8" t="str">
        <f>HYPERLINK("https://esbl.nhlbi.nih.gov/Databases/mpkFractions/proteomic_fractions_log_files/Yang_log_img/113205059.jpg","show blot")</f>
        <v>show blot</v>
      </c>
      <c r="H8372" s="8" t="str">
        <f>HYPERLINK("https://esbl.nhlbi.nih.gov/Databases/mpkFractions/proteomic_fractions_linear_files/Yang_linear_img/113205059.jpg","show blot")</f>
        <v>show blot</v>
      </c>
      <c r="J8372" s="5" t="s">
        <v>16492</v>
      </c>
      <c r="L8372" s="11">
        <v>6.4582267961188338</v>
      </c>
      <c r="N8372" s="12"/>
    </row>
    <row r="8373" spans="1:14" s="5" customFormat="1" ht="15" customHeight="1" x14ac:dyDescent="0.25">
      <c r="A8373" s="9" t="s">
        <v>16493</v>
      </c>
      <c r="C8373" s="9" t="str">
        <f>HYPERLINK("http://www.ncbi.nlm.nih.gov/protein/117956377","Ybx2")</f>
        <v>Ybx2</v>
      </c>
      <c r="D8373" s="10">
        <f t="shared" si="130"/>
        <v>6.1690796831031296</v>
      </c>
      <c r="F8373" s="8" t="str">
        <f>HYPERLINK("https://esbl.nhlbi.nih.gov/Databases/mpkFractions/proteomic_fractions_log_files/Yang_log_img/117956377.jpg","show blot")</f>
        <v>show blot</v>
      </c>
      <c r="H8373" s="8" t="str">
        <f>HYPERLINK("https://esbl.nhlbi.nih.gov/Databases/mpkFractions/proteomic_fractions_linear_files/Yang_linear_img/117956377.jpg","show blot")</f>
        <v>show blot</v>
      </c>
      <c r="J8373" s="5" t="s">
        <v>16494</v>
      </c>
      <c r="L8373" s="11">
        <v>6.1690796831031296</v>
      </c>
      <c r="N8373" s="12"/>
    </row>
    <row r="8374" spans="1:14" s="5" customFormat="1" ht="15" customHeight="1" x14ac:dyDescent="0.25">
      <c r="A8374" s="9" t="s">
        <v>16495</v>
      </c>
      <c r="C8374" s="9" t="str">
        <f>HYPERLINK("http://www.ncbi.nlm.nih.gov/protein/20806532","Ybx3")</f>
        <v>Ybx3</v>
      </c>
      <c r="D8374" s="10">
        <f t="shared" si="130"/>
        <v>6.3852147366603491</v>
      </c>
      <c r="F8374" s="8" t="str">
        <f>HYPERLINK("https://esbl.nhlbi.nih.gov/Databases/mpkFractions/proteomic_fractions_log_files/Yang_log_img/20806532.jpg","show blot")</f>
        <v>show blot</v>
      </c>
      <c r="H8374" s="8" t="str">
        <f>HYPERLINK("https://esbl.nhlbi.nih.gov/Databases/mpkFractions/proteomic_fractions_linear_files/Yang_linear_img/20806532.jpg","show blot")</f>
        <v>show blot</v>
      </c>
      <c r="J8374" s="5" t="s">
        <v>16496</v>
      </c>
      <c r="L8374" s="11">
        <v>6.3852147366603491</v>
      </c>
      <c r="N8374" s="12"/>
    </row>
    <row r="8375" spans="1:14" s="5" customFormat="1" ht="15" customHeight="1" x14ac:dyDescent="0.25">
      <c r="A8375" s="9" t="s">
        <v>16497</v>
      </c>
      <c r="C8375" s="9" t="str">
        <f>HYPERLINK("http://www.ncbi.nlm.nih.gov/protein/47059495","Ybx3")</f>
        <v>Ybx3</v>
      </c>
      <c r="D8375" s="10">
        <f t="shared" si="130"/>
        <v>6.3852147366603491</v>
      </c>
      <c r="F8375" s="8" t="str">
        <f>HYPERLINK("https://esbl.nhlbi.nih.gov/Databases/mpkFractions/proteomic_fractions_log_files/Yang_log_img/47059495.jpg","show blot")</f>
        <v>show blot</v>
      </c>
      <c r="H8375" s="8" t="str">
        <f>HYPERLINK("https://esbl.nhlbi.nih.gov/Databases/mpkFractions/proteomic_fractions_linear_files/Yang_linear_img/47059495.jpg","show blot")</f>
        <v>show blot</v>
      </c>
      <c r="J8375" s="5" t="s">
        <v>16498</v>
      </c>
      <c r="L8375" s="11">
        <v>6.3852147366603491</v>
      </c>
      <c r="N8375" s="12"/>
    </row>
    <row r="8376" spans="1:14" s="5" customFormat="1" ht="15" customHeight="1" x14ac:dyDescent="0.25">
      <c r="A8376" s="9" t="s">
        <v>16499</v>
      </c>
      <c r="C8376" s="9" t="str">
        <f>HYPERLINK("http://www.ncbi.nlm.nih.gov/protein/326806988","Yes1")</f>
        <v>Yes1</v>
      </c>
      <c r="D8376" s="10">
        <f t="shared" si="130"/>
        <v>5.4165471817307784</v>
      </c>
      <c r="F8376" s="8" t="str">
        <f>HYPERLINK("https://esbl.nhlbi.nih.gov/Databases/mpkFractions/proteomic_fractions_log_files/Yang_log_img/326806988.jpg","show blot")</f>
        <v>show blot</v>
      </c>
      <c r="H8376" s="8" t="str">
        <f>HYPERLINK("https://esbl.nhlbi.nih.gov/Databases/mpkFractions/proteomic_fractions_linear_files/Yang_linear_img/326806988.jpg","show blot")</f>
        <v>show blot</v>
      </c>
      <c r="J8376" s="5" t="s">
        <v>16500</v>
      </c>
      <c r="L8376" s="11">
        <v>5.4165471817307784</v>
      </c>
      <c r="N8376" s="12"/>
    </row>
    <row r="8377" spans="1:14" s="5" customFormat="1" ht="15" customHeight="1" x14ac:dyDescent="0.25">
      <c r="A8377" s="9" t="s">
        <v>16501</v>
      </c>
      <c r="C8377" s="9" t="str">
        <f>HYPERLINK("http://www.ncbi.nlm.nih.gov/protein/25282409","Yif1a")</f>
        <v>Yif1a</v>
      </c>
      <c r="D8377" s="10">
        <f t="shared" si="130"/>
        <v>4.0867785117000874</v>
      </c>
      <c r="F8377" s="8" t="str">
        <f>HYPERLINK("https://esbl.nhlbi.nih.gov/Databases/mpkFractions/proteomic_fractions_log_files/Yang_log_img/25282409.jpg","show blot")</f>
        <v>show blot</v>
      </c>
      <c r="H8377" s="8" t="str">
        <f>HYPERLINK("https://esbl.nhlbi.nih.gov/Databases/mpkFractions/proteomic_fractions_linear_files/Yang_linear_img/25282409.jpg","show blot")</f>
        <v>show blot</v>
      </c>
      <c r="J8377" s="5" t="s">
        <v>16502</v>
      </c>
      <c r="L8377" s="11">
        <v>4.0867785117000874</v>
      </c>
      <c r="N8377" s="12"/>
    </row>
    <row r="8378" spans="1:14" s="5" customFormat="1" ht="15" customHeight="1" x14ac:dyDescent="0.25">
      <c r="A8378" s="9" t="s">
        <v>16503</v>
      </c>
      <c r="C8378" s="9" t="str">
        <f>HYPERLINK("http://www.ncbi.nlm.nih.gov/protein/158937258","Yif1b")</f>
        <v>Yif1b</v>
      </c>
      <c r="D8378" s="10">
        <f t="shared" si="130"/>
        <v>3.5937162063936898</v>
      </c>
      <c r="F8378" s="8" t="str">
        <f>HYPERLINK("https://esbl.nhlbi.nih.gov/Databases/mpkFractions/proteomic_fractions_log_files/Yang_log_img/158937258.jpg","show blot")</f>
        <v>show blot</v>
      </c>
      <c r="H8378" s="8" t="str">
        <f>HYPERLINK("https://esbl.nhlbi.nih.gov/Databases/mpkFractions/proteomic_fractions_linear_files/Yang_linear_img/158937258.jpg","show blot")</f>
        <v>show blot</v>
      </c>
      <c r="J8378" s="5" t="s">
        <v>16504</v>
      </c>
      <c r="L8378" s="11">
        <v>3.5937162063936898</v>
      </c>
      <c r="N8378" s="12"/>
    </row>
    <row r="8379" spans="1:14" s="5" customFormat="1" ht="15" customHeight="1" x14ac:dyDescent="0.25">
      <c r="A8379" s="9" t="s">
        <v>16505</v>
      </c>
      <c r="C8379" s="9" t="str">
        <f>HYPERLINK("http://www.ncbi.nlm.nih.gov/protein/158937260","Yif1b")</f>
        <v>Yif1b</v>
      </c>
      <c r="D8379" s="10">
        <f t="shared" si="130"/>
        <v>3.5937162063936898</v>
      </c>
      <c r="F8379" s="8" t="str">
        <f>HYPERLINK("https://esbl.nhlbi.nih.gov/Databases/mpkFractions/proteomic_fractions_log_files/Yang_log_img/158937260.jpg","show blot")</f>
        <v>show blot</v>
      </c>
      <c r="H8379" s="8" t="str">
        <f>HYPERLINK("https://esbl.nhlbi.nih.gov/Databases/mpkFractions/proteomic_fractions_linear_files/Yang_linear_img/158937260.jpg","show blot")</f>
        <v>show blot</v>
      </c>
      <c r="J8379" s="5" t="s">
        <v>16506</v>
      </c>
      <c r="L8379" s="11">
        <v>3.5937162063936898</v>
      </c>
      <c r="N8379" s="12"/>
    </row>
    <row r="8380" spans="1:14" s="5" customFormat="1" ht="15" customHeight="1" x14ac:dyDescent="0.25">
      <c r="A8380" s="9" t="s">
        <v>16507</v>
      </c>
      <c r="C8380" s="9" t="str">
        <f>HYPERLINK("http://www.ncbi.nlm.nih.gov/protein/247269773","Yipf3")</f>
        <v>Yipf3</v>
      </c>
      <c r="D8380" s="10">
        <f t="shared" si="130"/>
        <v>4.1372916741164847</v>
      </c>
      <c r="F8380" s="8" t="str">
        <f>HYPERLINK("https://esbl.nhlbi.nih.gov/Databases/mpkFractions/proteomic_fractions_log_files/Yang_log_img/247269773.jpg","show blot")</f>
        <v>show blot</v>
      </c>
      <c r="H8380" s="8" t="str">
        <f>HYPERLINK("https://esbl.nhlbi.nih.gov/Databases/mpkFractions/proteomic_fractions_linear_files/Yang_linear_img/247269773.jpg","show blot")</f>
        <v>show blot</v>
      </c>
      <c r="J8380" s="5" t="s">
        <v>16508</v>
      </c>
      <c r="L8380" s="11">
        <v>4.1372916741164847</v>
      </c>
      <c r="N8380" s="12"/>
    </row>
    <row r="8381" spans="1:14" s="5" customFormat="1" ht="15" customHeight="1" x14ac:dyDescent="0.25">
      <c r="A8381" s="9" t="s">
        <v>16509</v>
      </c>
      <c r="C8381" s="9" t="str">
        <f>HYPERLINK("http://www.ncbi.nlm.nih.gov/protein/28076889","Yipf4")</f>
        <v>Yipf4</v>
      </c>
      <c r="D8381" s="10">
        <f t="shared" si="130"/>
        <v>3.968697788606169</v>
      </c>
      <c r="F8381" s="8" t="str">
        <f>HYPERLINK("https://esbl.nhlbi.nih.gov/Databases/mpkFractions/proteomic_fractions_log_files/Yang_log_img/28076889.jpg","show blot")</f>
        <v>show blot</v>
      </c>
      <c r="H8381" s="8" t="str">
        <f>HYPERLINK("https://esbl.nhlbi.nih.gov/Databases/mpkFractions/proteomic_fractions_linear_files/Yang_linear_img/28076889.jpg","show blot")</f>
        <v>show blot</v>
      </c>
      <c r="J8381" s="5" t="s">
        <v>16510</v>
      </c>
      <c r="L8381" s="11">
        <v>3.968697788606169</v>
      </c>
      <c r="N8381" s="12"/>
    </row>
    <row r="8382" spans="1:14" s="5" customFormat="1" ht="15" customHeight="1" x14ac:dyDescent="0.25">
      <c r="A8382" s="9" t="s">
        <v>16511</v>
      </c>
      <c r="C8382" s="9" t="str">
        <f>HYPERLINK("http://www.ncbi.nlm.nih.gov/protein/12963631","Yipf5")</f>
        <v>Yipf5</v>
      </c>
      <c r="D8382" s="10">
        <f t="shared" si="130"/>
        <v>3.0033836661375259</v>
      </c>
      <c r="F8382" s="8" t="str">
        <f>HYPERLINK("https://esbl.nhlbi.nih.gov/Databases/mpkFractions/proteomic_fractions_log_files/Yang_log_img/12963631.jpg","show blot")</f>
        <v>show blot</v>
      </c>
      <c r="H8382" s="8" t="str">
        <f>HYPERLINK("https://esbl.nhlbi.nih.gov/Databases/mpkFractions/proteomic_fractions_linear_files/Yang_linear_img/12963631.jpg","show blot")</f>
        <v>show blot</v>
      </c>
      <c r="J8382" s="5" t="s">
        <v>16512</v>
      </c>
      <c r="L8382" s="11">
        <v>3.0033836661375259</v>
      </c>
      <c r="N8382" s="12"/>
    </row>
    <row r="8383" spans="1:14" s="5" customFormat="1" ht="15" customHeight="1" x14ac:dyDescent="0.25">
      <c r="A8383" s="9" t="s">
        <v>16513</v>
      </c>
      <c r="C8383" s="9" t="str">
        <f>HYPERLINK("http://www.ncbi.nlm.nih.gov/protein/46519049","Yipf6")</f>
        <v>Yipf6</v>
      </c>
      <c r="D8383" s="10">
        <f t="shared" si="130"/>
        <v>3.3894863813152569</v>
      </c>
      <c r="F8383" s="8" t="str">
        <f>HYPERLINK("https://esbl.nhlbi.nih.gov/Databases/mpkFractions/proteomic_fractions_log_files/Yang_log_img/46519049.jpg","show blot")</f>
        <v>show blot</v>
      </c>
      <c r="H8383" s="8" t="str">
        <f>HYPERLINK("https://esbl.nhlbi.nih.gov/Databases/mpkFractions/proteomic_fractions_linear_files/Yang_linear_img/46519049.jpg","show blot")</f>
        <v>show blot</v>
      </c>
      <c r="J8383" s="5" t="s">
        <v>16514</v>
      </c>
      <c r="L8383" s="11">
        <v>3.3894863813152569</v>
      </c>
      <c r="N8383" s="12"/>
    </row>
    <row r="8384" spans="1:14" s="5" customFormat="1" ht="15" customHeight="1" x14ac:dyDescent="0.25">
      <c r="A8384" s="9" t="s">
        <v>16515</v>
      </c>
      <c r="C8384" s="9" t="str">
        <f>HYPERLINK("http://www.ncbi.nlm.nih.gov/protein/31543971","Ykt6")</f>
        <v>Ykt6</v>
      </c>
      <c r="D8384" s="10">
        <f t="shared" si="130"/>
        <v>5.340294345983664</v>
      </c>
      <c r="F8384" s="8" t="str">
        <f>HYPERLINK("https://esbl.nhlbi.nih.gov/Databases/mpkFractions/proteomic_fractions_log_files/Yang_log_img/31543971.jpg","show blot")</f>
        <v>show blot</v>
      </c>
      <c r="H8384" s="8" t="str">
        <f>HYPERLINK("https://esbl.nhlbi.nih.gov/Databases/mpkFractions/proteomic_fractions_linear_files/Yang_linear_img/31543971.jpg","show blot")</f>
        <v>show blot</v>
      </c>
      <c r="J8384" s="5" t="s">
        <v>16516</v>
      </c>
      <c r="L8384" s="11">
        <v>5.340294345983664</v>
      </c>
      <c r="N8384" s="12"/>
    </row>
    <row r="8385" spans="1:14" s="5" customFormat="1" ht="15" customHeight="1" x14ac:dyDescent="0.25">
      <c r="A8385" s="9" t="s">
        <v>16517</v>
      </c>
      <c r="C8385" s="9" t="str">
        <f>HYPERLINK("http://www.ncbi.nlm.nih.gov/protein/7305635","Yme1l1")</f>
        <v>Yme1l1</v>
      </c>
      <c r="D8385" s="10">
        <f t="shared" si="130"/>
        <v>3.928314436258654</v>
      </c>
      <c r="F8385" s="8" t="str">
        <f>HYPERLINK("https://esbl.nhlbi.nih.gov/Databases/mpkFractions/proteomic_fractions_log_files/Yang_log_img/7305635.jpg","show blot")</f>
        <v>show blot</v>
      </c>
      <c r="H8385" s="8" t="str">
        <f>HYPERLINK("https://esbl.nhlbi.nih.gov/Databases/mpkFractions/proteomic_fractions_linear_files/Yang_linear_img/7305635.jpg","show blot")</f>
        <v>show blot</v>
      </c>
      <c r="J8385" s="5" t="s">
        <v>16518</v>
      </c>
      <c r="L8385" s="11">
        <v>3.928314436258654</v>
      </c>
      <c r="N8385" s="12"/>
    </row>
    <row r="8386" spans="1:14" s="5" customFormat="1" ht="15" customHeight="1" x14ac:dyDescent="0.25">
      <c r="A8386" s="9" t="s">
        <v>16519</v>
      </c>
      <c r="C8386" s="9" t="str">
        <f>HYPERLINK("http://www.ncbi.nlm.nih.gov/protein/47059139","Ypel5")</f>
        <v>Ypel5</v>
      </c>
      <c r="D8386" s="10">
        <f t="shared" si="130"/>
        <v>5.2956206839532971</v>
      </c>
      <c r="F8386" s="8" t="str">
        <f>HYPERLINK("https://esbl.nhlbi.nih.gov/Databases/mpkFractions/proteomic_fractions_log_files/Yang_log_img/47059139.jpg","show blot")</f>
        <v>show blot</v>
      </c>
      <c r="H8386" s="8" t="str">
        <f>HYPERLINK("https://esbl.nhlbi.nih.gov/Databases/mpkFractions/proteomic_fractions_linear_files/Yang_linear_img/47059139.jpg","show blot")</f>
        <v>show blot</v>
      </c>
      <c r="J8386" s="5" t="s">
        <v>16520</v>
      </c>
      <c r="L8386" s="11">
        <v>5.2956206839532971</v>
      </c>
      <c r="N8386" s="12"/>
    </row>
    <row r="8387" spans="1:14" s="5" customFormat="1" ht="15" customHeight="1" x14ac:dyDescent="0.25">
      <c r="A8387" s="9" t="s">
        <v>16521</v>
      </c>
      <c r="C8387" s="9" t="str">
        <f>HYPERLINK("http://www.ncbi.nlm.nih.gov/protein/247494089","Yrdc")</f>
        <v>Yrdc</v>
      </c>
      <c r="D8387" s="10">
        <f t="shared" si="130"/>
        <v>4.1474767337022218</v>
      </c>
      <c r="F8387" s="8" t="str">
        <f>HYPERLINK("https://esbl.nhlbi.nih.gov/Databases/mpkFractions/proteomic_fractions_log_files/Yang_log_img/247494089.jpg","show blot")</f>
        <v>show blot</v>
      </c>
      <c r="H8387" s="8" t="str">
        <f>HYPERLINK("https://esbl.nhlbi.nih.gov/Databases/mpkFractions/proteomic_fractions_linear_files/Yang_linear_img/247494089.jpg","show blot")</f>
        <v>show blot</v>
      </c>
      <c r="J8387" s="5" t="s">
        <v>16522</v>
      </c>
      <c r="L8387" s="11">
        <v>4.1474767337022218</v>
      </c>
      <c r="N8387" s="12"/>
    </row>
    <row r="8388" spans="1:14" s="5" customFormat="1" ht="15" customHeight="1" x14ac:dyDescent="0.25">
      <c r="A8388" s="9" t="s">
        <v>16523</v>
      </c>
      <c r="C8388" s="9" t="str">
        <f>HYPERLINK("http://www.ncbi.nlm.nih.gov/protein/30424609","Ythdf1")</f>
        <v>Ythdf1</v>
      </c>
      <c r="D8388" s="10">
        <f t="shared" si="130"/>
        <v>4.2646993226460923</v>
      </c>
      <c r="F8388" s="8" t="str">
        <f>HYPERLINK("https://esbl.nhlbi.nih.gov/Databases/mpkFractions/proteomic_fractions_log_files/Yang_log_img/30424609.jpg","show blot")</f>
        <v>show blot</v>
      </c>
      <c r="H8388" s="8" t="str">
        <f>HYPERLINK("https://esbl.nhlbi.nih.gov/Databases/mpkFractions/proteomic_fractions_linear_files/Yang_linear_img/30424609.jpg","show blot")</f>
        <v>show blot</v>
      </c>
      <c r="J8388" s="5" t="s">
        <v>16524</v>
      </c>
      <c r="L8388" s="11">
        <v>4.2646993226460923</v>
      </c>
      <c r="N8388" s="12"/>
    </row>
    <row r="8389" spans="1:14" s="5" customFormat="1" ht="15" customHeight="1" x14ac:dyDescent="0.25">
      <c r="A8389" s="9" t="s">
        <v>16525</v>
      </c>
      <c r="C8389" s="9" t="str">
        <f>HYPERLINK("http://www.ncbi.nlm.nih.gov/protein/225543110","Ythdf2")</f>
        <v>Ythdf2</v>
      </c>
      <c r="D8389" s="10">
        <f t="shared" ref="D8389:D8452" si="131">L8389</f>
        <v>4.3513603947803876</v>
      </c>
      <c r="F8389" s="8" t="str">
        <f>HYPERLINK("https://esbl.nhlbi.nih.gov/Databases/mpkFractions/proteomic_fractions_log_files/Yang_log_img/225543110.jpg","show blot")</f>
        <v>show blot</v>
      </c>
      <c r="H8389" s="8" t="str">
        <f>HYPERLINK("https://esbl.nhlbi.nih.gov/Databases/mpkFractions/proteomic_fractions_linear_files/Yang_linear_img/225543110.jpg","show blot")</f>
        <v>show blot</v>
      </c>
      <c r="J8389" s="5" t="s">
        <v>16526</v>
      </c>
      <c r="L8389" s="11">
        <v>4.3513603947803876</v>
      </c>
      <c r="N8389" s="12"/>
    </row>
    <row r="8390" spans="1:14" s="5" customFormat="1" ht="15" customHeight="1" x14ac:dyDescent="0.25">
      <c r="A8390" s="9" t="s">
        <v>16527</v>
      </c>
      <c r="C8390" s="9" t="str">
        <f>HYPERLINK("http://www.ncbi.nlm.nih.gov/protein/225543495","Ythdf3")</f>
        <v>Ythdf3</v>
      </c>
      <c r="D8390" s="10">
        <f t="shared" si="131"/>
        <v>4.963391681341788</v>
      </c>
      <c r="F8390" s="8" t="str">
        <f>HYPERLINK("https://esbl.nhlbi.nih.gov/Databases/mpkFractions/proteomic_fractions_log_files/Yang_log_img/225543495.jpg","show blot")</f>
        <v>show blot</v>
      </c>
      <c r="H8390" s="8" t="str">
        <f>HYPERLINK("https://esbl.nhlbi.nih.gov/Databases/mpkFractions/proteomic_fractions_linear_files/Yang_linear_img/225543495.jpg","show blot")</f>
        <v>show blot</v>
      </c>
      <c r="J8390" s="5" t="s">
        <v>16528</v>
      </c>
      <c r="L8390" s="11">
        <v>4.963391681341788</v>
      </c>
      <c r="N8390" s="12"/>
    </row>
    <row r="8391" spans="1:14" s="5" customFormat="1" ht="15" customHeight="1" x14ac:dyDescent="0.25">
      <c r="A8391" s="9" t="s">
        <v>16529</v>
      </c>
      <c r="C8391" s="9" t="str">
        <f>HYPERLINK("http://www.ncbi.nlm.nih.gov/protein/225543497","Ythdf3")</f>
        <v>Ythdf3</v>
      </c>
      <c r="D8391" s="10">
        <f t="shared" si="131"/>
        <v>4.963391681341788</v>
      </c>
      <c r="F8391" s="8" t="str">
        <f>HYPERLINK("https://esbl.nhlbi.nih.gov/Databases/mpkFractions/proteomic_fractions_log_files/Yang_log_img/225543497.jpg","show blot")</f>
        <v>show blot</v>
      </c>
      <c r="H8391" s="8" t="str">
        <f>HYPERLINK("https://esbl.nhlbi.nih.gov/Databases/mpkFractions/proteomic_fractions_linear_files/Yang_linear_img/225543497.jpg","show blot")</f>
        <v>show blot</v>
      </c>
      <c r="J8391" s="5" t="s">
        <v>16530</v>
      </c>
      <c r="L8391" s="11">
        <v>4.963391681341788</v>
      </c>
      <c r="N8391" s="12"/>
    </row>
    <row r="8392" spans="1:14" s="5" customFormat="1" ht="15" customHeight="1" x14ac:dyDescent="0.25">
      <c r="A8392" s="9" t="s">
        <v>16531</v>
      </c>
      <c r="C8392" s="9" t="str">
        <f>HYPERLINK("http://www.ncbi.nlm.nih.gov/protein/31543974","Ywhab")</f>
        <v>Ywhab</v>
      </c>
      <c r="D8392" s="10">
        <f t="shared" si="131"/>
        <v>7.0417939611075289</v>
      </c>
      <c r="F8392" s="8" t="str">
        <f>HYPERLINK("https://esbl.nhlbi.nih.gov/Databases/mpkFractions/proteomic_fractions_log_files/Yang_log_img/31543974.jpg","show blot")</f>
        <v>show blot</v>
      </c>
      <c r="H8392" s="8" t="str">
        <f>HYPERLINK("https://esbl.nhlbi.nih.gov/Databases/mpkFractions/proteomic_fractions_linear_files/Yang_linear_img/31543974.jpg","show blot")</f>
        <v>show blot</v>
      </c>
      <c r="J8392" s="5" t="s">
        <v>16532</v>
      </c>
      <c r="L8392" s="11">
        <v>7.0417939611075289</v>
      </c>
      <c r="N8392" s="12"/>
    </row>
    <row r="8393" spans="1:14" s="5" customFormat="1" ht="15" customHeight="1" x14ac:dyDescent="0.25">
      <c r="A8393" s="9" t="s">
        <v>16533</v>
      </c>
      <c r="C8393" s="9" t="str">
        <f>HYPERLINK("http://www.ncbi.nlm.nih.gov/protein/226874906","Ywhae")</f>
        <v>Ywhae</v>
      </c>
      <c r="D8393" s="10">
        <f t="shared" si="131"/>
        <v>7.1526487644574601</v>
      </c>
      <c r="F8393" s="8" t="str">
        <f>HYPERLINK("https://esbl.nhlbi.nih.gov/Databases/mpkFractions/proteomic_fractions_log_files/Yang_log_img/226874906.jpg","show blot")</f>
        <v>show blot</v>
      </c>
      <c r="H8393" s="8" t="str">
        <f>HYPERLINK("https://esbl.nhlbi.nih.gov/Databases/mpkFractions/proteomic_fractions_linear_files/Yang_linear_img/226874906.jpg","show blot")</f>
        <v>show blot</v>
      </c>
      <c r="J8393" s="5" t="s">
        <v>16534</v>
      </c>
      <c r="L8393" s="11">
        <v>7.1526487644574601</v>
      </c>
      <c r="N8393" s="12"/>
    </row>
    <row r="8394" spans="1:14" s="5" customFormat="1" ht="15" customHeight="1" x14ac:dyDescent="0.25">
      <c r="A8394" s="9" t="s">
        <v>16535</v>
      </c>
      <c r="C8394" s="9" t="str">
        <f>HYPERLINK("http://www.ncbi.nlm.nih.gov/protein/31543976","Ywhag")</f>
        <v>Ywhag</v>
      </c>
      <c r="D8394" s="10">
        <f t="shared" si="131"/>
        <v>6.9797413744930701</v>
      </c>
      <c r="F8394" s="8" t="str">
        <f>HYPERLINK("https://esbl.nhlbi.nih.gov/Databases/mpkFractions/proteomic_fractions_log_files/Yang_log_img/31543976.jpg","show blot")</f>
        <v>show blot</v>
      </c>
      <c r="H8394" s="8" t="str">
        <f>HYPERLINK("https://esbl.nhlbi.nih.gov/Databases/mpkFractions/proteomic_fractions_linear_files/Yang_linear_img/31543976.jpg","show blot")</f>
        <v>show blot</v>
      </c>
      <c r="J8394" s="5" t="s">
        <v>16536</v>
      </c>
      <c r="L8394" s="11">
        <v>6.9797413744930701</v>
      </c>
      <c r="N8394" s="12"/>
    </row>
    <row r="8395" spans="1:14" s="5" customFormat="1" ht="15" customHeight="1" x14ac:dyDescent="0.25">
      <c r="A8395" s="9" t="s">
        <v>16537</v>
      </c>
      <c r="C8395" s="9" t="str">
        <f>HYPERLINK("http://www.ncbi.nlm.nih.gov/protein/6756037","Ywhah")</f>
        <v>Ywhah</v>
      </c>
      <c r="D8395" s="10">
        <f t="shared" si="131"/>
        <v>7.1911202795627407</v>
      </c>
      <c r="F8395" s="8" t="str">
        <f>HYPERLINK("https://esbl.nhlbi.nih.gov/Databases/mpkFractions/proteomic_fractions_log_files/Yang_log_img/6756037.jpg","show blot")</f>
        <v>show blot</v>
      </c>
      <c r="H8395" s="8" t="str">
        <f>HYPERLINK("https://esbl.nhlbi.nih.gov/Databases/mpkFractions/proteomic_fractions_linear_files/Yang_linear_img/6756037.jpg","show blot")</f>
        <v>show blot</v>
      </c>
      <c r="J8395" s="5" t="s">
        <v>16538</v>
      </c>
      <c r="L8395" s="11">
        <v>7.1911202795627407</v>
      </c>
      <c r="N8395" s="12"/>
    </row>
    <row r="8396" spans="1:14" s="5" customFormat="1" ht="15" customHeight="1" x14ac:dyDescent="0.25">
      <c r="A8396" s="9" t="s">
        <v>16539</v>
      </c>
      <c r="C8396" s="9" t="str">
        <f>HYPERLINK("http://www.ncbi.nlm.nih.gov/protein/6756039","Ywhaq")</f>
        <v>Ywhaq</v>
      </c>
      <c r="D8396" s="10">
        <f t="shared" si="131"/>
        <v>7.1331312084543601</v>
      </c>
      <c r="F8396" s="8" t="str">
        <f>HYPERLINK("https://esbl.nhlbi.nih.gov/Databases/mpkFractions/proteomic_fractions_log_files/Yang_log_img/6756039.jpg","show blot")</f>
        <v>show blot</v>
      </c>
      <c r="H8396" s="8" t="str">
        <f>HYPERLINK("https://esbl.nhlbi.nih.gov/Databases/mpkFractions/proteomic_fractions_linear_files/Yang_linear_img/6756039.jpg","show blot")</f>
        <v>show blot</v>
      </c>
      <c r="J8396" s="5" t="s">
        <v>16540</v>
      </c>
      <c r="L8396" s="11">
        <v>7.1331312084543601</v>
      </c>
      <c r="N8396" s="12"/>
    </row>
    <row r="8397" spans="1:14" s="5" customFormat="1" ht="15" customHeight="1" x14ac:dyDescent="0.25">
      <c r="A8397" s="9" t="s">
        <v>16541</v>
      </c>
      <c r="C8397" s="9" t="str">
        <f>HYPERLINK("http://www.ncbi.nlm.nih.gov/protein/6756041;359385698","Ywhaz")</f>
        <v>Ywhaz</v>
      </c>
      <c r="D8397" s="10">
        <f t="shared" si="131"/>
        <v>7.4217700074126407</v>
      </c>
      <c r="F8397" s="8" t="str">
        <f>HYPERLINK("https://esbl.nhlbi.nih.gov/Databases/mpkFractions/proteomic_fractions_log_files/Yang_log_img/6756041;359385698.jpg","show blot")</f>
        <v>show blot</v>
      </c>
      <c r="H8397" s="8" t="str">
        <f>HYPERLINK("https://esbl.nhlbi.nih.gov/Databases/mpkFractions/proteomic_fractions_linear_files/Yang_linear_img/6756041;359385698.jpg","show blot")</f>
        <v>show blot</v>
      </c>
      <c r="J8397" s="5" t="s">
        <v>16542</v>
      </c>
      <c r="L8397" s="11">
        <v>7.4217700074126407</v>
      </c>
      <c r="N8397" s="12"/>
    </row>
    <row r="8398" spans="1:14" s="5" customFormat="1" ht="15" customHeight="1" x14ac:dyDescent="0.25">
      <c r="A8398" s="9" t="s">
        <v>16543</v>
      </c>
      <c r="C8398" s="9" t="str">
        <f>HYPERLINK("http://www.ncbi.nlm.nih.gov/protein/359385696;359385698","Ywhaz")</f>
        <v>Ywhaz</v>
      </c>
      <c r="D8398" s="10">
        <f t="shared" si="131"/>
        <v>7.4217700074126407</v>
      </c>
      <c r="F8398" s="8" t="str">
        <f>HYPERLINK("https://esbl.nhlbi.nih.gov/Databases/mpkFractions/proteomic_fractions_log_files/Yang_log_img/359385696;359385698.jpg","show blot")</f>
        <v>show blot</v>
      </c>
      <c r="H8398" s="8" t="str">
        <f>HYPERLINK("https://esbl.nhlbi.nih.gov/Databases/mpkFractions/proteomic_fractions_linear_files/Yang_linear_img/359385696;359385698.jpg","show blot")</f>
        <v>show blot</v>
      </c>
      <c r="J8398" s="5" t="s">
        <v>16542</v>
      </c>
      <c r="L8398" s="11">
        <v>7.4217700074126407</v>
      </c>
      <c r="N8398" s="12"/>
    </row>
    <row r="8399" spans="1:14" s="5" customFormat="1" ht="15" customHeight="1" x14ac:dyDescent="0.25">
      <c r="A8399" s="9" t="s">
        <v>16544</v>
      </c>
      <c r="C8399" s="9" t="str">
        <f>HYPERLINK("http://www.ncbi.nlm.nih.gov/protein/359385700","Ywhaz")</f>
        <v>Ywhaz</v>
      </c>
      <c r="D8399" s="10">
        <f t="shared" si="131"/>
        <v>7.4217700074126407</v>
      </c>
      <c r="F8399" s="8" t="str">
        <f>HYPERLINK("https://esbl.nhlbi.nih.gov/Databases/mpkFractions/proteomic_fractions_log_files/Yang_log_img/359385700.jpg","show blot")</f>
        <v>show blot</v>
      </c>
      <c r="H8399" s="8" t="str">
        <f>HYPERLINK("https://esbl.nhlbi.nih.gov/Databases/mpkFractions/proteomic_fractions_linear_files/Yang_linear_img/359385700.jpg","show blot")</f>
        <v>show blot</v>
      </c>
      <c r="J8399" s="5" t="s">
        <v>16545</v>
      </c>
      <c r="L8399" s="11">
        <v>7.4217700074126407</v>
      </c>
      <c r="N8399" s="12"/>
    </row>
    <row r="8400" spans="1:14" s="5" customFormat="1" ht="15" customHeight="1" x14ac:dyDescent="0.25">
      <c r="A8400" s="9" t="s">
        <v>16546</v>
      </c>
      <c r="C8400" s="9" t="str">
        <f>HYPERLINK("http://www.ncbi.nlm.nih.gov/protein/31982421","Yy1")</f>
        <v>Yy1</v>
      </c>
      <c r="D8400" s="10">
        <f t="shared" si="131"/>
        <v>2.6144559139867352</v>
      </c>
      <c r="F8400" s="8" t="str">
        <f>HYPERLINK("https://esbl.nhlbi.nih.gov/Databases/mpkFractions/proteomic_fractions_log_files/Yang_log_img/31982421.jpg","show blot")</f>
        <v>show blot</v>
      </c>
      <c r="H8400" s="8" t="str">
        <f>HYPERLINK("https://esbl.nhlbi.nih.gov/Databases/mpkFractions/proteomic_fractions_linear_files/Yang_linear_img/31982421.jpg","show blot")</f>
        <v>show blot</v>
      </c>
      <c r="J8400" s="5" t="s">
        <v>16547</v>
      </c>
      <c r="L8400" s="11">
        <v>2.6144559139867352</v>
      </c>
      <c r="N8400" s="12"/>
    </row>
    <row r="8401" spans="1:14" s="5" customFormat="1" ht="15" customHeight="1" x14ac:dyDescent="0.25">
      <c r="A8401" s="9" t="s">
        <v>16548</v>
      </c>
      <c r="C8401" s="9" t="str">
        <f>HYPERLINK("http://www.ncbi.nlm.nih.gov/protein/31559926","Zadh2")</f>
        <v>Zadh2</v>
      </c>
      <c r="D8401" s="10">
        <f t="shared" si="131"/>
        <v>2.770579678749665</v>
      </c>
      <c r="F8401" s="8" t="str">
        <f>HYPERLINK("https://esbl.nhlbi.nih.gov/Databases/mpkFractions/proteomic_fractions_log_files/Yang_log_img/31559926.jpg","show blot")</f>
        <v>show blot</v>
      </c>
      <c r="H8401" s="8" t="str">
        <f>HYPERLINK("https://esbl.nhlbi.nih.gov/Databases/mpkFractions/proteomic_fractions_linear_files/Yang_linear_img/31559926.jpg","show blot")</f>
        <v>show blot</v>
      </c>
      <c r="J8401" s="5" t="s">
        <v>16549</v>
      </c>
      <c r="L8401" s="11">
        <v>2.770579678749665</v>
      </c>
      <c r="N8401" s="12"/>
    </row>
    <row r="8402" spans="1:14" s="5" customFormat="1" ht="15" customHeight="1" x14ac:dyDescent="0.25">
      <c r="A8402" s="9" t="s">
        <v>16550</v>
      </c>
      <c r="C8402" s="9" t="str">
        <f>HYPERLINK("http://www.ncbi.nlm.nih.gov/protein/12746436","Zak")</f>
        <v>Zak</v>
      </c>
      <c r="D8402" s="10">
        <f t="shared" si="131"/>
        <v>3.35110278395504</v>
      </c>
      <c r="F8402" s="8" t="str">
        <f>HYPERLINK("https://esbl.nhlbi.nih.gov/Databases/mpkFractions/proteomic_fractions_log_files/Yang_log_img/12746436.jpg","show blot")</f>
        <v>show blot</v>
      </c>
      <c r="H8402" s="8" t="str">
        <f>HYPERLINK("https://esbl.nhlbi.nih.gov/Databases/mpkFractions/proteomic_fractions_linear_files/Yang_linear_img/12746436.jpg","show blot")</f>
        <v>show blot</v>
      </c>
      <c r="J8402" s="5" t="s">
        <v>16551</v>
      </c>
      <c r="L8402" s="11">
        <v>3.35110278395504</v>
      </c>
      <c r="N8402" s="12"/>
    </row>
    <row r="8403" spans="1:14" s="5" customFormat="1" ht="15" customHeight="1" x14ac:dyDescent="0.25">
      <c r="A8403" s="9" t="s">
        <v>16552</v>
      </c>
      <c r="C8403" s="9" t="str">
        <f>HYPERLINK("http://www.ncbi.nlm.nih.gov/protein/256665241","Zan")</f>
        <v>Zan</v>
      </c>
      <c r="D8403" s="10">
        <f t="shared" si="131"/>
        <v>3.646692538534146</v>
      </c>
      <c r="F8403" s="8" t="str">
        <f>HYPERLINK("https://esbl.nhlbi.nih.gov/Databases/mpkFractions/proteomic_fractions_log_files/Yang_log_img/256665241.jpg","show blot")</f>
        <v>show blot</v>
      </c>
      <c r="H8403" s="8" t="str">
        <f>HYPERLINK("https://esbl.nhlbi.nih.gov/Databases/mpkFractions/proteomic_fractions_linear_files/Yang_linear_img/256665241.jpg","show blot")</f>
        <v>show blot</v>
      </c>
      <c r="J8403" s="5" t="s">
        <v>16553</v>
      </c>
      <c r="L8403" s="11">
        <v>3.646692538534146</v>
      </c>
      <c r="N8403" s="12"/>
    </row>
    <row r="8404" spans="1:14" s="5" customFormat="1" ht="15" customHeight="1" x14ac:dyDescent="0.25">
      <c r="A8404" s="9" t="s">
        <v>16554</v>
      </c>
      <c r="C8404" s="9" t="str">
        <f>HYPERLINK("http://www.ncbi.nlm.nih.gov/protein/31088890","Zbed4")</f>
        <v>Zbed4</v>
      </c>
      <c r="D8404" s="10">
        <f t="shared" si="131"/>
        <v>3.7236162954211438</v>
      </c>
      <c r="F8404" s="8" t="str">
        <f>HYPERLINK("https://esbl.nhlbi.nih.gov/Databases/mpkFractions/proteomic_fractions_log_files/Yang_log_img/31088890.jpg","show blot")</f>
        <v>show blot</v>
      </c>
      <c r="H8404" s="8" t="str">
        <f>HYPERLINK("https://esbl.nhlbi.nih.gov/Databases/mpkFractions/proteomic_fractions_linear_files/Yang_linear_img/31088890.jpg","show blot")</f>
        <v>show blot</v>
      </c>
      <c r="J8404" s="5" t="s">
        <v>16555</v>
      </c>
      <c r="L8404" s="11">
        <v>3.7236162954211438</v>
      </c>
      <c r="N8404" s="12"/>
    </row>
    <row r="8405" spans="1:14" s="5" customFormat="1" ht="15" customHeight="1" x14ac:dyDescent="0.25">
      <c r="A8405" s="9" t="s">
        <v>16556</v>
      </c>
      <c r="C8405" s="9" t="str">
        <f>HYPERLINK("http://www.ncbi.nlm.nih.gov/protein/258645088","Zbtb11")</f>
        <v>Zbtb11</v>
      </c>
      <c r="D8405" s="10" t="str">
        <f t="shared" si="131"/>
        <v>-</v>
      </c>
      <c r="F8405" s="8" t="str">
        <f>HYPERLINK("https://esbl.nhlbi.nih.gov/Databases/mpkFractions/proteomic_fractions_log_files/Yang_log_img/258645088.jpg","show blot")</f>
        <v>show blot</v>
      </c>
      <c r="H8405" s="8" t="str">
        <f>HYPERLINK("https://esbl.nhlbi.nih.gov/Databases/mpkFractions/proteomic_fractions_linear_files/Yang_linear_img/258645088.jpg","show blot")</f>
        <v>show blot</v>
      </c>
      <c r="J8405" s="5" t="s">
        <v>16557</v>
      </c>
      <c r="L8405" s="13" t="s">
        <v>389</v>
      </c>
      <c r="N8405" s="12"/>
    </row>
    <row r="8406" spans="1:14" s="5" customFormat="1" ht="15" customHeight="1" x14ac:dyDescent="0.25">
      <c r="A8406" s="9" t="s">
        <v>16558</v>
      </c>
      <c r="C8406" s="9" t="str">
        <f>HYPERLINK("http://www.ncbi.nlm.nih.gov/protein/21746142","Zbtb8os")</f>
        <v>Zbtb8os</v>
      </c>
      <c r="D8406" s="10">
        <f t="shared" si="131"/>
        <v>4.2555812683585552</v>
      </c>
      <c r="F8406" s="8" t="str">
        <f>HYPERLINK("https://esbl.nhlbi.nih.gov/Databases/mpkFractions/proteomic_fractions_log_files/Yang_log_img/21746142.jpg","show blot")</f>
        <v>show blot</v>
      </c>
      <c r="H8406" s="8" t="str">
        <f>HYPERLINK("https://esbl.nhlbi.nih.gov/Databases/mpkFractions/proteomic_fractions_linear_files/Yang_linear_img/21746142.jpg","show blot")</f>
        <v>show blot</v>
      </c>
      <c r="J8406" s="5" t="s">
        <v>16559</v>
      </c>
      <c r="L8406" s="11">
        <v>4.2555812683585552</v>
      </c>
      <c r="N8406" s="12"/>
    </row>
    <row r="8407" spans="1:14" s="5" customFormat="1" ht="15" customHeight="1" x14ac:dyDescent="0.25">
      <c r="A8407" s="9" t="s">
        <v>16560</v>
      </c>
      <c r="C8407" s="9" t="str">
        <f>HYPERLINK("http://www.ncbi.nlm.nih.gov/protein/27502351","Zc2hc1a")</f>
        <v>Zc2hc1a</v>
      </c>
      <c r="D8407" s="10">
        <f t="shared" si="131"/>
        <v>2.7531710096852788</v>
      </c>
      <c r="F8407" s="8" t="str">
        <f>HYPERLINK("https://esbl.nhlbi.nih.gov/Databases/mpkFractions/proteomic_fractions_log_files/Yang_log_img/27502351.jpg","show blot")</f>
        <v>show blot</v>
      </c>
      <c r="H8407" s="8" t="str">
        <f>HYPERLINK("https://esbl.nhlbi.nih.gov/Databases/mpkFractions/proteomic_fractions_linear_files/Yang_linear_img/27502351.jpg","show blot")</f>
        <v>show blot</v>
      </c>
      <c r="J8407" s="5" t="s">
        <v>16561</v>
      </c>
      <c r="L8407" s="11">
        <v>2.7531710096852788</v>
      </c>
      <c r="N8407" s="12"/>
    </row>
    <row r="8408" spans="1:14" s="5" customFormat="1" ht="15" customHeight="1" x14ac:dyDescent="0.25">
      <c r="A8408" s="9" t="s">
        <v>16562</v>
      </c>
      <c r="C8408" s="9" t="str">
        <f>HYPERLINK("http://www.ncbi.nlm.nih.gov/protein/115270986","Zc3h11a")</f>
        <v>Zc3h11a</v>
      </c>
      <c r="D8408" s="10">
        <f t="shared" si="131"/>
        <v>3.2792009511770961</v>
      </c>
      <c r="F8408" s="8" t="str">
        <f>HYPERLINK("https://esbl.nhlbi.nih.gov/Databases/mpkFractions/proteomic_fractions_log_files/Yang_log_img/115270986.jpg","show blot")</f>
        <v>show blot</v>
      </c>
      <c r="H8408" s="8" t="str">
        <f>HYPERLINK("https://esbl.nhlbi.nih.gov/Databases/mpkFractions/proteomic_fractions_linear_files/Yang_linear_img/115270986.jpg","show blot")</f>
        <v>show blot</v>
      </c>
      <c r="J8408" s="5" t="s">
        <v>16563</v>
      </c>
      <c r="L8408" s="11">
        <v>3.2792009511770961</v>
      </c>
      <c r="N8408" s="12"/>
    </row>
    <row r="8409" spans="1:14" s="5" customFormat="1" ht="15" customHeight="1" x14ac:dyDescent="0.25">
      <c r="A8409" s="9" t="s">
        <v>16564</v>
      </c>
      <c r="C8409" s="9" t="str">
        <f>HYPERLINK("http://www.ncbi.nlm.nih.gov/protein/231570586","Zc3h14")</f>
        <v>Zc3h14</v>
      </c>
      <c r="D8409" s="10">
        <f t="shared" si="131"/>
        <v>3.575821001102844</v>
      </c>
      <c r="F8409" s="8" t="str">
        <f>HYPERLINK("https://esbl.nhlbi.nih.gov/Databases/mpkFractions/proteomic_fractions_log_files/Yang_log_img/231570586.jpg","show blot")</f>
        <v>show blot</v>
      </c>
      <c r="H8409" s="8" t="str">
        <f>HYPERLINK("https://esbl.nhlbi.nih.gov/Databases/mpkFractions/proteomic_fractions_linear_files/Yang_linear_img/231570586.jpg","show blot")</f>
        <v>show blot</v>
      </c>
      <c r="J8409" s="5" t="s">
        <v>16565</v>
      </c>
      <c r="L8409" s="11">
        <v>3.575821001102844</v>
      </c>
      <c r="N8409" s="12"/>
    </row>
    <row r="8410" spans="1:14" s="5" customFormat="1" ht="15" customHeight="1" x14ac:dyDescent="0.25">
      <c r="A8410" s="9" t="s">
        <v>16566</v>
      </c>
      <c r="C8410" s="9" t="str">
        <f>HYPERLINK("http://www.ncbi.nlm.nih.gov/protein/34368584","Zc3h15")</f>
        <v>Zc3h15</v>
      </c>
      <c r="D8410" s="10">
        <f t="shared" si="131"/>
        <v>5.2601173033127093</v>
      </c>
      <c r="F8410" s="8" t="str">
        <f>HYPERLINK("https://esbl.nhlbi.nih.gov/Databases/mpkFractions/proteomic_fractions_log_files/Yang_log_img/34368584.jpg","show blot")</f>
        <v>show blot</v>
      </c>
      <c r="H8410" s="8" t="str">
        <f>HYPERLINK("https://esbl.nhlbi.nih.gov/Databases/mpkFractions/proteomic_fractions_linear_files/Yang_linear_img/34368584.jpg","show blot")</f>
        <v>show blot</v>
      </c>
      <c r="J8410" s="5" t="s">
        <v>16567</v>
      </c>
      <c r="L8410" s="11">
        <v>5.2601173033127093</v>
      </c>
      <c r="N8410" s="12"/>
    </row>
    <row r="8411" spans="1:14" s="5" customFormat="1" ht="15" customHeight="1" x14ac:dyDescent="0.25">
      <c r="A8411" s="9" t="s">
        <v>16568</v>
      </c>
      <c r="C8411" s="9" t="str">
        <f>HYPERLINK("http://www.ncbi.nlm.nih.gov/protein/71725355","Zc3h18")</f>
        <v>Zc3h18</v>
      </c>
      <c r="D8411" s="10">
        <f t="shared" si="131"/>
        <v>3.7677340324541029</v>
      </c>
      <c r="F8411" s="8" t="str">
        <f>HYPERLINK("https://esbl.nhlbi.nih.gov/Databases/mpkFractions/proteomic_fractions_log_files/Yang_log_img/71725355.jpg","show blot")</f>
        <v>show blot</v>
      </c>
      <c r="H8411" s="8" t="str">
        <f>HYPERLINK("https://esbl.nhlbi.nih.gov/Databases/mpkFractions/proteomic_fractions_linear_files/Yang_linear_img/71725355.jpg","show blot")</f>
        <v>show blot</v>
      </c>
      <c r="J8411" s="5" t="s">
        <v>16569</v>
      </c>
      <c r="L8411" s="11">
        <v>3.7677340324541029</v>
      </c>
      <c r="N8411" s="12"/>
    </row>
    <row r="8412" spans="1:14" s="5" customFormat="1" ht="15" customHeight="1" x14ac:dyDescent="0.25">
      <c r="A8412" s="9" t="s">
        <v>16570</v>
      </c>
      <c r="C8412" s="9" t="str">
        <f>HYPERLINK("http://www.ncbi.nlm.nih.gov/protein/71979671","Zc3h18")</f>
        <v>Zc3h18</v>
      </c>
      <c r="D8412" s="10">
        <f t="shared" si="131"/>
        <v>3.7677340324541029</v>
      </c>
      <c r="F8412" s="8" t="str">
        <f>HYPERLINK("https://esbl.nhlbi.nih.gov/Databases/mpkFractions/proteomic_fractions_log_files/Yang_log_img/71979671.jpg","show blot")</f>
        <v>show blot</v>
      </c>
      <c r="H8412" s="8" t="str">
        <f>HYPERLINK("https://esbl.nhlbi.nih.gov/Databases/mpkFractions/proteomic_fractions_linear_files/Yang_linear_img/71979671.jpg","show blot")</f>
        <v>show blot</v>
      </c>
      <c r="J8412" s="5" t="s">
        <v>16571</v>
      </c>
      <c r="L8412" s="11">
        <v>3.7677340324541029</v>
      </c>
      <c r="N8412" s="12"/>
    </row>
    <row r="8413" spans="1:14" s="5" customFormat="1" ht="15" customHeight="1" x14ac:dyDescent="0.25">
      <c r="A8413" s="9" t="s">
        <v>16572</v>
      </c>
      <c r="C8413" s="9" t="str">
        <f>HYPERLINK("http://www.ncbi.nlm.nih.gov/protein/156717216","Zc3h6")</f>
        <v>Zc3h6</v>
      </c>
      <c r="D8413" s="10">
        <f t="shared" si="131"/>
        <v>1.10900444694809</v>
      </c>
      <c r="F8413" s="8" t="str">
        <f>HYPERLINK("https://esbl.nhlbi.nih.gov/Databases/mpkFractions/proteomic_fractions_log_files/Yang_log_img/156717216.jpg","show blot")</f>
        <v>show blot</v>
      </c>
      <c r="H8413" s="8" t="str">
        <f>HYPERLINK("https://esbl.nhlbi.nih.gov/Databases/mpkFractions/proteomic_fractions_linear_files/Yang_linear_img/156717216.jpg","show blot")</f>
        <v>show blot</v>
      </c>
      <c r="J8413" s="5" t="s">
        <v>16573</v>
      </c>
      <c r="L8413" s="11">
        <v>1.10900444694809</v>
      </c>
      <c r="N8413" s="12"/>
    </row>
    <row r="8414" spans="1:14" s="5" customFormat="1" ht="15" customHeight="1" x14ac:dyDescent="0.25">
      <c r="A8414" s="9" t="s">
        <v>16574</v>
      </c>
      <c r="C8414" s="9" t="str">
        <f>HYPERLINK("http://www.ncbi.nlm.nih.gov/protein/226958485","Zc3h7a")</f>
        <v>Zc3h7a</v>
      </c>
      <c r="D8414" s="10">
        <f t="shared" si="131"/>
        <v>3.3544095674449239</v>
      </c>
      <c r="F8414" s="8" t="str">
        <f>HYPERLINK("https://esbl.nhlbi.nih.gov/Databases/mpkFractions/proteomic_fractions_log_files/Yang_log_img/226958485.jpg","show blot")</f>
        <v>show blot</v>
      </c>
      <c r="H8414" s="8" t="str">
        <f>HYPERLINK("https://esbl.nhlbi.nih.gov/Databases/mpkFractions/proteomic_fractions_linear_files/Yang_linear_img/226958485.jpg","show blot")</f>
        <v>show blot</v>
      </c>
      <c r="J8414" s="5" t="s">
        <v>16575</v>
      </c>
      <c r="L8414" s="11">
        <v>3.3544095674449239</v>
      </c>
      <c r="N8414" s="12"/>
    </row>
    <row r="8415" spans="1:14" s="5" customFormat="1" ht="15" customHeight="1" x14ac:dyDescent="0.25">
      <c r="A8415" s="9" t="s">
        <v>16576</v>
      </c>
      <c r="C8415" s="9" t="str">
        <f>HYPERLINK("http://www.ncbi.nlm.nih.gov/protein/124486616","Zc3h7b")</f>
        <v>Zc3h7b</v>
      </c>
      <c r="D8415" s="10">
        <f t="shared" si="131"/>
        <v>4.0781891231171654</v>
      </c>
      <c r="F8415" s="8" t="str">
        <f>HYPERLINK("https://esbl.nhlbi.nih.gov/Databases/mpkFractions/proteomic_fractions_log_files/Yang_log_img/124486616.jpg","show blot")</f>
        <v>show blot</v>
      </c>
      <c r="H8415" s="8" t="str">
        <f>HYPERLINK("https://esbl.nhlbi.nih.gov/Databases/mpkFractions/proteomic_fractions_linear_files/Yang_linear_img/124486616.jpg","show blot")</f>
        <v>show blot</v>
      </c>
      <c r="J8415" s="5" t="s">
        <v>16577</v>
      </c>
      <c r="L8415" s="11">
        <v>4.0781891231171654</v>
      </c>
      <c r="N8415" s="12"/>
    </row>
    <row r="8416" spans="1:14" s="5" customFormat="1" ht="15" customHeight="1" x14ac:dyDescent="0.25">
      <c r="A8416" s="9" t="s">
        <v>16578</v>
      </c>
      <c r="C8416" s="9" t="str">
        <f>HYPERLINK("http://www.ncbi.nlm.nih.gov/protein/85719326","Zc3h8")</f>
        <v>Zc3h8</v>
      </c>
      <c r="D8416" s="10">
        <f t="shared" si="131"/>
        <v>3.3893433112520781</v>
      </c>
      <c r="F8416" s="8" t="str">
        <f>HYPERLINK("https://esbl.nhlbi.nih.gov/Databases/mpkFractions/proteomic_fractions_log_files/Yang_log_img/85719326.jpg","show blot")</f>
        <v>show blot</v>
      </c>
      <c r="H8416" s="8" t="str">
        <f>HYPERLINK("https://esbl.nhlbi.nih.gov/Databases/mpkFractions/proteomic_fractions_linear_files/Yang_linear_img/85719326.jpg","show blot")</f>
        <v>show blot</v>
      </c>
      <c r="J8416" s="5" t="s">
        <v>16579</v>
      </c>
      <c r="L8416" s="11">
        <v>3.3893433112520781</v>
      </c>
      <c r="N8416" s="12"/>
    </row>
    <row r="8417" spans="1:14" s="5" customFormat="1" ht="15" customHeight="1" x14ac:dyDescent="0.25">
      <c r="A8417" s="9" t="s">
        <v>16580</v>
      </c>
      <c r="C8417" s="9" t="str">
        <f>HYPERLINK("http://www.ncbi.nlm.nih.gov/protein/21746169","Zc3hav1")</f>
        <v>Zc3hav1</v>
      </c>
      <c r="D8417" s="10">
        <f t="shared" si="131"/>
        <v>2.8059254299801739</v>
      </c>
      <c r="F8417" s="8" t="str">
        <f>HYPERLINK("https://esbl.nhlbi.nih.gov/Databases/mpkFractions/proteomic_fractions_log_files/Yang_log_img/21746169.jpg","show blot")</f>
        <v>show blot</v>
      </c>
      <c r="H8417" s="8" t="str">
        <f>HYPERLINK("https://esbl.nhlbi.nih.gov/Databases/mpkFractions/proteomic_fractions_linear_files/Yang_linear_img/21746169.jpg","show blot")</f>
        <v>show blot</v>
      </c>
      <c r="J8417" s="5" t="s">
        <v>16581</v>
      </c>
      <c r="L8417" s="11">
        <v>2.8059254299801739</v>
      </c>
      <c r="N8417" s="12"/>
    </row>
    <row r="8418" spans="1:14" s="5" customFormat="1" ht="15" customHeight="1" x14ac:dyDescent="0.25">
      <c r="A8418" s="9" t="s">
        <v>16582</v>
      </c>
      <c r="C8418" s="9" t="str">
        <f>HYPERLINK("http://www.ncbi.nlm.nih.gov/protein/227116322","Zc3hav1")</f>
        <v>Zc3hav1</v>
      </c>
      <c r="D8418" s="10">
        <f t="shared" si="131"/>
        <v>2.8059254299801739</v>
      </c>
      <c r="F8418" s="8" t="str">
        <f>HYPERLINK("https://esbl.nhlbi.nih.gov/Databases/mpkFractions/proteomic_fractions_log_files/Yang_log_img/227116322.jpg","show blot")</f>
        <v>show blot</v>
      </c>
      <c r="H8418" s="8" t="str">
        <f>HYPERLINK("https://esbl.nhlbi.nih.gov/Databases/mpkFractions/proteomic_fractions_linear_files/Yang_linear_img/227116322.jpg","show blot")</f>
        <v>show blot</v>
      </c>
      <c r="J8418" s="5" t="s">
        <v>16583</v>
      </c>
      <c r="L8418" s="11">
        <v>2.8059254299801739</v>
      </c>
      <c r="N8418" s="12"/>
    </row>
    <row r="8419" spans="1:14" s="5" customFormat="1" ht="15" customHeight="1" x14ac:dyDescent="0.25">
      <c r="A8419" s="9" t="s">
        <v>16584</v>
      </c>
      <c r="C8419" s="9" t="str">
        <f>HYPERLINK("http://www.ncbi.nlm.nih.gov/protein/27754058","Zcchc10")</f>
        <v>Zcchc10</v>
      </c>
      <c r="D8419" s="10">
        <f t="shared" si="131"/>
        <v>2.6763222777751459</v>
      </c>
      <c r="F8419" s="8" t="str">
        <f>HYPERLINK("https://esbl.nhlbi.nih.gov/Databases/mpkFractions/proteomic_fractions_log_files/Yang_log_img/27754058.jpg","show blot")</f>
        <v>show blot</v>
      </c>
      <c r="H8419" s="8" t="str">
        <f>HYPERLINK("https://esbl.nhlbi.nih.gov/Databases/mpkFractions/proteomic_fractions_linear_files/Yang_linear_img/27754058.jpg","show blot")</f>
        <v>show blot</v>
      </c>
      <c r="J8419" s="5" t="s">
        <v>16585</v>
      </c>
      <c r="L8419" s="11">
        <v>2.6763222777751459</v>
      </c>
      <c r="N8419" s="12"/>
    </row>
    <row r="8420" spans="1:14" s="5" customFormat="1" ht="15" customHeight="1" x14ac:dyDescent="0.25">
      <c r="A8420" s="9" t="s">
        <v>16586</v>
      </c>
      <c r="C8420" s="9" t="str">
        <f>HYPERLINK("http://www.ncbi.nlm.nih.gov/protein/55925630","Zcchc13")</f>
        <v>Zcchc13</v>
      </c>
      <c r="D8420" s="10">
        <f t="shared" si="131"/>
        <v>1.199812894641014</v>
      </c>
      <c r="F8420" s="8" t="str">
        <f>HYPERLINK("https://esbl.nhlbi.nih.gov/Databases/mpkFractions/proteomic_fractions_log_files/Yang_log_img/55925630.jpg","show blot")</f>
        <v>show blot</v>
      </c>
      <c r="H8420" s="8" t="str">
        <f>HYPERLINK("https://esbl.nhlbi.nih.gov/Databases/mpkFractions/proteomic_fractions_linear_files/Yang_linear_img/55925630.jpg","show blot")</f>
        <v>show blot</v>
      </c>
      <c r="J8420" s="5" t="s">
        <v>16587</v>
      </c>
      <c r="L8420" s="11">
        <v>1.199812894641014</v>
      </c>
      <c r="N8420" s="12"/>
    </row>
    <row r="8421" spans="1:14" s="5" customFormat="1" ht="15" customHeight="1" x14ac:dyDescent="0.25">
      <c r="A8421" s="9" t="s">
        <v>16588</v>
      </c>
      <c r="C8421" s="9" t="str">
        <f>HYPERLINK("http://www.ncbi.nlm.nih.gov/protein/23346607","Zcchc17")</f>
        <v>Zcchc17</v>
      </c>
      <c r="D8421" s="10">
        <f t="shared" si="131"/>
        <v>3.4083186958669192</v>
      </c>
      <c r="F8421" s="8" t="str">
        <f>HYPERLINK("https://esbl.nhlbi.nih.gov/Databases/mpkFractions/proteomic_fractions_log_files/Yang_log_img/23346607.jpg","show blot")</f>
        <v>show blot</v>
      </c>
      <c r="H8421" s="8" t="str">
        <f>HYPERLINK("https://esbl.nhlbi.nih.gov/Databases/mpkFractions/proteomic_fractions_linear_files/Yang_linear_img/23346607.jpg","show blot")</f>
        <v>show blot</v>
      </c>
      <c r="J8421" s="5" t="s">
        <v>16589</v>
      </c>
      <c r="L8421" s="11">
        <v>3.4083186958669192</v>
      </c>
      <c r="N8421" s="12"/>
    </row>
    <row r="8422" spans="1:14" s="5" customFormat="1" ht="15" customHeight="1" x14ac:dyDescent="0.25">
      <c r="A8422" s="9" t="s">
        <v>16590</v>
      </c>
      <c r="C8422" s="9" t="str">
        <f>HYPERLINK("http://www.ncbi.nlm.nih.gov/protein/124249222","Zcchc4")</f>
        <v>Zcchc4</v>
      </c>
      <c r="D8422" s="10">
        <f t="shared" si="131"/>
        <v>2.1622965333731252</v>
      </c>
      <c r="F8422" s="8" t="str">
        <f>HYPERLINK("https://esbl.nhlbi.nih.gov/Databases/mpkFractions/proteomic_fractions_log_files/Yang_log_img/124249222.jpg","show blot")</f>
        <v>show blot</v>
      </c>
      <c r="H8422" s="8" t="str">
        <f>HYPERLINK("https://esbl.nhlbi.nih.gov/Databases/mpkFractions/proteomic_fractions_linear_files/Yang_linear_img/124249222.jpg","show blot")</f>
        <v>show blot</v>
      </c>
      <c r="J8422" s="5" t="s">
        <v>16591</v>
      </c>
      <c r="L8422" s="11">
        <v>2.1622965333731252</v>
      </c>
      <c r="N8422" s="12"/>
    </row>
    <row r="8423" spans="1:14" s="5" customFormat="1" ht="15" customHeight="1" x14ac:dyDescent="0.25">
      <c r="A8423" s="9" t="s">
        <v>16592</v>
      </c>
      <c r="C8423" s="9" t="str">
        <f>HYPERLINK("http://www.ncbi.nlm.nih.gov/protein/254588108","Zcchc6")</f>
        <v>Zcchc6</v>
      </c>
      <c r="D8423" s="10">
        <f t="shared" si="131"/>
        <v>3.343030683392223</v>
      </c>
      <c r="F8423" s="8" t="str">
        <f>HYPERLINK("https://esbl.nhlbi.nih.gov/Databases/mpkFractions/proteomic_fractions_log_files/Yang_log_img/254588108.jpg","show blot")</f>
        <v>show blot</v>
      </c>
      <c r="H8423" s="8" t="str">
        <f>HYPERLINK("https://esbl.nhlbi.nih.gov/Databases/mpkFractions/proteomic_fractions_linear_files/Yang_linear_img/254588108.jpg","show blot")</f>
        <v>show blot</v>
      </c>
      <c r="J8423" s="5" t="s">
        <v>16593</v>
      </c>
      <c r="L8423" s="11">
        <v>3.343030683392223</v>
      </c>
      <c r="N8423" s="12"/>
    </row>
    <row r="8424" spans="1:14" s="5" customFormat="1" ht="15" customHeight="1" x14ac:dyDescent="0.25">
      <c r="A8424" s="9" t="s">
        <v>16594</v>
      </c>
      <c r="C8424" s="9" t="str">
        <f>HYPERLINK("http://www.ncbi.nlm.nih.gov/protein/169808385","Zcchc8")</f>
        <v>Zcchc8</v>
      </c>
      <c r="D8424" s="10">
        <f t="shared" si="131"/>
        <v>3.8083974039896291</v>
      </c>
      <c r="F8424" s="8" t="str">
        <f>HYPERLINK("https://esbl.nhlbi.nih.gov/Databases/mpkFractions/proteomic_fractions_log_files/Yang_log_img/169808385.jpg","show blot")</f>
        <v>show blot</v>
      </c>
      <c r="H8424" s="8" t="str">
        <f>HYPERLINK("https://esbl.nhlbi.nih.gov/Databases/mpkFractions/proteomic_fractions_linear_files/Yang_linear_img/169808385.jpg","show blot")</f>
        <v>show blot</v>
      </c>
      <c r="J8424" s="5" t="s">
        <v>16595</v>
      </c>
      <c r="L8424" s="11">
        <v>3.8083974039896291</v>
      </c>
      <c r="N8424" s="12"/>
    </row>
    <row r="8425" spans="1:14" s="5" customFormat="1" ht="15" customHeight="1" x14ac:dyDescent="0.25">
      <c r="A8425" s="9" t="s">
        <v>16596</v>
      </c>
      <c r="C8425" s="9" t="str">
        <f>HYPERLINK("http://www.ncbi.nlm.nih.gov/protein/21450253","Zdhhc5")</f>
        <v>Zdhhc5</v>
      </c>
      <c r="D8425" s="10">
        <f t="shared" si="131"/>
        <v>0.5920757704213615</v>
      </c>
      <c r="F8425" s="8" t="str">
        <f>HYPERLINK("https://esbl.nhlbi.nih.gov/Databases/mpkFractions/proteomic_fractions_log_files/Yang_log_img/21450253.jpg","show blot")</f>
        <v>show blot</v>
      </c>
      <c r="H8425" s="8" t="str">
        <f>HYPERLINK("https://esbl.nhlbi.nih.gov/Databases/mpkFractions/proteomic_fractions_linear_files/Yang_linear_img/21450253.jpg","show blot")</f>
        <v>show blot</v>
      </c>
      <c r="J8425" s="5" t="s">
        <v>16597</v>
      </c>
      <c r="L8425" s="11">
        <v>0.5920757704213615</v>
      </c>
      <c r="N8425" s="12"/>
    </row>
    <row r="8426" spans="1:14" s="5" customFormat="1" ht="15" customHeight="1" x14ac:dyDescent="0.25">
      <c r="A8426" s="9" t="s">
        <v>16598</v>
      </c>
      <c r="C8426" s="9" t="str">
        <f>HYPERLINK("http://www.ncbi.nlm.nih.gov/protein/31542271","Zer1")</f>
        <v>Zer1</v>
      </c>
      <c r="D8426" s="10">
        <f t="shared" si="131"/>
        <v>3.5047724405726139</v>
      </c>
      <c r="F8426" s="8" t="str">
        <f>HYPERLINK("https://esbl.nhlbi.nih.gov/Databases/mpkFractions/proteomic_fractions_log_files/Yang_log_img/31542271.jpg","show blot")</f>
        <v>show blot</v>
      </c>
      <c r="H8426" s="8" t="str">
        <f>HYPERLINK("https://esbl.nhlbi.nih.gov/Databases/mpkFractions/proteomic_fractions_linear_files/Yang_linear_img/31542271.jpg","show blot")</f>
        <v>show blot</v>
      </c>
      <c r="J8426" s="5" t="s">
        <v>16599</v>
      </c>
      <c r="L8426" s="11">
        <v>3.5047724405726139</v>
      </c>
      <c r="N8426" s="12"/>
    </row>
    <row r="8427" spans="1:14" s="5" customFormat="1" ht="15" customHeight="1" x14ac:dyDescent="0.25">
      <c r="A8427" s="9" t="s">
        <v>16600</v>
      </c>
      <c r="C8427" s="9" t="str">
        <f>HYPERLINK("http://www.ncbi.nlm.nih.gov/protein/31982674","Zfand1")</f>
        <v>Zfand1</v>
      </c>
      <c r="D8427" s="10">
        <f t="shared" si="131"/>
        <v>4.6987609213213579</v>
      </c>
      <c r="F8427" s="8" t="str">
        <f>HYPERLINK("https://esbl.nhlbi.nih.gov/Databases/mpkFractions/proteomic_fractions_log_files/Yang_log_img/31982674.jpg","show blot")</f>
        <v>show blot</v>
      </c>
      <c r="H8427" s="8" t="str">
        <f>HYPERLINK("https://esbl.nhlbi.nih.gov/Databases/mpkFractions/proteomic_fractions_linear_files/Yang_linear_img/31982674.jpg","show blot")</f>
        <v>show blot</v>
      </c>
      <c r="J8427" s="5" t="s">
        <v>16601</v>
      </c>
      <c r="L8427" s="11">
        <v>4.6987609213213579</v>
      </c>
      <c r="N8427" s="12"/>
    </row>
    <row r="8428" spans="1:14" s="5" customFormat="1" ht="15" customHeight="1" x14ac:dyDescent="0.25">
      <c r="A8428" s="9" t="s">
        <v>16602</v>
      </c>
      <c r="C8428" s="9" t="str">
        <f>HYPERLINK("http://www.ncbi.nlm.nih.gov/protein/229577434;229577442","Zfand2b")</f>
        <v>Zfand2b</v>
      </c>
      <c r="D8428" s="10">
        <f t="shared" si="131"/>
        <v>4.0944956002084334</v>
      </c>
      <c r="F8428" s="8" t="str">
        <f>HYPERLINK("https://esbl.nhlbi.nih.gov/Databases/mpkFractions/proteomic_fractions_log_files/Yang_log_img/229577434;229577442.jpg","show blot")</f>
        <v>show blot</v>
      </c>
      <c r="H8428" s="8" t="str">
        <f>HYPERLINK("https://esbl.nhlbi.nih.gov/Databases/mpkFractions/proteomic_fractions_linear_files/Yang_linear_img/229577434;229577442.jpg","show blot")</f>
        <v>show blot</v>
      </c>
      <c r="J8428" s="5" t="s">
        <v>16603</v>
      </c>
      <c r="L8428" s="11">
        <v>4.0944956002084334</v>
      </c>
      <c r="N8428" s="12"/>
    </row>
    <row r="8429" spans="1:14" s="5" customFormat="1" ht="15" customHeight="1" x14ac:dyDescent="0.25">
      <c r="A8429" s="9" t="s">
        <v>16604</v>
      </c>
      <c r="C8429" s="9" t="str">
        <f>HYPERLINK("http://www.ncbi.nlm.nih.gov/protein/22507321","Zfand3")</f>
        <v>Zfand3</v>
      </c>
      <c r="D8429" s="10">
        <f t="shared" si="131"/>
        <v>4.2668260175864106</v>
      </c>
      <c r="F8429" s="8" t="str">
        <f>HYPERLINK("https://esbl.nhlbi.nih.gov/Databases/mpkFractions/proteomic_fractions_log_files/Yang_log_img/22507321.jpg","show blot")</f>
        <v>show blot</v>
      </c>
      <c r="H8429" s="8" t="str">
        <f>HYPERLINK("https://esbl.nhlbi.nih.gov/Databases/mpkFractions/proteomic_fractions_linear_files/Yang_linear_img/22507321.jpg","show blot")</f>
        <v>show blot</v>
      </c>
      <c r="J8429" s="5" t="s">
        <v>16605</v>
      </c>
      <c r="L8429" s="11">
        <v>4.2668260175864106</v>
      </c>
      <c r="N8429" s="12"/>
    </row>
    <row r="8430" spans="1:14" s="5" customFormat="1" ht="15" customHeight="1" x14ac:dyDescent="0.25">
      <c r="A8430" s="9" t="s">
        <v>16606</v>
      </c>
      <c r="C8430" s="9" t="str">
        <f>HYPERLINK("http://www.ncbi.nlm.nih.gov/protein/6677605","Zfand5")</f>
        <v>Zfand5</v>
      </c>
      <c r="D8430" s="10">
        <f t="shared" si="131"/>
        <v>3.473785119170032</v>
      </c>
      <c r="F8430" s="8" t="str">
        <f>HYPERLINK("https://esbl.nhlbi.nih.gov/Databases/mpkFractions/proteomic_fractions_log_files/Yang_log_img/6677605.jpg","show blot")</f>
        <v>show blot</v>
      </c>
      <c r="H8430" s="8" t="str">
        <f>HYPERLINK("https://esbl.nhlbi.nih.gov/Databases/mpkFractions/proteomic_fractions_linear_files/Yang_linear_img/6677605.jpg","show blot")</f>
        <v>show blot</v>
      </c>
      <c r="J8430" s="5" t="s">
        <v>16607</v>
      </c>
      <c r="L8430" s="11">
        <v>3.473785119170032</v>
      </c>
      <c r="N8430" s="12"/>
    </row>
    <row r="8431" spans="1:14" s="5" customFormat="1" ht="15" customHeight="1" x14ac:dyDescent="0.25">
      <c r="A8431" s="9" t="s">
        <v>16608</v>
      </c>
      <c r="C8431" s="9" t="str">
        <f>HYPERLINK("http://www.ncbi.nlm.nih.gov/protein/15805026","Zfand6")</f>
        <v>Zfand6</v>
      </c>
      <c r="D8431" s="10">
        <f t="shared" si="131"/>
        <v>4.8206584863904736</v>
      </c>
      <c r="F8431" s="8" t="str">
        <f>HYPERLINK("https://esbl.nhlbi.nih.gov/Databases/mpkFractions/proteomic_fractions_log_files/Yang_log_img/15805026.jpg","show blot")</f>
        <v>show blot</v>
      </c>
      <c r="H8431" s="8" t="str">
        <f>HYPERLINK("https://esbl.nhlbi.nih.gov/Databases/mpkFractions/proteomic_fractions_linear_files/Yang_linear_img/15805026.jpg","show blot")</f>
        <v>show blot</v>
      </c>
      <c r="J8431" s="5" t="s">
        <v>16609</v>
      </c>
      <c r="L8431" s="11">
        <v>4.8206584863904736</v>
      </c>
      <c r="N8431" s="12"/>
    </row>
    <row r="8432" spans="1:14" s="5" customFormat="1" ht="15" customHeight="1" x14ac:dyDescent="0.25">
      <c r="A8432" s="9" t="s">
        <v>16610</v>
      </c>
      <c r="C8432" s="9" t="str">
        <f>HYPERLINK("http://www.ncbi.nlm.nih.gov/protein/90991706","Zfc3h1")</f>
        <v>Zfc3h1</v>
      </c>
      <c r="D8432" s="10">
        <f t="shared" si="131"/>
        <v>1.4486032722164</v>
      </c>
      <c r="F8432" s="8" t="str">
        <f>HYPERLINK("https://esbl.nhlbi.nih.gov/Databases/mpkFractions/proteomic_fractions_log_files/Yang_log_img/90991706.jpg","show blot")</f>
        <v>show blot</v>
      </c>
      <c r="H8432" s="8" t="str">
        <f>HYPERLINK("https://esbl.nhlbi.nih.gov/Databases/mpkFractions/proteomic_fractions_linear_files/Yang_linear_img/90991706.jpg","show blot")</f>
        <v>show blot</v>
      </c>
      <c r="J8432" s="5" t="s">
        <v>16611</v>
      </c>
      <c r="L8432" s="11">
        <v>1.4486032722164</v>
      </c>
      <c r="N8432" s="12"/>
    </row>
    <row r="8433" spans="1:14" s="5" customFormat="1" ht="15" customHeight="1" x14ac:dyDescent="0.25">
      <c r="A8433" s="9" t="s">
        <v>16612</v>
      </c>
      <c r="C8433" s="9" t="str">
        <f>HYPERLINK("http://www.ncbi.nlm.nih.gov/protein/110225364","Zfhx3")</f>
        <v>Zfhx3</v>
      </c>
      <c r="D8433" s="10">
        <f t="shared" si="131"/>
        <v>2.4157117483946231</v>
      </c>
      <c r="F8433" s="8" t="str">
        <f>HYPERLINK("https://esbl.nhlbi.nih.gov/Databases/mpkFractions/proteomic_fractions_log_files/Yang_log_img/110225364.jpg","show blot")</f>
        <v>show blot</v>
      </c>
      <c r="H8433" s="8" t="str">
        <f>HYPERLINK("https://esbl.nhlbi.nih.gov/Databases/mpkFractions/proteomic_fractions_linear_files/Yang_linear_img/110225364.jpg","show blot")</f>
        <v>show blot</v>
      </c>
      <c r="J8433" s="5" t="s">
        <v>16613</v>
      </c>
      <c r="L8433" s="11">
        <v>2.4157117483946231</v>
      </c>
      <c r="N8433" s="12"/>
    </row>
    <row r="8434" spans="1:14" s="5" customFormat="1" ht="15" customHeight="1" x14ac:dyDescent="0.25">
      <c r="A8434" s="9" t="s">
        <v>16614</v>
      </c>
      <c r="C8434" s="9" t="str">
        <f>HYPERLINK("http://www.ncbi.nlm.nih.gov/protein/261823966","Zfml")</f>
        <v>Zfml</v>
      </c>
      <c r="D8434" s="10">
        <f t="shared" si="131"/>
        <v>2.5146304150488228</v>
      </c>
      <c r="F8434" s="8" t="str">
        <f>HYPERLINK("https://esbl.nhlbi.nih.gov/Databases/mpkFractions/proteomic_fractions_log_files/Yang_log_img/261823966.jpg","show blot")</f>
        <v>show blot</v>
      </c>
      <c r="H8434" s="8" t="str">
        <f>HYPERLINK("https://esbl.nhlbi.nih.gov/Databases/mpkFractions/proteomic_fractions_linear_files/Yang_linear_img/261823966.jpg","show blot")</f>
        <v>show blot</v>
      </c>
      <c r="J8434" s="5" t="s">
        <v>16615</v>
      </c>
      <c r="L8434" s="11">
        <v>2.5146304150488228</v>
      </c>
      <c r="N8434" s="12"/>
    </row>
    <row r="8435" spans="1:14" s="5" customFormat="1" ht="15" customHeight="1" x14ac:dyDescent="0.25">
      <c r="A8435" s="9" t="s">
        <v>16616</v>
      </c>
      <c r="C8435" s="9" t="str">
        <f>HYPERLINK("http://www.ncbi.nlm.nih.gov/protein/110626083","Zfp142")</f>
        <v>Zfp142</v>
      </c>
      <c r="D8435" s="10">
        <f t="shared" si="131"/>
        <v>2.5980944777348438</v>
      </c>
      <c r="F8435" s="8" t="str">
        <f>HYPERLINK("https://esbl.nhlbi.nih.gov/Databases/mpkFractions/proteomic_fractions_log_files/Yang_log_img/110626083.jpg","show blot")</f>
        <v>show blot</v>
      </c>
      <c r="H8435" s="8" t="str">
        <f>HYPERLINK("https://esbl.nhlbi.nih.gov/Databases/mpkFractions/proteomic_fractions_linear_files/Yang_linear_img/110626083.jpg","show blot")</f>
        <v>show blot</v>
      </c>
      <c r="J8435" s="5" t="s">
        <v>16617</v>
      </c>
      <c r="L8435" s="11">
        <v>2.5980944777348438</v>
      </c>
      <c r="N8435" s="12"/>
    </row>
    <row r="8436" spans="1:14" s="5" customFormat="1" ht="15" customHeight="1" x14ac:dyDescent="0.25">
      <c r="A8436" s="9" t="s">
        <v>16618</v>
      </c>
      <c r="C8436" s="9" t="str">
        <f>HYPERLINK("http://www.ncbi.nlm.nih.gov/protein/157823829","Zfp185")</f>
        <v>Zfp185</v>
      </c>
      <c r="D8436" s="10">
        <f t="shared" si="131"/>
        <v>2.6627756448717039</v>
      </c>
      <c r="F8436" s="8" t="str">
        <f>HYPERLINK("https://esbl.nhlbi.nih.gov/Databases/mpkFractions/proteomic_fractions_log_files/Yang_log_img/157823829.jpg","show blot")</f>
        <v>show blot</v>
      </c>
      <c r="H8436" s="8" t="str">
        <f>HYPERLINK("https://esbl.nhlbi.nih.gov/Databases/mpkFractions/proteomic_fractions_linear_files/Yang_linear_img/157823829.jpg","show blot")</f>
        <v>show blot</v>
      </c>
      <c r="J8436" s="5" t="s">
        <v>16619</v>
      </c>
      <c r="L8436" s="11">
        <v>2.6627756448717039</v>
      </c>
      <c r="N8436" s="12"/>
    </row>
    <row r="8437" spans="1:14" s="5" customFormat="1" ht="15" customHeight="1" x14ac:dyDescent="0.25">
      <c r="A8437" s="9" t="s">
        <v>16620</v>
      </c>
      <c r="C8437" s="9" t="str">
        <f>HYPERLINK("http://www.ncbi.nlm.nih.gov/protein/157823865","Zfp185")</f>
        <v>Zfp185</v>
      </c>
      <c r="D8437" s="10">
        <f t="shared" si="131"/>
        <v>2.6627756448717039</v>
      </c>
      <c r="F8437" s="8" t="str">
        <f>HYPERLINK("https://esbl.nhlbi.nih.gov/Databases/mpkFractions/proteomic_fractions_log_files/Yang_log_img/157823865.jpg","show blot")</f>
        <v>show blot</v>
      </c>
      <c r="H8437" s="8" t="str">
        <f>HYPERLINK("https://esbl.nhlbi.nih.gov/Databases/mpkFractions/proteomic_fractions_linear_files/Yang_linear_img/157823865.jpg","show blot")</f>
        <v>show blot</v>
      </c>
      <c r="J8437" s="5" t="s">
        <v>16621</v>
      </c>
      <c r="L8437" s="11">
        <v>2.6627756448717039</v>
      </c>
      <c r="N8437" s="12"/>
    </row>
    <row r="8438" spans="1:14" s="5" customFormat="1" ht="15" customHeight="1" x14ac:dyDescent="0.25">
      <c r="A8438" s="9" t="s">
        <v>16622</v>
      </c>
      <c r="C8438" s="9" t="str">
        <f>HYPERLINK("http://www.ncbi.nlm.nih.gov/protein/161760658","Zfp189")</f>
        <v>Zfp189</v>
      </c>
      <c r="D8438" s="10">
        <f t="shared" si="131"/>
        <v>2.319237461022055</v>
      </c>
      <c r="F8438" s="8" t="str">
        <f>HYPERLINK("https://esbl.nhlbi.nih.gov/Databases/mpkFractions/proteomic_fractions_log_files/Yang_log_img/161760658.jpg","show blot")</f>
        <v>show blot</v>
      </c>
      <c r="H8438" s="8" t="str">
        <f>HYPERLINK("https://esbl.nhlbi.nih.gov/Databases/mpkFractions/proteomic_fractions_linear_files/Yang_linear_img/161760658.jpg","show blot")</f>
        <v>show blot</v>
      </c>
      <c r="J8438" s="5" t="s">
        <v>16623</v>
      </c>
      <c r="L8438" s="11">
        <v>2.319237461022055</v>
      </c>
      <c r="N8438" s="12"/>
    </row>
    <row r="8439" spans="1:14" s="5" customFormat="1" ht="15" customHeight="1" x14ac:dyDescent="0.25">
      <c r="A8439" s="9" t="s">
        <v>16624</v>
      </c>
      <c r="C8439" s="9" t="str">
        <f>HYPERLINK("http://www.ncbi.nlm.nih.gov/protein/194328715","Zfp207")</f>
        <v>Zfp207</v>
      </c>
      <c r="D8439" s="10">
        <f t="shared" si="131"/>
        <v>4.1315820057450772</v>
      </c>
      <c r="F8439" s="8" t="str">
        <f>HYPERLINK("https://esbl.nhlbi.nih.gov/Databases/mpkFractions/proteomic_fractions_log_files/Yang_log_img/194328715.jpg","show blot")</f>
        <v>show blot</v>
      </c>
      <c r="H8439" s="8" t="str">
        <f>HYPERLINK("https://esbl.nhlbi.nih.gov/Databases/mpkFractions/proteomic_fractions_linear_files/Yang_linear_img/194328715.jpg","show blot")</f>
        <v>show blot</v>
      </c>
      <c r="J8439" s="5" t="s">
        <v>16625</v>
      </c>
      <c r="L8439" s="11">
        <v>4.1315820057450772</v>
      </c>
      <c r="N8439" s="12"/>
    </row>
    <row r="8440" spans="1:14" s="5" customFormat="1" ht="15" customHeight="1" x14ac:dyDescent="0.25">
      <c r="A8440" s="9" t="s">
        <v>16626</v>
      </c>
      <c r="C8440" s="9" t="str">
        <f>HYPERLINK("http://www.ncbi.nlm.nih.gov/protein/194328717","Zfp207")</f>
        <v>Zfp207</v>
      </c>
      <c r="D8440" s="10">
        <f t="shared" si="131"/>
        <v>4.1315820057450772</v>
      </c>
      <c r="F8440" s="8" t="str">
        <f>HYPERLINK("https://esbl.nhlbi.nih.gov/Databases/mpkFractions/proteomic_fractions_log_files/Yang_log_img/194328717.jpg","show blot")</f>
        <v>show blot</v>
      </c>
      <c r="H8440" s="8" t="str">
        <f>HYPERLINK("https://esbl.nhlbi.nih.gov/Databases/mpkFractions/proteomic_fractions_linear_files/Yang_linear_img/194328717.jpg","show blot")</f>
        <v>show blot</v>
      </c>
      <c r="J8440" s="5" t="s">
        <v>16627</v>
      </c>
      <c r="L8440" s="11">
        <v>4.1315820057450772</v>
      </c>
      <c r="N8440" s="12"/>
    </row>
    <row r="8441" spans="1:14" s="5" customFormat="1" ht="15" customHeight="1" x14ac:dyDescent="0.25">
      <c r="A8441" s="9" t="s">
        <v>16628</v>
      </c>
      <c r="C8441" s="9" t="str">
        <f>HYPERLINK("http://www.ncbi.nlm.nih.gov/protein/194328719","Zfp207")</f>
        <v>Zfp207</v>
      </c>
      <c r="D8441" s="10">
        <f t="shared" si="131"/>
        <v>4.1315820057450772</v>
      </c>
      <c r="F8441" s="8" t="str">
        <f>HYPERLINK("https://esbl.nhlbi.nih.gov/Databases/mpkFractions/proteomic_fractions_log_files/Yang_log_img/194328719.jpg","show blot")</f>
        <v>show blot</v>
      </c>
      <c r="H8441" s="8" t="str">
        <f>HYPERLINK("https://esbl.nhlbi.nih.gov/Databases/mpkFractions/proteomic_fractions_linear_files/Yang_linear_img/194328719.jpg","show blot")</f>
        <v>show blot</v>
      </c>
      <c r="J8441" s="5" t="s">
        <v>16629</v>
      </c>
      <c r="L8441" s="11">
        <v>4.1315820057450772</v>
      </c>
      <c r="N8441" s="12"/>
    </row>
    <row r="8442" spans="1:14" s="5" customFormat="1" ht="15" customHeight="1" x14ac:dyDescent="0.25">
      <c r="A8442" s="9" t="s">
        <v>16630</v>
      </c>
      <c r="C8442" s="9" t="str">
        <f>HYPERLINK("http://www.ncbi.nlm.nih.gov/protein/6756051","Zfp207")</f>
        <v>Zfp207</v>
      </c>
      <c r="D8442" s="10">
        <f t="shared" si="131"/>
        <v>4.1315820057450772</v>
      </c>
      <c r="F8442" s="8" t="str">
        <f>HYPERLINK("https://esbl.nhlbi.nih.gov/Databases/mpkFractions/proteomic_fractions_log_files/Yang_log_img/6756051.jpg","show blot")</f>
        <v>show blot</v>
      </c>
      <c r="H8442" s="8" t="str">
        <f>HYPERLINK("https://esbl.nhlbi.nih.gov/Databases/mpkFractions/proteomic_fractions_linear_files/Yang_linear_img/6756051.jpg","show blot")</f>
        <v>show blot</v>
      </c>
      <c r="J8442" s="5" t="s">
        <v>16631</v>
      </c>
      <c r="L8442" s="11">
        <v>4.1315820057450772</v>
      </c>
      <c r="N8442" s="12"/>
    </row>
    <row r="8443" spans="1:14" s="5" customFormat="1" ht="15" customHeight="1" x14ac:dyDescent="0.25">
      <c r="A8443" s="9" t="s">
        <v>16632</v>
      </c>
      <c r="C8443" s="9" t="str">
        <f>HYPERLINK("http://www.ncbi.nlm.nih.gov/protein/254939702","Zfp236")</f>
        <v>Zfp236</v>
      </c>
      <c r="D8443" s="10">
        <f t="shared" si="131"/>
        <v>3.205565223530106</v>
      </c>
      <c r="F8443" s="8" t="str">
        <f>HYPERLINK("https://esbl.nhlbi.nih.gov/Databases/mpkFractions/proteomic_fractions_log_files/Yang_log_img/254939702.jpg","show blot")</f>
        <v>show blot</v>
      </c>
      <c r="H8443" s="8" t="str">
        <f>HYPERLINK("https://esbl.nhlbi.nih.gov/Databases/mpkFractions/proteomic_fractions_linear_files/Yang_linear_img/254939702.jpg","show blot")</f>
        <v>show blot</v>
      </c>
      <c r="J8443" s="5" t="s">
        <v>16633</v>
      </c>
      <c r="L8443" s="11">
        <v>3.205565223530106</v>
      </c>
      <c r="N8443" s="12"/>
    </row>
    <row r="8444" spans="1:14" s="5" customFormat="1" ht="15" customHeight="1" x14ac:dyDescent="0.25">
      <c r="A8444" s="9" t="s">
        <v>16634</v>
      </c>
      <c r="C8444" s="9" t="str">
        <f>HYPERLINK("http://www.ncbi.nlm.nih.gov/protein/58037307","Zfp248")</f>
        <v>Zfp248</v>
      </c>
      <c r="D8444" s="10">
        <f t="shared" si="131"/>
        <v>3.6700909179446919</v>
      </c>
      <c r="F8444" s="8" t="str">
        <f>HYPERLINK("https://esbl.nhlbi.nih.gov/Databases/mpkFractions/proteomic_fractions_log_files/Yang_log_img/58037307.jpg","show blot")</f>
        <v>show blot</v>
      </c>
      <c r="H8444" s="8" t="str">
        <f>HYPERLINK("https://esbl.nhlbi.nih.gov/Databases/mpkFractions/proteomic_fractions_linear_files/Yang_linear_img/58037307.jpg","show blot")</f>
        <v>show blot</v>
      </c>
      <c r="J8444" s="5" t="s">
        <v>16635</v>
      </c>
      <c r="L8444" s="11">
        <v>3.6700909179446919</v>
      </c>
      <c r="N8444" s="12"/>
    </row>
    <row r="8445" spans="1:14" s="5" customFormat="1" ht="15" customHeight="1" x14ac:dyDescent="0.25">
      <c r="A8445" s="9" t="s">
        <v>16636</v>
      </c>
      <c r="C8445" s="9" t="str">
        <f>HYPERLINK("http://www.ncbi.nlm.nih.gov/protein/6756053","Zfp259")</f>
        <v>Zfp259</v>
      </c>
      <c r="D8445" s="10">
        <f t="shared" si="131"/>
        <v>5.0577287646938576</v>
      </c>
      <c r="F8445" s="8" t="str">
        <f>HYPERLINK("https://esbl.nhlbi.nih.gov/Databases/mpkFractions/proteomic_fractions_log_files/Yang_log_img/6756053.jpg","show blot")</f>
        <v>show blot</v>
      </c>
      <c r="H8445" s="8" t="str">
        <f>HYPERLINK("https://esbl.nhlbi.nih.gov/Databases/mpkFractions/proteomic_fractions_linear_files/Yang_linear_img/6756053.jpg","show blot")</f>
        <v>show blot</v>
      </c>
      <c r="J8445" s="5" t="s">
        <v>16637</v>
      </c>
      <c r="L8445" s="11">
        <v>5.0577287646938576</v>
      </c>
      <c r="N8445" s="12"/>
    </row>
    <row r="8446" spans="1:14" s="5" customFormat="1" ht="15" customHeight="1" x14ac:dyDescent="0.25">
      <c r="A8446" s="9" t="s">
        <v>16638</v>
      </c>
      <c r="C8446" s="9" t="str">
        <f>HYPERLINK("http://www.ncbi.nlm.nih.gov/protein/169234810","Zfp292")</f>
        <v>Zfp292</v>
      </c>
      <c r="D8446" s="10">
        <f t="shared" si="131"/>
        <v>4.1027271168777801</v>
      </c>
      <c r="F8446" s="8" t="str">
        <f>HYPERLINK("https://esbl.nhlbi.nih.gov/Databases/mpkFractions/proteomic_fractions_log_files/Yang_log_img/169234810.jpg","show blot")</f>
        <v>show blot</v>
      </c>
      <c r="H8446" s="8" t="str">
        <f>HYPERLINK("https://esbl.nhlbi.nih.gov/Databases/mpkFractions/proteomic_fractions_linear_files/Yang_linear_img/169234810.jpg","show blot")</f>
        <v>show blot</v>
      </c>
      <c r="J8446" s="5" t="s">
        <v>16639</v>
      </c>
      <c r="L8446" s="11">
        <v>4.1027271168777801</v>
      </c>
      <c r="N8446" s="12"/>
    </row>
    <row r="8447" spans="1:14" s="5" customFormat="1" ht="15" customHeight="1" x14ac:dyDescent="0.25">
      <c r="A8447" s="9" t="s">
        <v>16640</v>
      </c>
      <c r="C8447" s="9" t="str">
        <f>HYPERLINK("http://www.ncbi.nlm.nih.gov/protein/56118256","Zfp324")</f>
        <v>Zfp324</v>
      </c>
      <c r="D8447" s="10">
        <f t="shared" si="131"/>
        <v>3.0281782644466149</v>
      </c>
      <c r="F8447" s="8" t="str">
        <f>HYPERLINK("https://esbl.nhlbi.nih.gov/Databases/mpkFractions/proteomic_fractions_log_files/Yang_log_img/56118256.jpg","show blot")</f>
        <v>show blot</v>
      </c>
      <c r="H8447" s="8" t="str">
        <f>HYPERLINK("https://esbl.nhlbi.nih.gov/Databases/mpkFractions/proteomic_fractions_linear_files/Yang_linear_img/56118256.jpg","show blot")</f>
        <v>show blot</v>
      </c>
      <c r="J8447" s="5" t="s">
        <v>16641</v>
      </c>
      <c r="L8447" s="11">
        <v>3.0281782644466149</v>
      </c>
      <c r="N8447" s="12"/>
    </row>
    <row r="8448" spans="1:14" s="5" customFormat="1" ht="15" customHeight="1" x14ac:dyDescent="0.25">
      <c r="A8448" s="9" t="s">
        <v>16642</v>
      </c>
      <c r="C8448" s="9" t="str">
        <f>HYPERLINK("http://www.ncbi.nlm.nih.gov/protein/269784644","Zfp326")</f>
        <v>Zfp326</v>
      </c>
      <c r="D8448" s="10">
        <f t="shared" si="131"/>
        <v>4.1914257417022673</v>
      </c>
      <c r="F8448" s="8" t="str">
        <f>HYPERLINK("https://esbl.nhlbi.nih.gov/Databases/mpkFractions/proteomic_fractions_log_files/Yang_log_img/269784644.jpg","show blot")</f>
        <v>show blot</v>
      </c>
      <c r="H8448" s="8" t="str">
        <f>HYPERLINK("https://esbl.nhlbi.nih.gov/Databases/mpkFractions/proteomic_fractions_linear_files/Yang_linear_img/269784644.jpg","show blot")</f>
        <v>show blot</v>
      </c>
      <c r="J8448" s="5" t="s">
        <v>16643</v>
      </c>
      <c r="L8448" s="11">
        <v>4.1914257417022673</v>
      </c>
      <c r="N8448" s="12"/>
    </row>
    <row r="8449" spans="1:14" s="5" customFormat="1" ht="15" customHeight="1" x14ac:dyDescent="0.25">
      <c r="A8449" s="9" t="s">
        <v>16644</v>
      </c>
      <c r="C8449" s="9" t="str">
        <f>HYPERLINK("http://www.ncbi.nlm.nih.gov/protein/6754396","Zfp346")</f>
        <v>Zfp346</v>
      </c>
      <c r="D8449" s="10">
        <f t="shared" si="131"/>
        <v>3.1214205579509309</v>
      </c>
      <c r="F8449" s="8" t="str">
        <f>HYPERLINK("https://esbl.nhlbi.nih.gov/Databases/mpkFractions/proteomic_fractions_log_files/Yang_log_img/6754396.jpg","show blot")</f>
        <v>show blot</v>
      </c>
      <c r="H8449" s="8" t="str">
        <f>HYPERLINK("https://esbl.nhlbi.nih.gov/Databases/mpkFractions/proteomic_fractions_linear_files/Yang_linear_img/6754396.jpg","show blot")</f>
        <v>show blot</v>
      </c>
      <c r="J8449" s="5" t="s">
        <v>16645</v>
      </c>
      <c r="L8449" s="11">
        <v>3.1214205579509309</v>
      </c>
      <c r="N8449" s="12"/>
    </row>
    <row r="8450" spans="1:14" s="5" customFormat="1" ht="15" customHeight="1" x14ac:dyDescent="0.25">
      <c r="A8450" s="9" t="s">
        <v>16646</v>
      </c>
      <c r="C8450" s="9" t="str">
        <f>HYPERLINK("http://www.ncbi.nlm.nih.gov/protein/238018076","Zfp428")</f>
        <v>Zfp428</v>
      </c>
      <c r="D8450" s="10">
        <f t="shared" si="131"/>
        <v>4.3314146720464146</v>
      </c>
      <c r="F8450" s="8" t="str">
        <f>HYPERLINK("https://esbl.nhlbi.nih.gov/Databases/mpkFractions/proteomic_fractions_log_files/Yang_log_img/238018076.jpg","show blot")</f>
        <v>show blot</v>
      </c>
      <c r="H8450" s="8" t="str">
        <f>HYPERLINK("https://esbl.nhlbi.nih.gov/Databases/mpkFractions/proteomic_fractions_linear_files/Yang_linear_img/238018076.jpg","show blot")</f>
        <v>show blot</v>
      </c>
      <c r="J8450" s="5" t="s">
        <v>16647</v>
      </c>
      <c r="L8450" s="11">
        <v>4.3314146720464146</v>
      </c>
      <c r="N8450" s="12"/>
    </row>
    <row r="8451" spans="1:14" s="5" customFormat="1" ht="15" customHeight="1" x14ac:dyDescent="0.25">
      <c r="A8451" s="9" t="s">
        <v>16648</v>
      </c>
      <c r="C8451" s="9" t="str">
        <f>HYPERLINK("http://www.ncbi.nlm.nih.gov/protein/226437661","Zfp511")</f>
        <v>Zfp511</v>
      </c>
      <c r="D8451" s="10">
        <f t="shared" si="131"/>
        <v>4.0229433116188176</v>
      </c>
      <c r="F8451" s="8" t="str">
        <f>HYPERLINK("https://esbl.nhlbi.nih.gov/Databases/mpkFractions/proteomic_fractions_log_files/Yang_log_img/226437661.jpg","show blot")</f>
        <v>show blot</v>
      </c>
      <c r="H8451" s="8" t="str">
        <f>HYPERLINK("https://esbl.nhlbi.nih.gov/Databases/mpkFractions/proteomic_fractions_linear_files/Yang_linear_img/226437661.jpg","show blot")</f>
        <v>show blot</v>
      </c>
      <c r="J8451" s="5" t="s">
        <v>16649</v>
      </c>
      <c r="L8451" s="11">
        <v>4.0229433116188176</v>
      </c>
      <c r="N8451" s="12"/>
    </row>
    <row r="8452" spans="1:14" s="5" customFormat="1" ht="15" customHeight="1" x14ac:dyDescent="0.25">
      <c r="A8452" s="9" t="s">
        <v>16650</v>
      </c>
      <c r="C8452" s="9" t="str">
        <f>HYPERLINK("http://www.ncbi.nlm.nih.gov/protein/254553392","Zfp512")</f>
        <v>Zfp512</v>
      </c>
      <c r="D8452" s="10">
        <f t="shared" si="131"/>
        <v>3.8149640059056149</v>
      </c>
      <c r="F8452" s="8" t="str">
        <f>HYPERLINK("https://esbl.nhlbi.nih.gov/Databases/mpkFractions/proteomic_fractions_log_files/Yang_log_img/254553392.jpg","show blot")</f>
        <v>show blot</v>
      </c>
      <c r="H8452" s="8" t="str">
        <f>HYPERLINK("https://esbl.nhlbi.nih.gov/Databases/mpkFractions/proteomic_fractions_linear_files/Yang_linear_img/254553392.jpg","show blot")</f>
        <v>show blot</v>
      </c>
      <c r="J8452" s="5" t="s">
        <v>16651</v>
      </c>
      <c r="L8452" s="11">
        <v>3.8149640059056149</v>
      </c>
      <c r="N8452" s="12"/>
    </row>
    <row r="8453" spans="1:14" s="5" customFormat="1" ht="15" customHeight="1" x14ac:dyDescent="0.25">
      <c r="A8453" s="9" t="s">
        <v>16652</v>
      </c>
      <c r="C8453" s="9" t="str">
        <f>HYPERLINK("http://www.ncbi.nlm.nih.gov/protein/154759288","Zfp593")</f>
        <v>Zfp593</v>
      </c>
      <c r="D8453" s="10">
        <f t="shared" ref="D8453:D8516" si="132">L8453</f>
        <v>4.7135183412129367</v>
      </c>
      <c r="F8453" s="8" t="str">
        <f>HYPERLINK("https://esbl.nhlbi.nih.gov/Databases/mpkFractions/proteomic_fractions_log_files/Yang_log_img/154759288.jpg","show blot")</f>
        <v>show blot</v>
      </c>
      <c r="H8453" s="8" t="str">
        <f>HYPERLINK("https://esbl.nhlbi.nih.gov/Databases/mpkFractions/proteomic_fractions_linear_files/Yang_linear_img/154759288.jpg","show blot")</f>
        <v>show blot</v>
      </c>
      <c r="J8453" s="5" t="s">
        <v>16653</v>
      </c>
      <c r="L8453" s="11">
        <v>4.7135183412129367</v>
      </c>
      <c r="N8453" s="12"/>
    </row>
    <row r="8454" spans="1:14" s="5" customFormat="1" ht="15" customHeight="1" x14ac:dyDescent="0.25">
      <c r="A8454" s="9" t="s">
        <v>16654</v>
      </c>
      <c r="C8454" s="9" t="str">
        <f>HYPERLINK("http://www.ncbi.nlm.nih.gov/protein/34147169","Zfp598")</f>
        <v>Zfp598</v>
      </c>
      <c r="D8454" s="10">
        <f t="shared" si="132"/>
        <v>3.1249938186490871</v>
      </c>
      <c r="F8454" s="8" t="str">
        <f>HYPERLINK("https://esbl.nhlbi.nih.gov/Databases/mpkFractions/proteomic_fractions_log_files/Yang_log_img/34147169.jpg","show blot")</f>
        <v>show blot</v>
      </c>
      <c r="H8454" s="8" t="str">
        <f>HYPERLINK("https://esbl.nhlbi.nih.gov/Databases/mpkFractions/proteomic_fractions_linear_files/Yang_linear_img/34147169.jpg","show blot")</f>
        <v>show blot</v>
      </c>
      <c r="J8454" s="5" t="s">
        <v>16655</v>
      </c>
      <c r="L8454" s="11">
        <v>3.1249938186490871</v>
      </c>
      <c r="N8454" s="12"/>
    </row>
    <row r="8455" spans="1:14" s="5" customFormat="1" ht="15" customHeight="1" x14ac:dyDescent="0.25">
      <c r="A8455" s="9" t="s">
        <v>16656</v>
      </c>
      <c r="C8455" s="9" t="str">
        <f>HYPERLINK("http://www.ncbi.nlm.nih.gov/protein/255683357","Zfp605")</f>
        <v>Zfp605</v>
      </c>
      <c r="D8455" s="10">
        <f t="shared" si="132"/>
        <v>4.046275811376935</v>
      </c>
      <c r="F8455" s="8" t="str">
        <f>HYPERLINK("https://esbl.nhlbi.nih.gov/Databases/mpkFractions/proteomic_fractions_log_files/Yang_log_img/255683357.jpg","show blot")</f>
        <v>show blot</v>
      </c>
      <c r="H8455" s="8" t="str">
        <f>HYPERLINK("https://esbl.nhlbi.nih.gov/Databases/mpkFractions/proteomic_fractions_linear_files/Yang_linear_img/255683357.jpg","show blot")</f>
        <v>show blot</v>
      </c>
      <c r="J8455" s="5" t="s">
        <v>16657</v>
      </c>
      <c r="L8455" s="11">
        <v>4.046275811376935</v>
      </c>
      <c r="N8455" s="12"/>
    </row>
    <row r="8456" spans="1:14" s="5" customFormat="1" ht="15" customHeight="1" x14ac:dyDescent="0.25">
      <c r="A8456" s="9" t="s">
        <v>16658</v>
      </c>
      <c r="C8456" s="9" t="str">
        <f>HYPERLINK("http://www.ncbi.nlm.nih.gov/protein/121247404","Zfp61")</f>
        <v>Zfp61</v>
      </c>
      <c r="D8456" s="10">
        <f t="shared" si="132"/>
        <v>2.3674160434711768</v>
      </c>
      <c r="F8456" s="8" t="str">
        <f>HYPERLINK("https://esbl.nhlbi.nih.gov/Databases/mpkFractions/proteomic_fractions_log_files/Yang_log_img/121247404.jpg","show blot")</f>
        <v>show blot</v>
      </c>
      <c r="H8456" s="8" t="str">
        <f>HYPERLINK("https://esbl.nhlbi.nih.gov/Databases/mpkFractions/proteomic_fractions_linear_files/Yang_linear_img/121247404.jpg","show blot")</f>
        <v>show blot</v>
      </c>
      <c r="J8456" s="5" t="s">
        <v>16659</v>
      </c>
      <c r="L8456" s="11">
        <v>2.3674160434711768</v>
      </c>
      <c r="N8456" s="12"/>
    </row>
    <row r="8457" spans="1:14" s="5" customFormat="1" ht="15" customHeight="1" x14ac:dyDescent="0.25">
      <c r="A8457" s="9" t="s">
        <v>16660</v>
      </c>
      <c r="C8457" s="9" t="str">
        <f>HYPERLINK("http://www.ncbi.nlm.nih.gov/protein/283837868","Zfp612")</f>
        <v>Zfp612</v>
      </c>
      <c r="D8457" s="10">
        <f t="shared" si="132"/>
        <v>3.648658207743551</v>
      </c>
      <c r="F8457" s="8" t="str">
        <f>HYPERLINK("https://esbl.nhlbi.nih.gov/Databases/mpkFractions/proteomic_fractions_log_files/Yang_log_img/283837868.jpg","show blot")</f>
        <v>show blot</v>
      </c>
      <c r="H8457" s="8" t="str">
        <f>HYPERLINK("https://esbl.nhlbi.nih.gov/Databases/mpkFractions/proteomic_fractions_linear_files/Yang_linear_img/283837868.jpg","show blot")</f>
        <v>show blot</v>
      </c>
      <c r="J8457" s="5" t="s">
        <v>16661</v>
      </c>
      <c r="L8457" s="11">
        <v>3.648658207743551</v>
      </c>
      <c r="N8457" s="12"/>
    </row>
    <row r="8458" spans="1:14" s="5" customFormat="1" ht="15" customHeight="1" x14ac:dyDescent="0.25">
      <c r="A8458" s="9" t="s">
        <v>16662</v>
      </c>
      <c r="C8458" s="9" t="str">
        <f>HYPERLINK("http://www.ncbi.nlm.nih.gov/protein/21362307","Zfp622")</f>
        <v>Zfp622</v>
      </c>
      <c r="D8458" s="10">
        <f t="shared" si="132"/>
        <v>4.607127314897868</v>
      </c>
      <c r="F8458" s="8" t="str">
        <f>HYPERLINK("https://esbl.nhlbi.nih.gov/Databases/mpkFractions/proteomic_fractions_log_files/Yang_log_img/21362307.jpg","show blot")</f>
        <v>show blot</v>
      </c>
      <c r="H8458" s="8" t="str">
        <f>HYPERLINK("https://esbl.nhlbi.nih.gov/Databases/mpkFractions/proteomic_fractions_linear_files/Yang_linear_img/21362307.jpg","show blot")</f>
        <v>show blot</v>
      </c>
      <c r="J8458" s="5" t="s">
        <v>16663</v>
      </c>
      <c r="L8458" s="11">
        <v>4.607127314897868</v>
      </c>
      <c r="N8458" s="12"/>
    </row>
    <row r="8459" spans="1:14" s="5" customFormat="1" ht="15" customHeight="1" x14ac:dyDescent="0.25">
      <c r="A8459" s="9" t="s">
        <v>16664</v>
      </c>
      <c r="C8459" s="9" t="str">
        <f>HYPERLINK("http://www.ncbi.nlm.nih.gov/protein/148276994","Zfp628")</f>
        <v>Zfp628</v>
      </c>
      <c r="D8459" s="10">
        <f t="shared" si="132"/>
        <v>4.3749345953525358</v>
      </c>
      <c r="F8459" s="8" t="str">
        <f>HYPERLINK("https://esbl.nhlbi.nih.gov/Databases/mpkFractions/proteomic_fractions_log_files/Yang_log_img/148276994.jpg","show blot")</f>
        <v>show blot</v>
      </c>
      <c r="H8459" s="8" t="str">
        <f>HYPERLINK("https://esbl.nhlbi.nih.gov/Databases/mpkFractions/proteomic_fractions_linear_files/Yang_linear_img/148276994.jpg","show blot")</f>
        <v>show blot</v>
      </c>
      <c r="J8459" s="5" t="s">
        <v>16665</v>
      </c>
      <c r="L8459" s="11">
        <v>4.3749345953525358</v>
      </c>
      <c r="N8459" s="12"/>
    </row>
    <row r="8460" spans="1:14" s="5" customFormat="1" ht="15" customHeight="1" x14ac:dyDescent="0.25">
      <c r="A8460" s="9" t="s">
        <v>16666</v>
      </c>
      <c r="C8460" s="9" t="str">
        <f>HYPERLINK("http://www.ncbi.nlm.nih.gov/protein/18875370","Zfp704")</f>
        <v>Zfp704</v>
      </c>
      <c r="D8460" s="10">
        <f t="shared" si="132"/>
        <v>3.1017347539357378</v>
      </c>
      <c r="F8460" s="8" t="str">
        <f>HYPERLINK("https://esbl.nhlbi.nih.gov/Databases/mpkFractions/proteomic_fractions_log_files/Yang_log_img/18875370.jpg","show blot")</f>
        <v>show blot</v>
      </c>
      <c r="H8460" s="8" t="str">
        <f>HYPERLINK("https://esbl.nhlbi.nih.gov/Databases/mpkFractions/proteomic_fractions_linear_files/Yang_linear_img/18875370.jpg","show blot")</f>
        <v>show blot</v>
      </c>
      <c r="J8460" s="5" t="s">
        <v>16667</v>
      </c>
      <c r="L8460" s="11">
        <v>3.1017347539357378</v>
      </c>
      <c r="N8460" s="12"/>
    </row>
    <row r="8461" spans="1:14" s="5" customFormat="1" ht="15" customHeight="1" x14ac:dyDescent="0.25">
      <c r="A8461" s="9" t="s">
        <v>16668</v>
      </c>
      <c r="C8461" s="9" t="str">
        <f>HYPERLINK("http://www.ncbi.nlm.nih.gov/protein/21312658","Zfp706")</f>
        <v>Zfp706</v>
      </c>
      <c r="D8461" s="10">
        <f t="shared" si="132"/>
        <v>5.2061603584212337</v>
      </c>
      <c r="F8461" s="8" t="str">
        <f>HYPERLINK("https://esbl.nhlbi.nih.gov/Databases/mpkFractions/proteomic_fractions_log_files/Yang_log_img/21312658.jpg","show blot")</f>
        <v>show blot</v>
      </c>
      <c r="H8461" s="8" t="str">
        <f>HYPERLINK("https://esbl.nhlbi.nih.gov/Databases/mpkFractions/proteomic_fractions_linear_files/Yang_linear_img/21312658.jpg","show blot")</f>
        <v>show blot</v>
      </c>
      <c r="J8461" s="5" t="s">
        <v>16669</v>
      </c>
      <c r="L8461" s="11">
        <v>5.2061603584212337</v>
      </c>
      <c r="N8461" s="12"/>
    </row>
    <row r="8462" spans="1:14" s="5" customFormat="1" ht="15" customHeight="1" x14ac:dyDescent="0.25">
      <c r="A8462" s="9" t="s">
        <v>16670</v>
      </c>
      <c r="C8462" s="9" t="str">
        <f>HYPERLINK("http://www.ncbi.nlm.nih.gov/protein/28893511","Zfp771")</f>
        <v>Zfp771</v>
      </c>
      <c r="D8462" s="10">
        <f t="shared" si="132"/>
        <v>4.1456444301609956</v>
      </c>
      <c r="F8462" s="8" t="str">
        <f>HYPERLINK("https://esbl.nhlbi.nih.gov/Databases/mpkFractions/proteomic_fractions_log_files/Yang_log_img/28893511.jpg","show blot")</f>
        <v>show blot</v>
      </c>
      <c r="H8462" s="8" t="str">
        <f>HYPERLINK("https://esbl.nhlbi.nih.gov/Databases/mpkFractions/proteomic_fractions_linear_files/Yang_linear_img/28893511.jpg","show blot")</f>
        <v>show blot</v>
      </c>
      <c r="J8462" s="5" t="s">
        <v>16671</v>
      </c>
      <c r="L8462" s="11">
        <v>4.1456444301609956</v>
      </c>
      <c r="N8462" s="12"/>
    </row>
    <row r="8463" spans="1:14" s="5" customFormat="1" ht="15" customHeight="1" x14ac:dyDescent="0.25">
      <c r="A8463" s="9" t="s">
        <v>16672</v>
      </c>
      <c r="C8463" s="9" t="str">
        <f>HYPERLINK("http://www.ncbi.nlm.nih.gov/protein/124430545","Zfp804a")</f>
        <v>Zfp804a</v>
      </c>
      <c r="D8463" s="10">
        <f t="shared" si="132"/>
        <v>1.649262722762818</v>
      </c>
      <c r="F8463" s="8" t="str">
        <f>HYPERLINK("https://esbl.nhlbi.nih.gov/Databases/mpkFractions/proteomic_fractions_log_files/Yang_log_img/124430545.jpg","show blot")</f>
        <v>show blot</v>
      </c>
      <c r="H8463" s="8" t="str">
        <f>HYPERLINK("https://esbl.nhlbi.nih.gov/Databases/mpkFractions/proteomic_fractions_linear_files/Yang_linear_img/124430545.jpg","show blot")</f>
        <v>show blot</v>
      </c>
      <c r="J8463" s="5" t="s">
        <v>16673</v>
      </c>
      <c r="L8463" s="11">
        <v>1.649262722762818</v>
      </c>
      <c r="N8463" s="12"/>
    </row>
    <row r="8464" spans="1:14" s="5" customFormat="1" ht="15" customHeight="1" x14ac:dyDescent="0.25">
      <c r="A8464" s="9" t="s">
        <v>16674</v>
      </c>
      <c r="C8464" s="9" t="str">
        <f>HYPERLINK("http://www.ncbi.nlm.nih.gov/protein/253735674","Zfp804b")</f>
        <v>Zfp804b</v>
      </c>
      <c r="D8464" s="10">
        <f t="shared" si="132"/>
        <v>1.6006195439646549</v>
      </c>
      <c r="F8464" s="8" t="str">
        <f>HYPERLINK("https://esbl.nhlbi.nih.gov/Databases/mpkFractions/proteomic_fractions_log_files/Yang_log_img/253735674.jpg","show blot")</f>
        <v>show blot</v>
      </c>
      <c r="H8464" s="8" t="str">
        <f>HYPERLINK("https://esbl.nhlbi.nih.gov/Databases/mpkFractions/proteomic_fractions_linear_files/Yang_linear_img/253735674.jpg","show blot")</f>
        <v>show blot</v>
      </c>
      <c r="J8464" s="5" t="s">
        <v>16675</v>
      </c>
      <c r="L8464" s="11">
        <v>1.6006195439646549</v>
      </c>
      <c r="N8464" s="12"/>
    </row>
    <row r="8465" spans="1:14" s="5" customFormat="1" ht="15" customHeight="1" x14ac:dyDescent="0.25">
      <c r="A8465" s="9" t="s">
        <v>16676</v>
      </c>
      <c r="C8465" s="9" t="str">
        <f>HYPERLINK("http://www.ncbi.nlm.nih.gov/protein/31560213","Zfp830")</f>
        <v>Zfp830</v>
      </c>
      <c r="D8465" s="10">
        <f t="shared" si="132"/>
        <v>1.5647526432101271</v>
      </c>
      <c r="F8465" s="8" t="str">
        <f>HYPERLINK("https://esbl.nhlbi.nih.gov/Databases/mpkFractions/proteomic_fractions_log_files/Yang_log_img/31560213.jpg","show blot")</f>
        <v>show blot</v>
      </c>
      <c r="H8465" s="8" t="str">
        <f>HYPERLINK("https://esbl.nhlbi.nih.gov/Databases/mpkFractions/proteomic_fractions_linear_files/Yang_linear_img/31560213.jpg","show blot")</f>
        <v>show blot</v>
      </c>
      <c r="J8465" s="5" t="s">
        <v>16677</v>
      </c>
      <c r="L8465" s="11">
        <v>1.5647526432101271</v>
      </c>
      <c r="N8465" s="12"/>
    </row>
    <row r="8466" spans="1:14" s="5" customFormat="1" ht="15" customHeight="1" x14ac:dyDescent="0.25">
      <c r="A8466" s="9" t="s">
        <v>16678</v>
      </c>
      <c r="C8466" s="9" t="str">
        <f>HYPERLINK("http://www.ncbi.nlm.nih.gov/protein/75677466","Zfp865")</f>
        <v>Zfp865</v>
      </c>
      <c r="D8466" s="10" t="str">
        <f t="shared" si="132"/>
        <v>-</v>
      </c>
      <c r="F8466" s="8" t="str">
        <f>HYPERLINK("https://esbl.nhlbi.nih.gov/Databases/mpkFractions/proteomic_fractions_log_files/Yang_log_img/75677466.jpg","show blot")</f>
        <v>show blot</v>
      </c>
      <c r="H8466" s="8" t="str">
        <f>HYPERLINK("https://esbl.nhlbi.nih.gov/Databases/mpkFractions/proteomic_fractions_linear_files/Yang_linear_img/75677466.jpg","show blot")</f>
        <v>show blot</v>
      </c>
      <c r="J8466" s="5" t="s">
        <v>16679</v>
      </c>
      <c r="L8466" s="13" t="s">
        <v>389</v>
      </c>
      <c r="N8466" s="12"/>
    </row>
    <row r="8467" spans="1:14" s="5" customFormat="1" ht="15" customHeight="1" x14ac:dyDescent="0.25">
      <c r="A8467" s="9" t="s">
        <v>16680</v>
      </c>
      <c r="C8467" s="9" t="str">
        <f>HYPERLINK("http://www.ncbi.nlm.nih.gov/protein/90669983","Zfp91")</f>
        <v>Zfp91</v>
      </c>
      <c r="D8467" s="10">
        <f t="shared" si="132"/>
        <v>3.82487520182231</v>
      </c>
      <c r="F8467" s="8" t="str">
        <f>HYPERLINK("https://esbl.nhlbi.nih.gov/Databases/mpkFractions/proteomic_fractions_log_files/Yang_log_img/90669983.jpg","show blot")</f>
        <v>show blot</v>
      </c>
      <c r="H8467" s="8" t="str">
        <f>HYPERLINK("https://esbl.nhlbi.nih.gov/Databases/mpkFractions/proteomic_fractions_linear_files/Yang_linear_img/90669983.jpg","show blot")</f>
        <v>show blot</v>
      </c>
      <c r="J8467" s="5" t="s">
        <v>16681</v>
      </c>
      <c r="L8467" s="11">
        <v>3.82487520182231</v>
      </c>
      <c r="N8467" s="12"/>
    </row>
    <row r="8468" spans="1:14" s="5" customFormat="1" ht="15" customHeight="1" x14ac:dyDescent="0.25">
      <c r="A8468" s="9" t="s">
        <v>16682</v>
      </c>
      <c r="C8468" s="9" t="str">
        <f>HYPERLINK("http://www.ncbi.nlm.nih.gov/protein/13195658","Zfpl1")</f>
        <v>Zfpl1</v>
      </c>
      <c r="D8468" s="10">
        <f t="shared" si="132"/>
        <v>4.6170673602906147</v>
      </c>
      <c r="F8468" s="8" t="str">
        <f>HYPERLINK("https://esbl.nhlbi.nih.gov/Databases/mpkFractions/proteomic_fractions_log_files/Yang_log_img/13195658.jpg","show blot")</f>
        <v>show blot</v>
      </c>
      <c r="H8468" s="8" t="str">
        <f>HYPERLINK("https://esbl.nhlbi.nih.gov/Databases/mpkFractions/proteomic_fractions_linear_files/Yang_linear_img/13195658.jpg","show blot")</f>
        <v>show blot</v>
      </c>
      <c r="J8468" s="5" t="s">
        <v>16683</v>
      </c>
      <c r="L8468" s="11">
        <v>4.6170673602906147</v>
      </c>
      <c r="N8468" s="12"/>
    </row>
    <row r="8469" spans="1:14" s="5" customFormat="1" ht="15" customHeight="1" x14ac:dyDescent="0.25">
      <c r="A8469" s="9" t="s">
        <v>16684</v>
      </c>
      <c r="C8469" s="9" t="str">
        <f>HYPERLINK("http://www.ncbi.nlm.nih.gov/protein/168480106","Zfr")</f>
        <v>Zfr</v>
      </c>
      <c r="D8469" s="10">
        <f t="shared" si="132"/>
        <v>3.71648576043017</v>
      </c>
      <c r="F8469" s="8" t="str">
        <f>HYPERLINK("https://esbl.nhlbi.nih.gov/Databases/mpkFractions/proteomic_fractions_log_files/Yang_log_img/168480106.jpg","show blot")</f>
        <v>show blot</v>
      </c>
      <c r="H8469" s="8" t="str">
        <f>HYPERLINK("https://esbl.nhlbi.nih.gov/Databases/mpkFractions/proteomic_fractions_linear_files/Yang_linear_img/168480106.jpg","show blot")</f>
        <v>show blot</v>
      </c>
      <c r="J8469" s="5" t="s">
        <v>16685</v>
      </c>
      <c r="L8469" s="11">
        <v>3.71648576043017</v>
      </c>
      <c r="N8469" s="12"/>
    </row>
    <row r="8470" spans="1:14" s="5" customFormat="1" ht="15" customHeight="1" x14ac:dyDescent="0.25">
      <c r="A8470" s="9" t="s">
        <v>16686</v>
      </c>
      <c r="C8470" s="9" t="str">
        <f>HYPERLINK("http://www.ncbi.nlm.nih.gov/protein/110625853","Zfyve1")</f>
        <v>Zfyve1</v>
      </c>
      <c r="D8470" s="10">
        <f t="shared" si="132"/>
        <v>2.8867201607396318</v>
      </c>
      <c r="F8470" s="8" t="str">
        <f>HYPERLINK("https://esbl.nhlbi.nih.gov/Databases/mpkFractions/proteomic_fractions_log_files/Yang_log_img/110625853.jpg","show blot")</f>
        <v>show blot</v>
      </c>
      <c r="H8470" s="8" t="str">
        <f>HYPERLINK("https://esbl.nhlbi.nih.gov/Databases/mpkFractions/proteomic_fractions_linear_files/Yang_linear_img/110625853.jpg","show blot")</f>
        <v>show blot</v>
      </c>
      <c r="J8470" s="5" t="s">
        <v>16687</v>
      </c>
      <c r="L8470" s="11">
        <v>2.8867201607396318</v>
      </c>
      <c r="N8470" s="12"/>
    </row>
    <row r="8471" spans="1:14" s="5" customFormat="1" ht="15" customHeight="1" x14ac:dyDescent="0.25">
      <c r="A8471" s="9" t="s">
        <v>16688</v>
      </c>
      <c r="C8471" s="9" t="str">
        <f>HYPERLINK("http://www.ncbi.nlm.nih.gov/protein/258679475","Zfyve19")</f>
        <v>Zfyve19</v>
      </c>
      <c r="D8471" s="10">
        <f t="shared" si="132"/>
        <v>4.2275858986335093</v>
      </c>
      <c r="F8471" s="8" t="str">
        <f>HYPERLINK("https://esbl.nhlbi.nih.gov/Databases/mpkFractions/proteomic_fractions_log_files/Yang_log_img/258679475.jpg","show blot")</f>
        <v>show blot</v>
      </c>
      <c r="H8471" s="8" t="str">
        <f>HYPERLINK("https://esbl.nhlbi.nih.gov/Databases/mpkFractions/proteomic_fractions_linear_files/Yang_linear_img/258679475.jpg","show blot")</f>
        <v>show blot</v>
      </c>
      <c r="J8471" s="5" t="s">
        <v>16689</v>
      </c>
      <c r="L8471" s="11">
        <v>4.2275858986335093</v>
      </c>
      <c r="N8471" s="12"/>
    </row>
    <row r="8472" spans="1:14" s="5" customFormat="1" ht="15" customHeight="1" x14ac:dyDescent="0.25">
      <c r="A8472" s="9" t="s">
        <v>16690</v>
      </c>
      <c r="C8472" s="9" t="str">
        <f>HYPERLINK("http://www.ncbi.nlm.nih.gov/protein/258679477","Zfyve19")</f>
        <v>Zfyve19</v>
      </c>
      <c r="D8472" s="10">
        <f t="shared" si="132"/>
        <v>4.2275858986335093</v>
      </c>
      <c r="F8472" s="8" t="str">
        <f>HYPERLINK("https://esbl.nhlbi.nih.gov/Databases/mpkFractions/proteomic_fractions_log_files/Yang_log_img/258679477.jpg","show blot")</f>
        <v>show blot</v>
      </c>
      <c r="H8472" s="8" t="str">
        <f>HYPERLINK("https://esbl.nhlbi.nih.gov/Databases/mpkFractions/proteomic_fractions_linear_files/Yang_linear_img/258679477.jpg","show blot")</f>
        <v>show blot</v>
      </c>
      <c r="J8472" s="5" t="s">
        <v>16691</v>
      </c>
      <c r="L8472" s="11">
        <v>4.2275858986335093</v>
      </c>
      <c r="N8472" s="12"/>
    </row>
    <row r="8473" spans="1:14" s="5" customFormat="1" ht="15" customHeight="1" x14ac:dyDescent="0.25">
      <c r="A8473" s="9" t="s">
        <v>16692</v>
      </c>
      <c r="C8473" s="9" t="str">
        <f>HYPERLINK("http://www.ncbi.nlm.nih.gov/protein/31541996","Zfyve20")</f>
        <v>Zfyve20</v>
      </c>
      <c r="D8473" s="10">
        <f t="shared" si="132"/>
        <v>3.2735751358377612</v>
      </c>
      <c r="F8473" s="8" t="str">
        <f>HYPERLINK("https://esbl.nhlbi.nih.gov/Databases/mpkFractions/proteomic_fractions_log_files/Yang_log_img/31541996.jpg","show blot")</f>
        <v>show blot</v>
      </c>
      <c r="H8473" s="8" t="str">
        <f>HYPERLINK("https://esbl.nhlbi.nih.gov/Databases/mpkFractions/proteomic_fractions_linear_files/Yang_linear_img/31541996.jpg","show blot")</f>
        <v>show blot</v>
      </c>
      <c r="J8473" s="5" t="s">
        <v>16693</v>
      </c>
      <c r="L8473" s="11">
        <v>3.2735751358377612</v>
      </c>
      <c r="N8473" s="12"/>
    </row>
    <row r="8474" spans="1:14" s="5" customFormat="1" ht="15" customHeight="1" x14ac:dyDescent="0.25">
      <c r="A8474" s="9" t="s">
        <v>16694</v>
      </c>
      <c r="C8474" s="9" t="str">
        <f>HYPERLINK("http://www.ncbi.nlm.nih.gov/protein/112818584","Zfyve26")</f>
        <v>Zfyve26</v>
      </c>
      <c r="D8474" s="10">
        <f t="shared" si="132"/>
        <v>1.9999079136692519</v>
      </c>
      <c r="F8474" s="8" t="str">
        <f>HYPERLINK("https://esbl.nhlbi.nih.gov/Databases/mpkFractions/proteomic_fractions_log_files/Yang_log_img/112818584.jpg","show blot")</f>
        <v>show blot</v>
      </c>
      <c r="H8474" s="8" t="str">
        <f>HYPERLINK("https://esbl.nhlbi.nih.gov/Databases/mpkFractions/proteomic_fractions_linear_files/Yang_linear_img/112818584.jpg","show blot")</f>
        <v>show blot</v>
      </c>
      <c r="J8474" s="5" t="s">
        <v>16695</v>
      </c>
      <c r="L8474" s="11">
        <v>1.9999079136692519</v>
      </c>
      <c r="N8474" s="12"/>
    </row>
    <row r="8475" spans="1:14" s="5" customFormat="1" ht="15" customHeight="1" x14ac:dyDescent="0.25">
      <c r="A8475" s="9" t="s">
        <v>16696</v>
      </c>
      <c r="C8475" s="9" t="str">
        <f>HYPERLINK("http://www.ncbi.nlm.nih.gov/protein/40254321","Zhx3")</f>
        <v>Zhx3</v>
      </c>
      <c r="D8475" s="10">
        <f t="shared" si="132"/>
        <v>3.5739364716592559</v>
      </c>
      <c r="F8475" s="8" t="str">
        <f>HYPERLINK("https://esbl.nhlbi.nih.gov/Databases/mpkFractions/proteomic_fractions_log_files/Yang_log_img/40254321.jpg","show blot")</f>
        <v>show blot</v>
      </c>
      <c r="H8475" s="8" t="str">
        <f>HYPERLINK("https://esbl.nhlbi.nih.gov/Databases/mpkFractions/proteomic_fractions_linear_files/Yang_linear_img/40254321.jpg","show blot")</f>
        <v>show blot</v>
      </c>
      <c r="J8475" s="5" t="s">
        <v>16697</v>
      </c>
      <c r="L8475" s="11">
        <v>3.5739364716592559</v>
      </c>
      <c r="N8475" s="12"/>
    </row>
    <row r="8476" spans="1:14" s="5" customFormat="1" ht="15" customHeight="1" x14ac:dyDescent="0.25">
      <c r="A8476" s="9" t="s">
        <v>16698</v>
      </c>
      <c r="C8476" s="9" t="str">
        <f>HYPERLINK("http://www.ncbi.nlm.nih.gov/protein/41053864","Zmiz1")</f>
        <v>Zmiz1</v>
      </c>
      <c r="D8476" s="10">
        <f t="shared" si="132"/>
        <v>4.3479031040662406</v>
      </c>
      <c r="F8476" s="8" t="str">
        <f>HYPERLINK("https://esbl.nhlbi.nih.gov/Databases/mpkFractions/proteomic_fractions_log_files/Yang_log_img/41053864.jpg","show blot")</f>
        <v>show blot</v>
      </c>
      <c r="H8476" s="8" t="str">
        <f>HYPERLINK("https://esbl.nhlbi.nih.gov/Databases/mpkFractions/proteomic_fractions_linear_files/Yang_linear_img/41053864.jpg","show blot")</f>
        <v>show blot</v>
      </c>
      <c r="J8476" s="5" t="s">
        <v>16699</v>
      </c>
      <c r="L8476" s="11">
        <v>4.3479031040662406</v>
      </c>
      <c r="N8476" s="12"/>
    </row>
    <row r="8477" spans="1:14" s="5" customFormat="1" ht="15" customHeight="1" x14ac:dyDescent="0.25">
      <c r="A8477" s="9" t="s">
        <v>16700</v>
      </c>
      <c r="C8477" s="9" t="str">
        <f>HYPERLINK("http://www.ncbi.nlm.nih.gov/protein/27370012","Zmpste24")</f>
        <v>Zmpste24</v>
      </c>
      <c r="D8477" s="10">
        <f t="shared" si="132"/>
        <v>3.5058599627727589</v>
      </c>
      <c r="F8477" s="8" t="str">
        <f>HYPERLINK("https://esbl.nhlbi.nih.gov/Databases/mpkFractions/proteomic_fractions_log_files/Yang_log_img/27370012.jpg","show blot")</f>
        <v>show blot</v>
      </c>
      <c r="H8477" s="8" t="str">
        <f>HYPERLINK("https://esbl.nhlbi.nih.gov/Databases/mpkFractions/proteomic_fractions_linear_files/Yang_linear_img/27370012.jpg","show blot")</f>
        <v>show blot</v>
      </c>
      <c r="J8477" s="5" t="s">
        <v>16701</v>
      </c>
      <c r="L8477" s="11">
        <v>3.5058599627727589</v>
      </c>
      <c r="N8477" s="12"/>
    </row>
    <row r="8478" spans="1:14" s="5" customFormat="1" ht="15" customHeight="1" x14ac:dyDescent="0.25">
      <c r="A8478" s="9" t="s">
        <v>16702</v>
      </c>
      <c r="C8478" s="9" t="str">
        <f>HYPERLINK("http://www.ncbi.nlm.nih.gov/protein/37595742","Zmym2")</f>
        <v>Zmym2</v>
      </c>
      <c r="D8478" s="10">
        <f t="shared" si="132"/>
        <v>2.8427467345147179</v>
      </c>
      <c r="F8478" s="8" t="str">
        <f>HYPERLINK("https://esbl.nhlbi.nih.gov/Databases/mpkFractions/proteomic_fractions_log_files/Yang_log_img/37595742.jpg","show blot")</f>
        <v>show blot</v>
      </c>
      <c r="H8478" s="8" t="str">
        <f>HYPERLINK("https://esbl.nhlbi.nih.gov/Databases/mpkFractions/proteomic_fractions_linear_files/Yang_linear_img/37595742.jpg","show blot")</f>
        <v>show blot</v>
      </c>
      <c r="J8478" s="5" t="s">
        <v>16703</v>
      </c>
      <c r="L8478" s="11">
        <v>2.8427467345147179</v>
      </c>
      <c r="N8478" s="12"/>
    </row>
    <row r="8479" spans="1:14" s="5" customFormat="1" ht="15" customHeight="1" x14ac:dyDescent="0.25">
      <c r="A8479" s="9" t="s">
        <v>16704</v>
      </c>
      <c r="C8479" s="9" t="str">
        <f>HYPERLINK("http://www.ncbi.nlm.nih.gov/protein/359279940","Zmym5")</f>
        <v>Zmym5</v>
      </c>
      <c r="D8479" s="10">
        <f t="shared" si="132"/>
        <v>3.4146014580765471</v>
      </c>
      <c r="F8479" s="8" t="str">
        <f>HYPERLINK("https://esbl.nhlbi.nih.gov/Databases/mpkFractions/proteomic_fractions_log_files/Yang_log_img/359279940.jpg","show blot")</f>
        <v>show blot</v>
      </c>
      <c r="H8479" s="8" t="str">
        <f>HYPERLINK("https://esbl.nhlbi.nih.gov/Databases/mpkFractions/proteomic_fractions_linear_files/Yang_linear_img/359279940.jpg","show blot")</f>
        <v>show blot</v>
      </c>
      <c r="J8479" s="5" t="s">
        <v>16705</v>
      </c>
      <c r="L8479" s="11">
        <v>3.4146014580765471</v>
      </c>
      <c r="N8479" s="12"/>
    </row>
    <row r="8480" spans="1:14" s="5" customFormat="1" ht="15" customHeight="1" x14ac:dyDescent="0.25">
      <c r="A8480" s="9" t="s">
        <v>16706</v>
      </c>
      <c r="C8480" s="9" t="str">
        <f>HYPERLINK("http://www.ncbi.nlm.nih.gov/protein/124487311","Znfx1")</f>
        <v>Znfx1</v>
      </c>
      <c r="D8480" s="10">
        <f t="shared" si="132"/>
        <v>3.1638187337800718</v>
      </c>
      <c r="F8480" s="8" t="str">
        <f>HYPERLINK("https://esbl.nhlbi.nih.gov/Databases/mpkFractions/proteomic_fractions_log_files/Yang_log_img/124487311.jpg","show blot")</f>
        <v>show blot</v>
      </c>
      <c r="H8480" s="8" t="str">
        <f>HYPERLINK("https://esbl.nhlbi.nih.gov/Databases/mpkFractions/proteomic_fractions_linear_files/Yang_linear_img/124487311.jpg","show blot")</f>
        <v>show blot</v>
      </c>
      <c r="J8480" s="5" t="s">
        <v>16707</v>
      </c>
      <c r="L8480" s="11">
        <v>3.1638187337800718</v>
      </c>
      <c r="N8480" s="12"/>
    </row>
    <row r="8481" spans="1:14" s="5" customFormat="1" ht="15" customHeight="1" x14ac:dyDescent="0.25">
      <c r="A8481" s="9" t="s">
        <v>16708</v>
      </c>
      <c r="C8481" s="9" t="str">
        <f>HYPERLINK("http://www.ncbi.nlm.nih.gov/protein/124487366","Znhit6")</f>
        <v>Znhit6</v>
      </c>
      <c r="D8481" s="10">
        <f t="shared" si="132"/>
        <v>3.5747619376231041</v>
      </c>
      <c r="F8481" s="8" t="str">
        <f>HYPERLINK("https://esbl.nhlbi.nih.gov/Databases/mpkFractions/proteomic_fractions_log_files/Yang_log_img/124487366.jpg","show blot")</f>
        <v>show blot</v>
      </c>
      <c r="H8481" s="8" t="str">
        <f>HYPERLINK("https://esbl.nhlbi.nih.gov/Databases/mpkFractions/proteomic_fractions_linear_files/Yang_linear_img/124487366.jpg","show blot")</f>
        <v>show blot</v>
      </c>
      <c r="J8481" s="5" t="s">
        <v>16709</v>
      </c>
      <c r="L8481" s="11">
        <v>3.5747619376231041</v>
      </c>
      <c r="N8481" s="12"/>
    </row>
    <row r="8482" spans="1:14" s="5" customFormat="1" ht="15" customHeight="1" x14ac:dyDescent="0.25">
      <c r="A8482" s="9" t="s">
        <v>16710</v>
      </c>
      <c r="C8482" s="9" t="str">
        <f>HYPERLINK("http://www.ncbi.nlm.nih.gov/protein/74315981","Zranb2")</f>
        <v>Zranb2</v>
      </c>
      <c r="D8482" s="10">
        <f t="shared" si="132"/>
        <v>5.3162324371122978</v>
      </c>
      <c r="F8482" s="8" t="str">
        <f>HYPERLINK("https://esbl.nhlbi.nih.gov/Databases/mpkFractions/proteomic_fractions_log_files/Yang_log_img/74315981.jpg","show blot")</f>
        <v>show blot</v>
      </c>
      <c r="H8482" s="8" t="str">
        <f>HYPERLINK("https://esbl.nhlbi.nih.gov/Databases/mpkFractions/proteomic_fractions_linear_files/Yang_linear_img/74315981.jpg","show blot")</f>
        <v>show blot</v>
      </c>
      <c r="J8482" s="5" t="s">
        <v>16711</v>
      </c>
      <c r="L8482" s="11">
        <v>5.3162324371122978</v>
      </c>
      <c r="N8482" s="12"/>
    </row>
    <row r="8483" spans="1:14" s="5" customFormat="1" ht="15" customHeight="1" x14ac:dyDescent="0.25">
      <c r="A8483" s="9" t="s">
        <v>16712</v>
      </c>
      <c r="C8483" s="9" t="str">
        <f>HYPERLINK("http://www.ncbi.nlm.nih.gov/protein/124430705","Zranb3")</f>
        <v>Zranb3</v>
      </c>
      <c r="D8483" s="10">
        <f t="shared" si="132"/>
        <v>0.69681112094137454</v>
      </c>
      <c r="F8483" s="8" t="str">
        <f>HYPERLINK("https://esbl.nhlbi.nih.gov/Databases/mpkFractions/proteomic_fractions_log_files/Yang_log_img/124430705.jpg","show blot")</f>
        <v>show blot</v>
      </c>
      <c r="H8483" s="8" t="str">
        <f>HYPERLINK("https://esbl.nhlbi.nih.gov/Databases/mpkFractions/proteomic_fractions_linear_files/Yang_linear_img/124430705.jpg","show blot")</f>
        <v>show blot</v>
      </c>
      <c r="J8483" s="5" t="s">
        <v>16713</v>
      </c>
      <c r="L8483" s="11">
        <v>0.69681112094137454</v>
      </c>
      <c r="N8483" s="12"/>
    </row>
    <row r="8484" spans="1:14" s="5" customFormat="1" ht="15" customHeight="1" x14ac:dyDescent="0.25">
      <c r="A8484" s="9" t="s">
        <v>16714</v>
      </c>
      <c r="C8484" s="9" t="str">
        <f>HYPERLINK("http://www.ncbi.nlm.nih.gov/protein/124430709","Zswim8")</f>
        <v>Zswim8</v>
      </c>
      <c r="D8484" s="10">
        <f t="shared" si="132"/>
        <v>0.97116043696971321</v>
      </c>
      <c r="F8484" s="8" t="str">
        <f>HYPERLINK("https://esbl.nhlbi.nih.gov/Databases/mpkFractions/proteomic_fractions_log_files/Yang_log_img/124430709.jpg","show blot")</f>
        <v>show blot</v>
      </c>
      <c r="H8484" s="8" t="str">
        <f>HYPERLINK("https://esbl.nhlbi.nih.gov/Databases/mpkFractions/proteomic_fractions_linear_files/Yang_linear_img/124430709.jpg","show blot")</f>
        <v>show blot</v>
      </c>
      <c r="J8484" s="5" t="s">
        <v>16715</v>
      </c>
      <c r="L8484" s="11">
        <v>0.97116043696971321</v>
      </c>
      <c r="N8484" s="12"/>
    </row>
    <row r="8485" spans="1:14" s="5" customFormat="1" ht="15" customHeight="1" x14ac:dyDescent="0.25">
      <c r="A8485" s="9" t="s">
        <v>16716</v>
      </c>
      <c r="C8485" s="9" t="str">
        <f>HYPERLINK("http://www.ncbi.nlm.nih.gov/protein/355390253","Zswim8")</f>
        <v>Zswim8</v>
      </c>
      <c r="D8485" s="10">
        <f t="shared" si="132"/>
        <v>0.97116043696971321</v>
      </c>
      <c r="F8485" s="8" t="str">
        <f>HYPERLINK("https://esbl.nhlbi.nih.gov/Databases/mpkFractions/proteomic_fractions_log_files/Yang_log_img/355390253.jpg","show blot")</f>
        <v>show blot</v>
      </c>
      <c r="H8485" s="8" t="str">
        <f>HYPERLINK("https://esbl.nhlbi.nih.gov/Databases/mpkFractions/proteomic_fractions_linear_files/Yang_linear_img/355390253.jpg","show blot")</f>
        <v>show blot</v>
      </c>
      <c r="J8485" s="5" t="s">
        <v>16717</v>
      </c>
      <c r="L8485" s="11">
        <v>0.97116043696971321</v>
      </c>
      <c r="N8485" s="12"/>
    </row>
    <row r="8486" spans="1:14" s="5" customFormat="1" ht="15" customHeight="1" x14ac:dyDescent="0.25">
      <c r="A8486" s="9" t="s">
        <v>16718</v>
      </c>
      <c r="C8486" s="9" t="str">
        <f>HYPERLINK("http://www.ncbi.nlm.nih.gov/protein/355390255","Zswim8")</f>
        <v>Zswim8</v>
      </c>
      <c r="D8486" s="10">
        <f t="shared" si="132"/>
        <v>0.97116043696971321</v>
      </c>
      <c r="F8486" s="8" t="str">
        <f>HYPERLINK("https://esbl.nhlbi.nih.gov/Databases/mpkFractions/proteomic_fractions_log_files/Yang_log_img/355390255.jpg","show blot")</f>
        <v>show blot</v>
      </c>
      <c r="H8486" s="8" t="str">
        <f>HYPERLINK("https://esbl.nhlbi.nih.gov/Databases/mpkFractions/proteomic_fractions_linear_files/Yang_linear_img/355390255.jpg","show blot")</f>
        <v>show blot</v>
      </c>
      <c r="J8486" s="5" t="s">
        <v>16719</v>
      </c>
      <c r="L8486" s="11">
        <v>0.97116043696971321</v>
      </c>
      <c r="N8486" s="12"/>
    </row>
    <row r="8487" spans="1:14" s="5" customFormat="1" ht="15" customHeight="1" x14ac:dyDescent="0.25">
      <c r="A8487" s="9" t="s">
        <v>16720</v>
      </c>
      <c r="C8487" s="9" t="str">
        <f>HYPERLINK("http://www.ncbi.nlm.nih.gov/protein/22165349","Zw10")</f>
        <v>Zw10</v>
      </c>
      <c r="D8487" s="10">
        <f t="shared" si="132"/>
        <v>3.876569720440874</v>
      </c>
      <c r="F8487" s="8" t="str">
        <f>HYPERLINK("https://esbl.nhlbi.nih.gov/Databases/mpkFractions/proteomic_fractions_log_files/Yang_log_img/22165349.jpg","show blot")</f>
        <v>show blot</v>
      </c>
      <c r="H8487" s="8" t="str">
        <f>HYPERLINK("https://esbl.nhlbi.nih.gov/Databases/mpkFractions/proteomic_fractions_linear_files/Yang_linear_img/22165349.jpg","show blot")</f>
        <v>show blot</v>
      </c>
      <c r="J8487" s="5" t="s">
        <v>16721</v>
      </c>
      <c r="L8487" s="11">
        <v>3.876569720440874</v>
      </c>
      <c r="N8487" s="12"/>
    </row>
    <row r="8488" spans="1:14" s="5" customFormat="1" ht="15" customHeight="1" x14ac:dyDescent="0.25">
      <c r="A8488" s="9" t="s">
        <v>16722</v>
      </c>
      <c r="C8488" s="9" t="str">
        <f>HYPERLINK("http://www.ncbi.nlm.nih.gov/protein/257153357","Zwilch")</f>
        <v>Zwilch</v>
      </c>
      <c r="D8488" s="10">
        <f t="shared" si="132"/>
        <v>4.3027477192170176</v>
      </c>
      <c r="F8488" s="8" t="str">
        <f>HYPERLINK("https://esbl.nhlbi.nih.gov/Databases/mpkFractions/proteomic_fractions_log_files/Yang_log_img/257153357.jpg","show blot")</f>
        <v>show blot</v>
      </c>
      <c r="H8488" s="8" t="str">
        <f>HYPERLINK("https://esbl.nhlbi.nih.gov/Databases/mpkFractions/proteomic_fractions_linear_files/Yang_linear_img/257153357.jpg","show blot")</f>
        <v>show blot</v>
      </c>
      <c r="J8488" s="5" t="s">
        <v>16723</v>
      </c>
      <c r="L8488" s="11">
        <v>4.3027477192170176</v>
      </c>
      <c r="N8488" s="12"/>
    </row>
    <row r="8489" spans="1:14" s="5" customFormat="1" ht="15" customHeight="1" x14ac:dyDescent="0.25">
      <c r="A8489" s="9" t="s">
        <v>16724</v>
      </c>
      <c r="C8489" s="9" t="str">
        <f>HYPERLINK("http://www.ncbi.nlm.nih.gov/protein/21326440","Zwint")</f>
        <v>Zwint</v>
      </c>
      <c r="D8489" s="10">
        <f t="shared" si="132"/>
        <v>4.2744227549115097</v>
      </c>
      <c r="F8489" s="8" t="str">
        <f>HYPERLINK("https://esbl.nhlbi.nih.gov/Databases/mpkFractions/proteomic_fractions_log_files/Yang_log_img/21326440.jpg","show blot")</f>
        <v>show blot</v>
      </c>
      <c r="H8489" s="8" t="str">
        <f>HYPERLINK("https://esbl.nhlbi.nih.gov/Databases/mpkFractions/proteomic_fractions_linear_files/Yang_linear_img/21326440.jpg","show blot")</f>
        <v>show blot</v>
      </c>
      <c r="J8489" s="5" t="s">
        <v>16725</v>
      </c>
      <c r="L8489" s="11">
        <v>4.2744227549115097</v>
      </c>
      <c r="N8489" s="12"/>
    </row>
    <row r="8490" spans="1:14" s="5" customFormat="1" ht="15" customHeight="1" x14ac:dyDescent="0.25">
      <c r="A8490" s="9" t="s">
        <v>16726</v>
      </c>
      <c r="C8490" s="9" t="str">
        <f>HYPERLINK("http://www.ncbi.nlm.nih.gov/protein/125490365","Zxdb")</f>
        <v>Zxdb</v>
      </c>
      <c r="D8490" s="10">
        <f t="shared" si="132"/>
        <v>4.4581185838538353</v>
      </c>
      <c r="F8490" s="8" t="str">
        <f>HYPERLINK("https://esbl.nhlbi.nih.gov/Databases/mpkFractions/proteomic_fractions_log_files/Yang_log_img/125490365.jpg","show blot")</f>
        <v>show blot</v>
      </c>
      <c r="H8490" s="8" t="str">
        <f>HYPERLINK("https://esbl.nhlbi.nih.gov/Databases/mpkFractions/proteomic_fractions_linear_files/Yang_linear_img/125490365.jpg","show blot")</f>
        <v>show blot</v>
      </c>
      <c r="J8490" s="5" t="s">
        <v>16727</v>
      </c>
      <c r="L8490" s="11">
        <v>4.4581185838538353</v>
      </c>
      <c r="N8490" s="12"/>
    </row>
    <row r="8491" spans="1:14" s="5" customFormat="1" ht="15" customHeight="1" x14ac:dyDescent="0.25">
      <c r="A8491" s="9" t="s">
        <v>16728</v>
      </c>
      <c r="C8491" s="9" t="str">
        <f>HYPERLINK("http://www.ncbi.nlm.nih.gov/protein/158937319","Zxdc")</f>
        <v>Zxdc</v>
      </c>
      <c r="D8491" s="10">
        <f t="shared" si="132"/>
        <v>4.5315475010123683</v>
      </c>
      <c r="F8491" s="8" t="str">
        <f>HYPERLINK("https://esbl.nhlbi.nih.gov/Databases/mpkFractions/proteomic_fractions_log_files/Yang_log_img/158937319.jpg","show blot")</f>
        <v>show blot</v>
      </c>
      <c r="H8491" s="8" t="str">
        <f>HYPERLINK("https://esbl.nhlbi.nih.gov/Databases/mpkFractions/proteomic_fractions_linear_files/Yang_linear_img/158937319.jpg","show blot")</f>
        <v>show blot</v>
      </c>
      <c r="J8491" s="5" t="s">
        <v>16729</v>
      </c>
      <c r="L8491" s="11">
        <v>4.5315475010123683</v>
      </c>
      <c r="N8491" s="12"/>
    </row>
    <row r="8492" spans="1:14" s="5" customFormat="1" ht="15" customHeight="1" x14ac:dyDescent="0.25">
      <c r="A8492" s="9" t="s">
        <v>16730</v>
      </c>
      <c r="C8492" s="9" t="str">
        <f>HYPERLINK("http://www.ncbi.nlm.nih.gov/protein/27370506","Zxdc")</f>
        <v>Zxdc</v>
      </c>
      <c r="D8492" s="10">
        <f t="shared" si="132"/>
        <v>4.5315475010123683</v>
      </c>
      <c r="F8492" s="8" t="str">
        <f>HYPERLINK("https://esbl.nhlbi.nih.gov/Databases/mpkFractions/proteomic_fractions_log_files/Yang_log_img/27370506.jpg","show blot")</f>
        <v>show blot</v>
      </c>
      <c r="H8492" s="8" t="str">
        <f>HYPERLINK("https://esbl.nhlbi.nih.gov/Databases/mpkFractions/proteomic_fractions_linear_files/Yang_linear_img/27370506.jpg","show blot")</f>
        <v>show blot</v>
      </c>
      <c r="J8492" s="5" t="s">
        <v>16731</v>
      </c>
      <c r="L8492" s="11">
        <v>4.5315475010123683</v>
      </c>
      <c r="N8492" s="12"/>
    </row>
    <row r="8493" spans="1:14" s="5" customFormat="1" ht="15" customHeight="1" x14ac:dyDescent="0.25">
      <c r="A8493" s="9" t="s">
        <v>16732</v>
      </c>
      <c r="C8493" s="9" t="str">
        <f>HYPERLINK("http://www.ncbi.nlm.nih.gov/protein/6756085","Zyx")</f>
        <v>Zyx</v>
      </c>
      <c r="D8493" s="10">
        <f t="shared" si="132"/>
        <v>4.9944233578659558</v>
      </c>
      <c r="F8493" s="8" t="str">
        <f>HYPERLINK("https://esbl.nhlbi.nih.gov/Databases/mpkFractions/proteomic_fractions_log_files/Yang_log_img/6756085.jpg","show blot")</f>
        <v>show blot</v>
      </c>
      <c r="H8493" s="8" t="str">
        <f>HYPERLINK("https://esbl.nhlbi.nih.gov/Databases/mpkFractions/proteomic_fractions_linear_files/Yang_linear_img/6756085.jpg","show blot")</f>
        <v>show blot</v>
      </c>
      <c r="J8493" s="5" t="s">
        <v>16733</v>
      </c>
      <c r="L8493" s="11">
        <v>4.9944233578659558</v>
      </c>
      <c r="N8493" s="12"/>
    </row>
    <row r="8494" spans="1:14" s="5" customFormat="1" ht="15" customHeight="1" x14ac:dyDescent="0.25">
      <c r="A8494" s="9" t="s">
        <v>16734</v>
      </c>
      <c r="C8494" s="9" t="str">
        <f>HYPERLINK("http://www.ncbi.nlm.nih.gov/protein/113865905","Zzef1")</f>
        <v>Zzef1</v>
      </c>
      <c r="D8494" s="10">
        <f t="shared" si="132"/>
        <v>3.4860180608762348</v>
      </c>
      <c r="F8494" s="8" t="str">
        <f>HYPERLINK("https://esbl.nhlbi.nih.gov/Databases/mpkFractions/proteomic_fractions_log_files/Yang_log_img/113865905.jpg","show blot")</f>
        <v>show blot</v>
      </c>
      <c r="H8494" s="8" t="str">
        <f>HYPERLINK("https://esbl.nhlbi.nih.gov/Databases/mpkFractions/proteomic_fractions_linear_files/Yang_linear_img/113865905.jpg","show blot")</f>
        <v>show blot</v>
      </c>
      <c r="J8494" s="5" t="s">
        <v>16735</v>
      </c>
      <c r="L8494" s="11">
        <v>3.4860180608762348</v>
      </c>
      <c r="N8494" s="12"/>
    </row>
    <row r="8495" spans="1:14" s="5" customFormat="1" ht="15" customHeight="1" x14ac:dyDescent="0.25">
      <c r="A8495" s="9" t="s">
        <v>16736</v>
      </c>
      <c r="C8495" s="9" t="str">
        <f>HYPERLINK("http://www.ncbi.nlm.nih.gov/protein/126090572","A230046K03Rik")</f>
        <v>A230046K03Rik</v>
      </c>
      <c r="D8495" s="10">
        <f t="shared" si="132"/>
        <v>4.3327835087473012</v>
      </c>
      <c r="F8495" s="8" t="str">
        <f>HYPERLINK("https://esbl.nhlbi.nih.gov/Databases/mpkFractions/proteomic_fractions_log_files/Yang_log_img/126090572.jpg","show blot")</f>
        <v>show blot</v>
      </c>
      <c r="H8495" s="8" t="str">
        <f>HYPERLINK("https://esbl.nhlbi.nih.gov/Databases/mpkFractions/proteomic_fractions_linear_files/Yang_linear_img/126090572.jpg","show blot")</f>
        <v>show blot</v>
      </c>
      <c r="J8495" s="5" t="s">
        <v>16737</v>
      </c>
      <c r="L8495" s="11">
        <v>4.3327835087473012</v>
      </c>
      <c r="N8495" s="12"/>
    </row>
    <row r="8496" spans="1:14" s="5" customFormat="1" ht="15" customHeight="1" x14ac:dyDescent="0.25">
      <c r="A8496" s="9" t="s">
        <v>16738</v>
      </c>
      <c r="C8496" s="9" t="str">
        <f>HYPERLINK("http://www.ncbi.nlm.nih.gov/protein/25072201","A630007B06Rik")</f>
        <v>A630007B06Rik</v>
      </c>
      <c r="D8496" s="10">
        <f t="shared" si="132"/>
        <v>4.2329648542662701</v>
      </c>
      <c r="F8496" s="8" t="str">
        <f>HYPERLINK("https://esbl.nhlbi.nih.gov/Databases/mpkFractions/proteomic_fractions_log_files/Yang_log_img/25072201.jpg","show blot")</f>
        <v>show blot</v>
      </c>
      <c r="H8496" s="8" t="str">
        <f>HYPERLINK("https://esbl.nhlbi.nih.gov/Databases/mpkFractions/proteomic_fractions_linear_files/Yang_linear_img/25072201.jpg","show blot")</f>
        <v>show blot</v>
      </c>
      <c r="J8496" s="5" t="s">
        <v>16739</v>
      </c>
      <c r="L8496" s="11">
        <v>4.2329648542662701</v>
      </c>
      <c r="N8496" s="12"/>
    </row>
    <row r="8497" spans="1:14" s="5" customFormat="1" ht="15" customHeight="1" x14ac:dyDescent="0.25">
      <c r="A8497" s="9" t="s">
        <v>16740</v>
      </c>
      <c r="C8497" s="9" t="str">
        <f>HYPERLINK("http://www.ncbi.nlm.nih.gov/protein/440546392","AA414768")</f>
        <v>AA414768</v>
      </c>
      <c r="D8497" s="10">
        <f t="shared" si="132"/>
        <v>4.120844398437753</v>
      </c>
      <c r="F8497" s="8" t="str">
        <f>HYPERLINK("https://esbl.nhlbi.nih.gov/Databases/mpkFractions/proteomic_fractions_log_files/Yang_log_img/440546392.jpg","show blot")</f>
        <v>show blot</v>
      </c>
      <c r="H8497" s="8" t="str">
        <f>HYPERLINK("https://esbl.nhlbi.nih.gov/Databases/mpkFractions/proteomic_fractions_linear_files/Yang_linear_img/440546392.jpg","show blot")</f>
        <v>show blot</v>
      </c>
      <c r="J8497" s="5" t="s">
        <v>16741</v>
      </c>
      <c r="L8497" s="11">
        <v>4.120844398437753</v>
      </c>
      <c r="N8497" s="12"/>
    </row>
    <row r="8498" spans="1:14" s="5" customFormat="1" ht="15" customHeight="1" x14ac:dyDescent="0.25">
      <c r="A8498" s="9" t="s">
        <v>16742</v>
      </c>
      <c r="C8498" s="9" t="str">
        <f>HYPERLINK("http://www.ncbi.nlm.nih.gov/protein/162417980","AA986860")</f>
        <v>AA986860</v>
      </c>
      <c r="D8498" s="10">
        <f t="shared" si="132"/>
        <v>3.5515794787524189</v>
      </c>
      <c r="F8498" s="8" t="str">
        <f>HYPERLINK("https://esbl.nhlbi.nih.gov/Databases/mpkFractions/proteomic_fractions_log_files/Yang_log_img/162417980.jpg","show blot")</f>
        <v>show blot</v>
      </c>
      <c r="H8498" s="8" t="str">
        <f>HYPERLINK("https://esbl.nhlbi.nih.gov/Databases/mpkFractions/proteomic_fractions_linear_files/Yang_linear_img/162417980.jpg","show blot")</f>
        <v>show blot</v>
      </c>
      <c r="J8498" s="5" t="s">
        <v>16743</v>
      </c>
      <c r="L8498" s="11">
        <v>3.5515794787524189</v>
      </c>
      <c r="N8498" s="12"/>
    </row>
    <row r="8499" spans="1:14" s="5" customFormat="1" ht="15" customHeight="1" x14ac:dyDescent="0.25">
      <c r="A8499" s="9" t="s">
        <v>16744</v>
      </c>
      <c r="C8499" s="9" t="str">
        <f>HYPERLINK("http://www.ncbi.nlm.nih.gov/protein/10946822","0610007P14Rik")</f>
        <v>0610007P14Rik</v>
      </c>
      <c r="D8499" s="10">
        <f t="shared" si="132"/>
        <v>5.0635573416636754</v>
      </c>
      <c r="F8499" s="8" t="str">
        <f>HYPERLINK("https://esbl.nhlbi.nih.gov/Databases/mpkFractions/proteomic_fractions_log_files/Yang_log_img/10946822.jpg","show blot")</f>
        <v>show blot</v>
      </c>
      <c r="H8499" s="8" t="str">
        <f>HYPERLINK("https://esbl.nhlbi.nih.gov/Databases/mpkFractions/proteomic_fractions_linear_files/Yang_linear_img/10946822.jpg","show blot")</f>
        <v>show blot</v>
      </c>
      <c r="J8499" s="5" t="s">
        <v>16745</v>
      </c>
      <c r="L8499" s="11">
        <v>5.0635573416636754</v>
      </c>
      <c r="N8499" s="12"/>
    </row>
    <row r="8500" spans="1:14" s="5" customFormat="1" ht="15" customHeight="1" x14ac:dyDescent="0.25">
      <c r="A8500" s="9" t="s">
        <v>16746</v>
      </c>
      <c r="C8500" s="9" t="str">
        <f>HYPERLINK("http://www.ncbi.nlm.nih.gov/protein/13384686","0610009B22Rik")</f>
        <v>0610009B22Rik</v>
      </c>
      <c r="D8500" s="10">
        <f t="shared" si="132"/>
        <v>4.9445919524107147</v>
      </c>
      <c r="F8500" s="8" t="str">
        <f>HYPERLINK("https://esbl.nhlbi.nih.gov/Databases/mpkFractions/proteomic_fractions_log_files/Yang_log_img/13384686.jpg","show blot")</f>
        <v>show blot</v>
      </c>
      <c r="H8500" s="8" t="str">
        <f>HYPERLINK("https://esbl.nhlbi.nih.gov/Databases/mpkFractions/proteomic_fractions_linear_files/Yang_linear_img/13384686.jpg","show blot")</f>
        <v>show blot</v>
      </c>
      <c r="J8500" s="5" t="s">
        <v>16747</v>
      </c>
      <c r="L8500" s="11">
        <v>4.9445919524107147</v>
      </c>
      <c r="N8500" s="12"/>
    </row>
    <row r="8501" spans="1:14" s="5" customFormat="1" ht="15" customHeight="1" x14ac:dyDescent="0.25">
      <c r="A8501" s="9" t="s">
        <v>16748</v>
      </c>
      <c r="C8501" s="9" t="str">
        <f>HYPERLINK("http://www.ncbi.nlm.nih.gov/protein/13384692","0610009D07Rik")</f>
        <v>0610009D07Rik</v>
      </c>
      <c r="D8501" s="10" t="str">
        <f t="shared" si="132"/>
        <v>-</v>
      </c>
      <c r="F8501" s="8" t="str">
        <f>HYPERLINK("https://esbl.nhlbi.nih.gov/Databases/mpkFractions/proteomic_fractions_log_files/Yang_log_img/13384692.jpg","show blot")</f>
        <v>show blot</v>
      </c>
      <c r="H8501" s="8" t="str">
        <f>HYPERLINK("https://esbl.nhlbi.nih.gov/Databases/mpkFractions/proteomic_fractions_linear_files/Yang_linear_img/13384692.jpg","show blot")</f>
        <v>show blot</v>
      </c>
      <c r="J8501" s="5" t="s">
        <v>16749</v>
      </c>
      <c r="L8501" s="13" t="s">
        <v>389</v>
      </c>
      <c r="N8501" s="12"/>
    </row>
    <row r="8502" spans="1:14" s="5" customFormat="1" ht="15" customHeight="1" x14ac:dyDescent="0.25">
      <c r="A8502" s="9" t="s">
        <v>16750</v>
      </c>
      <c r="C8502" s="9" t="str">
        <f>HYPERLINK("http://www.ncbi.nlm.nih.gov/protein/117956375","0610010F05Rik")</f>
        <v>0610010F05Rik</v>
      </c>
      <c r="D8502" s="10">
        <f t="shared" si="132"/>
        <v>2.305115332704371</v>
      </c>
      <c r="F8502" s="8" t="str">
        <f>HYPERLINK("https://esbl.nhlbi.nih.gov/Databases/mpkFractions/proteomic_fractions_log_files/Yang_log_img/117956375.jpg","show blot")</f>
        <v>show blot</v>
      </c>
      <c r="H8502" s="8" t="str">
        <f>HYPERLINK("https://esbl.nhlbi.nih.gov/Databases/mpkFractions/proteomic_fractions_linear_files/Yang_linear_img/117956375.jpg","show blot")</f>
        <v>show blot</v>
      </c>
      <c r="J8502" s="5" t="s">
        <v>16751</v>
      </c>
      <c r="L8502" s="11">
        <v>2.305115332704371</v>
      </c>
      <c r="N8502" s="12"/>
    </row>
    <row r="8503" spans="1:14" s="5" customFormat="1" ht="15" customHeight="1" x14ac:dyDescent="0.25">
      <c r="A8503" s="9" t="s">
        <v>16752</v>
      </c>
      <c r="C8503" s="9" t="str">
        <f>HYPERLINK("http://www.ncbi.nlm.nih.gov/protein/21389318","0610010K14Rik")</f>
        <v>0610010K14Rik</v>
      </c>
      <c r="D8503" s="10">
        <f t="shared" si="132"/>
        <v>4.5690445698000284</v>
      </c>
      <c r="F8503" s="8" t="str">
        <f>HYPERLINK("https://esbl.nhlbi.nih.gov/Databases/mpkFractions/proteomic_fractions_log_files/Yang_log_img/21389318.jpg","show blot")</f>
        <v>show blot</v>
      </c>
      <c r="H8503" s="8" t="str">
        <f>HYPERLINK("https://esbl.nhlbi.nih.gov/Databases/mpkFractions/proteomic_fractions_linear_files/Yang_linear_img/21389318.jpg","show blot")</f>
        <v>show blot</v>
      </c>
      <c r="J8503" s="5" t="s">
        <v>16753</v>
      </c>
      <c r="L8503" s="11">
        <v>4.5690445698000284</v>
      </c>
      <c r="N8503" s="12"/>
    </row>
    <row r="8504" spans="1:14" s="5" customFormat="1" ht="15" customHeight="1" x14ac:dyDescent="0.25">
      <c r="A8504" s="9" t="s">
        <v>16754</v>
      </c>
      <c r="C8504" s="9" t="str">
        <f>HYPERLINK("http://www.ncbi.nlm.nih.gov/protein/294862278","0610010K14Rik")</f>
        <v>0610010K14Rik</v>
      </c>
      <c r="D8504" s="10">
        <f t="shared" si="132"/>
        <v>4.5690445698000284</v>
      </c>
      <c r="F8504" s="8" t="str">
        <f>HYPERLINK("https://esbl.nhlbi.nih.gov/Databases/mpkFractions/proteomic_fractions_log_files/Yang_log_img/294862278.jpg","show blot")</f>
        <v>show blot</v>
      </c>
      <c r="H8504" s="8" t="str">
        <f>HYPERLINK("https://esbl.nhlbi.nih.gov/Databases/mpkFractions/proteomic_fractions_linear_files/Yang_linear_img/294862278.jpg","show blot")</f>
        <v>show blot</v>
      </c>
      <c r="J8504" s="5" t="s">
        <v>16755</v>
      </c>
      <c r="L8504" s="11">
        <v>4.5690445698000284</v>
      </c>
      <c r="N8504" s="12"/>
    </row>
    <row r="8505" spans="1:14" s="5" customFormat="1" ht="15" customHeight="1" x14ac:dyDescent="0.25">
      <c r="A8505" s="9" t="s">
        <v>16756</v>
      </c>
      <c r="C8505" s="9" t="str">
        <f>HYPERLINK("http://www.ncbi.nlm.nih.gov/protein/294862282","0610010K14Rik")</f>
        <v>0610010K14Rik</v>
      </c>
      <c r="D8505" s="10">
        <f t="shared" si="132"/>
        <v>4.5690445698000284</v>
      </c>
      <c r="F8505" s="8" t="str">
        <f>HYPERLINK("https://esbl.nhlbi.nih.gov/Databases/mpkFractions/proteomic_fractions_log_files/Yang_log_img/294862282.jpg","show blot")</f>
        <v>show blot</v>
      </c>
      <c r="H8505" s="8" t="str">
        <f>HYPERLINK("https://esbl.nhlbi.nih.gov/Databases/mpkFractions/proteomic_fractions_linear_files/Yang_linear_img/294862282.jpg","show blot")</f>
        <v>show blot</v>
      </c>
      <c r="J8505" s="5" t="s">
        <v>16757</v>
      </c>
      <c r="L8505" s="11">
        <v>4.5690445698000284</v>
      </c>
      <c r="N8505" s="12"/>
    </row>
    <row r="8506" spans="1:14" s="5" customFormat="1" ht="15" customHeight="1" x14ac:dyDescent="0.25">
      <c r="A8506" s="9" t="s">
        <v>16758</v>
      </c>
      <c r="C8506" s="9" t="str">
        <f>HYPERLINK("http://www.ncbi.nlm.nih.gov/protein/294862289","0610010K14Rik")</f>
        <v>0610010K14Rik</v>
      </c>
      <c r="D8506" s="10">
        <f t="shared" si="132"/>
        <v>4.5690445698000284</v>
      </c>
      <c r="F8506" s="8" t="str">
        <f>HYPERLINK("https://esbl.nhlbi.nih.gov/Databases/mpkFractions/proteomic_fractions_log_files/Yang_log_img/294862289.jpg","show blot")</f>
        <v>show blot</v>
      </c>
      <c r="H8506" s="8" t="str">
        <f>HYPERLINK("https://esbl.nhlbi.nih.gov/Databases/mpkFractions/proteomic_fractions_linear_files/Yang_linear_img/294862289.jpg","show blot")</f>
        <v>show blot</v>
      </c>
      <c r="J8506" s="5" t="s">
        <v>16759</v>
      </c>
      <c r="L8506" s="11">
        <v>4.5690445698000284</v>
      </c>
      <c r="N8506" s="12"/>
    </row>
    <row r="8507" spans="1:14" s="5" customFormat="1" ht="15" customHeight="1" x14ac:dyDescent="0.25">
      <c r="A8507" s="9" t="s">
        <v>16760</v>
      </c>
      <c r="C8507" s="9" t="str">
        <f>HYPERLINK("http://www.ncbi.nlm.nih.gov/protein/294862292","0610010K14Rik")</f>
        <v>0610010K14Rik</v>
      </c>
      <c r="D8507" s="10">
        <f t="shared" si="132"/>
        <v>4.5690445698000284</v>
      </c>
      <c r="F8507" s="8" t="str">
        <f>HYPERLINK("https://esbl.nhlbi.nih.gov/Databases/mpkFractions/proteomic_fractions_log_files/Yang_log_img/294862292.jpg","show blot")</f>
        <v>show blot</v>
      </c>
      <c r="H8507" s="8" t="str">
        <f>HYPERLINK("https://esbl.nhlbi.nih.gov/Databases/mpkFractions/proteomic_fractions_linear_files/Yang_linear_img/294862292.jpg","show blot")</f>
        <v>show blot</v>
      </c>
      <c r="J8507" s="5" t="s">
        <v>16761</v>
      </c>
      <c r="L8507" s="11">
        <v>4.5690445698000284</v>
      </c>
      <c r="N8507" s="12"/>
    </row>
    <row r="8508" spans="1:14" s="5" customFormat="1" ht="15" customHeight="1" x14ac:dyDescent="0.25">
      <c r="A8508" s="9" t="s">
        <v>16762</v>
      </c>
      <c r="C8508" s="9" t="str">
        <f>HYPERLINK("http://www.ncbi.nlm.nih.gov/protein/295054298","0610010K14Rik")</f>
        <v>0610010K14Rik</v>
      </c>
      <c r="D8508" s="10">
        <f t="shared" si="132"/>
        <v>4.5690445698000284</v>
      </c>
      <c r="F8508" s="8" t="str">
        <f>HYPERLINK("https://esbl.nhlbi.nih.gov/Databases/mpkFractions/proteomic_fractions_log_files/Yang_log_img/295054298.jpg","show blot")</f>
        <v>show blot</v>
      </c>
      <c r="H8508" s="8" t="str">
        <f>HYPERLINK("https://esbl.nhlbi.nih.gov/Databases/mpkFractions/proteomic_fractions_linear_files/Yang_linear_img/295054298.jpg","show blot")</f>
        <v>show blot</v>
      </c>
      <c r="J8508" s="5" t="s">
        <v>16763</v>
      </c>
      <c r="L8508" s="11">
        <v>4.5690445698000284</v>
      </c>
      <c r="N8508" s="12"/>
    </row>
    <row r="8509" spans="1:14" s="5" customFormat="1" ht="15" customHeight="1" x14ac:dyDescent="0.25">
      <c r="A8509" s="9" t="s">
        <v>16764</v>
      </c>
      <c r="C8509" s="9" t="str">
        <f>HYPERLINK("http://www.ncbi.nlm.nih.gov/protein/58037115","0610011F06Rik")</f>
        <v>0610011F06Rik</v>
      </c>
      <c r="D8509" s="10">
        <f t="shared" si="132"/>
        <v>5.0780060406966783</v>
      </c>
      <c r="F8509" s="8" t="str">
        <f>HYPERLINK("https://esbl.nhlbi.nih.gov/Databases/mpkFractions/proteomic_fractions_log_files/Yang_log_img/58037115.jpg","show blot")</f>
        <v>show blot</v>
      </c>
      <c r="H8509" s="8" t="str">
        <f>HYPERLINK("https://esbl.nhlbi.nih.gov/Databases/mpkFractions/proteomic_fractions_linear_files/Yang_linear_img/58037115.jpg","show blot")</f>
        <v>show blot</v>
      </c>
      <c r="J8509" s="5" t="s">
        <v>16765</v>
      </c>
      <c r="L8509" s="11">
        <v>5.0780060406966783</v>
      </c>
      <c r="N8509" s="12"/>
    </row>
    <row r="8510" spans="1:14" s="5" customFormat="1" ht="15" customHeight="1" x14ac:dyDescent="0.25">
      <c r="A8510" s="9" t="s">
        <v>16766</v>
      </c>
      <c r="C8510" s="9" t="str">
        <f>HYPERLINK("http://www.ncbi.nlm.nih.gov/protein/9910458","0610031J06Rik")</f>
        <v>0610031J06Rik</v>
      </c>
      <c r="D8510" s="10">
        <f t="shared" si="132"/>
        <v>3.215488023483692</v>
      </c>
      <c r="F8510" s="8" t="str">
        <f>HYPERLINK("https://esbl.nhlbi.nih.gov/Databases/mpkFractions/proteomic_fractions_log_files/Yang_log_img/9910458.jpg","show blot")</f>
        <v>show blot</v>
      </c>
      <c r="H8510" s="8" t="str">
        <f>HYPERLINK("https://esbl.nhlbi.nih.gov/Databases/mpkFractions/proteomic_fractions_linear_files/Yang_linear_img/9910458.jpg","show blot")</f>
        <v>show blot</v>
      </c>
      <c r="J8510" s="5" t="s">
        <v>16767</v>
      </c>
      <c r="L8510" s="11">
        <v>3.215488023483692</v>
      </c>
      <c r="N8510" s="12"/>
    </row>
    <row r="8511" spans="1:14" s="5" customFormat="1" ht="15" customHeight="1" x14ac:dyDescent="0.25">
      <c r="A8511" s="9" t="s">
        <v>16768</v>
      </c>
      <c r="C8511" s="9" t="str">
        <f>HYPERLINK("http://www.ncbi.nlm.nih.gov/protein/21539639","0610037L13Rik")</f>
        <v>0610037L13Rik</v>
      </c>
      <c r="D8511" s="10">
        <f t="shared" si="132"/>
        <v>5.2545179061513734</v>
      </c>
      <c r="F8511" s="8" t="str">
        <f>HYPERLINK("https://esbl.nhlbi.nih.gov/Databases/mpkFractions/proteomic_fractions_log_files/Yang_log_img/21539639.jpg","show blot")</f>
        <v>show blot</v>
      </c>
      <c r="H8511" s="8" t="str">
        <f>HYPERLINK("https://esbl.nhlbi.nih.gov/Databases/mpkFractions/proteomic_fractions_linear_files/Yang_linear_img/21539639.jpg","show blot")</f>
        <v>show blot</v>
      </c>
      <c r="J8511" s="5" t="s">
        <v>16769</v>
      </c>
      <c r="L8511" s="11">
        <v>5.2545179061513734</v>
      </c>
      <c r="N8511" s="12"/>
    </row>
    <row r="8512" spans="1:14" s="5" customFormat="1" ht="15" customHeight="1" x14ac:dyDescent="0.25">
      <c r="A8512" s="9" t="s">
        <v>16770</v>
      </c>
      <c r="C8512" s="9" t="str">
        <f>HYPERLINK("http://www.ncbi.nlm.nih.gov/protein/294345426","1110001A16Rik")</f>
        <v>1110001A16Rik</v>
      </c>
      <c r="D8512" s="10">
        <f t="shared" si="132"/>
        <v>3.7239370533413889</v>
      </c>
      <c r="F8512" s="8" t="str">
        <f>HYPERLINK("https://esbl.nhlbi.nih.gov/Databases/mpkFractions/proteomic_fractions_log_files/Yang_log_img/294345426.jpg","show blot")</f>
        <v>show blot</v>
      </c>
      <c r="H8512" s="8" t="str">
        <f>HYPERLINK("https://esbl.nhlbi.nih.gov/Databases/mpkFractions/proteomic_fractions_linear_files/Yang_linear_img/294345426.jpg","show blot")</f>
        <v>show blot</v>
      </c>
      <c r="J8512" s="5" t="s">
        <v>16771</v>
      </c>
      <c r="L8512" s="11">
        <v>3.7239370533413889</v>
      </c>
      <c r="N8512" s="12"/>
    </row>
    <row r="8513" spans="1:14" s="5" customFormat="1" ht="15" customHeight="1" x14ac:dyDescent="0.25">
      <c r="A8513" s="9" t="s">
        <v>16772</v>
      </c>
      <c r="C8513" s="9" t="str">
        <f>HYPERLINK("http://www.ncbi.nlm.nih.gov/protein/13384728","1110001J03Rik")</f>
        <v>1110001J03Rik</v>
      </c>
      <c r="D8513" s="10">
        <f t="shared" si="132"/>
        <v>3.5719916751706391</v>
      </c>
      <c r="F8513" s="8" t="str">
        <f>HYPERLINK("https://esbl.nhlbi.nih.gov/Databases/mpkFractions/proteomic_fractions_log_files/Yang_log_img/13384728.jpg","show blot")</f>
        <v>show blot</v>
      </c>
      <c r="H8513" s="8" t="str">
        <f>HYPERLINK("https://esbl.nhlbi.nih.gov/Databases/mpkFractions/proteomic_fractions_linear_files/Yang_linear_img/13384728.jpg","show blot")</f>
        <v>show blot</v>
      </c>
      <c r="J8513" s="5" t="s">
        <v>16773</v>
      </c>
      <c r="L8513" s="11">
        <v>3.5719916751706391</v>
      </c>
      <c r="N8513" s="12"/>
    </row>
    <row r="8514" spans="1:14" s="5" customFormat="1" ht="15" customHeight="1" x14ac:dyDescent="0.25">
      <c r="A8514" s="9" t="s">
        <v>16774</v>
      </c>
      <c r="C8514" s="9" t="str">
        <f>HYPERLINK("http://www.ncbi.nlm.nih.gov/protein/9790217","1110004F10Rik")</f>
        <v>1110004F10Rik</v>
      </c>
      <c r="D8514" s="10">
        <f t="shared" si="132"/>
        <v>5.3527029287427483</v>
      </c>
      <c r="F8514" s="8" t="str">
        <f>HYPERLINK("https://esbl.nhlbi.nih.gov/Databases/mpkFractions/proteomic_fractions_log_files/Yang_log_img/9790217.jpg","show blot")</f>
        <v>show blot</v>
      </c>
      <c r="H8514" s="8" t="str">
        <f>HYPERLINK("https://esbl.nhlbi.nih.gov/Databases/mpkFractions/proteomic_fractions_linear_files/Yang_linear_img/9790217.jpg","show blot")</f>
        <v>show blot</v>
      </c>
      <c r="J8514" s="5" t="s">
        <v>16775</v>
      </c>
      <c r="L8514" s="11">
        <v>5.3527029287427483</v>
      </c>
      <c r="N8514" s="12"/>
    </row>
    <row r="8515" spans="1:14" s="5" customFormat="1" ht="15" customHeight="1" x14ac:dyDescent="0.25">
      <c r="A8515" s="9" t="s">
        <v>16776</v>
      </c>
      <c r="C8515" s="9" t="str">
        <f>HYPERLINK("http://www.ncbi.nlm.nih.gov/protein/21312030","1110007C09Rik")</f>
        <v>1110007C09Rik</v>
      </c>
      <c r="D8515" s="10">
        <f t="shared" si="132"/>
        <v>4.1063465918713904</v>
      </c>
      <c r="F8515" s="8" t="str">
        <f>HYPERLINK("https://esbl.nhlbi.nih.gov/Databases/mpkFractions/proteomic_fractions_log_files/Yang_log_img/21312030.jpg","show blot")</f>
        <v>show blot</v>
      </c>
      <c r="H8515" s="8" t="str">
        <f>HYPERLINK("https://esbl.nhlbi.nih.gov/Databases/mpkFractions/proteomic_fractions_linear_files/Yang_linear_img/21312030.jpg","show blot")</f>
        <v>show blot</v>
      </c>
      <c r="J8515" s="5" t="s">
        <v>16777</v>
      </c>
      <c r="L8515" s="11">
        <v>4.1063465918713904</v>
      </c>
      <c r="N8515" s="12"/>
    </row>
    <row r="8516" spans="1:14" s="5" customFormat="1" ht="15" customHeight="1" x14ac:dyDescent="0.25">
      <c r="A8516" s="9" t="s">
        <v>16778</v>
      </c>
      <c r="C8516" s="9" t="str">
        <f>HYPERLINK("http://www.ncbi.nlm.nih.gov/protein/13385630","1110008F13Rik")</f>
        <v>1110008F13Rik</v>
      </c>
      <c r="D8516" s="10">
        <f t="shared" si="132"/>
        <v>3.343256050110857</v>
      </c>
      <c r="F8516" s="8" t="str">
        <f>HYPERLINK("https://esbl.nhlbi.nih.gov/Databases/mpkFractions/proteomic_fractions_log_files/Yang_log_img/13385630.jpg","show blot")</f>
        <v>show blot</v>
      </c>
      <c r="H8516" s="8" t="str">
        <f>HYPERLINK("https://esbl.nhlbi.nih.gov/Databases/mpkFractions/proteomic_fractions_linear_files/Yang_linear_img/13385630.jpg","show blot")</f>
        <v>show blot</v>
      </c>
      <c r="J8516" s="5" t="s">
        <v>16779</v>
      </c>
      <c r="L8516" s="11">
        <v>3.343256050110857</v>
      </c>
      <c r="N8516" s="12"/>
    </row>
    <row r="8517" spans="1:14" s="5" customFormat="1" ht="15" customHeight="1" x14ac:dyDescent="0.25">
      <c r="A8517" s="9" t="s">
        <v>16780</v>
      </c>
      <c r="C8517" s="9" t="str">
        <f>HYPERLINK("http://www.ncbi.nlm.nih.gov/protein/227908787","1110008L16Rik")</f>
        <v>1110008L16Rik</v>
      </c>
      <c r="D8517" s="10">
        <f t="shared" ref="D8517:D8580" si="133">L8517</f>
        <v>3.1192184954486311</v>
      </c>
      <c r="F8517" s="8" t="str">
        <f>HYPERLINK("https://esbl.nhlbi.nih.gov/Databases/mpkFractions/proteomic_fractions_log_files/Yang_log_img/227908787.jpg","show blot")</f>
        <v>show blot</v>
      </c>
      <c r="H8517" s="8" t="str">
        <f>HYPERLINK("https://esbl.nhlbi.nih.gov/Databases/mpkFractions/proteomic_fractions_linear_files/Yang_linear_img/227908787.jpg","show blot")</f>
        <v>show blot</v>
      </c>
      <c r="J8517" s="5" t="s">
        <v>16781</v>
      </c>
      <c r="L8517" s="11">
        <v>3.1192184954486311</v>
      </c>
      <c r="N8517" s="12"/>
    </row>
    <row r="8518" spans="1:14" s="5" customFormat="1" ht="15" customHeight="1" x14ac:dyDescent="0.25">
      <c r="A8518" s="9" t="s">
        <v>16782</v>
      </c>
      <c r="C8518" s="9" t="str">
        <f>HYPERLINK("http://www.ncbi.nlm.nih.gov/protein/21312070","1110012L19Rik")</f>
        <v>1110012L19Rik</v>
      </c>
      <c r="D8518" s="10">
        <f t="shared" si="133"/>
        <v>3.7005078962126592</v>
      </c>
      <c r="F8518" s="8" t="str">
        <f>HYPERLINK("https://esbl.nhlbi.nih.gov/Databases/mpkFractions/proteomic_fractions_log_files/Yang_log_img/21312070.jpg","show blot")</f>
        <v>show blot</v>
      </c>
      <c r="H8518" s="8" t="str">
        <f>HYPERLINK("https://esbl.nhlbi.nih.gov/Databases/mpkFractions/proteomic_fractions_linear_files/Yang_linear_img/21312070.jpg","show blot")</f>
        <v>show blot</v>
      </c>
      <c r="J8518" s="5" t="s">
        <v>16783</v>
      </c>
      <c r="L8518" s="11">
        <v>3.7005078962126592</v>
      </c>
      <c r="N8518" s="12"/>
    </row>
    <row r="8519" spans="1:14" s="5" customFormat="1" ht="15" customHeight="1" x14ac:dyDescent="0.25">
      <c r="A8519" s="9" t="s">
        <v>16784</v>
      </c>
      <c r="C8519" s="9" t="str">
        <f>HYPERLINK("http://www.ncbi.nlm.nih.gov/protein/268370114","1110057K04Rik")</f>
        <v>1110057K04Rik</v>
      </c>
      <c r="D8519" s="10">
        <f t="shared" si="133"/>
        <v>5.4147268851081902</v>
      </c>
      <c r="F8519" s="8" t="str">
        <f>HYPERLINK("https://esbl.nhlbi.nih.gov/Databases/mpkFractions/proteomic_fractions_log_files/Yang_log_img/268370114.jpg","show blot")</f>
        <v>show blot</v>
      </c>
      <c r="H8519" s="8" t="str">
        <f>HYPERLINK("https://esbl.nhlbi.nih.gov/Databases/mpkFractions/proteomic_fractions_linear_files/Yang_linear_img/268370114.jpg","show blot")</f>
        <v>show blot</v>
      </c>
      <c r="J8519" s="5" t="s">
        <v>16785</v>
      </c>
      <c r="L8519" s="11">
        <v>5.4147268851081902</v>
      </c>
      <c r="N8519" s="12"/>
    </row>
    <row r="8520" spans="1:14" s="5" customFormat="1" ht="15" customHeight="1" x14ac:dyDescent="0.25">
      <c r="A8520" s="9" t="s">
        <v>16786</v>
      </c>
      <c r="C8520" s="9" t="str">
        <f>HYPERLINK("http://www.ncbi.nlm.nih.gov/protein/268370116","1110057K04Rik")</f>
        <v>1110057K04Rik</v>
      </c>
      <c r="D8520" s="10">
        <f t="shared" si="133"/>
        <v>5.4147268851081902</v>
      </c>
      <c r="F8520" s="8" t="str">
        <f>HYPERLINK("https://esbl.nhlbi.nih.gov/Databases/mpkFractions/proteomic_fractions_log_files/Yang_log_img/268370116.jpg","show blot")</f>
        <v>show blot</v>
      </c>
      <c r="H8520" s="8" t="str">
        <f>HYPERLINK("https://esbl.nhlbi.nih.gov/Databases/mpkFractions/proteomic_fractions_linear_files/Yang_linear_img/268370116.jpg","show blot")</f>
        <v>show blot</v>
      </c>
      <c r="J8520" s="5" t="s">
        <v>16787</v>
      </c>
      <c r="L8520" s="11">
        <v>5.4147268851081902</v>
      </c>
      <c r="N8520" s="12"/>
    </row>
    <row r="8521" spans="1:14" s="5" customFormat="1" ht="15" customHeight="1" x14ac:dyDescent="0.25">
      <c r="A8521" s="9" t="s">
        <v>16788</v>
      </c>
      <c r="C8521" s="9" t="str">
        <f>HYPERLINK("http://www.ncbi.nlm.nih.gov/protein/269995975","1110057K04Rik")</f>
        <v>1110057K04Rik</v>
      </c>
      <c r="D8521" s="10">
        <f t="shared" si="133"/>
        <v>5.4147268851081902</v>
      </c>
      <c r="F8521" s="8" t="str">
        <f>HYPERLINK("https://esbl.nhlbi.nih.gov/Databases/mpkFractions/proteomic_fractions_log_files/Yang_log_img/269995975.jpg","show blot")</f>
        <v>show blot</v>
      </c>
      <c r="H8521" s="8" t="str">
        <f>HYPERLINK("https://esbl.nhlbi.nih.gov/Databases/mpkFractions/proteomic_fractions_linear_files/Yang_linear_img/269995975.jpg","show blot")</f>
        <v>show blot</v>
      </c>
      <c r="J8521" s="5" t="s">
        <v>16789</v>
      </c>
      <c r="L8521" s="11">
        <v>5.4147268851081902</v>
      </c>
      <c r="N8521" s="12"/>
    </row>
    <row r="8522" spans="1:14" s="5" customFormat="1" ht="15" customHeight="1" x14ac:dyDescent="0.25">
      <c r="A8522" s="9" t="s">
        <v>16790</v>
      </c>
      <c r="C8522" s="9" t="str">
        <f>HYPERLINK("http://www.ncbi.nlm.nih.gov/protein/229577372","1110058L19Rik")</f>
        <v>1110058L19Rik</v>
      </c>
      <c r="D8522" s="10">
        <f t="shared" si="133"/>
        <v>3.1099778387137191</v>
      </c>
      <c r="F8522" s="8" t="str">
        <f>HYPERLINK("https://esbl.nhlbi.nih.gov/Databases/mpkFractions/proteomic_fractions_log_files/Yang_log_img/229577372.jpg","show blot")</f>
        <v>show blot</v>
      </c>
      <c r="H8522" s="8" t="str">
        <f>HYPERLINK("https://esbl.nhlbi.nih.gov/Databases/mpkFractions/proteomic_fractions_linear_files/Yang_linear_img/229577372.jpg","show blot")</f>
        <v>show blot</v>
      </c>
      <c r="J8522" s="5" t="s">
        <v>16791</v>
      </c>
      <c r="L8522" s="11">
        <v>3.1099778387137191</v>
      </c>
      <c r="N8522" s="12"/>
    </row>
    <row r="8523" spans="1:14" s="5" customFormat="1" ht="15" customHeight="1" x14ac:dyDescent="0.25">
      <c r="A8523" s="9" t="s">
        <v>16792</v>
      </c>
      <c r="C8523" s="9" t="str">
        <f>HYPERLINK("http://www.ncbi.nlm.nih.gov/protein/21312338","1600014C10Rik")</f>
        <v>1600014C10Rik</v>
      </c>
      <c r="D8523" s="10">
        <f t="shared" si="133"/>
        <v>4.5013590366914791</v>
      </c>
      <c r="F8523" s="8" t="str">
        <f>HYPERLINK("https://esbl.nhlbi.nih.gov/Databases/mpkFractions/proteomic_fractions_log_files/Yang_log_img/21312338.jpg","show blot")</f>
        <v>show blot</v>
      </c>
      <c r="H8523" s="8" t="str">
        <f>HYPERLINK("https://esbl.nhlbi.nih.gov/Databases/mpkFractions/proteomic_fractions_linear_files/Yang_linear_img/21312338.jpg","show blot")</f>
        <v>show blot</v>
      </c>
      <c r="J8523" s="5" t="s">
        <v>16793</v>
      </c>
      <c r="L8523" s="11">
        <v>4.5013590366914791</v>
      </c>
      <c r="N8523" s="12"/>
    </row>
    <row r="8524" spans="1:14" s="5" customFormat="1" ht="15" customHeight="1" x14ac:dyDescent="0.25">
      <c r="A8524" s="9" t="s">
        <v>16794</v>
      </c>
      <c r="C8524" s="9" t="str">
        <f>HYPERLINK("http://www.ncbi.nlm.nih.gov/protein/253735769","1600015I10Rik")</f>
        <v>1600015I10Rik</v>
      </c>
      <c r="D8524" s="10">
        <f t="shared" si="133"/>
        <v>3.4689964308582431</v>
      </c>
      <c r="F8524" s="8" t="str">
        <f>HYPERLINK("https://esbl.nhlbi.nih.gov/Databases/mpkFractions/proteomic_fractions_log_files/Yang_log_img/253735769.jpg","show blot")</f>
        <v>show blot</v>
      </c>
      <c r="H8524" s="8" t="str">
        <f>HYPERLINK("https://esbl.nhlbi.nih.gov/Databases/mpkFractions/proteomic_fractions_linear_files/Yang_linear_img/253735769.jpg","show blot")</f>
        <v>show blot</v>
      </c>
      <c r="J8524" s="5" t="s">
        <v>16795</v>
      </c>
      <c r="L8524" s="11">
        <v>3.4689964308582431</v>
      </c>
      <c r="N8524" s="12"/>
    </row>
    <row r="8525" spans="1:14" s="5" customFormat="1" ht="15" customHeight="1" x14ac:dyDescent="0.25">
      <c r="A8525" s="9" t="s">
        <v>16796</v>
      </c>
      <c r="C8525" s="9" t="str">
        <f>HYPERLINK("http://www.ncbi.nlm.nih.gov/protein/124487358","1700009N14Rik")</f>
        <v>1700009N14Rik</v>
      </c>
      <c r="D8525" s="10">
        <f t="shared" si="133"/>
        <v>7.1775227020326993</v>
      </c>
      <c r="F8525" s="8" t="str">
        <f>HYPERLINK("https://esbl.nhlbi.nih.gov/Databases/mpkFractions/proteomic_fractions_log_files/Yang_log_img/124487358.jpg","show blot")</f>
        <v>show blot</v>
      </c>
      <c r="H8525" s="8" t="str">
        <f>HYPERLINK("https://esbl.nhlbi.nih.gov/Databases/mpkFractions/proteomic_fractions_linear_files/Yang_linear_img/124487358.jpg","show blot")</f>
        <v>show blot</v>
      </c>
      <c r="J8525" s="5" t="s">
        <v>16797</v>
      </c>
      <c r="L8525" s="11">
        <v>7.1775227020326993</v>
      </c>
      <c r="N8525" s="12"/>
    </row>
    <row r="8526" spans="1:14" s="5" customFormat="1" ht="15" customHeight="1" x14ac:dyDescent="0.25">
      <c r="A8526" s="9" t="s">
        <v>16798</v>
      </c>
      <c r="C8526" s="9" t="str">
        <f>HYPERLINK("http://www.ncbi.nlm.nih.gov/protein/254675147","1700011E24Rik")</f>
        <v>1700011E24Rik</v>
      </c>
      <c r="D8526" s="10">
        <f t="shared" si="133"/>
        <v>4.8243248946152866</v>
      </c>
      <c r="F8526" s="8" t="str">
        <f>HYPERLINK("https://esbl.nhlbi.nih.gov/Databases/mpkFractions/proteomic_fractions_log_files/Yang_log_img/254675147.jpg","show blot")</f>
        <v>show blot</v>
      </c>
      <c r="H8526" s="8" t="str">
        <f>HYPERLINK("https://esbl.nhlbi.nih.gov/Databases/mpkFractions/proteomic_fractions_linear_files/Yang_linear_img/254675147.jpg","show blot")</f>
        <v>show blot</v>
      </c>
      <c r="J8526" s="5" t="s">
        <v>16799</v>
      </c>
      <c r="L8526" s="11">
        <v>4.8243248946152866</v>
      </c>
      <c r="N8526" s="12"/>
    </row>
    <row r="8527" spans="1:14" s="5" customFormat="1" ht="15" customHeight="1" x14ac:dyDescent="0.25">
      <c r="A8527" s="9" t="s">
        <v>16800</v>
      </c>
      <c r="C8527" s="9" t="str">
        <f>HYPERLINK("http://www.ncbi.nlm.nih.gov/protein/241982748","1700011I03Rik")</f>
        <v>1700011I03Rik</v>
      </c>
      <c r="D8527" s="10">
        <f t="shared" si="133"/>
        <v>2.888129089097363</v>
      </c>
      <c r="F8527" s="8" t="str">
        <f>HYPERLINK("https://esbl.nhlbi.nih.gov/Databases/mpkFractions/proteomic_fractions_log_files/Yang_log_img/241982748.jpg","show blot")</f>
        <v>show blot</v>
      </c>
      <c r="H8527" s="8" t="str">
        <f>HYPERLINK("https://esbl.nhlbi.nih.gov/Databases/mpkFractions/proteomic_fractions_linear_files/Yang_linear_img/241982748.jpg","show blot")</f>
        <v>show blot</v>
      </c>
      <c r="J8527" s="5" t="s">
        <v>16801</v>
      </c>
      <c r="L8527" s="11">
        <v>2.888129089097363</v>
      </c>
      <c r="N8527" s="12"/>
    </row>
    <row r="8528" spans="1:14" s="5" customFormat="1" ht="15" customHeight="1" x14ac:dyDescent="0.25">
      <c r="A8528" s="9" t="s">
        <v>16802</v>
      </c>
      <c r="C8528" s="9" t="str">
        <f>HYPERLINK("http://www.ncbi.nlm.nih.gov/protein/21450635","1700019D03Rik")</f>
        <v>1700019D03Rik</v>
      </c>
      <c r="D8528" s="10">
        <f t="shared" si="133"/>
        <v>3.6408926899947289</v>
      </c>
      <c r="F8528" s="8" t="str">
        <f>HYPERLINK("https://esbl.nhlbi.nih.gov/Databases/mpkFractions/proteomic_fractions_log_files/Yang_log_img/21450635.jpg","show blot")</f>
        <v>show blot</v>
      </c>
      <c r="H8528" s="8" t="str">
        <f>HYPERLINK("https://esbl.nhlbi.nih.gov/Databases/mpkFractions/proteomic_fractions_linear_files/Yang_linear_img/21450635.jpg","show blot")</f>
        <v>show blot</v>
      </c>
      <c r="J8528" s="5" t="s">
        <v>16803</v>
      </c>
      <c r="L8528" s="11">
        <v>3.6408926899947289</v>
      </c>
      <c r="N8528" s="12"/>
    </row>
    <row r="8529" spans="1:14" s="5" customFormat="1" ht="15" customHeight="1" x14ac:dyDescent="0.25">
      <c r="A8529" s="9" t="s">
        <v>16804</v>
      </c>
      <c r="C8529" s="9" t="str">
        <f>HYPERLINK("http://www.ncbi.nlm.nih.gov/protein/268607534","1700020D05Rik")</f>
        <v>1700020D05Rik</v>
      </c>
      <c r="D8529" s="10">
        <f t="shared" si="133"/>
        <v>3.374049296971628</v>
      </c>
      <c r="F8529" s="8" t="str">
        <f>HYPERLINK("https://esbl.nhlbi.nih.gov/Databases/mpkFractions/proteomic_fractions_log_files/Yang_log_img/268607534.jpg","show blot")</f>
        <v>show blot</v>
      </c>
      <c r="H8529" s="8" t="str">
        <f>HYPERLINK("https://esbl.nhlbi.nih.gov/Databases/mpkFractions/proteomic_fractions_linear_files/Yang_linear_img/268607534.jpg","show blot")</f>
        <v>show blot</v>
      </c>
      <c r="J8529" s="5" t="s">
        <v>16805</v>
      </c>
      <c r="L8529" s="11">
        <v>3.374049296971628</v>
      </c>
      <c r="N8529" s="12"/>
    </row>
    <row r="8530" spans="1:14" s="5" customFormat="1" ht="15" customHeight="1" x14ac:dyDescent="0.25">
      <c r="A8530" s="9" t="s">
        <v>16806</v>
      </c>
      <c r="C8530" s="9" t="str">
        <f>HYPERLINK("http://www.ncbi.nlm.nih.gov/protein/13385904","1700021F05Rik")</f>
        <v>1700021F05Rik</v>
      </c>
      <c r="D8530" s="10">
        <f t="shared" si="133"/>
        <v>4.1619105186477947</v>
      </c>
      <c r="F8530" s="8" t="str">
        <f>HYPERLINK("https://esbl.nhlbi.nih.gov/Databases/mpkFractions/proteomic_fractions_log_files/Yang_log_img/13385904.jpg","show blot")</f>
        <v>show blot</v>
      </c>
      <c r="H8530" s="8" t="str">
        <f>HYPERLINK("https://esbl.nhlbi.nih.gov/Databases/mpkFractions/proteomic_fractions_linear_files/Yang_linear_img/13385904.jpg","show blot")</f>
        <v>show blot</v>
      </c>
      <c r="J8530" s="5" t="s">
        <v>16807</v>
      </c>
      <c r="L8530" s="11">
        <v>4.1619105186477947</v>
      </c>
      <c r="N8530" s="12"/>
    </row>
    <row r="8531" spans="1:14" s="5" customFormat="1" ht="15" customHeight="1" x14ac:dyDescent="0.25">
      <c r="A8531" s="9" t="s">
        <v>16808</v>
      </c>
      <c r="C8531" s="9" t="str">
        <f>HYPERLINK("http://www.ncbi.nlm.nih.gov/protein/13385590","1700037H04Rik")</f>
        <v>1700037H04Rik</v>
      </c>
      <c r="D8531" s="10">
        <f t="shared" si="133"/>
        <v>5.2357803147969424</v>
      </c>
      <c r="F8531" s="8" t="str">
        <f>HYPERLINK("https://esbl.nhlbi.nih.gov/Databases/mpkFractions/proteomic_fractions_log_files/Yang_log_img/13385590.jpg","show blot")</f>
        <v>show blot</v>
      </c>
      <c r="H8531" s="8" t="str">
        <f>HYPERLINK("https://esbl.nhlbi.nih.gov/Databases/mpkFractions/proteomic_fractions_linear_files/Yang_linear_img/13385590.jpg","show blot")</f>
        <v>show blot</v>
      </c>
      <c r="J8531" s="5" t="s">
        <v>16809</v>
      </c>
      <c r="L8531" s="11">
        <v>5.2357803147969424</v>
      </c>
      <c r="N8531" s="12"/>
    </row>
    <row r="8532" spans="1:14" s="5" customFormat="1" ht="15" customHeight="1" x14ac:dyDescent="0.25">
      <c r="A8532" s="9" t="s">
        <v>16810</v>
      </c>
      <c r="C8532" s="9" t="str">
        <f>HYPERLINK("http://www.ncbi.nlm.nih.gov/protein/90093343","1700052N19Rik")</f>
        <v>1700052N19Rik</v>
      </c>
      <c r="D8532" s="10">
        <f t="shared" si="133"/>
        <v>4.5790296917138651</v>
      </c>
      <c r="F8532" s="8" t="str">
        <f>HYPERLINK("https://esbl.nhlbi.nih.gov/Databases/mpkFractions/proteomic_fractions_log_files/Yang_log_img/90093343.jpg","show blot")</f>
        <v>show blot</v>
      </c>
      <c r="H8532" s="8" t="str">
        <f>HYPERLINK("https://esbl.nhlbi.nih.gov/Databases/mpkFractions/proteomic_fractions_linear_files/Yang_linear_img/90093343.jpg","show blot")</f>
        <v>show blot</v>
      </c>
      <c r="J8532" s="5" t="s">
        <v>16811</v>
      </c>
      <c r="L8532" s="11">
        <v>4.5790296917138651</v>
      </c>
      <c r="N8532" s="12"/>
    </row>
    <row r="8533" spans="1:14" s="5" customFormat="1" ht="15" customHeight="1" x14ac:dyDescent="0.25">
      <c r="A8533" s="9" t="s">
        <v>16812</v>
      </c>
      <c r="C8533" s="9" t="str">
        <f>HYPERLINK("http://www.ncbi.nlm.nih.gov/protein/343098457","1700055N04Rik")</f>
        <v>1700055N04Rik</v>
      </c>
      <c r="D8533" s="10">
        <f t="shared" si="133"/>
        <v>5.2311279180629242</v>
      </c>
      <c r="F8533" s="8" t="str">
        <f>HYPERLINK("https://esbl.nhlbi.nih.gov/Databases/mpkFractions/proteomic_fractions_log_files/Yang_log_img/343098457.jpg","show blot")</f>
        <v>show blot</v>
      </c>
      <c r="H8533" s="8" t="str">
        <f>HYPERLINK("https://esbl.nhlbi.nih.gov/Databases/mpkFractions/proteomic_fractions_linear_files/Yang_linear_img/343098457.jpg","show blot")</f>
        <v>show blot</v>
      </c>
      <c r="J8533" s="5" t="s">
        <v>16813</v>
      </c>
      <c r="L8533" s="11">
        <v>5.2311279180629242</v>
      </c>
      <c r="N8533" s="12"/>
    </row>
    <row r="8534" spans="1:14" s="5" customFormat="1" ht="15" customHeight="1" x14ac:dyDescent="0.25">
      <c r="A8534" s="9" t="s">
        <v>16814</v>
      </c>
      <c r="C8534" s="9" t="str">
        <f>HYPERLINK("http://www.ncbi.nlm.nih.gov/protein/85702063","1700071K01Rik")</f>
        <v>1700071K01Rik</v>
      </c>
      <c r="D8534" s="10">
        <f t="shared" si="133"/>
        <v>6.2083894610144794</v>
      </c>
      <c r="F8534" s="8" t="str">
        <f>HYPERLINK("https://esbl.nhlbi.nih.gov/Databases/mpkFractions/proteomic_fractions_log_files/Yang_log_img/85702063.jpg","show blot")</f>
        <v>show blot</v>
      </c>
      <c r="H8534" s="8" t="str">
        <f>HYPERLINK("https://esbl.nhlbi.nih.gov/Databases/mpkFractions/proteomic_fractions_linear_files/Yang_linear_img/85702063.jpg","show blot")</f>
        <v>show blot</v>
      </c>
      <c r="J8534" s="5" t="s">
        <v>16815</v>
      </c>
      <c r="L8534" s="11">
        <v>6.2083894610144794</v>
      </c>
      <c r="N8534" s="12"/>
    </row>
    <row r="8535" spans="1:14" s="5" customFormat="1" ht="15" customHeight="1" x14ac:dyDescent="0.25">
      <c r="A8535" s="9" t="s">
        <v>16816</v>
      </c>
      <c r="C8535" s="9" t="str">
        <f>HYPERLINK("http://www.ncbi.nlm.nih.gov/protein/227500514","1700080E11Rik")</f>
        <v>1700080E11Rik</v>
      </c>
      <c r="D8535" s="10">
        <f t="shared" si="133"/>
        <v>2.2500871670784739</v>
      </c>
      <c r="F8535" s="8" t="str">
        <f>HYPERLINK("https://esbl.nhlbi.nih.gov/Databases/mpkFractions/proteomic_fractions_log_files/Yang_log_img/227500514.jpg","show blot")</f>
        <v>show blot</v>
      </c>
      <c r="H8535" s="8" t="str">
        <f>HYPERLINK("https://esbl.nhlbi.nih.gov/Databases/mpkFractions/proteomic_fractions_linear_files/Yang_linear_img/227500514.jpg","show blot")</f>
        <v>show blot</v>
      </c>
      <c r="J8535" s="5" t="s">
        <v>16817</v>
      </c>
      <c r="L8535" s="11">
        <v>2.2500871670784739</v>
      </c>
      <c r="N8535" s="12"/>
    </row>
    <row r="8536" spans="1:14" s="5" customFormat="1" ht="15" customHeight="1" x14ac:dyDescent="0.25">
      <c r="A8536" s="9" t="s">
        <v>16818</v>
      </c>
      <c r="C8536" s="9" t="str">
        <f>HYPERLINK("http://www.ncbi.nlm.nih.gov/protein/13384876","1810009A15Rik")</f>
        <v>1810009A15Rik</v>
      </c>
      <c r="D8536" s="10">
        <f t="shared" si="133"/>
        <v>5.3752169907387497</v>
      </c>
      <c r="F8536" s="8" t="str">
        <f>HYPERLINK("https://esbl.nhlbi.nih.gov/Databases/mpkFractions/proteomic_fractions_log_files/Yang_log_img/13384876.jpg","show blot")</f>
        <v>show blot</v>
      </c>
      <c r="H8536" s="8" t="str">
        <f>HYPERLINK("https://esbl.nhlbi.nih.gov/Databases/mpkFractions/proteomic_fractions_linear_files/Yang_linear_img/13384876.jpg","show blot")</f>
        <v>show blot</v>
      </c>
      <c r="J8536" s="5" t="s">
        <v>16819</v>
      </c>
      <c r="L8536" s="11">
        <v>5.3752169907387497</v>
      </c>
      <c r="N8536" s="12"/>
    </row>
    <row r="8537" spans="1:14" s="5" customFormat="1" ht="15" customHeight="1" x14ac:dyDescent="0.25">
      <c r="A8537" s="9" t="s">
        <v>16820</v>
      </c>
      <c r="C8537" s="9" t="str">
        <f>HYPERLINK("http://www.ncbi.nlm.nih.gov/protein/21729757","1810009N02Rik")</f>
        <v>1810009N02Rik</v>
      </c>
      <c r="D8537" s="10">
        <f t="shared" si="133"/>
        <v>4.4350150153490269</v>
      </c>
      <c r="F8537" s="8" t="str">
        <f>HYPERLINK("https://esbl.nhlbi.nih.gov/Databases/mpkFractions/proteomic_fractions_log_files/Yang_log_img/21729757.jpg","show blot")</f>
        <v>show blot</v>
      </c>
      <c r="H8537" s="8" t="str">
        <f>HYPERLINK("https://esbl.nhlbi.nih.gov/Databases/mpkFractions/proteomic_fractions_linear_files/Yang_linear_img/21729757.jpg","show blot")</f>
        <v>show blot</v>
      </c>
      <c r="J8537" s="5" t="s">
        <v>16821</v>
      </c>
      <c r="L8537" s="11">
        <v>4.4350150153490269</v>
      </c>
      <c r="N8537" s="12"/>
    </row>
    <row r="8538" spans="1:14" s="5" customFormat="1" ht="15" customHeight="1" x14ac:dyDescent="0.25">
      <c r="A8538" s="9" t="s">
        <v>16822</v>
      </c>
      <c r="C8538" s="9" t="str">
        <f>HYPERLINK("http://www.ncbi.nlm.nih.gov/protein/153791234","1810022K09Rik")</f>
        <v>1810022K09Rik</v>
      </c>
      <c r="D8538" s="10" t="str">
        <f t="shared" si="133"/>
        <v>-</v>
      </c>
      <c r="F8538" s="8" t="str">
        <f>HYPERLINK("https://esbl.nhlbi.nih.gov/Databases/mpkFractions/proteomic_fractions_log_files/Yang_log_img/153791234.jpg","show blot")</f>
        <v>show blot</v>
      </c>
      <c r="H8538" s="8" t="str">
        <f>HYPERLINK("https://esbl.nhlbi.nih.gov/Databases/mpkFractions/proteomic_fractions_linear_files/Yang_linear_img/153791234.jpg","show blot")</f>
        <v>show blot</v>
      </c>
      <c r="J8538" s="5" t="s">
        <v>16823</v>
      </c>
      <c r="L8538" s="13" t="s">
        <v>389</v>
      </c>
      <c r="N8538" s="12"/>
    </row>
    <row r="8539" spans="1:14" s="5" customFormat="1" ht="15" customHeight="1" x14ac:dyDescent="0.25">
      <c r="A8539" s="9" t="s">
        <v>16824</v>
      </c>
      <c r="C8539" s="9" t="str">
        <f>HYPERLINK("http://www.ncbi.nlm.nih.gov/protein/30519953","1810026J23Rik")</f>
        <v>1810026J23Rik</v>
      </c>
      <c r="D8539" s="10">
        <f t="shared" si="133"/>
        <v>4.0055146878152161</v>
      </c>
      <c r="F8539" s="8" t="str">
        <f>HYPERLINK("https://esbl.nhlbi.nih.gov/Databases/mpkFractions/proteomic_fractions_log_files/Yang_log_img/30519953.jpg","show blot")</f>
        <v>show blot</v>
      </c>
      <c r="H8539" s="8" t="str">
        <f>HYPERLINK("https://esbl.nhlbi.nih.gov/Databases/mpkFractions/proteomic_fractions_linear_files/Yang_linear_img/30519953.jpg","show blot")</f>
        <v>show blot</v>
      </c>
      <c r="J8539" s="5" t="s">
        <v>16825</v>
      </c>
      <c r="L8539" s="11">
        <v>4.0055146878152161</v>
      </c>
      <c r="N8539" s="12"/>
    </row>
    <row r="8540" spans="1:14" s="5" customFormat="1" ht="15" customHeight="1" x14ac:dyDescent="0.25">
      <c r="A8540" s="9" t="s">
        <v>16826</v>
      </c>
      <c r="C8540" s="9" t="str">
        <f>HYPERLINK("http://www.ncbi.nlm.nih.gov/protein/21313570","1810037I17Rik")</f>
        <v>1810037I17Rik</v>
      </c>
      <c r="D8540" s="10">
        <f t="shared" si="133"/>
        <v>4.4904852916411722</v>
      </c>
      <c r="F8540" s="8" t="str">
        <f>HYPERLINK("https://esbl.nhlbi.nih.gov/Databases/mpkFractions/proteomic_fractions_log_files/Yang_log_img/21313570.jpg","show blot")</f>
        <v>show blot</v>
      </c>
      <c r="H8540" s="8" t="str">
        <f>HYPERLINK("https://esbl.nhlbi.nih.gov/Databases/mpkFractions/proteomic_fractions_linear_files/Yang_linear_img/21313570.jpg","show blot")</f>
        <v>show blot</v>
      </c>
      <c r="J8540" s="5" t="s">
        <v>16827</v>
      </c>
      <c r="L8540" s="11">
        <v>4.4904852916411722</v>
      </c>
      <c r="N8540" s="12"/>
    </row>
    <row r="8541" spans="1:14" s="5" customFormat="1" ht="15" customHeight="1" x14ac:dyDescent="0.25">
      <c r="A8541" s="9" t="s">
        <v>16828</v>
      </c>
      <c r="C8541" s="9" t="str">
        <f>HYPERLINK("http://www.ncbi.nlm.nih.gov/protein/74315955","2010002M12Rik")</f>
        <v>2010002M12Rik</v>
      </c>
      <c r="D8541" s="10">
        <f t="shared" si="133"/>
        <v>3.798964858960066</v>
      </c>
      <c r="F8541" s="8" t="str">
        <f>HYPERLINK("https://esbl.nhlbi.nih.gov/Databases/mpkFractions/proteomic_fractions_log_files/Yang_log_img/74315955.jpg","show blot")</f>
        <v>show blot</v>
      </c>
      <c r="H8541" s="8" t="str">
        <f>HYPERLINK("https://esbl.nhlbi.nih.gov/Databases/mpkFractions/proteomic_fractions_linear_files/Yang_linear_img/74315955.jpg","show blot")</f>
        <v>show blot</v>
      </c>
      <c r="J8541" s="5" t="s">
        <v>16829</v>
      </c>
      <c r="L8541" s="11">
        <v>3.798964858960066</v>
      </c>
      <c r="N8541" s="12"/>
    </row>
    <row r="8542" spans="1:14" s="5" customFormat="1" ht="15" customHeight="1" x14ac:dyDescent="0.25">
      <c r="A8542" s="9" t="s">
        <v>16830</v>
      </c>
      <c r="C8542" s="9" t="str">
        <f>HYPERLINK("http://www.ncbi.nlm.nih.gov/protein/13385000","2010012O05Rik")</f>
        <v>2010012O05Rik</v>
      </c>
      <c r="D8542" s="10">
        <f t="shared" si="133"/>
        <v>3.4155472117448409</v>
      </c>
      <c r="F8542" s="8" t="str">
        <f>HYPERLINK("https://esbl.nhlbi.nih.gov/Databases/mpkFractions/proteomic_fractions_log_files/Yang_log_img/13385000.jpg","show blot")</f>
        <v>show blot</v>
      </c>
      <c r="H8542" s="8" t="str">
        <f>HYPERLINK("https://esbl.nhlbi.nih.gov/Databases/mpkFractions/proteomic_fractions_linear_files/Yang_linear_img/13385000.jpg","show blot")</f>
        <v>show blot</v>
      </c>
      <c r="J8542" s="5" t="s">
        <v>16831</v>
      </c>
      <c r="L8542" s="11">
        <v>3.4155472117448409</v>
      </c>
      <c r="N8542" s="12"/>
    </row>
    <row r="8543" spans="1:14" s="5" customFormat="1" ht="15" customHeight="1" x14ac:dyDescent="0.25">
      <c r="A8543" s="9" t="s">
        <v>16832</v>
      </c>
      <c r="C8543" s="9" t="str">
        <f>HYPERLINK("http://www.ncbi.nlm.nih.gov/protein/21312554","2010107E04Rik")</f>
        <v>2010107E04Rik</v>
      </c>
      <c r="D8543" s="10">
        <f t="shared" si="133"/>
        <v>5.0257139714050938</v>
      </c>
      <c r="F8543" s="8" t="str">
        <f>HYPERLINK("https://esbl.nhlbi.nih.gov/Databases/mpkFractions/proteomic_fractions_log_files/Yang_log_img/21312554.jpg","show blot")</f>
        <v>show blot</v>
      </c>
      <c r="H8543" s="8" t="str">
        <f>HYPERLINK("https://esbl.nhlbi.nih.gov/Databases/mpkFractions/proteomic_fractions_linear_files/Yang_linear_img/21312554.jpg","show blot")</f>
        <v>show blot</v>
      </c>
      <c r="J8543" s="5" t="s">
        <v>16833</v>
      </c>
      <c r="L8543" s="11">
        <v>5.0257139714050938</v>
      </c>
      <c r="N8543" s="12"/>
    </row>
    <row r="8544" spans="1:14" s="5" customFormat="1" ht="15" customHeight="1" x14ac:dyDescent="0.25">
      <c r="A8544" s="9" t="s">
        <v>16834</v>
      </c>
      <c r="C8544" s="9" t="str">
        <f>HYPERLINK("http://www.ncbi.nlm.nih.gov/protein/21312460","2010107G23Rik")</f>
        <v>2010107G23Rik</v>
      </c>
      <c r="D8544" s="10">
        <f t="shared" si="133"/>
        <v>4.8796837214974342</v>
      </c>
      <c r="F8544" s="8" t="str">
        <f>HYPERLINK("https://esbl.nhlbi.nih.gov/Databases/mpkFractions/proteomic_fractions_log_files/Yang_log_img/21312460.jpg","show blot")</f>
        <v>show blot</v>
      </c>
      <c r="H8544" s="8" t="str">
        <f>HYPERLINK("https://esbl.nhlbi.nih.gov/Databases/mpkFractions/proteomic_fractions_linear_files/Yang_linear_img/21312460.jpg","show blot")</f>
        <v>show blot</v>
      </c>
      <c r="J8544" s="5" t="s">
        <v>16835</v>
      </c>
      <c r="L8544" s="11">
        <v>4.8796837214974342</v>
      </c>
      <c r="N8544" s="12"/>
    </row>
    <row r="8545" spans="1:14" s="5" customFormat="1" ht="15" customHeight="1" x14ac:dyDescent="0.25">
      <c r="A8545" s="9" t="s">
        <v>16836</v>
      </c>
      <c r="C8545" s="9" t="str">
        <f>HYPERLINK("http://www.ncbi.nlm.nih.gov/protein/254675126","2010300C02Rik")</f>
        <v>2010300C02Rik</v>
      </c>
      <c r="D8545" s="10">
        <f t="shared" si="133"/>
        <v>4.9654873798215311</v>
      </c>
      <c r="F8545" s="8" t="str">
        <f>HYPERLINK("https://esbl.nhlbi.nih.gov/Databases/mpkFractions/proteomic_fractions_log_files/Yang_log_img/254675126.jpg","show blot")</f>
        <v>show blot</v>
      </c>
      <c r="H8545" s="8" t="str">
        <f>HYPERLINK("https://esbl.nhlbi.nih.gov/Databases/mpkFractions/proteomic_fractions_linear_files/Yang_linear_img/254675126.jpg","show blot")</f>
        <v>show blot</v>
      </c>
      <c r="J8545" s="5" t="s">
        <v>16837</v>
      </c>
      <c r="L8545" s="11">
        <v>4.9654873798215311</v>
      </c>
      <c r="N8545" s="12"/>
    </row>
    <row r="8546" spans="1:14" s="5" customFormat="1" ht="15" customHeight="1" x14ac:dyDescent="0.25">
      <c r="A8546" s="9" t="s">
        <v>16838</v>
      </c>
      <c r="C8546" s="9" t="str">
        <f>HYPERLINK("http://www.ncbi.nlm.nih.gov/protein/82918901","2210011C24Rik")</f>
        <v>2210011C24Rik</v>
      </c>
      <c r="D8546" s="10">
        <f t="shared" si="133"/>
        <v>3.4431745205050022</v>
      </c>
      <c r="F8546" s="8" t="str">
        <f>HYPERLINK("https://esbl.nhlbi.nih.gov/Databases/mpkFractions/proteomic_fractions_log_files/Yang_log_img/82918901.jpg","show blot")</f>
        <v>show blot</v>
      </c>
      <c r="H8546" s="8" t="str">
        <f>HYPERLINK("https://esbl.nhlbi.nih.gov/Databases/mpkFractions/proteomic_fractions_linear_files/Yang_linear_img/82918901.jpg","show blot")</f>
        <v>show blot</v>
      </c>
      <c r="J8546" s="5" t="s">
        <v>16839</v>
      </c>
      <c r="L8546" s="11">
        <v>3.4431745205050022</v>
      </c>
      <c r="N8546" s="12"/>
    </row>
    <row r="8547" spans="1:14" s="5" customFormat="1" ht="15" customHeight="1" x14ac:dyDescent="0.25">
      <c r="A8547" s="9" t="s">
        <v>16840</v>
      </c>
      <c r="C8547" s="9" t="str">
        <f>HYPERLINK("http://www.ncbi.nlm.nih.gov/protein/39930441","2210016L21Rik")</f>
        <v>2210016L21Rik</v>
      </c>
      <c r="D8547" s="10">
        <f t="shared" si="133"/>
        <v>3.8278292230464959</v>
      </c>
      <c r="F8547" s="8" t="str">
        <f>HYPERLINK("https://esbl.nhlbi.nih.gov/Databases/mpkFractions/proteomic_fractions_log_files/Yang_log_img/39930441.jpg","show blot")</f>
        <v>show blot</v>
      </c>
      <c r="H8547" s="8" t="str">
        <f>HYPERLINK("https://esbl.nhlbi.nih.gov/Databases/mpkFractions/proteomic_fractions_linear_files/Yang_linear_img/39930441.jpg","show blot")</f>
        <v>show blot</v>
      </c>
      <c r="J8547" s="5" t="s">
        <v>16841</v>
      </c>
      <c r="L8547" s="11">
        <v>3.8278292230464959</v>
      </c>
      <c r="N8547" s="12"/>
    </row>
    <row r="8548" spans="1:14" s="5" customFormat="1" ht="15" customHeight="1" x14ac:dyDescent="0.25">
      <c r="A8548" s="9" t="s">
        <v>16842</v>
      </c>
      <c r="C8548" s="9" t="str">
        <f>HYPERLINK("http://www.ncbi.nlm.nih.gov/protein/229576965","2310007B03Rik")</f>
        <v>2310007B03Rik</v>
      </c>
      <c r="D8548" s="10">
        <f t="shared" si="133"/>
        <v>1.0806264869218061</v>
      </c>
      <c r="F8548" s="8" t="str">
        <f>HYPERLINK("https://esbl.nhlbi.nih.gov/Databases/mpkFractions/proteomic_fractions_log_files/Yang_log_img/229576965.jpg","show blot")</f>
        <v>show blot</v>
      </c>
      <c r="H8548" s="8" t="str">
        <f>HYPERLINK("https://esbl.nhlbi.nih.gov/Databases/mpkFractions/proteomic_fractions_linear_files/Yang_linear_img/229576965.jpg","show blot")</f>
        <v>show blot</v>
      </c>
      <c r="J8548" s="5" t="s">
        <v>16843</v>
      </c>
      <c r="L8548" s="11">
        <v>1.0806264869218061</v>
      </c>
      <c r="N8548" s="12"/>
    </row>
    <row r="8549" spans="1:14" s="5" customFormat="1" ht="15" customHeight="1" x14ac:dyDescent="0.25">
      <c r="A8549" s="9" t="s">
        <v>16844</v>
      </c>
      <c r="C8549" s="9" t="str">
        <f>HYPERLINK("http://www.ncbi.nlm.nih.gov/protein/21313500","2310011J03Rik")</f>
        <v>2310011J03Rik</v>
      </c>
      <c r="D8549" s="10">
        <f t="shared" si="133"/>
        <v>4.5166683295284979</v>
      </c>
      <c r="F8549" s="8" t="str">
        <f>HYPERLINK("https://esbl.nhlbi.nih.gov/Databases/mpkFractions/proteomic_fractions_log_files/Yang_log_img/21313500.jpg","show blot")</f>
        <v>show blot</v>
      </c>
      <c r="H8549" s="8" t="str">
        <f>HYPERLINK("https://esbl.nhlbi.nih.gov/Databases/mpkFractions/proteomic_fractions_linear_files/Yang_linear_img/21313500.jpg","show blot")</f>
        <v>show blot</v>
      </c>
      <c r="J8549" s="5" t="s">
        <v>16845</v>
      </c>
      <c r="L8549" s="11">
        <v>4.5166683295284979</v>
      </c>
      <c r="N8549" s="12"/>
    </row>
    <row r="8550" spans="1:14" s="5" customFormat="1" ht="15" customHeight="1" x14ac:dyDescent="0.25">
      <c r="A8550" s="9" t="s">
        <v>16846</v>
      </c>
      <c r="C8550" s="9" t="str">
        <f>HYPERLINK("http://www.ncbi.nlm.nih.gov/protein/13259376","2310033P09Rik")</f>
        <v>2310033P09Rik</v>
      </c>
      <c r="D8550" s="10">
        <f t="shared" si="133"/>
        <v>4.5998552940293536</v>
      </c>
      <c r="F8550" s="8" t="str">
        <f>HYPERLINK("https://esbl.nhlbi.nih.gov/Databases/mpkFractions/proteomic_fractions_log_files/Yang_log_img/13259376.jpg","show blot")</f>
        <v>show blot</v>
      </c>
      <c r="H8550" s="8" t="str">
        <f>HYPERLINK("https://esbl.nhlbi.nih.gov/Databases/mpkFractions/proteomic_fractions_linear_files/Yang_linear_img/13259376.jpg","show blot")</f>
        <v>show blot</v>
      </c>
      <c r="J8550" s="5" t="s">
        <v>16847</v>
      </c>
      <c r="L8550" s="11">
        <v>4.5998552940293536</v>
      </c>
      <c r="N8550" s="12"/>
    </row>
    <row r="8551" spans="1:14" s="5" customFormat="1" ht="15" customHeight="1" x14ac:dyDescent="0.25">
      <c r="A8551" s="9" t="s">
        <v>16848</v>
      </c>
      <c r="C8551" s="9" t="str">
        <f>HYPERLINK("http://www.ncbi.nlm.nih.gov/protein/170014744","2310035C23Rik")</f>
        <v>2310035C23Rik</v>
      </c>
      <c r="D8551" s="10">
        <f t="shared" si="133"/>
        <v>4.08425414078686</v>
      </c>
      <c r="F8551" s="8" t="str">
        <f>HYPERLINK("https://esbl.nhlbi.nih.gov/Databases/mpkFractions/proteomic_fractions_log_files/Yang_log_img/170014744.jpg","show blot")</f>
        <v>show blot</v>
      </c>
      <c r="H8551" s="8" t="str">
        <f>HYPERLINK("https://esbl.nhlbi.nih.gov/Databases/mpkFractions/proteomic_fractions_linear_files/Yang_linear_img/170014744.jpg","show blot")</f>
        <v>show blot</v>
      </c>
      <c r="J8551" s="5" t="s">
        <v>16849</v>
      </c>
      <c r="L8551" s="11">
        <v>4.08425414078686</v>
      </c>
      <c r="N8551" s="12"/>
    </row>
    <row r="8552" spans="1:14" s="5" customFormat="1" ht="15" customHeight="1" x14ac:dyDescent="0.25">
      <c r="A8552" s="9" t="s">
        <v>16850</v>
      </c>
      <c r="C8552" s="9" t="str">
        <f>HYPERLINK("http://www.ncbi.nlm.nih.gov/protein/170014746","2310035C23Rik")</f>
        <v>2310035C23Rik</v>
      </c>
      <c r="D8552" s="10">
        <f t="shared" si="133"/>
        <v>4.08425414078686</v>
      </c>
      <c r="F8552" s="8" t="str">
        <f>HYPERLINK("https://esbl.nhlbi.nih.gov/Databases/mpkFractions/proteomic_fractions_log_files/Yang_log_img/170014746.jpg","show blot")</f>
        <v>show blot</v>
      </c>
      <c r="H8552" s="8" t="str">
        <f>HYPERLINK("https://esbl.nhlbi.nih.gov/Databases/mpkFractions/proteomic_fractions_linear_files/Yang_linear_img/170014746.jpg","show blot")</f>
        <v>show blot</v>
      </c>
      <c r="J8552" s="5" t="s">
        <v>16851</v>
      </c>
      <c r="L8552" s="11">
        <v>4.08425414078686</v>
      </c>
      <c r="N8552" s="12"/>
    </row>
    <row r="8553" spans="1:14" s="5" customFormat="1" ht="15" customHeight="1" x14ac:dyDescent="0.25">
      <c r="A8553" s="9" t="s">
        <v>16852</v>
      </c>
      <c r="C8553" s="9" t="str">
        <f>HYPERLINK("http://www.ncbi.nlm.nih.gov/protein/85362708","2310036O22Rik")</f>
        <v>2310036O22Rik</v>
      </c>
      <c r="D8553" s="10">
        <f t="shared" si="133"/>
        <v>4.6908720619013833</v>
      </c>
      <c r="F8553" s="8" t="str">
        <f>HYPERLINK("https://esbl.nhlbi.nih.gov/Databases/mpkFractions/proteomic_fractions_log_files/Yang_log_img/85362708.jpg","show blot")</f>
        <v>show blot</v>
      </c>
      <c r="H8553" s="8" t="str">
        <f>HYPERLINK("https://esbl.nhlbi.nih.gov/Databases/mpkFractions/proteomic_fractions_linear_files/Yang_linear_img/85362708.jpg","show blot")</f>
        <v>show blot</v>
      </c>
      <c r="J8553" s="5" t="s">
        <v>16853</v>
      </c>
      <c r="L8553" s="11">
        <v>4.6908720619013833</v>
      </c>
      <c r="N8553" s="12"/>
    </row>
    <row r="8554" spans="1:14" s="5" customFormat="1" ht="15" customHeight="1" x14ac:dyDescent="0.25">
      <c r="A8554" s="9" t="s">
        <v>16854</v>
      </c>
      <c r="C8554" s="9" t="str">
        <f>HYPERLINK("http://www.ncbi.nlm.nih.gov/protein/13385462","2310039H08Rik")</f>
        <v>2310039H08Rik</v>
      </c>
      <c r="D8554" s="10">
        <f t="shared" si="133"/>
        <v>4.1880945846104858</v>
      </c>
      <c r="F8554" s="8" t="str">
        <f>HYPERLINK("https://esbl.nhlbi.nih.gov/Databases/mpkFractions/proteomic_fractions_log_files/Yang_log_img/13385462.jpg","show blot")</f>
        <v>show blot</v>
      </c>
      <c r="H8554" s="8" t="str">
        <f>HYPERLINK("https://esbl.nhlbi.nih.gov/Databases/mpkFractions/proteomic_fractions_linear_files/Yang_linear_img/13385462.jpg","show blot")</f>
        <v>show blot</v>
      </c>
      <c r="J8554" s="5" t="s">
        <v>16855</v>
      </c>
      <c r="L8554" s="11">
        <v>4.1880945846104858</v>
      </c>
      <c r="N8554" s="12"/>
    </row>
    <row r="8555" spans="1:14" s="5" customFormat="1" ht="15" customHeight="1" x14ac:dyDescent="0.25">
      <c r="A8555" s="9" t="s">
        <v>16856</v>
      </c>
      <c r="C8555" s="9" t="str">
        <f>HYPERLINK("http://www.ncbi.nlm.nih.gov/protein/120952555","2310047M10Rik")</f>
        <v>2310047M10Rik</v>
      </c>
      <c r="D8555" s="10">
        <f t="shared" si="133"/>
        <v>2.2412055797992401</v>
      </c>
      <c r="F8555" s="8" t="str">
        <f>HYPERLINK("https://esbl.nhlbi.nih.gov/Databases/mpkFractions/proteomic_fractions_log_files/Yang_log_img/120952555.jpg","show blot")</f>
        <v>show blot</v>
      </c>
      <c r="H8555" s="8" t="str">
        <f>HYPERLINK("https://esbl.nhlbi.nih.gov/Databases/mpkFractions/proteomic_fractions_linear_files/Yang_linear_img/120952555.jpg","show blot")</f>
        <v>show blot</v>
      </c>
      <c r="J8555" s="5" t="s">
        <v>16857</v>
      </c>
      <c r="L8555" s="11">
        <v>2.2412055797992401</v>
      </c>
      <c r="N8555" s="12"/>
    </row>
    <row r="8556" spans="1:14" s="5" customFormat="1" ht="15" customHeight="1" x14ac:dyDescent="0.25">
      <c r="A8556" s="9" t="s">
        <v>16858</v>
      </c>
      <c r="C8556" s="9" t="str">
        <f>HYPERLINK("http://www.ncbi.nlm.nih.gov/protein/262072980","2410002F23Rik")</f>
        <v>2410002F23Rik</v>
      </c>
      <c r="D8556" s="10">
        <f t="shared" si="133"/>
        <v>3.709164381813074</v>
      </c>
      <c r="F8556" s="8" t="str">
        <f>HYPERLINK("https://esbl.nhlbi.nih.gov/Databases/mpkFractions/proteomic_fractions_log_files/Yang_log_img/262072980.jpg","show blot")</f>
        <v>show blot</v>
      </c>
      <c r="H8556" s="8" t="str">
        <f>HYPERLINK("https://esbl.nhlbi.nih.gov/Databases/mpkFractions/proteomic_fractions_linear_files/Yang_linear_img/262072980.jpg","show blot")</f>
        <v>show blot</v>
      </c>
      <c r="J8556" s="5" t="s">
        <v>16859</v>
      </c>
      <c r="L8556" s="11">
        <v>3.709164381813074</v>
      </c>
      <c r="N8556" s="12"/>
    </row>
    <row r="8557" spans="1:14" s="5" customFormat="1" ht="15" customHeight="1" x14ac:dyDescent="0.25">
      <c r="A8557" s="9" t="s">
        <v>16860</v>
      </c>
      <c r="C8557" s="9" t="str">
        <f>HYPERLINK("http://www.ncbi.nlm.nih.gov/protein/13384984","2410004B18Rik")</f>
        <v>2410004B18Rik</v>
      </c>
      <c r="D8557" s="10">
        <f t="shared" si="133"/>
        <v>4.397992406125371</v>
      </c>
      <c r="F8557" s="8" t="str">
        <f>HYPERLINK("https://esbl.nhlbi.nih.gov/Databases/mpkFractions/proteomic_fractions_log_files/Yang_log_img/13384984.jpg","show blot")</f>
        <v>show blot</v>
      </c>
      <c r="H8557" s="8" t="str">
        <f>HYPERLINK("https://esbl.nhlbi.nih.gov/Databases/mpkFractions/proteomic_fractions_linear_files/Yang_linear_img/13384984.jpg","show blot")</f>
        <v>show blot</v>
      </c>
      <c r="J8557" s="5" t="s">
        <v>16861</v>
      </c>
      <c r="L8557" s="11">
        <v>4.397992406125371</v>
      </c>
      <c r="N8557" s="12"/>
    </row>
    <row r="8558" spans="1:14" s="5" customFormat="1" ht="15" customHeight="1" x14ac:dyDescent="0.25">
      <c r="A8558" s="9" t="s">
        <v>16862</v>
      </c>
      <c r="C8558" s="9" t="str">
        <f>HYPERLINK("http://www.ncbi.nlm.nih.gov/protein/134053873","2410018M08Rik")</f>
        <v>2410018M08Rik</v>
      </c>
      <c r="D8558" s="10">
        <f t="shared" si="133"/>
        <v>4.1742944648646683</v>
      </c>
      <c r="F8558" s="8" t="str">
        <f>HYPERLINK("https://esbl.nhlbi.nih.gov/Databases/mpkFractions/proteomic_fractions_log_files/Yang_log_img/134053873.jpg","show blot")</f>
        <v>show blot</v>
      </c>
      <c r="H8558" s="8" t="str">
        <f>HYPERLINK("https://esbl.nhlbi.nih.gov/Databases/mpkFractions/proteomic_fractions_linear_files/Yang_linear_img/134053873.jpg","show blot")</f>
        <v>show blot</v>
      </c>
      <c r="J8558" s="5" t="s">
        <v>16863</v>
      </c>
      <c r="L8558" s="11">
        <v>4.1742944648646683</v>
      </c>
      <c r="N8558" s="12"/>
    </row>
    <row r="8559" spans="1:14" s="5" customFormat="1" ht="15" customHeight="1" x14ac:dyDescent="0.25">
      <c r="A8559" s="9" t="s">
        <v>16864</v>
      </c>
      <c r="C8559" s="9" t="str">
        <f>HYPERLINK("http://www.ncbi.nlm.nih.gov/protein/407262392","2410127L17Rik")</f>
        <v>2410127L17Rik</v>
      </c>
      <c r="D8559" s="10">
        <f t="shared" si="133"/>
        <v>4.0342510607086481</v>
      </c>
      <c r="F8559" s="8" t="str">
        <f>HYPERLINK("https://esbl.nhlbi.nih.gov/Databases/mpkFractions/proteomic_fractions_log_files/Yang_log_img/407262392.jpg","show blot")</f>
        <v>show blot</v>
      </c>
      <c r="H8559" s="8" t="str">
        <f>HYPERLINK("https://esbl.nhlbi.nih.gov/Databases/mpkFractions/proteomic_fractions_linear_files/Yang_linear_img/407262392.jpg","show blot")</f>
        <v>show blot</v>
      </c>
      <c r="J8559" s="5" t="s">
        <v>16865</v>
      </c>
      <c r="L8559" s="11">
        <v>4.0342510607086481</v>
      </c>
      <c r="N8559" s="12"/>
    </row>
    <row r="8560" spans="1:14" s="5" customFormat="1" ht="15" customHeight="1" x14ac:dyDescent="0.25">
      <c r="A8560" s="9" t="s">
        <v>16866</v>
      </c>
      <c r="C8560" s="9" t="str">
        <f>HYPERLINK("http://www.ncbi.nlm.nih.gov/protein/407262394","2410127L17Rik")</f>
        <v>2410127L17Rik</v>
      </c>
      <c r="D8560" s="10">
        <f t="shared" si="133"/>
        <v>4.0342510607086481</v>
      </c>
      <c r="F8560" s="8" t="str">
        <f>HYPERLINK("https://esbl.nhlbi.nih.gov/Databases/mpkFractions/proteomic_fractions_log_files/Yang_log_img/407262394.jpg","show blot")</f>
        <v>show blot</v>
      </c>
      <c r="H8560" s="8" t="str">
        <f>HYPERLINK("https://esbl.nhlbi.nih.gov/Databases/mpkFractions/proteomic_fractions_linear_files/Yang_linear_img/407262394.jpg","show blot")</f>
        <v>show blot</v>
      </c>
      <c r="J8560" s="5" t="s">
        <v>16867</v>
      </c>
      <c r="L8560" s="11">
        <v>4.0342510607086481</v>
      </c>
      <c r="N8560" s="12"/>
    </row>
    <row r="8561" spans="1:14" s="5" customFormat="1" ht="15" customHeight="1" x14ac:dyDescent="0.25">
      <c r="A8561" s="9" t="s">
        <v>16868</v>
      </c>
      <c r="C8561" s="9" t="str">
        <f>HYPERLINK("http://www.ncbi.nlm.nih.gov/protein/407262390","2410127L17Rik")</f>
        <v>2410127L17Rik</v>
      </c>
      <c r="D8561" s="10">
        <f t="shared" si="133"/>
        <v>4.0342510607086481</v>
      </c>
      <c r="F8561" s="8" t="str">
        <f>HYPERLINK("https://esbl.nhlbi.nih.gov/Databases/mpkFractions/proteomic_fractions_log_files/Yang_log_img/407262390.jpg","show blot")</f>
        <v>show blot</v>
      </c>
      <c r="H8561" s="8" t="str">
        <f>HYPERLINK("https://esbl.nhlbi.nih.gov/Databases/mpkFractions/proteomic_fractions_linear_files/Yang_linear_img/407262390.jpg","show blot")</f>
        <v>show blot</v>
      </c>
      <c r="J8561" s="5" t="s">
        <v>16869</v>
      </c>
      <c r="L8561" s="11">
        <v>4.0342510607086481</v>
      </c>
      <c r="N8561" s="12"/>
    </row>
    <row r="8562" spans="1:14" s="5" customFormat="1" ht="15" customHeight="1" x14ac:dyDescent="0.25">
      <c r="A8562" s="9" t="s">
        <v>16870</v>
      </c>
      <c r="C8562" s="9" t="str">
        <f>HYPERLINK("http://www.ncbi.nlm.nih.gov/protein/85701660","2510002D24Rik")</f>
        <v>2510002D24Rik</v>
      </c>
      <c r="D8562" s="10">
        <f t="shared" si="133"/>
        <v>1.7004152452101999</v>
      </c>
      <c r="F8562" s="8" t="str">
        <f>HYPERLINK("https://esbl.nhlbi.nih.gov/Databases/mpkFractions/proteomic_fractions_log_files/Yang_log_img/85701660.jpg","show blot")</f>
        <v>show blot</v>
      </c>
      <c r="H8562" s="8" t="str">
        <f>HYPERLINK("https://esbl.nhlbi.nih.gov/Databases/mpkFractions/proteomic_fractions_linear_files/Yang_linear_img/85701660.jpg","show blot")</f>
        <v>show blot</v>
      </c>
      <c r="J8562" s="5" t="s">
        <v>16871</v>
      </c>
      <c r="L8562" s="11">
        <v>1.7004152452101999</v>
      </c>
      <c r="N8562" s="12"/>
    </row>
    <row r="8563" spans="1:14" s="5" customFormat="1" ht="15" customHeight="1" x14ac:dyDescent="0.25">
      <c r="A8563" s="9" t="s">
        <v>16872</v>
      </c>
      <c r="C8563" s="9" t="str">
        <f>HYPERLINK("http://www.ncbi.nlm.nih.gov/protein/72384371","2510003E04Rik")</f>
        <v>2510003E04Rik</v>
      </c>
      <c r="D8563" s="10">
        <f t="shared" si="133"/>
        <v>4.0291701833676186</v>
      </c>
      <c r="F8563" s="8" t="str">
        <f>HYPERLINK("https://esbl.nhlbi.nih.gov/Databases/mpkFractions/proteomic_fractions_log_files/Yang_log_img/72384371.jpg","show blot")</f>
        <v>show blot</v>
      </c>
      <c r="H8563" s="8" t="str">
        <f>HYPERLINK("https://esbl.nhlbi.nih.gov/Databases/mpkFractions/proteomic_fractions_linear_files/Yang_linear_img/72384371.jpg","show blot")</f>
        <v>show blot</v>
      </c>
      <c r="J8563" s="5" t="s">
        <v>16873</v>
      </c>
      <c r="L8563" s="11">
        <v>4.0291701833676186</v>
      </c>
      <c r="N8563" s="12"/>
    </row>
    <row r="8564" spans="1:14" s="5" customFormat="1" ht="15" customHeight="1" x14ac:dyDescent="0.25">
      <c r="A8564" s="9" t="s">
        <v>16874</v>
      </c>
      <c r="C8564" s="9" t="str">
        <f>HYPERLINK("http://www.ncbi.nlm.nih.gov/protein/225543561","2510039O18Rik")</f>
        <v>2510039O18Rik</v>
      </c>
      <c r="D8564" s="10">
        <f t="shared" si="133"/>
        <v>3.672423220988057</v>
      </c>
      <c r="F8564" s="8" t="str">
        <f>HYPERLINK("https://esbl.nhlbi.nih.gov/Databases/mpkFractions/proteomic_fractions_log_files/Yang_log_img/225543561.jpg","show blot")</f>
        <v>show blot</v>
      </c>
      <c r="H8564" s="8" t="str">
        <f>HYPERLINK("https://esbl.nhlbi.nih.gov/Databases/mpkFractions/proteomic_fractions_linear_files/Yang_linear_img/225543561.jpg","show blot")</f>
        <v>show blot</v>
      </c>
      <c r="J8564" s="5" t="s">
        <v>16875</v>
      </c>
      <c r="L8564" s="11">
        <v>3.672423220988057</v>
      </c>
      <c r="N8564" s="12"/>
    </row>
    <row r="8565" spans="1:14" s="5" customFormat="1" ht="15" customHeight="1" x14ac:dyDescent="0.25">
      <c r="A8565" s="9" t="s">
        <v>16876</v>
      </c>
      <c r="C8565" s="9" t="str">
        <f>HYPERLINK("http://www.ncbi.nlm.nih.gov/protein/160333472","2510049J12Rik")</f>
        <v>2510049J12Rik</v>
      </c>
      <c r="D8565" s="10">
        <f t="shared" si="133"/>
        <v>4.2525525738374048</v>
      </c>
      <c r="F8565" s="8" t="str">
        <f>HYPERLINK("https://esbl.nhlbi.nih.gov/Databases/mpkFractions/proteomic_fractions_log_files/Yang_log_img/160333472.jpg","show blot")</f>
        <v>show blot</v>
      </c>
      <c r="H8565" s="8" t="str">
        <f>HYPERLINK("https://esbl.nhlbi.nih.gov/Databases/mpkFractions/proteomic_fractions_linear_files/Yang_linear_img/160333472.jpg","show blot")</f>
        <v>show blot</v>
      </c>
      <c r="J8565" s="5" t="s">
        <v>16877</v>
      </c>
      <c r="L8565" s="11">
        <v>4.2525525738374048</v>
      </c>
      <c r="N8565" s="12"/>
    </row>
    <row r="8566" spans="1:14" s="5" customFormat="1" ht="15" customHeight="1" x14ac:dyDescent="0.25">
      <c r="A8566" s="9" t="s">
        <v>16878</v>
      </c>
      <c r="C8566" s="9" t="str">
        <f>HYPERLINK("http://www.ncbi.nlm.nih.gov/protein/19526920","2610018G03Rik")</f>
        <v>2610018G03Rik</v>
      </c>
      <c r="D8566" s="10">
        <f t="shared" si="133"/>
        <v>5.264807496464126</v>
      </c>
      <c r="F8566" s="8" t="str">
        <f>HYPERLINK("https://esbl.nhlbi.nih.gov/Databases/mpkFractions/proteomic_fractions_log_files/Yang_log_img/19526920.jpg","show blot")</f>
        <v>show blot</v>
      </c>
      <c r="H8566" s="8" t="str">
        <f>HYPERLINK("https://esbl.nhlbi.nih.gov/Databases/mpkFractions/proteomic_fractions_linear_files/Yang_linear_img/19526920.jpg","show blot")</f>
        <v>show blot</v>
      </c>
      <c r="J8566" s="5" t="s">
        <v>16879</v>
      </c>
      <c r="L8566" s="11">
        <v>5.264807496464126</v>
      </c>
      <c r="N8566" s="12"/>
    </row>
    <row r="8567" spans="1:14" s="5" customFormat="1" ht="15" customHeight="1" x14ac:dyDescent="0.25">
      <c r="A8567" s="9" t="s">
        <v>16880</v>
      </c>
      <c r="C8567" s="9" t="str">
        <f>HYPERLINK("http://www.ncbi.nlm.nih.gov/protein/47498088","2610034B18Rik")</f>
        <v>2610034B18Rik</v>
      </c>
      <c r="D8567" s="10">
        <f t="shared" si="133"/>
        <v>5.2165259098269843</v>
      </c>
      <c r="F8567" s="8" t="str">
        <f>HYPERLINK("https://esbl.nhlbi.nih.gov/Databases/mpkFractions/proteomic_fractions_log_files/Yang_log_img/47498088.jpg","show blot")</f>
        <v>show blot</v>
      </c>
      <c r="H8567" s="8" t="str">
        <f>HYPERLINK("https://esbl.nhlbi.nih.gov/Databases/mpkFractions/proteomic_fractions_linear_files/Yang_linear_img/47498088.jpg","show blot")</f>
        <v>show blot</v>
      </c>
      <c r="J8567" s="5" t="s">
        <v>16881</v>
      </c>
      <c r="L8567" s="11">
        <v>5.2165259098269843</v>
      </c>
      <c r="N8567" s="12"/>
    </row>
    <row r="8568" spans="1:14" s="5" customFormat="1" ht="15" customHeight="1" x14ac:dyDescent="0.25">
      <c r="A8568" s="9" t="s">
        <v>16882</v>
      </c>
      <c r="C8568" s="9" t="str">
        <f>HYPERLINK("http://www.ncbi.nlm.nih.gov/protein/198278498","2700029M09Rik")</f>
        <v>2700029M09Rik</v>
      </c>
      <c r="D8568" s="10">
        <f t="shared" si="133"/>
        <v>4.780176816454011</v>
      </c>
      <c r="F8568" s="8" t="str">
        <f>HYPERLINK("https://esbl.nhlbi.nih.gov/Databases/mpkFractions/proteomic_fractions_log_files/Yang_log_img/198278498.jpg","show blot")</f>
        <v>show blot</v>
      </c>
      <c r="H8568" s="8" t="str">
        <f>HYPERLINK("https://esbl.nhlbi.nih.gov/Databases/mpkFractions/proteomic_fractions_linear_files/Yang_linear_img/198278498.jpg","show blot")</f>
        <v>show blot</v>
      </c>
      <c r="J8568" s="5" t="s">
        <v>16883</v>
      </c>
      <c r="L8568" s="11">
        <v>4.780176816454011</v>
      </c>
      <c r="N8568" s="12"/>
    </row>
    <row r="8569" spans="1:14" s="5" customFormat="1" ht="15" customHeight="1" x14ac:dyDescent="0.25">
      <c r="A8569" s="9" t="s">
        <v>16884</v>
      </c>
      <c r="C8569" s="9" t="str">
        <f>HYPERLINK("http://www.ncbi.nlm.nih.gov/protein/295389569","2700050L05Rik")</f>
        <v>2700050L05Rik</v>
      </c>
      <c r="D8569" s="10">
        <f t="shared" si="133"/>
        <v>0.63658169100372952</v>
      </c>
      <c r="F8569" s="8" t="str">
        <f>HYPERLINK("https://esbl.nhlbi.nih.gov/Databases/mpkFractions/proteomic_fractions_log_files/Yang_log_img/295389569.jpg","show blot")</f>
        <v>show blot</v>
      </c>
      <c r="H8569" s="8" t="str">
        <f>HYPERLINK("https://esbl.nhlbi.nih.gov/Databases/mpkFractions/proteomic_fractions_linear_files/Yang_linear_img/295389569.jpg","show blot")</f>
        <v>show blot</v>
      </c>
      <c r="J8569" s="5" t="s">
        <v>16885</v>
      </c>
      <c r="L8569" s="11">
        <v>0.63658169100372952</v>
      </c>
      <c r="N8569" s="12"/>
    </row>
    <row r="8570" spans="1:14" s="5" customFormat="1" ht="15" customHeight="1" x14ac:dyDescent="0.25">
      <c r="A8570" s="9" t="s">
        <v>16886</v>
      </c>
      <c r="C8570" s="9" t="str">
        <f>HYPERLINK("http://www.ncbi.nlm.nih.gov/protein/13386026","2700060E02Rik")</f>
        <v>2700060E02Rik</v>
      </c>
      <c r="D8570" s="10">
        <f t="shared" si="133"/>
        <v>5.4536319041466212</v>
      </c>
      <c r="F8570" s="8" t="str">
        <f>HYPERLINK("https://esbl.nhlbi.nih.gov/Databases/mpkFractions/proteomic_fractions_log_files/Yang_log_img/13386026.jpg","show blot")</f>
        <v>show blot</v>
      </c>
      <c r="H8570" s="8" t="str">
        <f>HYPERLINK("https://esbl.nhlbi.nih.gov/Databases/mpkFractions/proteomic_fractions_linear_files/Yang_linear_img/13386026.jpg","show blot")</f>
        <v>show blot</v>
      </c>
      <c r="J8570" s="5" t="s">
        <v>16887</v>
      </c>
      <c r="L8570" s="11">
        <v>5.4536319041466212</v>
      </c>
      <c r="N8570" s="12"/>
    </row>
    <row r="8571" spans="1:14" s="5" customFormat="1" ht="15" customHeight="1" x14ac:dyDescent="0.25">
      <c r="A8571" s="9" t="s">
        <v>16888</v>
      </c>
      <c r="C8571" s="9" t="str">
        <f>HYPERLINK("http://www.ncbi.nlm.nih.gov/protein/13386028","2700062C07Rik")</f>
        <v>2700062C07Rik</v>
      </c>
      <c r="D8571" s="10">
        <f t="shared" si="133"/>
        <v>3.6384561903905022</v>
      </c>
      <c r="F8571" s="8" t="str">
        <f>HYPERLINK("https://esbl.nhlbi.nih.gov/Databases/mpkFractions/proteomic_fractions_log_files/Yang_log_img/13386028.jpg","show blot")</f>
        <v>show blot</v>
      </c>
      <c r="H8571" s="8" t="str">
        <f>HYPERLINK("https://esbl.nhlbi.nih.gov/Databases/mpkFractions/proteomic_fractions_linear_files/Yang_linear_img/13386028.jpg","show blot")</f>
        <v>show blot</v>
      </c>
      <c r="J8571" s="5" t="s">
        <v>16889</v>
      </c>
      <c r="L8571" s="11">
        <v>3.6384561903905022</v>
      </c>
      <c r="N8571" s="12"/>
    </row>
    <row r="8572" spans="1:14" s="5" customFormat="1" ht="15" customHeight="1" x14ac:dyDescent="0.25">
      <c r="A8572" s="9" t="s">
        <v>16890</v>
      </c>
      <c r="C8572" s="9" t="str">
        <f>HYPERLINK("http://www.ncbi.nlm.nih.gov/protein/254540194","2700089E24Rik")</f>
        <v>2700089E24Rik</v>
      </c>
      <c r="D8572" s="10">
        <f t="shared" si="133"/>
        <v>3.7877585439797992</v>
      </c>
      <c r="F8572" s="8" t="str">
        <f>HYPERLINK("https://esbl.nhlbi.nih.gov/Databases/mpkFractions/proteomic_fractions_log_files/Yang_log_img/254540194.jpg","show blot")</f>
        <v>show blot</v>
      </c>
      <c r="H8572" s="8" t="str">
        <f>HYPERLINK("https://esbl.nhlbi.nih.gov/Databases/mpkFractions/proteomic_fractions_linear_files/Yang_linear_img/254540194.jpg","show blot")</f>
        <v>show blot</v>
      </c>
      <c r="J8572" s="5" t="s">
        <v>16891</v>
      </c>
      <c r="L8572" s="11">
        <v>3.7877585439797992</v>
      </c>
      <c r="N8572" s="12"/>
    </row>
    <row r="8573" spans="1:14" s="5" customFormat="1" ht="15" customHeight="1" x14ac:dyDescent="0.25">
      <c r="A8573" s="9" t="s">
        <v>16892</v>
      </c>
      <c r="C8573" s="9" t="str">
        <f>HYPERLINK("http://www.ncbi.nlm.nih.gov/protein/409264588","2700089E24Rik")</f>
        <v>2700089E24Rik</v>
      </c>
      <c r="D8573" s="10">
        <f t="shared" si="133"/>
        <v>3.7877585439797992</v>
      </c>
      <c r="F8573" s="8" t="str">
        <f>HYPERLINK("https://esbl.nhlbi.nih.gov/Databases/mpkFractions/proteomic_fractions_log_files/Yang_log_img/409264588.jpg","show blot")</f>
        <v>show blot</v>
      </c>
      <c r="H8573" s="8" t="str">
        <f>HYPERLINK("https://esbl.nhlbi.nih.gov/Databases/mpkFractions/proteomic_fractions_linear_files/Yang_linear_img/409264588.jpg","show blot")</f>
        <v>show blot</v>
      </c>
      <c r="J8573" s="5" t="s">
        <v>16893</v>
      </c>
      <c r="L8573" s="11">
        <v>3.7877585439797992</v>
      </c>
      <c r="N8573" s="12"/>
    </row>
    <row r="8574" spans="1:14" s="5" customFormat="1" ht="15" customHeight="1" x14ac:dyDescent="0.25">
      <c r="A8574" s="9" t="s">
        <v>16894</v>
      </c>
      <c r="C8574" s="9" t="str">
        <f>HYPERLINK("http://www.ncbi.nlm.nih.gov/protein/409264649","2700089E24Rik")</f>
        <v>2700089E24Rik</v>
      </c>
      <c r="D8574" s="10">
        <f t="shared" si="133"/>
        <v>3.7877585439797992</v>
      </c>
      <c r="F8574" s="8" t="str">
        <f>HYPERLINK("https://esbl.nhlbi.nih.gov/Databases/mpkFractions/proteomic_fractions_log_files/Yang_log_img/409264649.jpg","show blot")</f>
        <v>show blot</v>
      </c>
      <c r="H8574" s="8" t="str">
        <f>HYPERLINK("https://esbl.nhlbi.nih.gov/Databases/mpkFractions/proteomic_fractions_linear_files/Yang_linear_img/409264649.jpg","show blot")</f>
        <v>show blot</v>
      </c>
      <c r="J8574" s="5" t="s">
        <v>16895</v>
      </c>
      <c r="L8574" s="11">
        <v>3.7877585439797992</v>
      </c>
      <c r="N8574" s="12"/>
    </row>
    <row r="8575" spans="1:14" s="5" customFormat="1" ht="15" customHeight="1" x14ac:dyDescent="0.25">
      <c r="A8575" s="9" t="s">
        <v>16896</v>
      </c>
      <c r="C8575" s="9" t="str">
        <f>HYPERLINK("http://www.ncbi.nlm.nih.gov/protein/76781489","2700094K13Rik")</f>
        <v>2700094K13Rik</v>
      </c>
      <c r="D8575" s="10">
        <f t="shared" si="133"/>
        <v>5.4896759864395266</v>
      </c>
      <c r="F8575" s="8" t="str">
        <f>HYPERLINK("https://esbl.nhlbi.nih.gov/Databases/mpkFractions/proteomic_fractions_log_files/Yang_log_img/76781489.jpg","show blot")</f>
        <v>show blot</v>
      </c>
      <c r="H8575" s="8" t="str">
        <f>HYPERLINK("https://esbl.nhlbi.nih.gov/Databases/mpkFractions/proteomic_fractions_linear_files/Yang_linear_img/76781489.jpg","show blot")</f>
        <v>show blot</v>
      </c>
      <c r="J8575" s="5" t="s">
        <v>16897</v>
      </c>
      <c r="L8575" s="11">
        <v>5.4896759864395266</v>
      </c>
      <c r="N8575" s="12"/>
    </row>
    <row r="8576" spans="1:14" s="5" customFormat="1" ht="15" customHeight="1" x14ac:dyDescent="0.25">
      <c r="A8576" s="9" t="s">
        <v>16898</v>
      </c>
      <c r="C8576" s="9" t="str">
        <f>HYPERLINK("http://www.ncbi.nlm.nih.gov/protein/62510085","2810408M09Rik")</f>
        <v>2810408M09Rik</v>
      </c>
      <c r="D8576" s="10">
        <f t="shared" si="133"/>
        <v>4.2669934837592356</v>
      </c>
      <c r="F8576" s="8" t="str">
        <f>HYPERLINK("https://esbl.nhlbi.nih.gov/Databases/mpkFractions/proteomic_fractions_log_files/Yang_log_img/62510085.jpg","show blot")</f>
        <v>show blot</v>
      </c>
      <c r="H8576" s="8" t="str">
        <f>HYPERLINK("https://esbl.nhlbi.nih.gov/Databases/mpkFractions/proteomic_fractions_linear_files/Yang_linear_img/62510085.jpg","show blot")</f>
        <v>show blot</v>
      </c>
      <c r="J8576" s="5" t="s">
        <v>16899</v>
      </c>
      <c r="L8576" s="11">
        <v>4.2669934837592356</v>
      </c>
      <c r="N8576" s="12"/>
    </row>
    <row r="8577" spans="1:14" s="5" customFormat="1" ht="15" customHeight="1" x14ac:dyDescent="0.25">
      <c r="A8577" s="9" t="s">
        <v>16900</v>
      </c>
      <c r="C8577" s="9" t="str">
        <f>HYPERLINK("http://www.ncbi.nlm.nih.gov/protein/71773932","2810417H13Rik")</f>
        <v>2810417H13Rik</v>
      </c>
      <c r="D8577" s="10">
        <f t="shared" si="133"/>
        <v>4.6011651217252272</v>
      </c>
      <c r="F8577" s="8" t="str">
        <f>HYPERLINK("https://esbl.nhlbi.nih.gov/Databases/mpkFractions/proteomic_fractions_log_files/Yang_log_img/71773932.jpg","show blot")</f>
        <v>show blot</v>
      </c>
      <c r="H8577" s="8" t="str">
        <f>HYPERLINK("https://esbl.nhlbi.nih.gov/Databases/mpkFractions/proteomic_fractions_linear_files/Yang_linear_img/71773932.jpg","show blot")</f>
        <v>show blot</v>
      </c>
      <c r="J8577" s="5" t="s">
        <v>16901</v>
      </c>
      <c r="L8577" s="11">
        <v>4.6011651217252272</v>
      </c>
      <c r="N8577" s="12"/>
    </row>
    <row r="8578" spans="1:14" s="5" customFormat="1" ht="15" customHeight="1" x14ac:dyDescent="0.25">
      <c r="A8578" s="9" t="s">
        <v>16902</v>
      </c>
      <c r="C8578" s="9" t="str">
        <f>HYPERLINK("http://www.ncbi.nlm.nih.gov/protein/13385020","2810428I15Rik")</f>
        <v>2810428I15Rik</v>
      </c>
      <c r="D8578" s="10">
        <f t="shared" si="133"/>
        <v>3.9155012923624759</v>
      </c>
      <c r="F8578" s="8" t="str">
        <f>HYPERLINK("https://esbl.nhlbi.nih.gov/Databases/mpkFractions/proteomic_fractions_log_files/Yang_log_img/13385020.jpg","show blot")</f>
        <v>show blot</v>
      </c>
      <c r="H8578" s="8" t="str">
        <f>HYPERLINK("https://esbl.nhlbi.nih.gov/Databases/mpkFractions/proteomic_fractions_linear_files/Yang_linear_img/13385020.jpg","show blot")</f>
        <v>show blot</v>
      </c>
      <c r="J8578" s="5" t="s">
        <v>16903</v>
      </c>
      <c r="L8578" s="11">
        <v>3.9155012923624759</v>
      </c>
      <c r="N8578" s="12"/>
    </row>
    <row r="8579" spans="1:14" s="5" customFormat="1" ht="15" customHeight="1" x14ac:dyDescent="0.25">
      <c r="A8579" s="9" t="s">
        <v>16904</v>
      </c>
      <c r="C8579" s="9" t="str">
        <f>HYPERLINK("http://www.ncbi.nlm.nih.gov/protein/28077063","3110002H16Rik")</f>
        <v>3110002H16Rik</v>
      </c>
      <c r="D8579" s="10">
        <f t="shared" si="133"/>
        <v>3.1913156869550612</v>
      </c>
      <c r="F8579" s="8" t="str">
        <f>HYPERLINK("https://esbl.nhlbi.nih.gov/Databases/mpkFractions/proteomic_fractions_log_files/Yang_log_img/28077063.jpg","show blot")</f>
        <v>show blot</v>
      </c>
      <c r="H8579" s="8" t="str">
        <f>HYPERLINK("https://esbl.nhlbi.nih.gov/Databases/mpkFractions/proteomic_fractions_linear_files/Yang_linear_img/28077063.jpg","show blot")</f>
        <v>show blot</v>
      </c>
      <c r="J8579" s="5" t="s">
        <v>16905</v>
      </c>
      <c r="L8579" s="11">
        <v>3.1913156869550612</v>
      </c>
      <c r="N8579" s="12"/>
    </row>
    <row r="8580" spans="1:14" s="5" customFormat="1" ht="15" customHeight="1" x14ac:dyDescent="0.25">
      <c r="A8580" s="9" t="s">
        <v>16906</v>
      </c>
      <c r="C8580" s="9" t="str">
        <f>HYPERLINK("http://www.ncbi.nlm.nih.gov/protein/13385576","3110040N11Rik")</f>
        <v>3110040N11Rik</v>
      </c>
      <c r="D8580" s="10">
        <f t="shared" si="133"/>
        <v>4.6776922185320018</v>
      </c>
      <c r="F8580" s="8" t="str">
        <f>HYPERLINK("https://esbl.nhlbi.nih.gov/Databases/mpkFractions/proteomic_fractions_log_files/Yang_log_img/13385576.jpg","show blot")</f>
        <v>show blot</v>
      </c>
      <c r="H8580" s="8" t="str">
        <f>HYPERLINK("https://esbl.nhlbi.nih.gov/Databases/mpkFractions/proteomic_fractions_linear_files/Yang_linear_img/13385576.jpg","show blot")</f>
        <v>show blot</v>
      </c>
      <c r="J8580" s="5" t="s">
        <v>16907</v>
      </c>
      <c r="L8580" s="11">
        <v>4.6776922185320018</v>
      </c>
      <c r="N8580" s="12"/>
    </row>
    <row r="8581" spans="1:14" s="5" customFormat="1" ht="15" customHeight="1" x14ac:dyDescent="0.25">
      <c r="A8581" s="9" t="s">
        <v>16908</v>
      </c>
      <c r="C8581" s="9" t="str">
        <f>HYPERLINK("http://www.ncbi.nlm.nih.gov/protein/146134371","3110082I17Rik")</f>
        <v>3110082I17Rik</v>
      </c>
      <c r="D8581" s="10">
        <f t="shared" ref="D8581:D8612" si="134">L8581</f>
        <v>4.7183932356801748</v>
      </c>
      <c r="F8581" s="8" t="str">
        <f>HYPERLINK("https://esbl.nhlbi.nih.gov/Databases/mpkFractions/proteomic_fractions_log_files/Yang_log_img/146134371.jpg","show blot")</f>
        <v>show blot</v>
      </c>
      <c r="H8581" s="8" t="str">
        <f>HYPERLINK("https://esbl.nhlbi.nih.gov/Databases/mpkFractions/proteomic_fractions_linear_files/Yang_linear_img/146134371.jpg","show blot")</f>
        <v>show blot</v>
      </c>
      <c r="J8581" s="5" t="s">
        <v>16909</v>
      </c>
      <c r="L8581" s="11">
        <v>4.7183932356801748</v>
      </c>
      <c r="N8581" s="12"/>
    </row>
    <row r="8582" spans="1:14" s="5" customFormat="1" ht="15" customHeight="1" x14ac:dyDescent="0.25">
      <c r="A8582" s="9" t="s">
        <v>16910</v>
      </c>
      <c r="C8582" s="9" t="str">
        <f>HYPERLINK("http://www.ncbi.nlm.nih.gov/protein/269914154","4732456N10Rik")</f>
        <v>4732456N10Rik</v>
      </c>
      <c r="D8582" s="10">
        <f t="shared" si="134"/>
        <v>6.9145939352626637</v>
      </c>
      <c r="F8582" s="8" t="str">
        <f>HYPERLINK("https://esbl.nhlbi.nih.gov/Databases/mpkFractions/proteomic_fractions_log_files/Yang_log_img/269914154.jpg","show blot")</f>
        <v>show blot</v>
      </c>
      <c r="H8582" s="8" t="str">
        <f>HYPERLINK("https://esbl.nhlbi.nih.gov/Databases/mpkFractions/proteomic_fractions_linear_files/Yang_linear_img/269914154.jpg","show blot")</f>
        <v>show blot</v>
      </c>
      <c r="J8582" s="5" t="s">
        <v>16911</v>
      </c>
      <c r="L8582" s="11">
        <v>6.9145939352626637</v>
      </c>
      <c r="N8582" s="12"/>
    </row>
    <row r="8583" spans="1:14" s="5" customFormat="1" ht="15" customHeight="1" x14ac:dyDescent="0.25">
      <c r="A8583" s="9" t="s">
        <v>16912</v>
      </c>
      <c r="C8583" s="9" t="str">
        <f>HYPERLINK("http://www.ncbi.nlm.nih.gov/protein/34328303","4921504E06Rik")</f>
        <v>4921504E06Rik</v>
      </c>
      <c r="D8583" s="10">
        <f t="shared" si="134"/>
        <v>2.398046898773956</v>
      </c>
      <c r="F8583" s="8" t="str">
        <f>HYPERLINK("https://esbl.nhlbi.nih.gov/Databases/mpkFractions/proteomic_fractions_log_files/Yang_log_img/34328303.jpg","show blot")</f>
        <v>show blot</v>
      </c>
      <c r="H8583" s="8" t="str">
        <f>HYPERLINK("https://esbl.nhlbi.nih.gov/Databases/mpkFractions/proteomic_fractions_linear_files/Yang_linear_img/34328303.jpg","show blot")</f>
        <v>show blot</v>
      </c>
      <c r="J8583" s="5" t="s">
        <v>16913</v>
      </c>
      <c r="L8583" s="11">
        <v>2.398046898773956</v>
      </c>
      <c r="N8583" s="12"/>
    </row>
    <row r="8584" spans="1:14" s="5" customFormat="1" ht="15" customHeight="1" x14ac:dyDescent="0.25">
      <c r="A8584" s="9" t="s">
        <v>16914</v>
      </c>
      <c r="C8584" s="9" t="str">
        <f>HYPERLINK("http://www.ncbi.nlm.nih.gov/protein/13385182","4921524J17Rik")</f>
        <v>4921524J17Rik</v>
      </c>
      <c r="D8584" s="10">
        <f t="shared" si="134"/>
        <v>2.9328220795071802</v>
      </c>
      <c r="F8584" s="8" t="str">
        <f>HYPERLINK("https://esbl.nhlbi.nih.gov/Databases/mpkFractions/proteomic_fractions_log_files/Yang_log_img/13385182.jpg","show blot")</f>
        <v>show blot</v>
      </c>
      <c r="H8584" s="8" t="str">
        <f>HYPERLINK("https://esbl.nhlbi.nih.gov/Databases/mpkFractions/proteomic_fractions_linear_files/Yang_linear_img/13385182.jpg","show blot")</f>
        <v>show blot</v>
      </c>
      <c r="J8584" s="5" t="s">
        <v>16915</v>
      </c>
      <c r="L8584" s="11">
        <v>2.9328220795071802</v>
      </c>
      <c r="N8584" s="12"/>
    </row>
    <row r="8585" spans="1:14" s="5" customFormat="1" ht="15" customHeight="1" x14ac:dyDescent="0.25">
      <c r="A8585" s="9" t="s">
        <v>16916</v>
      </c>
      <c r="C8585" s="9" t="str">
        <f>HYPERLINK("http://www.ncbi.nlm.nih.gov/protein/147905039","4922501C03Rik")</f>
        <v>4922501C03Rik</v>
      </c>
      <c r="D8585" s="10">
        <f t="shared" si="134"/>
        <v>4.265211523169695</v>
      </c>
      <c r="F8585" s="8" t="str">
        <f>HYPERLINK("https://esbl.nhlbi.nih.gov/Databases/mpkFractions/proteomic_fractions_log_files/Yang_log_img/147905039.jpg","show blot")</f>
        <v>show blot</v>
      </c>
      <c r="H8585" s="8" t="str">
        <f>HYPERLINK("https://esbl.nhlbi.nih.gov/Databases/mpkFractions/proteomic_fractions_linear_files/Yang_linear_img/147905039.jpg","show blot")</f>
        <v>show blot</v>
      </c>
      <c r="J8585" s="5" t="s">
        <v>16917</v>
      </c>
      <c r="L8585" s="11">
        <v>4.265211523169695</v>
      </c>
      <c r="N8585" s="12"/>
    </row>
    <row r="8586" spans="1:14" s="5" customFormat="1" ht="15" customHeight="1" x14ac:dyDescent="0.25">
      <c r="A8586" s="9" t="s">
        <v>16918</v>
      </c>
      <c r="C8586" s="9" t="str">
        <f>HYPERLINK("http://www.ncbi.nlm.nih.gov/protein/197116351","4930404A10Rik")</f>
        <v>4930404A10Rik</v>
      </c>
      <c r="D8586" s="10">
        <f t="shared" si="134"/>
        <v>4.2214419856289442</v>
      </c>
      <c r="F8586" s="8" t="str">
        <f>HYPERLINK("https://esbl.nhlbi.nih.gov/Databases/mpkFractions/proteomic_fractions_log_files/Yang_log_img/197116351.jpg","show blot")</f>
        <v>show blot</v>
      </c>
      <c r="H8586" s="8" t="str">
        <f>HYPERLINK("https://esbl.nhlbi.nih.gov/Databases/mpkFractions/proteomic_fractions_linear_files/Yang_linear_img/197116351.jpg","show blot")</f>
        <v>show blot</v>
      </c>
      <c r="J8586" s="5" t="s">
        <v>16919</v>
      </c>
      <c r="L8586" s="11">
        <v>4.2214419856289442</v>
      </c>
      <c r="N8586" s="12"/>
    </row>
    <row r="8587" spans="1:14" s="5" customFormat="1" ht="15" customHeight="1" x14ac:dyDescent="0.25">
      <c r="A8587" s="9" t="s">
        <v>16920</v>
      </c>
      <c r="C8587" s="9" t="str">
        <f>HYPERLINK("http://www.ncbi.nlm.nih.gov/protein/171906608","4930430F08Rik")</f>
        <v>4930430F08Rik</v>
      </c>
      <c r="D8587" s="10">
        <f t="shared" si="134"/>
        <v>3.714314073147853</v>
      </c>
      <c r="F8587" s="8" t="str">
        <f>HYPERLINK("https://esbl.nhlbi.nih.gov/Databases/mpkFractions/proteomic_fractions_log_files/Yang_log_img/171906608.jpg","show blot")</f>
        <v>show blot</v>
      </c>
      <c r="H8587" s="8" t="str">
        <f>HYPERLINK("https://esbl.nhlbi.nih.gov/Databases/mpkFractions/proteomic_fractions_linear_files/Yang_linear_img/171906608.jpg","show blot")</f>
        <v>show blot</v>
      </c>
      <c r="J8587" s="5" t="s">
        <v>16921</v>
      </c>
      <c r="L8587" s="11">
        <v>3.714314073147853</v>
      </c>
      <c r="N8587" s="12"/>
    </row>
    <row r="8588" spans="1:14" s="5" customFormat="1" ht="15" customHeight="1" x14ac:dyDescent="0.25">
      <c r="A8588" s="9" t="s">
        <v>16922</v>
      </c>
      <c r="C8588" s="9" t="str">
        <f>HYPERLINK("http://www.ncbi.nlm.nih.gov/protein/166851844","4930506M07Rik")</f>
        <v>4930506M07Rik</v>
      </c>
      <c r="D8588" s="10">
        <f t="shared" si="134"/>
        <v>5.5978102077825449</v>
      </c>
      <c r="F8588" s="8" t="str">
        <f>HYPERLINK("https://esbl.nhlbi.nih.gov/Databases/mpkFractions/proteomic_fractions_log_files/Yang_log_img/166851844.jpg","show blot")</f>
        <v>show blot</v>
      </c>
      <c r="H8588" s="8" t="str">
        <f>HYPERLINK("https://esbl.nhlbi.nih.gov/Databases/mpkFractions/proteomic_fractions_linear_files/Yang_linear_img/166851844.jpg","show blot")</f>
        <v>show blot</v>
      </c>
      <c r="J8588" s="5" t="s">
        <v>16923</v>
      </c>
      <c r="L8588" s="11">
        <v>5.5978102077825449</v>
      </c>
      <c r="N8588" s="12"/>
    </row>
    <row r="8589" spans="1:14" s="5" customFormat="1" ht="15" customHeight="1" x14ac:dyDescent="0.25">
      <c r="A8589" s="9" t="s">
        <v>16924</v>
      </c>
      <c r="C8589" s="9" t="str">
        <f>HYPERLINK("http://www.ncbi.nlm.nih.gov/protein/30424776","4930506M07Rik")</f>
        <v>4930506M07Rik</v>
      </c>
      <c r="D8589" s="10">
        <f t="shared" si="134"/>
        <v>5.5978102077825449</v>
      </c>
      <c r="F8589" s="8" t="str">
        <f>HYPERLINK("https://esbl.nhlbi.nih.gov/Databases/mpkFractions/proteomic_fractions_log_files/Yang_log_img/30424776.jpg","show blot")</f>
        <v>show blot</v>
      </c>
      <c r="H8589" s="8" t="str">
        <f>HYPERLINK("https://esbl.nhlbi.nih.gov/Databases/mpkFractions/proteomic_fractions_linear_files/Yang_linear_img/30424776.jpg","show blot")</f>
        <v>show blot</v>
      </c>
      <c r="J8589" s="5" t="s">
        <v>16925</v>
      </c>
      <c r="L8589" s="11">
        <v>5.5978102077825449</v>
      </c>
      <c r="N8589" s="12"/>
    </row>
    <row r="8590" spans="1:14" s="5" customFormat="1" ht="15" customHeight="1" x14ac:dyDescent="0.25">
      <c r="A8590" s="9" t="s">
        <v>16926</v>
      </c>
      <c r="C8590" s="9" t="str">
        <f>HYPERLINK("http://www.ncbi.nlm.nih.gov/protein/240120058","4930544G11Rik")</f>
        <v>4930544G11Rik</v>
      </c>
      <c r="D8590" s="10">
        <f t="shared" si="134"/>
        <v>6.3967740398367567</v>
      </c>
      <c r="F8590" s="8" t="str">
        <f>HYPERLINK("https://esbl.nhlbi.nih.gov/Databases/mpkFractions/proteomic_fractions_log_files/Yang_log_img/240120058.jpg","show blot")</f>
        <v>show blot</v>
      </c>
      <c r="H8590" s="8" t="str">
        <f>HYPERLINK("https://esbl.nhlbi.nih.gov/Databases/mpkFractions/proteomic_fractions_linear_files/Yang_linear_img/240120058.jpg","show blot")</f>
        <v>show blot</v>
      </c>
      <c r="J8590" s="5" t="s">
        <v>16927</v>
      </c>
      <c r="L8590" s="11">
        <v>6.3967740398367567</v>
      </c>
      <c r="N8590" s="12"/>
    </row>
    <row r="8591" spans="1:14" s="5" customFormat="1" ht="15" customHeight="1" x14ac:dyDescent="0.25">
      <c r="A8591" s="9" t="s">
        <v>16928</v>
      </c>
      <c r="C8591" s="9" t="str">
        <f>HYPERLINK("http://www.ncbi.nlm.nih.gov/protein/254692981","4930579G24Rik")</f>
        <v>4930579G24Rik</v>
      </c>
      <c r="D8591" s="10">
        <f t="shared" si="134"/>
        <v>3.9450565359241918</v>
      </c>
      <c r="F8591" s="8" t="str">
        <f>HYPERLINK("https://esbl.nhlbi.nih.gov/Databases/mpkFractions/proteomic_fractions_log_files/Yang_log_img/254692981.jpg","show blot")</f>
        <v>show blot</v>
      </c>
      <c r="H8591" s="8" t="str">
        <f>HYPERLINK("https://esbl.nhlbi.nih.gov/Databases/mpkFractions/proteomic_fractions_linear_files/Yang_linear_img/254692981.jpg","show blot")</f>
        <v>show blot</v>
      </c>
      <c r="J8591" s="5" t="s">
        <v>16929</v>
      </c>
      <c r="L8591" s="11">
        <v>3.9450565359241918</v>
      </c>
      <c r="N8591" s="12"/>
    </row>
    <row r="8592" spans="1:14" s="5" customFormat="1" ht="15" customHeight="1" x14ac:dyDescent="0.25">
      <c r="A8592" s="9" t="s">
        <v>16930</v>
      </c>
      <c r="C8592" s="9" t="str">
        <f>HYPERLINK("http://www.ncbi.nlm.nih.gov/protein/313747468","4931406C07Rik")</f>
        <v>4931406C07Rik</v>
      </c>
      <c r="D8592" s="10">
        <f t="shared" si="134"/>
        <v>5.5467151513866648</v>
      </c>
      <c r="F8592" s="8" t="str">
        <f>HYPERLINK("https://esbl.nhlbi.nih.gov/Databases/mpkFractions/proteomic_fractions_log_files/Yang_log_img/313747468.jpg","show blot")</f>
        <v>show blot</v>
      </c>
      <c r="H8592" s="8" t="str">
        <f>HYPERLINK("https://esbl.nhlbi.nih.gov/Databases/mpkFractions/proteomic_fractions_linear_files/Yang_linear_img/313747468.jpg","show blot")</f>
        <v>show blot</v>
      </c>
      <c r="J8592" s="5" t="s">
        <v>16931</v>
      </c>
      <c r="L8592" s="11">
        <v>5.5467151513866648</v>
      </c>
      <c r="N8592" s="12"/>
    </row>
    <row r="8593" spans="1:14" s="5" customFormat="1" ht="15" customHeight="1" x14ac:dyDescent="0.25">
      <c r="A8593" s="9" t="s">
        <v>16932</v>
      </c>
      <c r="C8593" s="9" t="str">
        <f>HYPERLINK("http://www.ncbi.nlm.nih.gov/protein/282721066","4931409K22Rik")</f>
        <v>4931409K22Rik</v>
      </c>
      <c r="D8593" s="10">
        <f t="shared" si="134"/>
        <v>4.1275733218937907</v>
      </c>
      <c r="F8593" s="8" t="str">
        <f>HYPERLINK("https://esbl.nhlbi.nih.gov/Databases/mpkFractions/proteomic_fractions_log_files/Yang_log_img/282721066.jpg","show blot")</f>
        <v>show blot</v>
      </c>
      <c r="H8593" s="8" t="str">
        <f>HYPERLINK("https://esbl.nhlbi.nih.gov/Databases/mpkFractions/proteomic_fractions_linear_files/Yang_linear_img/282721066.jpg","show blot")</f>
        <v>show blot</v>
      </c>
      <c r="J8593" s="5" t="s">
        <v>16933</v>
      </c>
      <c r="L8593" s="11">
        <v>4.1275733218937907</v>
      </c>
      <c r="N8593" s="12"/>
    </row>
    <row r="8594" spans="1:14" s="5" customFormat="1" ht="15" customHeight="1" x14ac:dyDescent="0.25">
      <c r="A8594" s="9" t="s">
        <v>16934</v>
      </c>
      <c r="C8594" s="9" t="str">
        <f>HYPERLINK("http://www.ncbi.nlm.nih.gov/protein/124487449","4931429I11Rik")</f>
        <v>4931429I11Rik</v>
      </c>
      <c r="D8594" s="10">
        <f t="shared" si="134"/>
        <v>3.3947033676701062</v>
      </c>
      <c r="F8594" s="8" t="str">
        <f>HYPERLINK("https://esbl.nhlbi.nih.gov/Databases/mpkFractions/proteomic_fractions_log_files/Yang_log_img/124487449.jpg","show blot")</f>
        <v>show blot</v>
      </c>
      <c r="H8594" s="8" t="str">
        <f>HYPERLINK("https://esbl.nhlbi.nih.gov/Databases/mpkFractions/proteomic_fractions_linear_files/Yang_linear_img/124487449.jpg","show blot")</f>
        <v>show blot</v>
      </c>
      <c r="J8594" s="5" t="s">
        <v>16935</v>
      </c>
      <c r="L8594" s="11">
        <v>3.3947033676701062</v>
      </c>
      <c r="N8594" s="12"/>
    </row>
    <row r="8595" spans="1:14" s="5" customFormat="1" ht="15" customHeight="1" x14ac:dyDescent="0.25">
      <c r="A8595" s="9" t="s">
        <v>16936</v>
      </c>
      <c r="C8595" s="9" t="str">
        <f>HYPERLINK("http://www.ncbi.nlm.nih.gov/protein/237757320","4933406M09Rik")</f>
        <v>4933406M09Rik</v>
      </c>
      <c r="D8595" s="10">
        <f t="shared" si="134"/>
        <v>4.9325101565205483</v>
      </c>
      <c r="F8595" s="8" t="str">
        <f>HYPERLINK("https://esbl.nhlbi.nih.gov/Databases/mpkFractions/proteomic_fractions_log_files/Yang_log_img/237757320.jpg","show blot")</f>
        <v>show blot</v>
      </c>
      <c r="H8595" s="8" t="str">
        <f>HYPERLINK("https://esbl.nhlbi.nih.gov/Databases/mpkFractions/proteomic_fractions_linear_files/Yang_linear_img/237757320.jpg","show blot")</f>
        <v>show blot</v>
      </c>
      <c r="J8595" s="5" t="s">
        <v>16937</v>
      </c>
      <c r="L8595" s="11">
        <v>4.9325101565205483</v>
      </c>
      <c r="N8595" s="12"/>
    </row>
    <row r="8596" spans="1:14" s="5" customFormat="1" ht="15" customHeight="1" x14ac:dyDescent="0.25">
      <c r="A8596" s="9" t="s">
        <v>16938</v>
      </c>
      <c r="C8596" s="9" t="str">
        <f>HYPERLINK("http://www.ncbi.nlm.nih.gov/protein/33859728","4933427D14Rik")</f>
        <v>4933427D14Rik</v>
      </c>
      <c r="D8596" s="10">
        <f t="shared" si="134"/>
        <v>3.5282865178031888</v>
      </c>
      <c r="F8596" s="8" t="str">
        <f>HYPERLINK("https://esbl.nhlbi.nih.gov/Databases/mpkFractions/proteomic_fractions_log_files/Yang_log_img/33859728.jpg","show blot")</f>
        <v>show blot</v>
      </c>
      <c r="H8596" s="8" t="str">
        <f>HYPERLINK("https://esbl.nhlbi.nih.gov/Databases/mpkFractions/proteomic_fractions_linear_files/Yang_linear_img/33859728.jpg","show blot")</f>
        <v>show blot</v>
      </c>
      <c r="J8596" s="5" t="s">
        <v>16939</v>
      </c>
      <c r="L8596" s="11">
        <v>3.5282865178031888</v>
      </c>
      <c r="N8596" s="12"/>
    </row>
    <row r="8597" spans="1:14" s="5" customFormat="1" ht="15" customHeight="1" x14ac:dyDescent="0.25">
      <c r="A8597" s="9" t="s">
        <v>16940</v>
      </c>
      <c r="C8597" s="9" t="str">
        <f>HYPERLINK("http://www.ncbi.nlm.nih.gov/protein/110625765","5730455P16Rik")</f>
        <v>5730455P16Rik</v>
      </c>
      <c r="D8597" s="10">
        <f t="shared" si="134"/>
        <v>3.906348362252908</v>
      </c>
      <c r="F8597" s="8" t="str">
        <f>HYPERLINK("https://esbl.nhlbi.nih.gov/Databases/mpkFractions/proteomic_fractions_log_files/Yang_log_img/110625765.jpg","show blot")</f>
        <v>show blot</v>
      </c>
      <c r="H8597" s="8" t="str">
        <f>HYPERLINK("https://esbl.nhlbi.nih.gov/Databases/mpkFractions/proteomic_fractions_linear_files/Yang_linear_img/110625765.jpg","show blot")</f>
        <v>show blot</v>
      </c>
      <c r="J8597" s="5" t="s">
        <v>16941</v>
      </c>
      <c r="L8597" s="11">
        <v>3.906348362252908</v>
      </c>
      <c r="N8597" s="12"/>
    </row>
    <row r="8598" spans="1:14" s="5" customFormat="1" ht="15" customHeight="1" x14ac:dyDescent="0.25">
      <c r="A8598" s="9" t="s">
        <v>16942</v>
      </c>
      <c r="C8598" s="9" t="str">
        <f>HYPERLINK("http://www.ncbi.nlm.nih.gov/protein/28076961","5730508B09Rik")</f>
        <v>5730508B09Rik</v>
      </c>
      <c r="D8598" s="10">
        <f t="shared" si="134"/>
        <v>4.3163602076209013</v>
      </c>
      <c r="F8598" s="8" t="str">
        <f>HYPERLINK("https://esbl.nhlbi.nih.gov/Databases/mpkFractions/proteomic_fractions_log_files/Yang_log_img/28076961.jpg","show blot")</f>
        <v>show blot</v>
      </c>
      <c r="H8598" s="8" t="str">
        <f>HYPERLINK("https://esbl.nhlbi.nih.gov/Databases/mpkFractions/proteomic_fractions_linear_files/Yang_linear_img/28076961.jpg","show blot")</f>
        <v>show blot</v>
      </c>
      <c r="J8598" s="5" t="s">
        <v>16943</v>
      </c>
      <c r="L8598" s="11">
        <v>4.3163602076209013</v>
      </c>
      <c r="N8598" s="12"/>
    </row>
    <row r="8599" spans="1:14" s="5" customFormat="1" ht="15" customHeight="1" x14ac:dyDescent="0.25">
      <c r="A8599" s="9" t="s">
        <v>16944</v>
      </c>
      <c r="C8599" s="9" t="str">
        <f>HYPERLINK("http://www.ncbi.nlm.nih.gov/protein/58037511","6030458C11Rik")</f>
        <v>6030458C11Rik</v>
      </c>
      <c r="D8599" s="10">
        <f t="shared" si="134"/>
        <v>3.4916495553049711</v>
      </c>
      <c r="F8599" s="8" t="str">
        <f>HYPERLINK("https://esbl.nhlbi.nih.gov/Databases/mpkFractions/proteomic_fractions_log_files/Yang_log_img/58037511.jpg","show blot")</f>
        <v>show blot</v>
      </c>
      <c r="H8599" s="8" t="str">
        <f>HYPERLINK("https://esbl.nhlbi.nih.gov/Databases/mpkFractions/proteomic_fractions_linear_files/Yang_linear_img/58037511.jpg","show blot")</f>
        <v>show blot</v>
      </c>
      <c r="J8599" s="5" t="s">
        <v>16945</v>
      </c>
      <c r="L8599" s="11">
        <v>3.4916495553049711</v>
      </c>
      <c r="N8599" s="12"/>
    </row>
    <row r="8600" spans="1:14" s="5" customFormat="1" ht="15" customHeight="1" x14ac:dyDescent="0.25">
      <c r="A8600" s="9" t="s">
        <v>16946</v>
      </c>
      <c r="C8600" s="9" t="str">
        <f>HYPERLINK("http://www.ncbi.nlm.nih.gov/protein/87196345","8030462N17Rik")</f>
        <v>8030462N17Rik</v>
      </c>
      <c r="D8600" s="10">
        <f t="shared" si="134"/>
        <v>3.6540107611668109</v>
      </c>
      <c r="F8600" s="8" t="str">
        <f>HYPERLINK("https://esbl.nhlbi.nih.gov/Databases/mpkFractions/proteomic_fractions_log_files/Yang_log_img/87196345.jpg","show blot")</f>
        <v>show blot</v>
      </c>
      <c r="H8600" s="8" t="str">
        <f>HYPERLINK("https://esbl.nhlbi.nih.gov/Databases/mpkFractions/proteomic_fractions_linear_files/Yang_linear_img/87196345.jpg","show blot")</f>
        <v>show blot</v>
      </c>
      <c r="J8600" s="5" t="s">
        <v>16947</v>
      </c>
      <c r="L8600" s="11">
        <v>3.6540107611668109</v>
      </c>
      <c r="N8600" s="12"/>
    </row>
    <row r="8601" spans="1:14" s="5" customFormat="1" ht="15" customHeight="1" x14ac:dyDescent="0.25">
      <c r="A8601" s="9" t="s">
        <v>16948</v>
      </c>
      <c r="C8601" s="9" t="str">
        <f>HYPERLINK("http://www.ncbi.nlm.nih.gov/protein/31560063","8430419L09Rik")</f>
        <v>8430419L09Rik</v>
      </c>
      <c r="D8601" s="10">
        <f t="shared" si="134"/>
        <v>2.8580892401162199</v>
      </c>
      <c r="F8601" s="8" t="str">
        <f>HYPERLINK("https://esbl.nhlbi.nih.gov/Databases/mpkFractions/proteomic_fractions_log_files/Yang_log_img/31560063.jpg","show blot")</f>
        <v>show blot</v>
      </c>
      <c r="H8601" s="8" t="str">
        <f>HYPERLINK("https://esbl.nhlbi.nih.gov/Databases/mpkFractions/proteomic_fractions_linear_files/Yang_linear_img/31560063.jpg","show blot")</f>
        <v>show blot</v>
      </c>
      <c r="J8601" s="5" t="s">
        <v>16949</v>
      </c>
      <c r="L8601" s="11">
        <v>2.8580892401162199</v>
      </c>
      <c r="N8601" s="12"/>
    </row>
    <row r="8602" spans="1:14" s="5" customFormat="1" ht="15" customHeight="1" x14ac:dyDescent="0.25">
      <c r="A8602" s="9" t="s">
        <v>16950</v>
      </c>
      <c r="C8602" s="9" t="str">
        <f>HYPERLINK("http://www.ncbi.nlm.nih.gov/protein/31981784","9030617O03Rik")</f>
        <v>9030617O03Rik</v>
      </c>
      <c r="D8602" s="10">
        <f t="shared" si="134"/>
        <v>4.3284437833736904</v>
      </c>
      <c r="F8602" s="8" t="str">
        <f>HYPERLINK("https://esbl.nhlbi.nih.gov/Databases/mpkFractions/proteomic_fractions_log_files/Yang_log_img/31981784.jpg","show blot")</f>
        <v>show blot</v>
      </c>
      <c r="H8602" s="8" t="str">
        <f>HYPERLINK("https://esbl.nhlbi.nih.gov/Databases/mpkFractions/proteomic_fractions_linear_files/Yang_linear_img/31981784.jpg","show blot")</f>
        <v>show blot</v>
      </c>
      <c r="J8602" s="5" t="s">
        <v>16951</v>
      </c>
      <c r="L8602" s="11">
        <v>4.3284437833736904</v>
      </c>
      <c r="N8602" s="12"/>
    </row>
    <row r="8603" spans="1:14" s="5" customFormat="1" ht="15" customHeight="1" x14ac:dyDescent="0.25">
      <c r="A8603" s="9" t="s">
        <v>16952</v>
      </c>
      <c r="C8603" s="9" t="str">
        <f>HYPERLINK("http://www.ncbi.nlm.nih.gov/protein/270047485","9030624J02Rik")</f>
        <v>9030624J02Rik</v>
      </c>
      <c r="D8603" s="10">
        <f t="shared" si="134"/>
        <v>4.3779524669407266</v>
      </c>
      <c r="F8603" s="8" t="str">
        <f>HYPERLINK("https://esbl.nhlbi.nih.gov/Databases/mpkFractions/proteomic_fractions_log_files/Yang_log_img/270047485.jpg","show blot")</f>
        <v>show blot</v>
      </c>
      <c r="H8603" s="8" t="str">
        <f>HYPERLINK("https://esbl.nhlbi.nih.gov/Databases/mpkFractions/proteomic_fractions_linear_files/Yang_linear_img/270047485.jpg","show blot")</f>
        <v>show blot</v>
      </c>
      <c r="J8603" s="5" t="s">
        <v>16953</v>
      </c>
      <c r="L8603" s="11">
        <v>4.3779524669407266</v>
      </c>
      <c r="N8603" s="12"/>
    </row>
    <row r="8604" spans="1:14" s="5" customFormat="1" ht="15" customHeight="1" x14ac:dyDescent="0.25">
      <c r="A8604" s="9" t="s">
        <v>16954</v>
      </c>
      <c r="C8604" s="9" t="str">
        <f>HYPERLINK("http://www.ncbi.nlm.nih.gov/protein/139947660","9130011E15Rik")</f>
        <v>9130011E15Rik</v>
      </c>
      <c r="D8604" s="10">
        <f t="shared" si="134"/>
        <v>3.796231439516438</v>
      </c>
      <c r="F8604" s="8" t="str">
        <f>HYPERLINK("https://esbl.nhlbi.nih.gov/Databases/mpkFractions/proteomic_fractions_log_files/Yang_log_img/139947660.jpg","show blot")</f>
        <v>show blot</v>
      </c>
      <c r="H8604" s="8" t="str">
        <f>HYPERLINK("https://esbl.nhlbi.nih.gov/Databases/mpkFractions/proteomic_fractions_linear_files/Yang_linear_img/139947660.jpg","show blot")</f>
        <v>show blot</v>
      </c>
      <c r="J8604" s="5" t="s">
        <v>16955</v>
      </c>
      <c r="L8604" s="11">
        <v>3.796231439516438</v>
      </c>
      <c r="N8604" s="12"/>
    </row>
    <row r="8605" spans="1:14" s="5" customFormat="1" ht="15" customHeight="1" x14ac:dyDescent="0.25">
      <c r="A8605" s="9" t="s">
        <v>16956</v>
      </c>
      <c r="C8605" s="9" t="str">
        <f>HYPERLINK("http://www.ncbi.nlm.nih.gov/protein/110625972","9330182L06Rik")</f>
        <v>9330182L06Rik</v>
      </c>
      <c r="D8605" s="10">
        <f t="shared" si="134"/>
        <v>3.264941003460172</v>
      </c>
      <c r="F8605" s="8" t="str">
        <f>HYPERLINK("https://esbl.nhlbi.nih.gov/Databases/mpkFractions/proteomic_fractions_log_files/Yang_log_img/110625972.jpg","show blot")</f>
        <v>show blot</v>
      </c>
      <c r="H8605" s="8" t="str">
        <f>HYPERLINK("https://esbl.nhlbi.nih.gov/Databases/mpkFractions/proteomic_fractions_linear_files/Yang_linear_img/110625972.jpg","show blot")</f>
        <v>show blot</v>
      </c>
      <c r="J8605" s="5" t="s">
        <v>16957</v>
      </c>
      <c r="L8605" s="11">
        <v>3.264941003460172</v>
      </c>
      <c r="N8605" s="12"/>
    </row>
    <row r="8606" spans="1:14" s="5" customFormat="1" ht="15" customHeight="1" x14ac:dyDescent="0.25">
      <c r="A8606" s="9" t="s">
        <v>16958</v>
      </c>
      <c r="C8606" s="9" t="str">
        <f>HYPERLINK("http://www.ncbi.nlm.nih.gov/protein/145587094","9430016H08Rik")</f>
        <v>9430016H08Rik</v>
      </c>
      <c r="D8606" s="10">
        <f t="shared" si="134"/>
        <v>4.0220226683585887</v>
      </c>
      <c r="F8606" s="8" t="str">
        <f>HYPERLINK("https://esbl.nhlbi.nih.gov/Databases/mpkFractions/proteomic_fractions_log_files/Yang_log_img/145587094.jpg","show blot")</f>
        <v>show blot</v>
      </c>
      <c r="H8606" s="8" t="str">
        <f>HYPERLINK("https://esbl.nhlbi.nih.gov/Databases/mpkFractions/proteomic_fractions_linear_files/Yang_linear_img/145587094.jpg","show blot")</f>
        <v>show blot</v>
      </c>
      <c r="J8606" s="5" t="s">
        <v>16959</v>
      </c>
      <c r="L8606" s="11">
        <v>4.0220226683585887</v>
      </c>
      <c r="N8606" s="12"/>
    </row>
    <row r="8607" spans="1:14" s="5" customFormat="1" ht="15" customHeight="1" x14ac:dyDescent="0.25">
      <c r="A8607" s="9" t="s">
        <v>16960</v>
      </c>
      <c r="C8607" s="9" t="str">
        <f>HYPERLINK("http://www.ncbi.nlm.nih.gov/protein/21311929","9430023L20Rik")</f>
        <v>9430023L20Rik</v>
      </c>
      <c r="D8607" s="10">
        <f t="shared" si="134"/>
        <v>3.159931663466248</v>
      </c>
      <c r="F8607" s="8" t="str">
        <f>HYPERLINK("https://esbl.nhlbi.nih.gov/Databases/mpkFractions/proteomic_fractions_log_files/Yang_log_img/21311929.jpg","show blot")</f>
        <v>show blot</v>
      </c>
      <c r="H8607" s="8" t="str">
        <f>HYPERLINK("https://esbl.nhlbi.nih.gov/Databases/mpkFractions/proteomic_fractions_linear_files/Yang_linear_img/21311929.jpg","show blot")</f>
        <v>show blot</v>
      </c>
      <c r="J8607" s="5" t="s">
        <v>16961</v>
      </c>
      <c r="L8607" s="11">
        <v>3.159931663466248</v>
      </c>
      <c r="N8607" s="12"/>
    </row>
    <row r="8608" spans="1:14" s="5" customFormat="1" ht="15" customHeight="1" x14ac:dyDescent="0.25">
      <c r="A8608" s="9" t="s">
        <v>16962</v>
      </c>
      <c r="C8608" s="9" t="str">
        <f>HYPERLINK("http://www.ncbi.nlm.nih.gov/protein/242397485","9430038I01Rik")</f>
        <v>9430038I01Rik</v>
      </c>
      <c r="D8608" s="10">
        <f t="shared" si="134"/>
        <v>3.166905285540548</v>
      </c>
      <c r="F8608" s="8" t="str">
        <f>HYPERLINK("https://esbl.nhlbi.nih.gov/Databases/mpkFractions/proteomic_fractions_log_files/Yang_log_img/242397485.jpg","show blot")</f>
        <v>show blot</v>
      </c>
      <c r="H8608" s="8" t="str">
        <f>HYPERLINK("https://esbl.nhlbi.nih.gov/Databases/mpkFractions/proteomic_fractions_linear_files/Yang_linear_img/242397485.jpg","show blot")</f>
        <v>show blot</v>
      </c>
      <c r="J8608" s="5" t="s">
        <v>16963</v>
      </c>
      <c r="L8608" s="11">
        <v>3.166905285540548</v>
      </c>
      <c r="N8608" s="12"/>
    </row>
    <row r="8609" spans="1:14" s="5" customFormat="1" ht="15" customHeight="1" x14ac:dyDescent="0.25">
      <c r="A8609" s="9" t="s">
        <v>16964</v>
      </c>
      <c r="C8609" s="9" t="str">
        <f>HYPERLINK("http://www.ncbi.nlm.nih.gov/protein/257467625","9530053A07Rik")</f>
        <v>9530053A07Rik</v>
      </c>
      <c r="D8609" s="10">
        <f t="shared" si="134"/>
        <v>3.1397474777393808</v>
      </c>
      <c r="F8609" s="8" t="str">
        <f>HYPERLINK("https://esbl.nhlbi.nih.gov/Databases/mpkFractions/proteomic_fractions_log_files/Yang_log_img/257467625.jpg","show blot")</f>
        <v>show blot</v>
      </c>
      <c r="H8609" s="8" t="str">
        <f>HYPERLINK("https://esbl.nhlbi.nih.gov/Databases/mpkFractions/proteomic_fractions_linear_files/Yang_linear_img/257467625.jpg","show blot")</f>
        <v>show blot</v>
      </c>
      <c r="J8609" s="5" t="s">
        <v>16965</v>
      </c>
      <c r="L8609" s="11">
        <v>3.1397474777393808</v>
      </c>
      <c r="N8609" s="12"/>
    </row>
    <row r="8610" spans="1:14" s="5" customFormat="1" ht="15" customHeight="1" x14ac:dyDescent="0.25">
      <c r="A8610" s="9" t="s">
        <v>16966</v>
      </c>
      <c r="C8610" s="9" t="str">
        <f>HYPERLINK("http://www.ncbi.nlm.nih.gov/protein/28892859","9630033F20Rik")</f>
        <v>9630033F20Rik</v>
      </c>
      <c r="D8610" s="10">
        <f t="shared" si="134"/>
        <v>4.4070096680412858</v>
      </c>
      <c r="F8610" s="8" t="str">
        <f>HYPERLINK("https://esbl.nhlbi.nih.gov/Databases/mpkFractions/proteomic_fractions_log_files/Yang_log_img/28892859.jpg","show blot")</f>
        <v>show blot</v>
      </c>
      <c r="H8610" s="8" t="str">
        <f>HYPERLINK("https://esbl.nhlbi.nih.gov/Databases/mpkFractions/proteomic_fractions_linear_files/Yang_linear_img/28892859.jpg","show blot")</f>
        <v>show blot</v>
      </c>
      <c r="J8610" s="5" t="s">
        <v>16967</v>
      </c>
      <c r="L8610" s="11">
        <v>4.4070096680412858</v>
      </c>
      <c r="N8610" s="12"/>
    </row>
    <row r="8611" spans="1:14" s="5" customFormat="1" ht="15" customHeight="1" x14ac:dyDescent="0.25">
      <c r="A8611" s="9" t="s">
        <v>16968</v>
      </c>
      <c r="C8611" s="9" t="str">
        <f>HYPERLINK("http://www.ncbi.nlm.nih.gov/protein/257467641","9830001H06Rik")</f>
        <v>9830001H06Rik</v>
      </c>
      <c r="D8611" s="10">
        <f t="shared" si="134"/>
        <v>2.4640886722252211</v>
      </c>
      <c r="F8611" s="8" t="str">
        <f>HYPERLINK("https://esbl.nhlbi.nih.gov/Databases/mpkFractions/proteomic_fractions_log_files/Yang_log_img/257467641.jpg","show blot")</f>
        <v>show blot</v>
      </c>
      <c r="H8611" s="8" t="str">
        <f>HYPERLINK("https://esbl.nhlbi.nih.gov/Databases/mpkFractions/proteomic_fractions_linear_files/Yang_linear_img/257467641.jpg","show blot")</f>
        <v>show blot</v>
      </c>
      <c r="J8611" s="5" t="s">
        <v>16969</v>
      </c>
      <c r="L8611" s="11">
        <v>2.4640886722252211</v>
      </c>
      <c r="N8611" s="12"/>
    </row>
    <row r="8612" spans="1:14" s="5" customFormat="1" ht="15" customHeight="1" x14ac:dyDescent="0.25">
      <c r="A8612" s="9" t="s">
        <v>16970</v>
      </c>
      <c r="C8612" s="9" t="str">
        <f>HYPERLINK("http://www.ncbi.nlm.nih.gov/protein/295293085","9930021J03Rik")</f>
        <v>9930021J03Rik</v>
      </c>
      <c r="D8612" s="10">
        <f t="shared" si="134"/>
        <v>1.4466773511803619</v>
      </c>
      <c r="F8612" s="8" t="str">
        <f>HYPERLINK("https://esbl.nhlbi.nih.gov/Databases/mpkFractions/proteomic_fractions_log_files/Yang_log_img/295293085.jpg","show blot")</f>
        <v>show blot</v>
      </c>
      <c r="H8612" s="8" t="str">
        <f>HYPERLINK("https://esbl.nhlbi.nih.gov/Databases/mpkFractions/proteomic_fractions_linear_files/Yang_linear_img/295293085.jpg","show blot")</f>
        <v>show blot</v>
      </c>
      <c r="J8612" s="5" t="s">
        <v>16971</v>
      </c>
      <c r="L8612" s="11">
        <v>1.4466773511803619</v>
      </c>
      <c r="N8612" s="12"/>
    </row>
    <row r="8613" spans="1:14" ht="15" customHeight="1" x14ac:dyDescent="0.3">
      <c r="D8613" s="6"/>
    </row>
    <row r="8614" spans="1:14" ht="15" customHeight="1" x14ac:dyDescent="0.3">
      <c r="D8614" s="6"/>
    </row>
    <row r="8615" spans="1:14" ht="15" customHeight="1" x14ac:dyDescent="0.3">
      <c r="D8615" s="6"/>
    </row>
    <row r="8616" spans="1:14" ht="15" customHeight="1" x14ac:dyDescent="0.3">
      <c r="D8616" s="6"/>
    </row>
  </sheetData>
  <conditionalFormatting sqref="L5:L8612">
    <cfRule type="colorScale" priority="1">
      <colorScale>
        <cfvo type="num" val="4"/>
        <cfvo type="max"/>
        <color theme="0"/>
        <color theme="7" tint="0.39997558519241921"/>
      </colorScale>
    </cfRule>
  </conditionalFormatting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Mehta, Yash (NIH/NHLBI) [F]</dc:creator>
  <cp:lastModifiedBy>Knepper, Mark (NIH/NHLBI) [E]</cp:lastModifiedBy>
  <dcterms:created xsi:type="dcterms:W3CDTF">2022-05-04T14:35:18Z</dcterms:created>
  <dcterms:modified xsi:type="dcterms:W3CDTF">2026-06-05T17:44:14Z</dcterms:modified>
</cp:coreProperties>
</file>